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omments1.xml" ContentType="application/vnd.openxmlformats-officedocument.spreadsheetml.comments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D:\Download\"/>
    </mc:Choice>
  </mc:AlternateContent>
  <xr:revisionPtr revIDLastSave="0" documentId="13_ncr:1_{A161C6B8-1323-4800-8EB3-BB6B67FCB00A}" xr6:coauthVersionLast="47" xr6:coauthVersionMax="47" xr10:uidLastSave="{00000000-0000-0000-0000-000000000000}"/>
  <bookViews>
    <workbookView xWindow="-27420" yWindow="1440" windowWidth="21135" windowHeight="14025" activeTab="1" xr2:uid="{00000000-000D-0000-FFFF-FFFF00000000}"/>
  </bookViews>
  <sheets>
    <sheet name="短租彙總" sheetId="14" r:id="rId1"/>
    <sheet name="短租查詢" sheetId="16" r:id="rId2"/>
    <sheet name="長租彙總" sheetId="15" r:id="rId3"/>
    <sheet name="長租查詢" sheetId="17" r:id="rId4"/>
    <sheet name="總表" sheetId="1" r:id="rId5"/>
    <sheet name="日租滿房率" sheetId="2" r:id="rId6"/>
    <sheet name="2-141" sheetId="5" r:id="rId7"/>
    <sheet name="3-溫州" sheetId="12" r:id="rId8"/>
    <sheet name="4-寒舍" sheetId="3" r:id="rId9"/>
    <sheet name="5-安和雅企" sheetId="6" r:id="rId10"/>
    <sheet name="6-敦南薈館" sheetId="7" r:id="rId11"/>
    <sheet name="7-公司" sheetId="8" r:id="rId12"/>
    <sheet name="8-159-1" sheetId="9" r:id="rId13"/>
    <sheet name="9-崇德" sheetId="10" r:id="rId14"/>
    <sheet name="10-景新" sheetId="11" r:id="rId15"/>
  </sheets>
  <externalReferences>
    <externalReference r:id="rId16"/>
  </externalReferences>
  <calcPr calcId="191029"/>
  <pivotCaches>
    <pivotCache cacheId="0" r:id="rId17"/>
    <pivotCache cacheId="1" r:id="rId1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5" i="15" l="1"/>
  <c r="H93" i="15"/>
  <c r="H92" i="15"/>
  <c r="H89" i="15"/>
  <c r="K88" i="15"/>
  <c r="K75" i="15"/>
  <c r="K74" i="15"/>
  <c r="K73" i="15"/>
  <c r="K72" i="15"/>
  <c r="K71" i="15"/>
  <c r="K70" i="15"/>
  <c r="K69" i="15"/>
  <c r="K68" i="15"/>
  <c r="K66" i="15"/>
  <c r="K64" i="15"/>
  <c r="K62" i="15"/>
  <c r="K61" i="15"/>
  <c r="K60" i="15"/>
  <c r="K59" i="15"/>
  <c r="K58" i="15"/>
  <c r="H51" i="15"/>
  <c r="H47" i="15"/>
  <c r="H24" i="15"/>
  <c r="H19" i="15"/>
  <c r="K17" i="15"/>
  <c r="K16" i="15"/>
  <c r="K15" i="15"/>
  <c r="K14" i="15"/>
  <c r="K12" i="15"/>
  <c r="K10" i="15"/>
  <c r="K9" i="15"/>
  <c r="H8" i="15"/>
  <c r="H11" i="15"/>
  <c r="T16" i="6" l="1"/>
  <c r="T15" i="6"/>
  <c r="N16" i="6"/>
  <c r="M16" i="6"/>
  <c r="S15" i="5"/>
  <c r="C24" i="1" l="1"/>
  <c r="R16" i="12" l="1"/>
  <c r="Q16" i="12"/>
  <c r="P16" i="12"/>
  <c r="O16" i="12"/>
  <c r="L16" i="12"/>
  <c r="O15" i="12"/>
  <c r="M15" i="12"/>
  <c r="L15" i="12"/>
  <c r="R14" i="12"/>
  <c r="R15" i="12" s="1"/>
  <c r="Q14" i="12"/>
  <c r="Q15" i="12" s="1"/>
  <c r="P14" i="12"/>
  <c r="P15" i="12" s="1"/>
  <c r="O14" i="12"/>
  <c r="N14" i="12"/>
  <c r="N15" i="12" s="1"/>
  <c r="R10" i="12"/>
  <c r="Q10" i="12"/>
  <c r="P10" i="12"/>
  <c r="O10" i="12"/>
  <c r="N10" i="12"/>
  <c r="R4" i="12"/>
  <c r="Q4" i="12"/>
  <c r="P4" i="12"/>
  <c r="N4" i="12"/>
  <c r="M4" i="12"/>
  <c r="L4" i="12"/>
  <c r="K4" i="12"/>
  <c r="J4" i="12"/>
  <c r="I4" i="12"/>
  <c r="H4" i="12"/>
  <c r="G4" i="12"/>
  <c r="D4" i="12"/>
  <c r="O4" i="12"/>
  <c r="E3" i="12"/>
  <c r="E4" i="12" s="1"/>
  <c r="C25" i="1" l="1"/>
  <c r="L14" i="3" l="1"/>
  <c r="G34" i="11" l="1"/>
  <c r="R33" i="11"/>
  <c r="Q33" i="11"/>
  <c r="P33" i="11"/>
  <c r="O33" i="11"/>
  <c r="N33" i="11"/>
  <c r="M33" i="11"/>
  <c r="L33" i="11"/>
  <c r="K33" i="11"/>
  <c r="J33" i="11"/>
  <c r="I33" i="11"/>
  <c r="H33" i="11"/>
  <c r="R31" i="11"/>
  <c r="Q31" i="11"/>
  <c r="P31" i="11"/>
  <c r="O31" i="11"/>
  <c r="N31" i="11"/>
  <c r="M31" i="11"/>
  <c r="L31" i="11"/>
  <c r="K31" i="11"/>
  <c r="J31" i="11"/>
  <c r="I31" i="11"/>
  <c r="H31" i="11"/>
  <c r="R29" i="11"/>
  <c r="Q29" i="11"/>
  <c r="P29" i="11"/>
  <c r="O29" i="11"/>
  <c r="N29" i="11"/>
  <c r="L29" i="11"/>
  <c r="L34" i="11" s="1"/>
  <c r="P35" i="11" s="1"/>
  <c r="K29" i="11"/>
  <c r="J29" i="11"/>
  <c r="I29" i="11"/>
  <c r="H29" i="11"/>
  <c r="R27" i="11"/>
  <c r="Q27" i="11"/>
  <c r="P27" i="11"/>
  <c r="O27" i="11"/>
  <c r="N27" i="11"/>
  <c r="M27" i="11"/>
  <c r="K27" i="11"/>
  <c r="J27" i="11"/>
  <c r="H27" i="11"/>
  <c r="R25" i="11"/>
  <c r="Q25" i="11"/>
  <c r="P25" i="11"/>
  <c r="O25" i="11"/>
  <c r="N25" i="11"/>
  <c r="M25" i="11"/>
  <c r="K25" i="11"/>
  <c r="J25" i="11"/>
  <c r="I25" i="11"/>
  <c r="H25" i="11"/>
  <c r="R23" i="11"/>
  <c r="Q23" i="11"/>
  <c r="P23" i="11"/>
  <c r="O23" i="11"/>
  <c r="N23" i="11"/>
  <c r="M23" i="11"/>
  <c r="L23" i="11"/>
  <c r="K23" i="11"/>
  <c r="J23" i="11"/>
  <c r="I23" i="11"/>
  <c r="H23" i="11"/>
  <c r="R20" i="11"/>
  <c r="Q20" i="11"/>
  <c r="P20" i="11"/>
  <c r="O20" i="11"/>
  <c r="N20" i="11"/>
  <c r="M20" i="11"/>
  <c r="L20" i="11"/>
  <c r="K20" i="11"/>
  <c r="J20" i="11"/>
  <c r="I20" i="11"/>
  <c r="H20" i="11"/>
  <c r="G20" i="11"/>
  <c r="Q14" i="11"/>
  <c r="P14" i="11"/>
  <c r="O14" i="11"/>
  <c r="N14" i="11"/>
  <c r="M14" i="11"/>
  <c r="L14" i="11"/>
  <c r="K14" i="11"/>
  <c r="J14" i="11"/>
  <c r="I14" i="11"/>
  <c r="H14" i="11"/>
  <c r="G14" i="11"/>
  <c r="E14" i="11"/>
  <c r="D14" i="11"/>
  <c r="R5" i="11"/>
  <c r="R14" i="11" s="1"/>
  <c r="L31" i="10"/>
  <c r="Q32" i="10" s="1"/>
  <c r="K31" i="10"/>
  <c r="J31" i="10"/>
  <c r="I31" i="10"/>
  <c r="G31" i="10"/>
  <c r="R30" i="10"/>
  <c r="Q30" i="10"/>
  <c r="P30" i="10"/>
  <c r="O30" i="10"/>
  <c r="R28" i="10"/>
  <c r="Q28" i="10"/>
  <c r="P28" i="10"/>
  <c r="O28" i="10"/>
  <c r="N28" i="10"/>
  <c r="R26" i="10"/>
  <c r="Q26" i="10"/>
  <c r="Q31" i="10" s="1"/>
  <c r="P26" i="10"/>
  <c r="N26" i="10"/>
  <c r="M26" i="10"/>
  <c r="R24" i="10"/>
  <c r="Q24" i="10"/>
  <c r="P24" i="10"/>
  <c r="O24" i="10"/>
  <c r="N24" i="10"/>
  <c r="R22" i="10"/>
  <c r="Q22" i="10"/>
  <c r="P22" i="10"/>
  <c r="O22" i="10"/>
  <c r="O31" i="10" s="1"/>
  <c r="M22" i="10"/>
  <c r="H22" i="10"/>
  <c r="H31" i="10" s="1"/>
  <c r="R17" i="10"/>
  <c r="Q17" i="10"/>
  <c r="P17" i="10"/>
  <c r="O17" i="10"/>
  <c r="N17" i="10"/>
  <c r="M17" i="10"/>
  <c r="L17" i="10"/>
  <c r="K17" i="10"/>
  <c r="J17" i="10"/>
  <c r="I17" i="10"/>
  <c r="H17" i="10"/>
  <c r="G17" i="10"/>
  <c r="R12" i="10"/>
  <c r="Q12" i="10"/>
  <c r="P12" i="10"/>
  <c r="N12" i="10"/>
  <c r="M12" i="10"/>
  <c r="L12" i="10"/>
  <c r="K12" i="10"/>
  <c r="J12" i="10"/>
  <c r="I12" i="10"/>
  <c r="H12" i="10"/>
  <c r="G12" i="10"/>
  <c r="E12" i="10"/>
  <c r="D12" i="10"/>
  <c r="O5" i="10"/>
  <c r="R3" i="10"/>
  <c r="O3" i="10"/>
  <c r="O12" i="10" s="1"/>
  <c r="K18" i="9"/>
  <c r="K19" i="9" s="1"/>
  <c r="H18" i="9"/>
  <c r="G18" i="9"/>
  <c r="R17" i="9"/>
  <c r="Q17" i="9"/>
  <c r="P17" i="9"/>
  <c r="O17" i="9"/>
  <c r="N17" i="9"/>
  <c r="M17" i="9"/>
  <c r="L17" i="9"/>
  <c r="J17" i="9"/>
  <c r="I17" i="9"/>
  <c r="H17" i="9"/>
  <c r="R15" i="9"/>
  <c r="Q15" i="9"/>
  <c r="Q18" i="9" s="1"/>
  <c r="P15" i="9"/>
  <c r="O15" i="9"/>
  <c r="N15" i="9"/>
  <c r="N18" i="9" s="1"/>
  <c r="M15" i="9"/>
  <c r="M18" i="9" s="1"/>
  <c r="L15" i="9"/>
  <c r="L18" i="9" s="1"/>
  <c r="K15" i="9"/>
  <c r="J15" i="9"/>
  <c r="I15" i="9"/>
  <c r="H15" i="9"/>
  <c r="R12" i="9"/>
  <c r="Q12" i="9"/>
  <c r="P12" i="9"/>
  <c r="O12" i="9"/>
  <c r="N12" i="9"/>
  <c r="N19" i="9" s="1"/>
  <c r="M12" i="9"/>
  <c r="L12" i="9"/>
  <c r="K12" i="9"/>
  <c r="J12" i="9"/>
  <c r="I12" i="9"/>
  <c r="H12" i="9"/>
  <c r="G12" i="9"/>
  <c r="R6" i="9"/>
  <c r="P6" i="9"/>
  <c r="O6" i="9"/>
  <c r="N6" i="9"/>
  <c r="M6" i="9"/>
  <c r="L6" i="9"/>
  <c r="K6" i="9"/>
  <c r="J6" i="9"/>
  <c r="I6" i="9"/>
  <c r="H6" i="9"/>
  <c r="G6" i="9"/>
  <c r="G19" i="9" s="1"/>
  <c r="E6" i="9"/>
  <c r="D6" i="9"/>
  <c r="Q3" i="9"/>
  <c r="Q6" i="9" s="1"/>
  <c r="P15" i="8"/>
  <c r="R14" i="8"/>
  <c r="P14" i="8"/>
  <c r="R13" i="8"/>
  <c r="Q13" i="8"/>
  <c r="Q14" i="8" s="1"/>
  <c r="P13" i="8"/>
  <c r="O13" i="8"/>
  <c r="O14" i="8" s="1"/>
  <c r="O15" i="8" s="1"/>
  <c r="N13" i="8"/>
  <c r="N14" i="8" s="1"/>
  <c r="M13" i="8"/>
  <c r="M14" i="8" s="1"/>
  <c r="L13" i="8"/>
  <c r="L14" i="8" s="1"/>
  <c r="J13" i="8"/>
  <c r="I13" i="8"/>
  <c r="H13" i="8"/>
  <c r="R9" i="8"/>
  <c r="Q9" i="8"/>
  <c r="P9" i="8"/>
  <c r="O9" i="8"/>
  <c r="N9" i="8"/>
  <c r="M9" i="8"/>
  <c r="L9" i="8"/>
  <c r="K9" i="8"/>
  <c r="J9" i="8"/>
  <c r="I9" i="8"/>
  <c r="H9" i="8"/>
  <c r="G9" i="8"/>
  <c r="R4" i="8"/>
  <c r="Q4" i="8"/>
  <c r="P4" i="8"/>
  <c r="O4" i="8"/>
  <c r="N4" i="8"/>
  <c r="M4" i="8"/>
  <c r="L4" i="8"/>
  <c r="K4" i="8"/>
  <c r="J4" i="8"/>
  <c r="I4" i="8"/>
  <c r="H4" i="8"/>
  <c r="G4" i="8"/>
  <c r="E4" i="8"/>
  <c r="D4" i="8"/>
  <c r="I26" i="7"/>
  <c r="I27" i="7" s="1"/>
  <c r="I28" i="7" s="1"/>
  <c r="I29" i="7" s="1"/>
  <c r="I30" i="7" s="1"/>
  <c r="I31" i="7" s="1"/>
  <c r="I32" i="7" s="1"/>
  <c r="I33" i="7" s="1"/>
  <c r="I34" i="7" s="1"/>
  <c r="I35" i="7" s="1"/>
  <c r="I36" i="7" s="1"/>
  <c r="I37" i="7" s="1"/>
  <c r="I38" i="7" s="1"/>
  <c r="I39" i="7" s="1"/>
  <c r="G19" i="7"/>
  <c r="R18" i="7"/>
  <c r="Q18" i="7"/>
  <c r="Q19" i="7" s="1"/>
  <c r="O18" i="7"/>
  <c r="O19" i="7" s="1"/>
  <c r="N18" i="7"/>
  <c r="J18" i="7"/>
  <c r="I18" i="7"/>
  <c r="H18" i="7"/>
  <c r="R16" i="7"/>
  <c r="P16" i="7"/>
  <c r="P19" i="7" s="1"/>
  <c r="N16" i="7"/>
  <c r="M16" i="7"/>
  <c r="M18" i="7" s="1"/>
  <c r="L16" i="7"/>
  <c r="L18" i="7" s="1"/>
  <c r="K16" i="7"/>
  <c r="K18" i="7" s="1"/>
  <c r="J16" i="7"/>
  <c r="I16" i="7"/>
  <c r="H16" i="7"/>
  <c r="H19" i="7" s="1"/>
  <c r="R13" i="7"/>
  <c r="Q13" i="7"/>
  <c r="P13" i="7"/>
  <c r="O13" i="7"/>
  <c r="N13" i="7"/>
  <c r="M13" i="7"/>
  <c r="L13" i="7"/>
  <c r="K13" i="7"/>
  <c r="J13" i="7"/>
  <c r="I13" i="7"/>
  <c r="H13" i="7"/>
  <c r="G13" i="7"/>
  <c r="R6" i="7"/>
  <c r="Q6" i="7"/>
  <c r="P6" i="7"/>
  <c r="O6" i="7"/>
  <c r="N6" i="7"/>
  <c r="M6" i="7"/>
  <c r="L6" i="7"/>
  <c r="K6" i="7"/>
  <c r="J6" i="7"/>
  <c r="I6" i="7"/>
  <c r="H6" i="7"/>
  <c r="G6" i="7"/>
  <c r="G20" i="7" s="1"/>
  <c r="E6" i="7"/>
  <c r="D6" i="7"/>
  <c r="I21" i="6"/>
  <c r="G21" i="6"/>
  <c r="R20" i="6"/>
  <c r="Q20" i="6"/>
  <c r="N20" i="6"/>
  <c r="M20" i="6"/>
  <c r="L20" i="6"/>
  <c r="K20" i="6"/>
  <c r="H20" i="6"/>
  <c r="R18" i="6"/>
  <c r="Q18" i="6"/>
  <c r="P18" i="6"/>
  <c r="O18" i="6"/>
  <c r="N18" i="6"/>
  <c r="M18" i="6"/>
  <c r="L18" i="6"/>
  <c r="K18" i="6"/>
  <c r="I18" i="6"/>
  <c r="H18" i="6"/>
  <c r="R16" i="6"/>
  <c r="Q16" i="6"/>
  <c r="P16" i="6"/>
  <c r="O16" i="6"/>
  <c r="O21" i="6" s="1"/>
  <c r="N21" i="6"/>
  <c r="M21" i="6"/>
  <c r="M22" i="6" s="1"/>
  <c r="K16" i="6"/>
  <c r="J16" i="6"/>
  <c r="J21" i="6" s="1"/>
  <c r="H16" i="6"/>
  <c r="H21" i="6" s="1"/>
  <c r="H22" i="6" s="1"/>
  <c r="R13" i="6"/>
  <c r="Q13" i="6"/>
  <c r="P13" i="6"/>
  <c r="O13" i="6"/>
  <c r="N13" i="6"/>
  <c r="M13" i="6"/>
  <c r="L13" i="6"/>
  <c r="K13" i="6"/>
  <c r="J13" i="6"/>
  <c r="I13" i="6"/>
  <c r="H13" i="6"/>
  <c r="G13" i="6"/>
  <c r="R8" i="6"/>
  <c r="Q8" i="6"/>
  <c r="P8" i="6"/>
  <c r="N8" i="6"/>
  <c r="M8" i="6"/>
  <c r="L8" i="6"/>
  <c r="K8" i="6"/>
  <c r="I8" i="6"/>
  <c r="H8" i="6"/>
  <c r="G8" i="6"/>
  <c r="E8" i="6"/>
  <c r="D8" i="6"/>
  <c r="J5" i="6"/>
  <c r="J8" i="6" s="1"/>
  <c r="O3" i="6"/>
  <c r="O8" i="6" s="1"/>
  <c r="O22" i="6" s="1"/>
  <c r="O21" i="5"/>
  <c r="K21" i="5"/>
  <c r="J21" i="5"/>
  <c r="I21" i="5"/>
  <c r="H21" i="5"/>
  <c r="G21" i="5"/>
  <c r="R20" i="5"/>
  <c r="Q20" i="5"/>
  <c r="P20" i="5"/>
  <c r="O20" i="5"/>
  <c r="N20" i="5"/>
  <c r="L20" i="5"/>
  <c r="L21" i="5" s="1"/>
  <c r="K20" i="5"/>
  <c r="R18" i="5"/>
  <c r="Q18" i="5"/>
  <c r="O18" i="5"/>
  <c r="N18" i="5"/>
  <c r="M18" i="5"/>
  <c r="R16" i="5"/>
  <c r="Q16" i="5"/>
  <c r="P16" i="5"/>
  <c r="P21" i="5" s="1"/>
  <c r="N16" i="5"/>
  <c r="M16" i="5"/>
  <c r="R13" i="5"/>
  <c r="Q13" i="5"/>
  <c r="P13" i="5"/>
  <c r="O13" i="5"/>
  <c r="N13" i="5"/>
  <c r="M13" i="5"/>
  <c r="L13" i="5"/>
  <c r="R8" i="5"/>
  <c r="Q8" i="5"/>
  <c r="O8" i="5"/>
  <c r="N8" i="5"/>
  <c r="L8" i="5"/>
  <c r="K8" i="5"/>
  <c r="J8" i="5"/>
  <c r="J22" i="5" s="1"/>
  <c r="I8" i="5"/>
  <c r="H8" i="5"/>
  <c r="G8" i="5"/>
  <c r="G22" i="5" s="1"/>
  <c r="E8" i="5"/>
  <c r="D8" i="5"/>
  <c r="P7" i="5"/>
  <c r="P8" i="5" s="1"/>
  <c r="M7" i="5"/>
  <c r="M8" i="5" s="1"/>
  <c r="G34" i="3"/>
  <c r="G33" i="3"/>
  <c r="R32" i="3"/>
  <c r="Q32" i="3"/>
  <c r="O32" i="3"/>
  <c r="N32" i="3"/>
  <c r="M32" i="3"/>
  <c r="K32" i="3"/>
  <c r="J32" i="3"/>
  <c r="I32" i="3"/>
  <c r="H32" i="3"/>
  <c r="R30" i="3"/>
  <c r="Q30" i="3"/>
  <c r="P30" i="3"/>
  <c r="O30" i="3"/>
  <c r="N30" i="3"/>
  <c r="M30" i="3"/>
  <c r="L30" i="3"/>
  <c r="K30" i="3"/>
  <c r="J30" i="3"/>
  <c r="I30" i="3"/>
  <c r="H30" i="3"/>
  <c r="R28" i="3"/>
  <c r="Q28" i="3"/>
  <c r="P28" i="3"/>
  <c r="O28" i="3"/>
  <c r="N28" i="3"/>
  <c r="M28" i="3"/>
  <c r="K28" i="3"/>
  <c r="I28" i="3"/>
  <c r="H28" i="3"/>
  <c r="R26" i="3"/>
  <c r="Q26" i="3"/>
  <c r="P26" i="3"/>
  <c r="O26" i="3"/>
  <c r="M26" i="3"/>
  <c r="L26" i="3"/>
  <c r="K26" i="3"/>
  <c r="J26" i="3"/>
  <c r="I26" i="3"/>
  <c r="H26" i="3"/>
  <c r="R24" i="3"/>
  <c r="Q24" i="3"/>
  <c r="P24" i="3"/>
  <c r="O24" i="3"/>
  <c r="N24" i="3"/>
  <c r="L24" i="3"/>
  <c r="K24" i="3"/>
  <c r="J24" i="3"/>
  <c r="I24" i="3"/>
  <c r="H24" i="3"/>
  <c r="R22" i="3"/>
  <c r="Q22" i="3"/>
  <c r="P22" i="3"/>
  <c r="O22" i="3"/>
  <c r="N22" i="3"/>
  <c r="L22" i="3"/>
  <c r="K22" i="3"/>
  <c r="K33" i="3" s="1"/>
  <c r="J22" i="3"/>
  <c r="J33" i="3" s="1"/>
  <c r="I22" i="3"/>
  <c r="R19" i="3"/>
  <c r="Q19" i="3"/>
  <c r="P19" i="3"/>
  <c r="O19" i="3"/>
  <c r="N19" i="3"/>
  <c r="M19" i="3"/>
  <c r="L19" i="3"/>
  <c r="K19" i="3"/>
  <c r="J19" i="3"/>
  <c r="I19" i="3"/>
  <c r="H19" i="3"/>
  <c r="G19" i="3"/>
  <c r="R14" i="3"/>
  <c r="Q14" i="3"/>
  <c r="P14" i="3"/>
  <c r="M14" i="3"/>
  <c r="J14" i="3"/>
  <c r="H14" i="3"/>
  <c r="G14" i="3"/>
  <c r="G32" i="10" s="1"/>
  <c r="D14" i="3"/>
  <c r="O7" i="3"/>
  <c r="O14" i="3" s="1"/>
  <c r="N7" i="3"/>
  <c r="I7" i="3"/>
  <c r="I14" i="3" s="1"/>
  <c r="N5" i="3"/>
  <c r="N14" i="3" s="1"/>
  <c r="K5" i="3"/>
  <c r="E5" i="3"/>
  <c r="E14" i="3" s="1"/>
  <c r="K3" i="3"/>
  <c r="N60" i="2"/>
  <c r="M60" i="2"/>
  <c r="L60" i="2"/>
  <c r="K60" i="2"/>
  <c r="J60" i="2"/>
  <c r="I60" i="2"/>
  <c r="H60" i="2"/>
  <c r="G60" i="2"/>
  <c r="F60" i="2"/>
  <c r="E60" i="2"/>
  <c r="D60" i="2"/>
  <c r="C60" i="2"/>
  <c r="N53" i="2"/>
  <c r="M53" i="2"/>
  <c r="L53" i="2"/>
  <c r="K53" i="2"/>
  <c r="J53" i="2"/>
  <c r="I53" i="2"/>
  <c r="H53" i="2"/>
  <c r="G53" i="2"/>
  <c r="F53" i="2"/>
  <c r="E53" i="2"/>
  <c r="D53" i="2"/>
  <c r="C53" i="2"/>
  <c r="N45" i="2"/>
  <c r="M45" i="2"/>
  <c r="L45" i="2"/>
  <c r="K45" i="2"/>
  <c r="J45" i="2"/>
  <c r="I45" i="2"/>
  <c r="H45" i="2"/>
  <c r="G45" i="2"/>
  <c r="F45" i="2"/>
  <c r="E45" i="2"/>
  <c r="D45" i="2"/>
  <c r="C45" i="2"/>
  <c r="AJ10" i="2"/>
  <c r="AF10" i="2"/>
  <c r="AB10" i="2"/>
  <c r="X10" i="2"/>
  <c r="T10" i="2"/>
  <c r="P10" i="2"/>
  <c r="L10" i="2"/>
  <c r="J10" i="2"/>
  <c r="H24" i="1" s="1"/>
  <c r="I10" i="2"/>
  <c r="H10" i="2"/>
  <c r="F10" i="2"/>
  <c r="G24" i="1" s="1"/>
  <c r="E10" i="2"/>
  <c r="D10" i="2"/>
  <c r="AK9" i="2"/>
  <c r="AH9" i="2"/>
  <c r="AE9" i="2"/>
  <c r="AG9" i="2" s="1"/>
  <c r="AD9" i="2"/>
  <c r="AC9" i="2"/>
  <c r="Y9" i="2"/>
  <c r="V9" i="2"/>
  <c r="U9" i="2"/>
  <c r="Q9" i="2"/>
  <c r="M9" i="2"/>
  <c r="AK8" i="2"/>
  <c r="AH8" i="2"/>
  <c r="AG8" i="2"/>
  <c r="AD8" i="2"/>
  <c r="M8" i="2"/>
  <c r="AC7" i="2"/>
  <c r="Z7" i="2"/>
  <c r="Y7" i="2"/>
  <c r="V7" i="2"/>
  <c r="U7" i="2"/>
  <c r="R7" i="2"/>
  <c r="Q7" i="2"/>
  <c r="N7" i="2"/>
  <c r="M7" i="2"/>
  <c r="AK6" i="2"/>
  <c r="AH6" i="2"/>
  <c r="AG6" i="2"/>
  <c r="U6" i="2"/>
  <c r="R6" i="2"/>
  <c r="Q6" i="2"/>
  <c r="N6" i="2"/>
  <c r="M6" i="2"/>
  <c r="AK5" i="2"/>
  <c r="AH5" i="2"/>
  <c r="AG5" i="2"/>
  <c r="AD5" i="2"/>
  <c r="AC5" i="2"/>
  <c r="Z5" i="2"/>
  <c r="Y5" i="2"/>
  <c r="V5" i="2"/>
  <c r="U5" i="2"/>
  <c r="R5" i="2"/>
  <c r="Q5" i="2"/>
  <c r="N5" i="2"/>
  <c r="M5" i="2"/>
  <c r="AK4" i="2"/>
  <c r="AH4" i="2"/>
  <c r="AG4" i="2"/>
  <c r="AD4" i="2"/>
  <c r="U4" i="2"/>
  <c r="R4" i="2"/>
  <c r="Q4" i="2"/>
  <c r="N4" i="2"/>
  <c r="M4" i="2"/>
  <c r="AK3" i="2"/>
  <c r="AH3" i="2"/>
  <c r="AG3" i="2"/>
  <c r="AD3" i="2"/>
  <c r="AC3" i="2"/>
  <c r="Z3" i="2"/>
  <c r="Y3" i="2"/>
  <c r="V3" i="2"/>
  <c r="V10" i="2" s="1"/>
  <c r="K24" i="1" s="1"/>
  <c r="U3" i="2"/>
  <c r="R3" i="2"/>
  <c r="Q3" i="2"/>
  <c r="N3" i="2"/>
  <c r="M3" i="2"/>
  <c r="D25" i="1"/>
  <c r="F24" i="1"/>
  <c r="B24" i="1"/>
  <c r="K25" i="1" s="1"/>
  <c r="P10" i="1"/>
  <c r="P8" i="1"/>
  <c r="P5" i="1"/>
  <c r="P4" i="1"/>
  <c r="B4" i="1"/>
  <c r="P11" i="1" l="1"/>
  <c r="N29" i="1" s="1"/>
  <c r="F28" i="1"/>
  <c r="C26" i="1"/>
  <c r="O20" i="7"/>
  <c r="Q22" i="5"/>
  <c r="J34" i="11"/>
  <c r="P34" i="11"/>
  <c r="O33" i="3"/>
  <c r="P33" i="3"/>
  <c r="R21" i="6"/>
  <c r="Q21" i="6"/>
  <c r="Q22" i="6" s="1"/>
  <c r="H20" i="7"/>
  <c r="L32" i="10"/>
  <c r="K34" i="11"/>
  <c r="O35" i="11" s="1"/>
  <c r="R22" i="5"/>
  <c r="E25" i="1"/>
  <c r="G22" i="6"/>
  <c r="I19" i="7"/>
  <c r="M32" i="10"/>
  <c r="H25" i="1"/>
  <c r="H26" i="1" s="1"/>
  <c r="M33" i="3"/>
  <c r="P22" i="5"/>
  <c r="O22" i="5"/>
  <c r="H19" i="9"/>
  <c r="R18" i="9"/>
  <c r="R19" i="9" s="1"/>
  <c r="I25" i="1"/>
  <c r="Z10" i="2"/>
  <c r="L24" i="1" s="1"/>
  <c r="H33" i="3"/>
  <c r="I34" i="3" s="1"/>
  <c r="I22" i="6"/>
  <c r="P31" i="10"/>
  <c r="N34" i="11"/>
  <c r="L25" i="1"/>
  <c r="L21" i="6"/>
  <c r="L22" i="6" s="1"/>
  <c r="D24" i="1"/>
  <c r="D26" i="1" s="1"/>
  <c r="M25" i="1"/>
  <c r="AE10" i="2"/>
  <c r="R31" i="10"/>
  <c r="H22" i="5"/>
  <c r="M21" i="5"/>
  <c r="M22" i="5" s="1"/>
  <c r="L19" i="9"/>
  <c r="N31" i="10"/>
  <c r="R33" i="3"/>
  <c r="H32" i="10"/>
  <c r="U10" i="2"/>
  <c r="I22" i="5"/>
  <c r="N21" i="5"/>
  <c r="P20" i="7"/>
  <c r="R34" i="11"/>
  <c r="O34" i="11"/>
  <c r="L15" i="8"/>
  <c r="H34" i="11"/>
  <c r="H35" i="11" s="1"/>
  <c r="N33" i="3"/>
  <c r="P21" i="6"/>
  <c r="P22" i="6" s="1"/>
  <c r="R19" i="7"/>
  <c r="K22" i="5"/>
  <c r="Q21" i="5"/>
  <c r="I18" i="9"/>
  <c r="O18" i="9"/>
  <c r="O19" i="9" s="1"/>
  <c r="Q10" i="2"/>
  <c r="H28" i="1"/>
  <c r="I33" i="3"/>
  <c r="R21" i="5"/>
  <c r="P18" i="9"/>
  <c r="P19" i="9" s="1"/>
  <c r="K26" i="1"/>
  <c r="AK10" i="2"/>
  <c r="N22" i="5"/>
  <c r="M31" i="10"/>
  <c r="R32" i="10" s="1"/>
  <c r="G35" i="11"/>
  <c r="K28" i="1"/>
  <c r="Q19" i="9"/>
  <c r="N10" i="2"/>
  <c r="I24" i="1" s="1"/>
  <c r="N15" i="8"/>
  <c r="N20" i="7"/>
  <c r="K19" i="7"/>
  <c r="K20" i="7" s="1"/>
  <c r="Y10" i="2"/>
  <c r="K32" i="10"/>
  <c r="J32" i="10"/>
  <c r="J34" i="3"/>
  <c r="R34" i="3"/>
  <c r="L22" i="5"/>
  <c r="L19" i="7"/>
  <c r="L20" i="7" s="1"/>
  <c r="P32" i="10"/>
  <c r="M35" i="11"/>
  <c r="L35" i="11"/>
  <c r="J20" i="7"/>
  <c r="AH10" i="2"/>
  <c r="K14" i="3"/>
  <c r="M34" i="3"/>
  <c r="K34" i="3"/>
  <c r="K21" i="6"/>
  <c r="K22" i="6" s="1"/>
  <c r="I32" i="10"/>
  <c r="AD10" i="2"/>
  <c r="M24" i="1" s="1"/>
  <c r="R15" i="8"/>
  <c r="R20" i="7"/>
  <c r="R35" i="11"/>
  <c r="E24" i="1"/>
  <c r="AG10" i="2"/>
  <c r="C29" i="1"/>
  <c r="B12" i="1"/>
  <c r="R10" i="2"/>
  <c r="J24" i="1" s="1"/>
  <c r="M10" i="2"/>
  <c r="AC10" i="2"/>
  <c r="Q34" i="3"/>
  <c r="L33" i="3"/>
  <c r="P34" i="3" s="1"/>
  <c r="Q33" i="3"/>
  <c r="J22" i="6"/>
  <c r="N22" i="6"/>
  <c r="R22" i="6"/>
  <c r="I20" i="7"/>
  <c r="M15" i="8"/>
  <c r="Q15" i="8"/>
  <c r="J19" i="7"/>
  <c r="N19" i="7"/>
  <c r="I19" i="9"/>
  <c r="M19" i="9"/>
  <c r="J18" i="9"/>
  <c r="J19" i="9" s="1"/>
  <c r="Q35" i="11"/>
  <c r="I34" i="11"/>
  <c r="J35" i="11" s="1"/>
  <c r="M34" i="11"/>
  <c r="Q34" i="11"/>
  <c r="F25" i="1"/>
  <c r="F26" i="1" s="1"/>
  <c r="J25" i="1"/>
  <c r="L34" i="3"/>
  <c r="M19" i="7"/>
  <c r="M20" i="7" s="1"/>
  <c r="Q20" i="7"/>
  <c r="G25" i="1"/>
  <c r="G26" i="1" s="1"/>
  <c r="C28" i="1" l="1"/>
  <c r="E26" i="1"/>
  <c r="D28" i="1"/>
  <c r="I26" i="1"/>
  <c r="K35" i="11"/>
  <c r="H34" i="3"/>
  <c r="I35" i="11"/>
  <c r="N35" i="11"/>
  <c r="E19" i="9"/>
  <c r="E28" i="1"/>
  <c r="L28" i="1"/>
  <c r="K29" i="1"/>
  <c r="G29" i="1"/>
  <c r="J29" i="1"/>
  <c r="F29" i="1"/>
  <c r="H29" i="1"/>
  <c r="M29" i="1"/>
  <c r="E29" i="1"/>
  <c r="L29" i="1"/>
  <c r="I29" i="1"/>
  <c r="I28" i="1"/>
  <c r="O32" i="10"/>
  <c r="N32" i="10"/>
  <c r="N34" i="3"/>
  <c r="G28" i="1"/>
  <c r="O34" i="3"/>
  <c r="J26" i="1"/>
  <c r="M28" i="1"/>
  <c r="J28" i="1"/>
  <c r="N28" i="1"/>
  <c r="D2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  <author>Owner</author>
  </authors>
  <commentList>
    <comment ref="N3" authorId="0" shapeId="0" xr:uid="{00000000-0006-0000-0400-000001000000}">
      <text>
        <r>
          <rPr>
            <sz val="12"/>
            <color rgb="FF000000"/>
            <rFont val="PMingLiu"/>
            <family val="1"/>
            <charset val="136"/>
          </rPr>
          <t xml:space="preserve">電梯更新期間租金減免$2000
</t>
        </r>
      </text>
    </comment>
    <comment ref="L7" authorId="1" shapeId="0" xr:uid="{00000000-0006-0000-0400-000002000000}">
      <text>
        <r>
          <rPr>
            <b/>
            <sz val="9"/>
            <color indexed="81"/>
            <rFont val="Tahoma"/>
            <family val="2"/>
          </rPr>
          <t>6/3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<sst xmlns="http://schemas.openxmlformats.org/spreadsheetml/2006/main" count="1753" uniqueCount="370">
  <si>
    <r>
      <rPr>
        <sz val="12"/>
        <rFont val="新細明體"/>
        <family val="1"/>
        <charset val="136"/>
      </rPr>
      <t>長租</t>
    </r>
  </si>
  <si>
    <r>
      <rPr>
        <b/>
        <sz val="12"/>
        <color rgb="FFFF0000"/>
        <rFont val="新細明體"/>
        <family val="1"/>
        <charset val="136"/>
      </rPr>
      <t>核算點</t>
    </r>
  </si>
  <si>
    <t>106/01</t>
  </si>
  <si>
    <t>106/02</t>
  </si>
  <si>
    <t>106/03</t>
  </si>
  <si>
    <t>106/04</t>
  </si>
  <si>
    <t>106/05</t>
  </si>
  <si>
    <t>106/06</t>
  </si>
  <si>
    <t>106/07</t>
  </si>
  <si>
    <t>106/08</t>
  </si>
  <si>
    <t>106/09</t>
  </si>
  <si>
    <t>106/10</t>
  </si>
  <si>
    <t>106/11</t>
  </si>
  <si>
    <t>141C</t>
  </si>
  <si>
    <t>長租</t>
  </si>
  <si>
    <r>
      <rPr>
        <sz val="12"/>
        <color rgb="FFFF0000"/>
        <rFont val="新細明體"/>
        <family val="1"/>
        <charset val="136"/>
      </rPr>
      <t>核算點</t>
    </r>
  </si>
  <si>
    <t>106/12</t>
  </si>
  <si>
    <t>141A</t>
  </si>
  <si>
    <t>141B</t>
  </si>
  <si>
    <r>
      <rPr>
        <sz val="12"/>
        <rFont val="新細明體"/>
        <family val="1"/>
        <charset val="136"/>
      </rPr>
      <t>寒舍</t>
    </r>
    <r>
      <rPr>
        <sz val="12"/>
        <rFont val="Arial"/>
        <family val="2"/>
      </rPr>
      <t>5</t>
    </r>
    <r>
      <rPr>
        <sz val="12"/>
        <rFont val="新細明體"/>
        <family val="1"/>
        <charset val="136"/>
      </rPr>
      <t>間</t>
    </r>
  </si>
  <si>
    <r>
      <rPr>
        <sz val="12"/>
        <color rgb="FF000000"/>
        <rFont val="細明體"/>
        <family val="3"/>
        <charset val="136"/>
      </rPr>
      <t>寒舍</t>
    </r>
    <r>
      <rPr>
        <sz val="12"/>
        <color rgb="FF000000"/>
        <rFont val="Arial"/>
        <family val="2"/>
      </rPr>
      <t>6</t>
    </r>
    <r>
      <rPr>
        <sz val="12"/>
        <color rgb="FF000000"/>
        <rFont val="細明體"/>
        <family val="3"/>
        <charset val="136"/>
      </rPr>
      <t>間</t>
    </r>
  </si>
  <si>
    <r>
      <rPr>
        <sz val="12"/>
        <rFont val="新細明體"/>
        <family val="1"/>
        <charset val="136"/>
      </rPr>
      <t>安和</t>
    </r>
    <r>
      <rPr>
        <sz val="12"/>
        <rFont val="Arial"/>
        <family val="2"/>
      </rPr>
      <t>233</t>
    </r>
  </si>
  <si>
    <r>
      <rPr>
        <sz val="12"/>
        <color rgb="FF000000"/>
        <rFont val="細明體"/>
        <family val="3"/>
        <charset val="136"/>
      </rPr>
      <t>安和</t>
    </r>
    <r>
      <rPr>
        <sz val="12"/>
        <color rgb="FF000000"/>
        <rFont val="Arial"/>
        <family val="2"/>
      </rPr>
      <t>233</t>
    </r>
  </si>
  <si>
    <r>
      <rPr>
        <sz val="12"/>
        <rFont val="新細明體"/>
        <family val="1"/>
        <charset val="136"/>
      </rPr>
      <t>敦南薈館</t>
    </r>
  </si>
  <si>
    <t>敦南薈館</t>
  </si>
  <si>
    <r>
      <rPr>
        <sz val="12"/>
        <rFont val="新細明體"/>
        <family val="1"/>
        <charset val="136"/>
      </rPr>
      <t>公司後</t>
    </r>
  </si>
  <si>
    <t>公司後</t>
  </si>
  <si>
    <r>
      <rPr>
        <sz val="12"/>
        <rFont val="新細明體"/>
        <family val="1"/>
        <charset val="136"/>
      </rPr>
      <t>信安</t>
    </r>
    <r>
      <rPr>
        <sz val="12"/>
        <rFont val="Arial"/>
        <family val="2"/>
      </rPr>
      <t>159-1</t>
    </r>
  </si>
  <si>
    <t>信安159-1</t>
  </si>
  <si>
    <r>
      <rPr>
        <sz val="12"/>
        <rFont val="新細明體"/>
        <family val="1"/>
        <charset val="136"/>
      </rPr>
      <t>崇德</t>
    </r>
    <r>
      <rPr>
        <sz val="12"/>
        <rFont val="Arial"/>
        <family val="2"/>
      </rPr>
      <t>116</t>
    </r>
  </si>
  <si>
    <t>崇德116</t>
  </si>
  <si>
    <r>
      <rPr>
        <sz val="12"/>
        <rFont val="新細明體"/>
        <family val="1"/>
        <charset val="136"/>
      </rPr>
      <t>景新街</t>
    </r>
  </si>
  <si>
    <t>景新街</t>
  </si>
  <si>
    <r>
      <rPr>
        <sz val="12"/>
        <rFont val="新細明體"/>
        <family val="1"/>
        <charset val="136"/>
      </rPr>
      <t>合計</t>
    </r>
  </si>
  <si>
    <t>合計</t>
  </si>
  <si>
    <r>
      <rPr>
        <sz val="12"/>
        <rFont val="新細明體"/>
        <family val="1"/>
        <charset val="136"/>
      </rPr>
      <t>核算點</t>
    </r>
  </si>
  <si>
    <t>airbnb</t>
  </si>
  <si>
    <r>
      <rPr>
        <sz val="12"/>
        <color rgb="FFFF0000"/>
        <rFont val="新細明體"/>
        <family val="1"/>
        <charset val="136"/>
      </rPr>
      <t>核算點</t>
    </r>
  </si>
  <si>
    <r>
      <rPr>
        <sz val="12"/>
        <color rgb="FFFF0000"/>
        <rFont val="新細明體"/>
        <family val="1"/>
        <charset val="136"/>
      </rPr>
      <t>核算點</t>
    </r>
  </si>
  <si>
    <t>永吉A</t>
  </si>
  <si>
    <t>永吉B</t>
  </si>
  <si>
    <t>永吉C</t>
  </si>
  <si>
    <t>溫州</t>
  </si>
  <si>
    <r>
      <rPr>
        <sz val="12"/>
        <color rgb="FF000000"/>
        <rFont val="細明體"/>
        <family val="3"/>
        <charset val="136"/>
      </rPr>
      <t>寒舍</t>
    </r>
    <r>
      <rPr>
        <sz val="12"/>
        <color rgb="FF000000"/>
        <rFont val="Arial"/>
        <family val="2"/>
      </rPr>
      <t>B or D</t>
    </r>
  </si>
  <si>
    <r>
      <rPr>
        <b/>
        <sz val="12"/>
        <color rgb="FF000000"/>
        <rFont val="Arial Unicode MS"/>
        <family val="2"/>
        <charset val="136"/>
      </rPr>
      <t>總計</t>
    </r>
  </si>
  <si>
    <r>
      <rPr>
        <sz val="12"/>
        <color rgb="FFFF0000"/>
        <rFont val="新細明體"/>
        <family val="1"/>
        <charset val="136"/>
      </rPr>
      <t>核算點</t>
    </r>
  </si>
  <si>
    <r>
      <rPr>
        <sz val="12"/>
        <color rgb="FF000000"/>
        <rFont val="新細明體"/>
        <family val="1"/>
        <charset val="136"/>
      </rPr>
      <t>超價</t>
    </r>
  </si>
  <si>
    <r>
      <rPr>
        <b/>
        <sz val="12"/>
        <color rgb="FFFF0000"/>
        <rFont val="新細明體"/>
        <family val="1"/>
        <charset val="136"/>
      </rPr>
      <t>租金總計</t>
    </r>
  </si>
  <si>
    <r>
      <rPr>
        <b/>
        <sz val="12"/>
        <color rgb="FFFF0000"/>
        <rFont val="新細明體"/>
        <family val="1"/>
        <charset val="136"/>
      </rPr>
      <t>核算點總計</t>
    </r>
  </si>
  <si>
    <r>
      <t>106</t>
    </r>
    <r>
      <rPr>
        <sz val="10"/>
        <color rgb="FF000000"/>
        <rFont val="細明體"/>
        <family val="3"/>
        <charset val="136"/>
      </rPr>
      <t>年</t>
    </r>
  </si>
  <si>
    <t>4月</t>
  </si>
  <si>
    <t>5月</t>
  </si>
  <si>
    <t>6月</t>
  </si>
  <si>
    <t>7月</t>
  </si>
  <si>
    <t>8月</t>
  </si>
  <si>
    <r>
      <t>9</t>
    </r>
    <r>
      <rPr>
        <sz val="10"/>
        <color rgb="FF000000"/>
        <rFont val="細明體"/>
        <family val="3"/>
        <charset val="136"/>
      </rPr>
      <t>月</t>
    </r>
  </si>
  <si>
    <r>
      <t>10</t>
    </r>
    <r>
      <rPr>
        <sz val="10"/>
        <color rgb="FF000000"/>
        <rFont val="細明體"/>
        <family val="3"/>
        <charset val="136"/>
      </rPr>
      <t>月</t>
    </r>
  </si>
  <si>
    <r>
      <t>11</t>
    </r>
    <r>
      <rPr>
        <sz val="10"/>
        <color rgb="FF000000"/>
        <rFont val="細明體"/>
        <family val="3"/>
        <charset val="136"/>
      </rPr>
      <t>月</t>
    </r>
  </si>
  <si>
    <r>
      <t>12</t>
    </r>
    <r>
      <rPr>
        <sz val="10"/>
        <color rgb="FF000000"/>
        <rFont val="細明體"/>
        <family val="3"/>
        <charset val="136"/>
      </rPr>
      <t>月</t>
    </r>
  </si>
  <si>
    <t>月租金</t>
  </si>
  <si>
    <t>天數</t>
  </si>
  <si>
    <t>空天</t>
  </si>
  <si>
    <t>滿房率</t>
  </si>
  <si>
    <t>總出租天數</t>
  </si>
  <si>
    <t>空房天數</t>
  </si>
  <si>
    <r>
      <rPr>
        <b/>
        <sz val="10"/>
        <color rgb="FF000000"/>
        <rFont val="Arial Unicode MS"/>
        <family val="2"/>
        <charset val="136"/>
      </rPr>
      <t>總計</t>
    </r>
  </si>
  <si>
    <t>1月</t>
  </si>
  <si>
    <t>2月</t>
  </si>
  <si>
    <t>3月</t>
  </si>
  <si>
    <t>9月</t>
  </si>
  <si>
    <t>10月</t>
  </si>
  <si>
    <t>11月</t>
  </si>
  <si>
    <t>12月</t>
  </si>
  <si>
    <t>永吉</t>
  </si>
  <si>
    <t>姓名</t>
  </si>
  <si>
    <t>聯絡電話</t>
  </si>
  <si>
    <t>租金</t>
  </si>
  <si>
    <t>押金</t>
  </si>
  <si>
    <t>租期</t>
  </si>
  <si>
    <t>A</t>
  </si>
  <si>
    <t>當間一盛</t>
  </si>
  <si>
    <t>0965-453-255</t>
  </si>
  <si>
    <t>20000</t>
  </si>
  <si>
    <t>106/5/30~106/11/30</t>
  </si>
  <si>
    <t>LINE</t>
  </si>
  <si>
    <t>B</t>
  </si>
  <si>
    <t>Joseph Davies</t>
  </si>
  <si>
    <t>中信</t>
  </si>
  <si>
    <t>369531708800</t>
  </si>
  <si>
    <t>2017/8/8~2018/2/8</t>
  </si>
  <si>
    <t>C</t>
  </si>
  <si>
    <t>黃招穎</t>
  </si>
  <si>
    <t>106/09/1-107/02/1</t>
  </si>
  <si>
    <t>5/3-5/27</t>
  </si>
  <si>
    <t>5/28-6/28</t>
  </si>
  <si>
    <t>6/28-7/28</t>
  </si>
  <si>
    <t>7/28-8/24, 8/26-8/30</t>
  </si>
  <si>
    <t>D</t>
  </si>
  <si>
    <t>Punyi</t>
  </si>
  <si>
    <t>2017/8/1~2018/7/31</t>
  </si>
  <si>
    <t>aribnb</t>
  </si>
  <si>
    <t>airnbnb</t>
  </si>
  <si>
    <t>6/10~7/10</t>
  </si>
  <si>
    <t>7/10~8/10</t>
  </si>
  <si>
    <t>E</t>
  </si>
  <si>
    <t>陳志誠</t>
  </si>
  <si>
    <t>0919-388-587</t>
  </si>
  <si>
    <t>103/06/25-104/06/24</t>
  </si>
  <si>
    <t>F</t>
  </si>
  <si>
    <t>Ola</t>
  </si>
  <si>
    <t>106/8/11-107/03/11</t>
  </si>
  <si>
    <t>6/9~7/9</t>
  </si>
  <si>
    <t>7/9~8/9</t>
  </si>
  <si>
    <t>租金合計</t>
  </si>
  <si>
    <t>水號:12000159049</t>
  </si>
  <si>
    <t>電號:00877000305</t>
  </si>
  <si>
    <t>萬象網路第四台169908</t>
  </si>
  <si>
    <t>其他費用</t>
  </si>
  <si>
    <t>合計費用支出</t>
  </si>
  <si>
    <t>抄表度數</t>
  </si>
  <si>
    <t>6369~6511</t>
  </si>
  <si>
    <t>應收電費</t>
  </si>
  <si>
    <t>合計電費收入</t>
  </si>
  <si>
    <t>租金淨收</t>
  </si>
  <si>
    <t>房號</t>
  </si>
  <si>
    <t>Faisal Sabbagh</t>
  </si>
  <si>
    <t>水號:1170045472</t>
  </si>
  <si>
    <t>電號:00897901307</t>
  </si>
  <si>
    <t>萬象網路第四台181426</t>
  </si>
  <si>
    <t xml:space="preserve"> </t>
  </si>
  <si>
    <t>邱柏峻</t>
  </si>
  <si>
    <t>9/4</t>
  </si>
  <si>
    <t>106/9/1~107/3/31</t>
  </si>
  <si>
    <t>一次付七個月 已全付清</t>
  </si>
  <si>
    <t xml:space="preserve">Conor Prunty </t>
  </si>
  <si>
    <t>0975-702-979</t>
  </si>
  <si>
    <t>106/7/18~106/10/18</t>
  </si>
  <si>
    <t>7/17 收訂金5000 7/18 收60000</t>
  </si>
  <si>
    <t>王學禮</t>
  </si>
  <si>
    <t>106/7/20~107/1/20</t>
  </si>
  <si>
    <t>押金扣</t>
  </si>
  <si>
    <t>張佳蕊</t>
  </si>
  <si>
    <t xml:space="preserve"> line</t>
  </si>
  <si>
    <t>106/04/15-106/10/31</t>
  </si>
  <si>
    <t>106/10/1~106/10/31</t>
  </si>
  <si>
    <t>7063-7117</t>
  </si>
  <si>
    <t>4907-5001</t>
  </si>
  <si>
    <t>林一順</t>
  </si>
  <si>
    <t>0922-014-276</t>
  </si>
  <si>
    <t>104/04/26-105/04/25</t>
  </si>
  <si>
    <t>王繹嘉</t>
  </si>
  <si>
    <t>0913-062-406</t>
  </si>
  <si>
    <t>大都會</t>
  </si>
  <si>
    <t>462102810930</t>
  </si>
  <si>
    <t>105/09/25-106/09/30</t>
  </si>
  <si>
    <t>水號:1200032431</t>
  </si>
  <si>
    <t>電號:00898498402</t>
  </si>
  <si>
    <t>網路凱擘15045798第四台凱擘中華223Y175557</t>
  </si>
  <si>
    <t>管理費</t>
  </si>
  <si>
    <t>A房電表在B房內 請王先生幫拍電表 用台電減掉A房就是B房</t>
  </si>
  <si>
    <t>林一順是張小姐秘書 (套房)</t>
  </si>
  <si>
    <t>敦南兩房電費明細</t>
  </si>
  <si>
    <t>預付電費</t>
  </si>
  <si>
    <t>使用</t>
  </si>
  <si>
    <t>溢付餘額</t>
  </si>
  <si>
    <t>105/10</t>
  </si>
  <si>
    <t>105/11</t>
  </si>
  <si>
    <t>105/12</t>
  </si>
  <si>
    <t>何佳儒</t>
  </si>
  <si>
    <t>6/22</t>
  </si>
  <si>
    <t>106/07/01-107/06/30</t>
  </si>
  <si>
    <t>6/1-6/3</t>
  </si>
  <si>
    <t xml:space="preserve">水號:1200026448 </t>
  </si>
  <si>
    <t>電號:00884691203</t>
  </si>
  <si>
    <t>網路200M第四台萬象180935侯翠嵐</t>
  </si>
  <si>
    <t>蘇予昕</t>
  </si>
  <si>
    <t>106/12/16-107/08/31</t>
  </si>
  <si>
    <t>黃偉寧</t>
  </si>
  <si>
    <t>6/15 從121B換房至159-1B</t>
  </si>
  <si>
    <t>半年付</t>
  </si>
  <si>
    <t>水號:1080125813</t>
  </si>
  <si>
    <t>電號:00750623207</t>
  </si>
  <si>
    <t>網路第四台凱擘09265105</t>
  </si>
  <si>
    <t>簡杏如</t>
  </si>
  <si>
    <t>0982-246-440</t>
  </si>
  <si>
    <t>106/09/14-107/09/30</t>
  </si>
  <si>
    <t>6/1-6/10</t>
  </si>
  <si>
    <t>趙翊辰</t>
  </si>
  <si>
    <t>106/9/9-107/3/8</t>
  </si>
  <si>
    <t>柯亭伃</t>
  </si>
  <si>
    <t>106/10/7-107/10/31</t>
  </si>
  <si>
    <t>Kellie</t>
  </si>
  <si>
    <t>106/8/16-107/2/16</t>
  </si>
  <si>
    <r>
      <rPr>
        <sz val="12"/>
        <color rgb="FF000000"/>
        <rFont val="細明體"/>
        <family val="3"/>
        <charset val="136"/>
      </rPr>
      <t>水號</t>
    </r>
    <r>
      <rPr>
        <sz val="12"/>
        <color rgb="FF000000"/>
        <rFont val="Arial"/>
        <family val="2"/>
      </rPr>
      <t>:1080141064</t>
    </r>
  </si>
  <si>
    <r>
      <rPr>
        <sz val="12"/>
        <color rgb="FF000000"/>
        <rFont val="細明體"/>
        <family val="3"/>
        <charset val="136"/>
      </rPr>
      <t>電號</t>
    </r>
    <r>
      <rPr>
        <sz val="12"/>
        <color rgb="FF000000"/>
        <rFont val="Arial"/>
        <family val="2"/>
      </rPr>
      <t>:00750959203</t>
    </r>
  </si>
  <si>
    <r>
      <rPr>
        <sz val="12"/>
        <color rgb="FF000000"/>
        <rFont val="細明體"/>
        <family val="3"/>
        <charset val="136"/>
      </rPr>
      <t>瓦斯</t>
    </r>
    <r>
      <rPr>
        <sz val="12"/>
        <color rgb="FF000000"/>
        <rFont val="Arial"/>
        <family val="2"/>
      </rPr>
      <t>:603097297</t>
    </r>
  </si>
  <si>
    <r>
      <rPr>
        <sz val="12"/>
        <color rgb="FF000000"/>
        <rFont val="細明體"/>
        <family val="3"/>
        <charset val="136"/>
      </rPr>
      <t>麗冠</t>
    </r>
    <r>
      <rPr>
        <sz val="12"/>
        <color rgb="FF000000"/>
        <rFont val="Arial"/>
        <family val="2"/>
      </rPr>
      <t>340846</t>
    </r>
  </si>
  <si>
    <t>222~316</t>
  </si>
  <si>
    <t>邱雅琳</t>
  </si>
  <si>
    <t>0927-419-730</t>
  </si>
  <si>
    <t>玉山</t>
  </si>
  <si>
    <t>0266966090158</t>
  </si>
  <si>
    <t>106/01/05-106/06/04</t>
  </si>
  <si>
    <t>施沛岑</t>
  </si>
  <si>
    <t>106/07/15-107/12/31</t>
  </si>
  <si>
    <t>陳思穎</t>
  </si>
  <si>
    <t>0956-770-321</t>
  </si>
  <si>
    <t>4/1-6/30</t>
  </si>
  <si>
    <t>106/04/01-106/09/30</t>
  </si>
  <si>
    <t>Renan Guevara</t>
  </si>
  <si>
    <t>106/8/10 一年</t>
  </si>
  <si>
    <t>許紹君</t>
  </si>
  <si>
    <t>0931-242-105</t>
  </si>
  <si>
    <t>水號:C220230137</t>
  </si>
  <si>
    <t>電號:01453961401</t>
  </si>
  <si>
    <t>網路新視波500359</t>
  </si>
  <si>
    <t>第四台新視波493991+500359</t>
  </si>
  <si>
    <t>洗樓梯700-0311646-0526783</t>
  </si>
  <si>
    <t>105/07/01-106/06/31</t>
    <phoneticPr fontId="27" type="noConversion"/>
  </si>
  <si>
    <t>107/01</t>
  </si>
  <si>
    <t>107/02</t>
  </si>
  <si>
    <t>107/03</t>
  </si>
  <si>
    <t>107/04</t>
  </si>
  <si>
    <t>107/05</t>
  </si>
  <si>
    <t>107/06</t>
  </si>
  <si>
    <t>107/07</t>
  </si>
  <si>
    <t>107/08</t>
  </si>
  <si>
    <t>107/09</t>
  </si>
  <si>
    <t>107/10</t>
  </si>
  <si>
    <t>107/11</t>
  </si>
  <si>
    <t>107/12</t>
  </si>
  <si>
    <t>水號:1020041029</t>
  </si>
  <si>
    <t>電號:00784258503</t>
  </si>
  <si>
    <t>網路120M第四台萬象183281侯翠嵐</t>
  </si>
  <si>
    <t>大台北瓦斯:403071151</t>
  </si>
  <si>
    <t>106/01</t>
    <phoneticPr fontId="27" type="noConversion"/>
  </si>
  <si>
    <t>地點</t>
  </si>
  <si>
    <t>永吉</t>
    <phoneticPr fontId="27" type="noConversion"/>
  </si>
  <si>
    <t>A</t>
    <phoneticPr fontId="27" type="noConversion"/>
  </si>
  <si>
    <t>電費</t>
    <phoneticPr fontId="27" type="noConversion"/>
  </si>
  <si>
    <t>核算點</t>
    <phoneticPr fontId="27" type="noConversion"/>
  </si>
  <si>
    <t>租金</t>
    <phoneticPr fontId="27" type="noConversion"/>
  </si>
  <si>
    <t>收租日</t>
    <phoneticPr fontId="27" type="noConversion"/>
  </si>
  <si>
    <t>備註</t>
    <phoneticPr fontId="27" type="noConversion"/>
  </si>
  <si>
    <t>C</t>
    <phoneticPr fontId="27" type="noConversion"/>
  </si>
  <si>
    <t>租期</t>
    <phoneticPr fontId="27" type="noConversion"/>
  </si>
  <si>
    <t>一次付七個月 已全付清</t>
    <phoneticPr fontId="27" type="noConversion"/>
  </si>
  <si>
    <t>7/17 收訂金5000 7/18 收60000</t>
    <phoneticPr fontId="27" type="noConversion"/>
  </si>
  <si>
    <t>寒舍B or D</t>
  </si>
  <si>
    <t>地點</t>
    <phoneticPr fontId="27" type="noConversion"/>
  </si>
  <si>
    <t>空房日</t>
    <phoneticPr fontId="27" type="noConversion"/>
  </si>
  <si>
    <t>滿屋率</t>
    <phoneticPr fontId="27" type="noConversion"/>
  </si>
  <si>
    <t>出租天數</t>
    <phoneticPr fontId="27" type="noConversion"/>
  </si>
  <si>
    <t>日成本</t>
    <phoneticPr fontId="27" type="noConversion"/>
  </si>
  <si>
    <t>加總 - 租金</t>
  </si>
  <si>
    <t>列標籤</t>
  </si>
  <si>
    <t>總計</t>
  </si>
  <si>
    <t>欄標籤</t>
  </si>
  <si>
    <t>月份</t>
    <phoneticPr fontId="27" type="noConversion"/>
  </si>
  <si>
    <t>加總 - 核算點</t>
  </si>
  <si>
    <t>抄表度數</t>
    <phoneticPr fontId="27" type="noConversion"/>
  </si>
  <si>
    <t>B</t>
    <phoneticPr fontId="27" type="noConversion"/>
  </si>
  <si>
    <t>寒舍</t>
    <phoneticPr fontId="27" type="noConversion"/>
  </si>
  <si>
    <t>106/8/8~107/2/8</t>
    <phoneticPr fontId="27" type="noConversion"/>
  </si>
  <si>
    <t>106/09/1-107/02/1</t>
    <phoneticPr fontId="27" type="noConversion"/>
  </si>
  <si>
    <t>106/09/1-107/02/2</t>
    <phoneticPr fontId="27" type="noConversion"/>
  </si>
  <si>
    <t>106/09/1-107/02/3</t>
    <phoneticPr fontId="27" type="noConversion"/>
  </si>
  <si>
    <t>106/09/1-107/02/4</t>
    <phoneticPr fontId="27" type="noConversion"/>
  </si>
  <si>
    <t>106/8/30</t>
  </si>
  <si>
    <t>106/10/4</t>
  </si>
  <si>
    <t>106/9/4</t>
  </si>
  <si>
    <t>106/7/18</t>
  </si>
  <si>
    <t>106/7/19</t>
  </si>
  <si>
    <t>106/6/8</t>
  </si>
  <si>
    <t>106/6/23</t>
  </si>
  <si>
    <t>106/9/10</t>
  </si>
  <si>
    <t>106/10/6</t>
  </si>
  <si>
    <t>106/11/8</t>
  </si>
  <si>
    <t>106/12/12</t>
  </si>
  <si>
    <t>106/8/8</t>
  </si>
  <si>
    <t>106/9/7</t>
  </si>
  <si>
    <t>106/10/11</t>
  </si>
  <si>
    <t>106/12/8</t>
  </si>
  <si>
    <t>106/9/18</t>
  </si>
  <si>
    <t>106/8/1</t>
  </si>
  <si>
    <t>106/9/1</t>
  </si>
  <si>
    <t>106/10/2</t>
  </si>
  <si>
    <t>106/11/4</t>
  </si>
  <si>
    <t>106/06/25-107/06/24</t>
    <phoneticPr fontId="27" type="noConversion"/>
  </si>
  <si>
    <t>F</t>
    <phoneticPr fontId="27" type="noConversion"/>
  </si>
  <si>
    <t>安和雅企</t>
    <phoneticPr fontId="27" type="noConversion"/>
  </si>
  <si>
    <t>中信</t>
    <phoneticPr fontId="27" type="noConversion"/>
  </si>
  <si>
    <t>中信:369531708800</t>
    <phoneticPr fontId="27" type="noConversion"/>
  </si>
  <si>
    <t>LINE</t>
    <phoneticPr fontId="27" type="noConversion"/>
  </si>
  <si>
    <t>106/04/26-107/04/25</t>
    <phoneticPr fontId="27" type="noConversion"/>
  </si>
  <si>
    <t>大都會:462102810930</t>
    <phoneticPr fontId="27" type="noConversion"/>
  </si>
  <si>
    <t>敦南薈館</t>
    <phoneticPr fontId="27" type="noConversion"/>
  </si>
  <si>
    <t>0922-014-276</t>
    <phoneticPr fontId="27" type="noConversion"/>
  </si>
  <si>
    <t>0913-062-406</t>
    <phoneticPr fontId="27" type="noConversion"/>
  </si>
  <si>
    <t>105/09/25-106/09/30</t>
    <phoneticPr fontId="27" type="noConversion"/>
  </si>
  <si>
    <t>公司</t>
    <phoneticPr fontId="27" type="noConversion"/>
  </si>
  <si>
    <t>106/07/01-107/06/30</t>
    <phoneticPr fontId="27" type="noConversion"/>
  </si>
  <si>
    <t>106/12/16-107/08/31</t>
    <phoneticPr fontId="27" type="noConversion"/>
  </si>
  <si>
    <t>半年付</t>
    <phoneticPr fontId="27" type="noConversion"/>
  </si>
  <si>
    <t>159-1</t>
    <phoneticPr fontId="27" type="noConversion"/>
  </si>
  <si>
    <t>106/07/01-107/06/31</t>
    <phoneticPr fontId="27" type="noConversion"/>
  </si>
  <si>
    <t>106/07/01-107/06/32</t>
    <phoneticPr fontId="27" type="noConversion"/>
  </si>
  <si>
    <t>106/07/01-107/06/33</t>
    <phoneticPr fontId="27" type="noConversion"/>
  </si>
  <si>
    <t>106/07/01-107/06/34</t>
    <phoneticPr fontId="27" type="noConversion"/>
  </si>
  <si>
    <t>106/07/01-107/06/35</t>
    <phoneticPr fontId="27" type="noConversion"/>
  </si>
  <si>
    <t>崇德</t>
    <phoneticPr fontId="27" type="noConversion"/>
  </si>
  <si>
    <t>106/09/14-107/09/30</t>
    <phoneticPr fontId="27" type="noConversion"/>
  </si>
  <si>
    <t>106/9/9-107/3/8</t>
    <phoneticPr fontId="27" type="noConversion"/>
  </si>
  <si>
    <t>106/9/9-107/3/9</t>
    <phoneticPr fontId="27" type="noConversion"/>
  </si>
  <si>
    <t>106/9/9-107/3/10</t>
    <phoneticPr fontId="27" type="noConversion"/>
  </si>
  <si>
    <t>106/9/9-107/3/11</t>
    <phoneticPr fontId="27" type="noConversion"/>
  </si>
  <si>
    <t>106/10/7-107/10/31</t>
    <phoneticPr fontId="27" type="noConversion"/>
  </si>
  <si>
    <t>D</t>
    <phoneticPr fontId="27" type="noConversion"/>
  </si>
  <si>
    <t>106/8/16-107/2/16</t>
    <phoneticPr fontId="27" type="noConversion"/>
  </si>
  <si>
    <t>景新</t>
  </si>
  <si>
    <t>景新</t>
    <phoneticPr fontId="27" type="noConversion"/>
  </si>
  <si>
    <t>玉山:0266966090158</t>
    <phoneticPr fontId="27" type="noConversion"/>
  </si>
  <si>
    <t>106/01/05-106/06/04</t>
    <phoneticPr fontId="27" type="noConversion"/>
  </si>
  <si>
    <t>一年</t>
  </si>
  <si>
    <t>106/8/10 一年</t>
    <phoneticPr fontId="27" type="noConversion"/>
  </si>
  <si>
    <t>E</t>
    <phoneticPr fontId="27" type="noConversion"/>
  </si>
  <si>
    <t>106/07/15-107/12/31</t>
    <phoneticPr fontId="27" type="noConversion"/>
  </si>
  <si>
    <t>106/04/01-106/09/30</t>
    <phoneticPr fontId="27" type="noConversion"/>
  </si>
  <si>
    <t>106/7/20~107/1/20</t>
    <phoneticPr fontId="27" type="noConversion"/>
  </si>
  <si>
    <t>106/04/15-106/10/31</t>
    <phoneticPr fontId="27" type="noConversion"/>
  </si>
  <si>
    <t>106/04/15-106/10/32</t>
    <phoneticPr fontId="27" type="noConversion"/>
  </si>
  <si>
    <t>106/04/15-106/10/33</t>
    <phoneticPr fontId="27" type="noConversion"/>
  </si>
  <si>
    <t>106/04/15-106/10/34</t>
    <phoneticPr fontId="27" type="noConversion"/>
  </si>
  <si>
    <t>106/04/15-106/10/35</t>
    <phoneticPr fontId="27" type="noConversion"/>
  </si>
  <si>
    <t>106/04/15-106/10/36</t>
    <phoneticPr fontId="27" type="noConversion"/>
  </si>
  <si>
    <t>106/04/15-106/10/37</t>
    <phoneticPr fontId="27" type="noConversion"/>
  </si>
  <si>
    <t>0965-453-260</t>
    <phoneticPr fontId="27" type="noConversion"/>
  </si>
  <si>
    <t>106/5/30~106/11/30</t>
    <phoneticPr fontId="27" type="noConversion"/>
  </si>
  <si>
    <t>0965-453-261</t>
    <phoneticPr fontId="27" type="noConversion"/>
  </si>
  <si>
    <t>0965-453-262</t>
    <phoneticPr fontId="27" type="noConversion"/>
  </si>
  <si>
    <t>0965-453-263</t>
    <phoneticPr fontId="27" type="noConversion"/>
  </si>
  <si>
    <t>0965-453-264</t>
    <phoneticPr fontId="27" type="noConversion"/>
  </si>
  <si>
    <t>0965-453-265</t>
    <phoneticPr fontId="27" type="noConversion"/>
  </si>
  <si>
    <t>0965-453-266</t>
    <phoneticPr fontId="27" type="noConversion"/>
  </si>
  <si>
    <t>106/8/1~107/7/31</t>
    <phoneticPr fontId="27" type="noConversion"/>
  </si>
  <si>
    <t>106/8/1~107/7/32</t>
    <phoneticPr fontId="27" type="noConversion"/>
  </si>
  <si>
    <t>106/8/1~107/7/33</t>
    <phoneticPr fontId="27" type="noConversion"/>
  </si>
  <si>
    <t>106/8/1~107/7/34</t>
    <phoneticPr fontId="27" type="noConversion"/>
  </si>
  <si>
    <t>106/8/1~107/7/35</t>
    <phoneticPr fontId="27" type="noConversion"/>
  </si>
  <si>
    <t>0919-388-587</t>
    <phoneticPr fontId="27" type="noConversion"/>
  </si>
  <si>
    <t>0919-388-588</t>
    <phoneticPr fontId="27" type="noConversion"/>
  </si>
  <si>
    <t>106/06/25-107/06/25</t>
    <phoneticPr fontId="27" type="noConversion"/>
  </si>
  <si>
    <t>0919-388-589</t>
    <phoneticPr fontId="27" type="noConversion"/>
  </si>
  <si>
    <t>106/06/25-107/06/26</t>
    <phoneticPr fontId="27" type="noConversion"/>
  </si>
  <si>
    <t>0919-388-590</t>
    <phoneticPr fontId="27" type="noConversion"/>
  </si>
  <si>
    <t>106/06/25-107/06/27</t>
    <phoneticPr fontId="27" type="noConversion"/>
  </si>
  <si>
    <t>0919-388-591</t>
    <phoneticPr fontId="27" type="noConversion"/>
  </si>
  <si>
    <t>106/06/25-107/06/28</t>
    <phoneticPr fontId="27" type="noConversion"/>
  </si>
  <si>
    <t>0919-388-592</t>
    <phoneticPr fontId="27" type="noConversion"/>
  </si>
  <si>
    <t>106/06/25-107/06/29</t>
    <phoneticPr fontId="27" type="noConversion"/>
  </si>
  <si>
    <t>0919-388-593</t>
    <phoneticPr fontId="27" type="noConversion"/>
  </si>
  <si>
    <t>106/06/25-107/06/30</t>
    <phoneticPr fontId="27" type="noConversion"/>
  </si>
  <si>
    <t>106/8/11-107/03/11</t>
    <phoneticPr fontId="27" type="noConversion"/>
  </si>
  <si>
    <t>106/8/11-107/03/12</t>
    <phoneticPr fontId="27" type="noConversion"/>
  </si>
  <si>
    <t>106/8/11-107/03/13</t>
    <phoneticPr fontId="27" type="noConversion"/>
  </si>
  <si>
    <t>106/8/11-107/03/14</t>
    <phoneticPr fontId="27" type="noConversion"/>
  </si>
  <si>
    <t>106/8/11-107/03/15</t>
    <phoneticPr fontId="27" type="noConversion"/>
  </si>
  <si>
    <t>106/9/1~107/3/31</t>
    <phoneticPr fontId="27" type="noConversion"/>
  </si>
  <si>
    <t>106/7/18~106/10/18</t>
    <phoneticPr fontId="27" type="noConversion"/>
  </si>
  <si>
    <t>106/8/30~106/11/10</t>
    <phoneticPr fontId="2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</si>
</sst>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6">
    <numFmt numFmtId="6" formatCode="&quot;$&quot;#,##0;[Red]\-&quot;$&quot;#,##0"/>
    <numFmt numFmtId="176" formatCode="#&quot;萬&quot;#&quot;&quot;#&quot;&quot;#&quot;&quot;#"/>
    <numFmt numFmtId="177" formatCode="#,##0_);[Red]\(#,##0\)"/>
    <numFmt numFmtId="178" formatCode="&quot;$&quot;#,##0_);[Red]\(&quot;$&quot;#,##0\)"/>
    <numFmt numFmtId="179" formatCode="m/d"/>
    <numFmt numFmtId="180" formatCode="0_ ;[Red]\-0\ "/>
    <numFmt numFmtId="181" formatCode="&quot;$&quot;#,##0_ ;[Red]&quot;$&quot;\-#,##0\ "/>
    <numFmt numFmtId="182" formatCode="0.00;;"/>
    <numFmt numFmtId="183" formatCode="0_ "/>
    <numFmt numFmtId="184" formatCode="&quot;$&quot;#,##0;;"/>
    <numFmt numFmtId="185" formatCode="&quot;$&quot;#,##0"/>
    <numFmt numFmtId="186" formatCode="&quot;$&quot;#,##0.0;;"/>
    <numFmt numFmtId="187" formatCode="m&quot;月&quot;d&quot;日&quot;"/>
    <numFmt numFmtId="188" formatCode="#,##0_ ;[Red]\-#,##0\ "/>
    <numFmt numFmtId="189" formatCode="&quot;$&quot;#,#00;;"/>
    <numFmt numFmtId="190" formatCode="mm&quot;月&quot;dd&quot;日&quot;"/>
  </numFmts>
  <fonts count="41">
    <font>
      <sz val="12"/>
      <color rgb="FF000000"/>
      <name val="PMingLiu"/>
    </font>
    <font>
      <sz val="12"/>
      <name val="Arial"/>
      <family val="2"/>
    </font>
    <font>
      <b/>
      <sz val="12"/>
      <color rgb="FFFF0000"/>
      <name val="Arial"/>
      <family val="2"/>
    </font>
    <font>
      <sz val="12"/>
      <color rgb="FF000000"/>
      <name val="Arial"/>
      <family val="2"/>
    </font>
    <font>
      <sz val="12"/>
      <color rgb="FF000000"/>
      <name val="MingLiU"/>
      <family val="3"/>
      <charset val="136"/>
    </font>
    <font>
      <sz val="12"/>
      <color rgb="FFFF0000"/>
      <name val="Arial"/>
      <family val="2"/>
    </font>
    <font>
      <sz val="12"/>
      <name val="PMingLiu"/>
      <family val="1"/>
      <charset val="136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2"/>
      <name val="PMingLiu"/>
      <family val="1"/>
      <charset val="136"/>
    </font>
    <font>
      <sz val="10"/>
      <color rgb="FF000000"/>
      <name val="MingLiU"/>
      <family val="3"/>
      <charset val="136"/>
    </font>
    <font>
      <sz val="10"/>
      <name val="Arimo"/>
    </font>
    <font>
      <strike/>
      <sz val="10"/>
      <color rgb="FF000000"/>
      <name val="PMingLiu"/>
      <family val="1"/>
      <charset val="136"/>
    </font>
    <font>
      <strike/>
      <sz val="12"/>
      <color rgb="FF000000"/>
      <name val="PMingLiu"/>
      <family val="1"/>
      <charset val="136"/>
    </font>
    <font>
      <b/>
      <sz val="10"/>
      <color rgb="FF000000"/>
      <name val="Arial"/>
      <family val="2"/>
    </font>
    <font>
      <sz val="12"/>
      <color rgb="FFFF0000"/>
      <name val="PMingLiu"/>
      <family val="1"/>
      <charset val="136"/>
    </font>
    <font>
      <sz val="12"/>
      <color rgb="FF548DD4"/>
      <name val="PMingLiu"/>
      <family val="1"/>
      <charset val="136"/>
    </font>
    <font>
      <sz val="12"/>
      <color rgb="FF5F497A"/>
      <name val="PMingLiu"/>
      <family val="1"/>
      <charset val="136"/>
    </font>
    <font>
      <b/>
      <sz val="12"/>
      <color rgb="FFFF0000"/>
      <name val="PMingLiu"/>
      <family val="1"/>
      <charset val="136"/>
    </font>
    <font>
      <sz val="12"/>
      <name val="新細明體"/>
      <family val="1"/>
      <charset val="136"/>
    </font>
    <font>
      <b/>
      <sz val="12"/>
      <color rgb="FFFF0000"/>
      <name val="新細明體"/>
      <family val="1"/>
      <charset val="136"/>
    </font>
    <font>
      <sz val="12"/>
      <color rgb="FFFF0000"/>
      <name val="新細明體"/>
      <family val="1"/>
      <charset val="136"/>
    </font>
    <font>
      <sz val="12"/>
      <color rgb="FF000000"/>
      <name val="細明體"/>
      <family val="3"/>
      <charset val="136"/>
    </font>
    <font>
      <b/>
      <sz val="12"/>
      <color rgb="FF000000"/>
      <name val="Arial Unicode MS"/>
      <family val="2"/>
      <charset val="136"/>
    </font>
    <font>
      <sz val="12"/>
      <color rgb="FF000000"/>
      <name val="新細明體"/>
      <family val="1"/>
      <charset val="136"/>
    </font>
    <font>
      <sz val="10"/>
      <color rgb="FF000000"/>
      <name val="細明體"/>
      <family val="3"/>
      <charset val="136"/>
    </font>
    <font>
      <b/>
      <sz val="10"/>
      <color rgb="FF000000"/>
      <name val="Arial Unicode MS"/>
      <family val="2"/>
      <charset val="136"/>
    </font>
    <font>
      <sz val="9"/>
      <name val="細明體"/>
      <family val="3"/>
      <charset val="136"/>
    </font>
    <font>
      <sz val="12"/>
      <color rgb="FF000000"/>
      <name val="PMingLiu"/>
      <family val="1"/>
      <charset val="136"/>
    </font>
    <font>
      <sz val="12"/>
      <color rgb="FF000000"/>
      <name val="PMingLiu"/>
      <family val="1"/>
      <charset val="136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rgb="FF000000"/>
      <name val="jf open 粉圓 2.0"/>
      <family val="2"/>
      <charset val="136"/>
    </font>
    <font>
      <sz val="12"/>
      <color theme="1"/>
      <name val="jf open 粉圓 2.0"/>
      <family val="2"/>
      <charset val="136"/>
    </font>
    <font>
      <sz val="12"/>
      <color rgb="FFFF0000"/>
      <name val="jf open 粉圓 2.0"/>
      <family val="2"/>
      <charset val="136"/>
    </font>
    <font>
      <sz val="10"/>
      <color rgb="FF000000"/>
      <name val="jf open 粉圓 2.0"/>
      <family val="2"/>
      <charset val="136"/>
    </font>
    <font>
      <sz val="12"/>
      <color theme="0"/>
      <name val="jf open 粉圓 2.0"/>
      <family val="2"/>
      <charset val="136"/>
    </font>
    <font>
      <sz val="12"/>
      <color theme="0"/>
      <name val="Microsoft JhengHei"/>
      <family val="2"/>
    </font>
    <font>
      <sz val="12"/>
      <color rgb="FF000000"/>
      <name val="jf open 粉圓 2.0"/>
      <family val="2"/>
      <charset val="136"/>
      <scheme val="major"/>
    </font>
    <font>
      <sz val="10"/>
      <color rgb="FF000000"/>
      <name val="jf open 粉圓 2.0"/>
      <family val="2"/>
      <charset val="136"/>
      <scheme val="major"/>
    </font>
    <font>
      <sz val="12"/>
      <color rgb="FF000000"/>
      <name val="jf open 粉圓 2.0"/>
      <family val="2"/>
      <charset val="136"/>
      <scheme val="minor"/>
    </font>
  </fonts>
  <fills count="20">
    <fill>
      <patternFill patternType="none"/>
    </fill>
    <fill>
      <patternFill patternType="gray125"/>
    </fill>
    <fill>
      <patternFill patternType="solid">
        <fgColor rgb="FFE5DFEC"/>
        <bgColor rgb="FFE5DFEC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6EFCE"/>
        <bgColor rgb="FFC6EFCE"/>
      </patternFill>
    </fill>
    <fill>
      <patternFill patternType="solid">
        <fgColor rgb="FFE6B8AF"/>
        <bgColor rgb="FFE6B8AF"/>
      </patternFill>
    </fill>
    <fill>
      <patternFill patternType="solid">
        <fgColor rgb="FFFFEB9C"/>
        <bgColor rgb="FFFFEB9C"/>
      </patternFill>
    </fill>
    <fill>
      <patternFill patternType="solid">
        <fgColor rgb="FFE5B8B7"/>
        <bgColor rgb="FFE5B8B7"/>
      </patternFill>
    </fill>
    <fill>
      <patternFill patternType="solid">
        <fgColor rgb="FFD8D8D8"/>
        <bgColor rgb="FFD8D8D8"/>
      </patternFill>
    </fill>
    <fill>
      <patternFill patternType="solid">
        <fgColor rgb="FFFDE9D9"/>
        <bgColor rgb="FFFDE9D9"/>
      </patternFill>
    </fill>
    <fill>
      <patternFill patternType="solid">
        <fgColor rgb="FFDAEEF3"/>
        <bgColor rgb="FFDAEEF3"/>
      </patternFill>
    </fill>
    <fill>
      <patternFill patternType="solid">
        <fgColor rgb="FFDBE5F1"/>
        <bgColor rgb="FFDBE5F1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79998168889431442"/>
        <bgColor rgb="FFFFFF00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3" tint="0.79998168889431442"/>
        <bgColor indexed="64"/>
      </patternFill>
    </fill>
  </fills>
  <borders count="3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/>
      <right/>
      <top style="thin">
        <color rgb="FF4F81BD"/>
      </top>
      <bottom style="double">
        <color rgb="FF4F81BD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29" fillId="0" borderId="5"/>
    <xf numFmtId="0" fontId="28" fillId="0" borderId="5"/>
    <xf numFmtId="0" fontId="28" fillId="0" borderId="5"/>
  </cellStyleXfs>
  <cellXfs count="384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 wrapText="1"/>
    </xf>
    <xf numFmtId="176" fontId="2" fillId="0" borderId="1" xfId="0" applyNumberFormat="1" applyFont="1" applyBorder="1" applyAlignment="1">
      <alignment horizontal="center" vertical="center" wrapText="1"/>
    </xf>
    <xf numFmtId="176" fontId="3" fillId="0" borderId="1" xfId="0" applyNumberFormat="1" applyFont="1" applyBorder="1" applyAlignment="1">
      <alignment horizontal="center" vertical="center"/>
    </xf>
    <xf numFmtId="176" fontId="3" fillId="3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5" fillId="2" borderId="1" xfId="0" applyNumberFormat="1" applyFont="1" applyFill="1" applyBorder="1" applyAlignment="1">
      <alignment horizontal="center" vertical="center" wrapText="1"/>
    </xf>
    <xf numFmtId="176" fontId="2" fillId="3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176" fontId="3" fillId="0" borderId="0" xfId="0" applyNumberFormat="1" applyFont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176" fontId="7" fillId="0" borderId="0" xfId="0" applyNumberFormat="1" applyFont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/>
    </xf>
    <xf numFmtId="176" fontId="4" fillId="0" borderId="1" xfId="0" applyNumberFormat="1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8" fillId="0" borderId="1" xfId="0" applyFont="1" applyBorder="1" applyAlignment="1">
      <alignment horizontal="center" vertical="center" wrapText="1"/>
    </xf>
    <xf numFmtId="176" fontId="5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 wrapText="1"/>
    </xf>
    <xf numFmtId="0" fontId="7" fillId="7" borderId="5" xfId="0" applyFont="1" applyFill="1" applyBorder="1" applyAlignment="1">
      <alignment wrapText="1"/>
    </xf>
    <xf numFmtId="0" fontId="7" fillId="7" borderId="5" xfId="0" applyFont="1" applyFill="1" applyBorder="1" applyAlignment="1">
      <alignment horizontal="center" vertical="center"/>
    </xf>
    <xf numFmtId="0" fontId="10" fillId="7" borderId="5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176" fontId="7" fillId="5" borderId="5" xfId="0" applyNumberFormat="1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 wrapText="1"/>
    </xf>
    <xf numFmtId="176" fontId="7" fillId="6" borderId="5" xfId="0" applyNumberFormat="1" applyFont="1" applyFill="1" applyBorder="1" applyAlignment="1">
      <alignment horizontal="center" vertical="center" wrapText="1"/>
    </xf>
    <xf numFmtId="0" fontId="7" fillId="6" borderId="5" xfId="0" applyFont="1" applyFill="1" applyBorder="1" applyAlignment="1">
      <alignment horizontal="center" vertical="center" wrapText="1"/>
    </xf>
    <xf numFmtId="10" fontId="7" fillId="6" borderId="5" xfId="0" applyNumberFormat="1" applyFont="1" applyFill="1" applyBorder="1" applyAlignment="1">
      <alignment horizontal="center" vertical="center"/>
    </xf>
    <xf numFmtId="176" fontId="7" fillId="5" borderId="5" xfId="0" applyNumberFormat="1" applyFont="1" applyFill="1" applyBorder="1" applyAlignment="1">
      <alignment horizontal="center" vertical="center" wrapText="1"/>
    </xf>
    <xf numFmtId="10" fontId="11" fillId="5" borderId="5" xfId="0" applyNumberFormat="1" applyFont="1" applyFill="1" applyBorder="1" applyAlignment="1">
      <alignment horizontal="center" vertical="center"/>
    </xf>
    <xf numFmtId="176" fontId="7" fillId="8" borderId="5" xfId="0" applyNumberFormat="1" applyFont="1" applyFill="1" applyBorder="1" applyAlignment="1">
      <alignment horizontal="center" vertical="center" wrapText="1"/>
    </xf>
    <xf numFmtId="0" fontId="7" fillId="8" borderId="5" xfId="0" applyFont="1" applyFill="1" applyBorder="1" applyAlignment="1">
      <alignment horizontal="center" vertical="center" wrapText="1"/>
    </xf>
    <xf numFmtId="10" fontId="7" fillId="8" borderId="5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10" fontId="7" fillId="0" borderId="0" xfId="0" applyNumberFormat="1" applyFont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10" fontId="7" fillId="5" borderId="5" xfId="0" applyNumberFormat="1" applyFont="1" applyFill="1" applyBorder="1" applyAlignment="1">
      <alignment horizontal="center" vertical="center"/>
    </xf>
    <xf numFmtId="176" fontId="7" fillId="9" borderId="5" xfId="0" applyNumberFormat="1" applyFont="1" applyFill="1" applyBorder="1" applyAlignment="1">
      <alignment horizontal="center" vertical="center" wrapText="1"/>
    </xf>
    <xf numFmtId="0" fontId="7" fillId="9" borderId="5" xfId="0" applyFont="1" applyFill="1" applyBorder="1" applyAlignment="1">
      <alignment horizontal="center" vertical="center" wrapText="1"/>
    </xf>
    <xf numFmtId="10" fontId="7" fillId="9" borderId="5" xfId="0" applyNumberFormat="1" applyFont="1" applyFill="1" applyBorder="1" applyAlignment="1">
      <alignment horizontal="center" vertical="center"/>
    </xf>
    <xf numFmtId="0" fontId="7" fillId="9" borderId="5" xfId="0" applyFont="1" applyFill="1" applyBorder="1" applyAlignment="1">
      <alignment horizontal="center" wrapText="1"/>
    </xf>
    <xf numFmtId="176" fontId="12" fillId="9" borderId="5" xfId="0" applyNumberFormat="1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10" fontId="12" fillId="9" borderId="5" xfId="0" applyNumberFormat="1" applyFont="1" applyFill="1" applyBorder="1" applyAlignment="1">
      <alignment horizontal="center" vertical="center"/>
    </xf>
    <xf numFmtId="0" fontId="13" fillId="9" borderId="5" xfId="0" applyFont="1" applyFill="1" applyBorder="1" applyAlignment="1">
      <alignment horizontal="center"/>
    </xf>
    <xf numFmtId="0" fontId="10" fillId="9" borderId="5" xfId="0" applyFont="1" applyFill="1" applyBorder="1" applyAlignment="1">
      <alignment horizontal="center" vertical="center" wrapText="1"/>
    </xf>
    <xf numFmtId="10" fontId="11" fillId="0" borderId="0" xfId="0" applyNumberFormat="1" applyFont="1" applyAlignment="1">
      <alignment horizontal="center" vertical="center"/>
    </xf>
    <xf numFmtId="0" fontId="14" fillId="0" borderId="6" xfId="0" applyFont="1" applyBorder="1" applyAlignment="1">
      <alignment horizontal="center" wrapText="1"/>
    </xf>
    <xf numFmtId="176" fontId="14" fillId="5" borderId="7" xfId="0" applyNumberFormat="1" applyFont="1" applyFill="1" applyBorder="1" applyAlignment="1">
      <alignment horizontal="center" vertical="center"/>
    </xf>
    <xf numFmtId="0" fontId="14" fillId="5" borderId="7" xfId="0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10" fontId="14" fillId="5" borderId="7" xfId="0" applyNumberFormat="1" applyFont="1" applyFill="1" applyBorder="1" applyAlignment="1">
      <alignment horizontal="center" vertical="center"/>
    </xf>
    <xf numFmtId="176" fontId="14" fillId="8" borderId="7" xfId="0" applyNumberFormat="1" applyFont="1" applyFill="1" applyBorder="1" applyAlignment="1">
      <alignment horizontal="center" vertical="center"/>
    </xf>
    <xf numFmtId="0" fontId="14" fillId="6" borderId="7" xfId="0" applyFont="1" applyFill="1" applyBorder="1" applyAlignment="1">
      <alignment horizontal="center" vertical="center" wrapText="1"/>
    </xf>
    <xf numFmtId="0" fontId="14" fillId="8" borderId="7" xfId="0" applyFont="1" applyFill="1" applyBorder="1" applyAlignment="1">
      <alignment horizontal="center" vertical="center"/>
    </xf>
    <xf numFmtId="10" fontId="14" fillId="8" borderId="7" xfId="0" applyNumberFormat="1" applyFont="1" applyFill="1" applyBorder="1" applyAlignment="1">
      <alignment horizontal="center" vertical="center"/>
    </xf>
    <xf numFmtId="0" fontId="14" fillId="8" borderId="7" xfId="0" applyFont="1" applyFill="1" applyBorder="1" applyAlignment="1">
      <alignment horizontal="center" vertical="center" wrapText="1"/>
    </xf>
    <xf numFmtId="176" fontId="14" fillId="0" borderId="6" xfId="0" applyNumberFormat="1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 wrapText="1"/>
    </xf>
    <xf numFmtId="0" fontId="14" fillId="0" borderId="6" xfId="0" applyFont="1" applyBorder="1" applyAlignment="1">
      <alignment horizontal="center" vertical="center"/>
    </xf>
    <xf numFmtId="10" fontId="14" fillId="0" borderId="6" xfId="0" applyNumberFormat="1" applyFont="1" applyBorder="1" applyAlignment="1">
      <alignment horizontal="center" vertical="center"/>
    </xf>
    <xf numFmtId="176" fontId="14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10" fontId="1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vertical="center"/>
    </xf>
    <xf numFmtId="177" fontId="7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center" wrapText="1"/>
    </xf>
    <xf numFmtId="0" fontId="0" fillId="0" borderId="0" xfId="0" applyAlignment="1">
      <alignment horizontal="center" vertical="center"/>
    </xf>
    <xf numFmtId="0" fontId="15" fillId="0" borderId="0" xfId="0" applyFont="1" applyAlignment="1">
      <alignment horizontal="center" vertical="center"/>
    </xf>
    <xf numFmtId="178" fontId="15" fillId="0" borderId="0" xfId="0" applyNumberFormat="1" applyFont="1" applyAlignment="1">
      <alignment horizontal="center" vertical="center"/>
    </xf>
    <xf numFmtId="0" fontId="6" fillId="10" borderId="9" xfId="0" applyFont="1" applyFill="1" applyBorder="1" applyAlignment="1">
      <alignment horizontal="center" vertical="center"/>
    </xf>
    <xf numFmtId="6" fontId="6" fillId="3" borderId="9" xfId="0" applyNumberFormat="1" applyFont="1" applyFill="1" applyBorder="1" applyAlignment="1">
      <alignment horizontal="center" vertical="center"/>
    </xf>
    <xf numFmtId="6" fontId="0" fillId="3" borderId="9" xfId="0" applyNumberFormat="1" applyFill="1" applyBorder="1" applyAlignment="1">
      <alignment horizontal="center" vertical="center"/>
    </xf>
    <xf numFmtId="0" fontId="0" fillId="10" borderId="9" xfId="0" applyFill="1" applyBorder="1" applyAlignment="1">
      <alignment horizontal="center"/>
    </xf>
    <xf numFmtId="6" fontId="15" fillId="10" borderId="9" xfId="0" applyNumberFormat="1" applyFont="1" applyFill="1" applyBorder="1" applyAlignment="1">
      <alignment horizontal="center" vertical="center"/>
    </xf>
    <xf numFmtId="6" fontId="15" fillId="10" borderId="10" xfId="0" applyNumberFormat="1" applyFon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/>
    </xf>
    <xf numFmtId="6" fontId="6" fillId="3" borderId="1" xfId="0" applyNumberFormat="1" applyFont="1" applyFill="1" applyBorder="1" applyAlignment="1">
      <alignment horizontal="center" vertical="center"/>
    </xf>
    <xf numFmtId="6" fontId="0" fillId="3" borderId="1" xfId="0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6" fontId="6" fillId="10" borderId="1" xfId="0" applyNumberFormat="1" applyFont="1" applyFill="1" applyBorder="1" applyAlignment="1">
      <alignment horizontal="center" vertical="center"/>
    </xf>
    <xf numFmtId="6" fontId="0" fillId="10" borderId="1" xfId="0" applyNumberFormat="1" applyFill="1" applyBorder="1" applyAlignment="1">
      <alignment horizontal="center" vertical="center"/>
    </xf>
    <xf numFmtId="6" fontId="0" fillId="10" borderId="12" xfId="0" applyNumberFormat="1" applyFill="1" applyBorder="1" applyAlignment="1">
      <alignment horizontal="center" vertical="center"/>
    </xf>
    <xf numFmtId="0" fontId="6" fillId="10" borderId="1" xfId="0" applyFont="1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/>
    </xf>
    <xf numFmtId="6" fontId="0" fillId="10" borderId="14" xfId="0" applyNumberFormat="1" applyFill="1" applyBorder="1" applyAlignment="1">
      <alignment horizontal="center"/>
    </xf>
    <xf numFmtId="6" fontId="0" fillId="10" borderId="15" xfId="0" applyNumberFormat="1" applyFill="1" applyBorder="1" applyAlignment="1">
      <alignment horizontal="center"/>
    </xf>
    <xf numFmtId="0" fontId="6" fillId="11" borderId="9" xfId="0" applyFont="1" applyFill="1" applyBorder="1" applyAlignment="1">
      <alignment horizontal="center" vertical="center"/>
    </xf>
    <xf numFmtId="0" fontId="0" fillId="11" borderId="9" xfId="0" applyFill="1" applyBorder="1" applyAlignment="1">
      <alignment horizontal="center"/>
    </xf>
    <xf numFmtId="6" fontId="6" fillId="11" borderId="9" xfId="0" applyNumberFormat="1" applyFont="1" applyFill="1" applyBorder="1" applyAlignment="1">
      <alignment horizontal="center" vertical="center"/>
    </xf>
    <xf numFmtId="6" fontId="15" fillId="11" borderId="9" xfId="0" applyNumberFormat="1" applyFont="1" applyFill="1" applyBorder="1" applyAlignment="1">
      <alignment horizontal="center" vertical="center"/>
    </xf>
    <xf numFmtId="6" fontId="15" fillId="11" borderId="10" xfId="0" applyNumberFormat="1" applyFon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/>
    </xf>
    <xf numFmtId="6" fontId="0" fillId="11" borderId="1" xfId="0" applyNumberFormat="1" applyFill="1" applyBorder="1" applyAlignment="1">
      <alignment horizontal="center" vertical="center"/>
    </xf>
    <xf numFmtId="6" fontId="6" fillId="11" borderId="1" xfId="0" applyNumberFormat="1" applyFont="1" applyFill="1" applyBorder="1" applyAlignment="1">
      <alignment horizontal="center" vertical="center"/>
    </xf>
    <xf numFmtId="6" fontId="0" fillId="11" borderId="12" xfId="0" applyNumberFormat="1" applyFill="1" applyBorder="1" applyAlignment="1">
      <alignment horizontal="center" vertical="center"/>
    </xf>
    <xf numFmtId="0" fontId="6" fillId="11" borderId="1" xfId="0" applyFont="1" applyFill="1" applyBorder="1" applyAlignment="1">
      <alignment horizontal="center" vertical="center" wrapText="1"/>
    </xf>
    <xf numFmtId="0" fontId="0" fillId="11" borderId="5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11" borderId="14" xfId="0" applyFill="1" applyBorder="1" applyAlignment="1">
      <alignment horizontal="center"/>
    </xf>
    <xf numFmtId="6" fontId="0" fillId="11" borderId="14" xfId="0" applyNumberFormat="1" applyFill="1" applyBorder="1" applyAlignment="1">
      <alignment horizontal="center"/>
    </xf>
    <xf numFmtId="6" fontId="0" fillId="11" borderId="15" xfId="0" applyNumberFormat="1" applyFill="1" applyBorder="1" applyAlignment="1">
      <alignment horizontal="center"/>
    </xf>
    <xf numFmtId="0" fontId="6" fillId="12" borderId="9" xfId="0" applyFont="1" applyFill="1" applyBorder="1" applyAlignment="1">
      <alignment horizontal="center" vertical="center"/>
    </xf>
    <xf numFmtId="0" fontId="0" fillId="3" borderId="16" xfId="0" applyFill="1" applyBorder="1" applyAlignment="1">
      <alignment horizontal="center"/>
    </xf>
    <xf numFmtId="6" fontId="0" fillId="12" borderId="9" xfId="0" applyNumberFormat="1" applyFill="1" applyBorder="1" applyAlignment="1">
      <alignment horizontal="center" vertical="center"/>
    </xf>
    <xf numFmtId="6" fontId="6" fillId="12" borderId="9" xfId="0" applyNumberFormat="1" applyFont="1" applyFill="1" applyBorder="1" applyAlignment="1">
      <alignment horizontal="center" vertical="center"/>
    </xf>
    <xf numFmtId="6" fontId="15" fillId="12" borderId="9" xfId="0" applyNumberFormat="1" applyFont="1" applyFill="1" applyBorder="1" applyAlignment="1">
      <alignment horizontal="center" vertical="center"/>
    </xf>
    <xf numFmtId="6" fontId="15" fillId="12" borderId="10" xfId="0" applyNumberFormat="1" applyFon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/>
    </xf>
    <xf numFmtId="6" fontId="6" fillId="12" borderId="1" xfId="0" applyNumberFormat="1" applyFont="1" applyFill="1" applyBorder="1" applyAlignment="1">
      <alignment horizontal="center" vertical="center"/>
    </xf>
    <xf numFmtId="6" fontId="0" fillId="12" borderId="1" xfId="0" applyNumberFormat="1" applyFill="1" applyBorder="1" applyAlignment="1">
      <alignment horizontal="center" vertical="center"/>
    </xf>
    <xf numFmtId="6" fontId="0" fillId="12" borderId="12" xfId="0" applyNumberFormat="1" applyFill="1" applyBorder="1" applyAlignment="1">
      <alignment horizontal="center" vertical="center"/>
    </xf>
    <xf numFmtId="0" fontId="6" fillId="12" borderId="1" xfId="0" applyFont="1" applyFill="1" applyBorder="1" applyAlignment="1">
      <alignment horizontal="center" vertical="center" wrapText="1"/>
    </xf>
    <xf numFmtId="0" fontId="6" fillId="12" borderId="17" xfId="0" applyFont="1" applyFill="1" applyBorder="1" applyAlignment="1">
      <alignment horizontal="center" vertical="center" wrapText="1"/>
    </xf>
    <xf numFmtId="0" fontId="0" fillId="12" borderId="14" xfId="0" applyFill="1" applyBorder="1" applyAlignment="1">
      <alignment horizontal="center"/>
    </xf>
    <xf numFmtId="6" fontId="0" fillId="12" borderId="14" xfId="0" applyNumberFormat="1" applyFill="1" applyBorder="1" applyAlignment="1">
      <alignment horizontal="center"/>
    </xf>
    <xf numFmtId="6" fontId="0" fillId="12" borderId="15" xfId="0" applyNumberFormat="1" applyFill="1" applyBorder="1" applyAlignment="1">
      <alignment horizontal="center"/>
    </xf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center" vertical="center" wrapText="1"/>
    </xf>
    <xf numFmtId="176" fontId="15" fillId="0" borderId="0" xfId="0" applyNumberFormat="1" applyFont="1" applyAlignment="1">
      <alignment horizontal="center" vertical="center"/>
    </xf>
    <xf numFmtId="176" fontId="16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shrinkToFit="1"/>
    </xf>
    <xf numFmtId="179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 wrapText="1"/>
    </xf>
    <xf numFmtId="49" fontId="6" fillId="0" borderId="0" xfId="0" applyNumberFormat="1" applyFont="1" applyAlignment="1">
      <alignment horizontal="center" vertical="center" shrinkToFit="1"/>
    </xf>
    <xf numFmtId="179" fontId="0" fillId="0" borderId="0" xfId="0" applyNumberFormat="1" applyAlignment="1">
      <alignment horizontal="center" vertical="center" shrinkToFit="1"/>
    </xf>
    <xf numFmtId="179" fontId="6" fillId="0" borderId="0" xfId="0" applyNumberFormat="1" applyFont="1" applyAlignment="1">
      <alignment horizontal="center" vertical="center"/>
    </xf>
    <xf numFmtId="176" fontId="0" fillId="3" borderId="5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 shrinkToFit="1"/>
    </xf>
    <xf numFmtId="176" fontId="0" fillId="3" borderId="5" xfId="0" applyNumberFormat="1" applyFill="1" applyBorder="1" applyAlignment="1">
      <alignment horizontal="center" vertical="center" wrapText="1"/>
    </xf>
    <xf numFmtId="179" fontId="0" fillId="4" borderId="5" xfId="0" applyNumberFormat="1" applyFill="1" applyBorder="1" applyAlignment="1">
      <alignment horizontal="center" vertical="center"/>
    </xf>
    <xf numFmtId="176" fontId="0" fillId="0" borderId="0" xfId="0" applyNumberFormat="1" applyAlignment="1">
      <alignment horizontal="center" vertical="center" wrapText="1"/>
    </xf>
    <xf numFmtId="176" fontId="16" fillId="0" borderId="0" xfId="0" applyNumberFormat="1" applyFont="1" applyAlignment="1">
      <alignment horizontal="center" vertical="center" wrapText="1"/>
    </xf>
    <xf numFmtId="176" fontId="17" fillId="0" borderId="0" xfId="0" applyNumberFormat="1" applyFont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shrinkToFit="1"/>
    </xf>
    <xf numFmtId="180" fontId="6" fillId="3" borderId="5" xfId="0" applyNumberFormat="1" applyFont="1" applyFill="1" applyBorder="1" applyAlignment="1">
      <alignment horizontal="center" vertical="center"/>
    </xf>
    <xf numFmtId="180" fontId="0" fillId="3" borderId="5" xfId="0" applyNumberFormat="1" applyFill="1" applyBorder="1" applyAlignment="1">
      <alignment horizontal="center" vertical="center"/>
    </xf>
    <xf numFmtId="180" fontId="6" fillId="0" borderId="0" xfId="0" applyNumberFormat="1" applyFont="1" applyAlignment="1">
      <alignment horizontal="center" vertical="center"/>
    </xf>
    <xf numFmtId="180" fontId="0" fillId="0" borderId="0" xfId="0" applyNumberFormat="1" applyAlignment="1">
      <alignment horizontal="center" vertical="center"/>
    </xf>
    <xf numFmtId="180" fontId="15" fillId="0" borderId="0" xfId="0" applyNumberFormat="1" applyFont="1" applyAlignment="1">
      <alignment horizontal="center" vertical="center"/>
    </xf>
    <xf numFmtId="179" fontId="0" fillId="3" borderId="5" xfId="0" applyNumberFormat="1" applyFill="1" applyBorder="1" applyAlignment="1">
      <alignment horizontal="center" vertical="center"/>
    </xf>
    <xf numFmtId="181" fontId="3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82" fontId="0" fillId="0" borderId="18" xfId="0" applyNumberFormat="1" applyBorder="1" applyAlignment="1">
      <alignment horizontal="center" vertical="center" wrapText="1"/>
    </xf>
    <xf numFmtId="182" fontId="0" fillId="0" borderId="9" xfId="0" applyNumberFormat="1" applyBorder="1" applyAlignment="1">
      <alignment horizontal="center" vertical="center" shrinkToFit="1"/>
    </xf>
    <xf numFmtId="0" fontId="0" fillId="0" borderId="9" xfId="0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183" fontId="6" fillId="11" borderId="17" xfId="0" applyNumberFormat="1" applyFont="1" applyFill="1" applyBorder="1" applyAlignment="1">
      <alignment horizontal="center" vertical="center"/>
    </xf>
    <xf numFmtId="183" fontId="6" fillId="11" borderId="1" xfId="0" applyNumberFormat="1" applyFont="1" applyFill="1" applyBorder="1" applyAlignment="1">
      <alignment horizontal="center" vertical="center" shrinkToFit="1"/>
    </xf>
    <xf numFmtId="183" fontId="6" fillId="0" borderId="1" xfId="0" applyNumberFormat="1" applyFont="1" applyBorder="1" applyAlignment="1">
      <alignment horizontal="center" vertical="center"/>
    </xf>
    <xf numFmtId="183" fontId="6" fillId="0" borderId="1" xfId="0" applyNumberFormat="1" applyFont="1" applyBorder="1" applyAlignment="1">
      <alignment horizontal="center" vertical="center" shrinkToFit="1"/>
    </xf>
    <xf numFmtId="184" fontId="0" fillId="0" borderId="19" xfId="0" applyNumberFormat="1" applyBorder="1" applyAlignment="1">
      <alignment horizontal="center" vertical="center" wrapText="1"/>
    </xf>
    <xf numFmtId="184" fontId="0" fillId="0" borderId="1" xfId="0" quotePrefix="1" applyNumberFormat="1" applyBorder="1" applyAlignment="1">
      <alignment horizontal="center" vertical="center" shrinkToFit="1"/>
    </xf>
    <xf numFmtId="184" fontId="6" fillId="3" borderId="1" xfId="0" applyNumberFormat="1" applyFont="1" applyFill="1" applyBorder="1" applyAlignment="1">
      <alignment horizontal="center" vertical="center"/>
    </xf>
    <xf numFmtId="184" fontId="6" fillId="0" borderId="1" xfId="0" applyNumberFormat="1" applyFont="1" applyBorder="1" applyAlignment="1">
      <alignment horizontal="center" vertical="center"/>
    </xf>
    <xf numFmtId="184" fontId="0" fillId="11" borderId="17" xfId="0" applyNumberForma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185" fontId="6" fillId="0" borderId="1" xfId="0" applyNumberFormat="1" applyFont="1" applyBorder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184" fontId="0" fillId="0" borderId="1" xfId="0" applyNumberFormat="1" applyBorder="1" applyAlignment="1">
      <alignment horizontal="center" vertical="center" shrinkToFit="1"/>
    </xf>
    <xf numFmtId="176" fontId="6" fillId="0" borderId="0" xfId="0" applyNumberFormat="1" applyFont="1" applyAlignment="1">
      <alignment horizontal="center" vertical="center" wrapText="1"/>
    </xf>
    <xf numFmtId="176" fontId="6" fillId="0" borderId="0" xfId="0" applyNumberFormat="1" applyFont="1" applyAlignment="1">
      <alignment horizontal="center" vertical="center" shrinkToFit="1"/>
    </xf>
    <xf numFmtId="6" fontId="0" fillId="0" borderId="0" xfId="0" applyNumberFormat="1" applyAlignment="1">
      <alignment horizontal="center" vertical="center"/>
    </xf>
    <xf numFmtId="176" fontId="18" fillId="0" borderId="0" xfId="0" applyNumberFormat="1" applyFont="1" applyAlignment="1">
      <alignment horizontal="center" vertical="center"/>
    </xf>
    <xf numFmtId="179" fontId="6" fillId="0" borderId="0" xfId="0" applyNumberFormat="1" applyFont="1" applyAlignment="1">
      <alignment horizontal="center" vertical="center" shrinkToFit="1"/>
    </xf>
    <xf numFmtId="0" fontId="6" fillId="0" borderId="21" xfId="0" applyFont="1" applyBorder="1" applyAlignment="1">
      <alignment horizontal="center" vertical="center" wrapText="1"/>
    </xf>
    <xf numFmtId="176" fontId="0" fillId="3" borderId="5" xfId="0" applyNumberFormat="1" applyFill="1" applyBorder="1" applyAlignment="1">
      <alignment horizontal="center" vertical="center" shrinkToFit="1"/>
    </xf>
    <xf numFmtId="176" fontId="0" fillId="0" borderId="0" xfId="0" applyNumberFormat="1" applyAlignment="1">
      <alignment horizontal="center" shrinkToFit="1"/>
    </xf>
    <xf numFmtId="176" fontId="17" fillId="0" borderId="0" xfId="0" applyNumberFormat="1" applyFont="1" applyAlignment="1">
      <alignment horizontal="center" vertical="center" shrinkToFit="1"/>
    </xf>
    <xf numFmtId="180" fontId="6" fillId="0" borderId="0" xfId="0" applyNumberFormat="1" applyFont="1" applyAlignment="1">
      <alignment horizontal="center" vertical="center" shrinkToFit="1"/>
    </xf>
    <xf numFmtId="6" fontId="6" fillId="0" borderId="0" xfId="0" applyNumberFormat="1" applyFont="1" applyAlignment="1">
      <alignment horizontal="center" vertical="center" shrinkToFit="1"/>
    </xf>
    <xf numFmtId="180" fontId="0" fillId="0" borderId="0" xfId="0" applyNumberFormat="1" applyAlignment="1">
      <alignment horizontal="center" vertical="center" shrinkToFit="1"/>
    </xf>
    <xf numFmtId="180" fontId="15" fillId="0" borderId="0" xfId="0" applyNumberFormat="1" applyFont="1" applyAlignment="1">
      <alignment horizontal="center" vertical="center" shrinkToFit="1"/>
    </xf>
    <xf numFmtId="0" fontId="0" fillId="0" borderId="0" xfId="0" applyAlignment="1">
      <alignment shrinkToFit="1"/>
    </xf>
    <xf numFmtId="6" fontId="0" fillId="0" borderId="0" xfId="0" applyNumberFormat="1" applyAlignment="1">
      <alignment horizontal="center" vertical="center" shrinkToFit="1"/>
    </xf>
    <xf numFmtId="182" fontId="0" fillId="0" borderId="9" xfId="0" applyNumberFormat="1" applyBorder="1" applyAlignment="1">
      <alignment horizontal="center" vertical="center" wrapText="1"/>
    </xf>
    <xf numFmtId="0" fontId="0" fillId="0" borderId="9" xfId="0" applyBorder="1" applyAlignment="1">
      <alignment horizontal="center" vertical="center" shrinkToFit="1"/>
    </xf>
    <xf numFmtId="183" fontId="6" fillId="11" borderId="1" xfId="0" applyNumberFormat="1" applyFont="1" applyFill="1" applyBorder="1" applyAlignment="1">
      <alignment horizontal="center" vertical="center"/>
    </xf>
    <xf numFmtId="183" fontId="6" fillId="0" borderId="0" xfId="0" applyNumberFormat="1" applyFont="1" applyAlignment="1">
      <alignment horizontal="center" vertical="center" shrinkToFit="1"/>
    </xf>
    <xf numFmtId="184" fontId="0" fillId="0" borderId="1" xfId="0" quotePrefix="1" applyNumberFormat="1" applyBorder="1" applyAlignment="1">
      <alignment horizontal="center" vertical="center" wrapText="1"/>
    </xf>
    <xf numFmtId="186" fontId="6" fillId="0" borderId="20" xfId="0" applyNumberFormat="1" applyFont="1" applyBorder="1" applyAlignment="1">
      <alignment horizontal="center" vertical="center" shrinkToFit="1"/>
    </xf>
    <xf numFmtId="184" fontId="6" fillId="0" borderId="1" xfId="0" applyNumberFormat="1" applyFont="1" applyBorder="1" applyAlignment="1">
      <alignment horizontal="center" vertical="center" shrinkToFit="1"/>
    </xf>
    <xf numFmtId="186" fontId="6" fillId="0" borderId="1" xfId="0" applyNumberFormat="1" applyFont="1" applyBorder="1" applyAlignment="1">
      <alignment horizontal="center" vertical="center" shrinkToFit="1"/>
    </xf>
    <xf numFmtId="0" fontId="0" fillId="0" borderId="1" xfId="0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185" fontId="0" fillId="0" borderId="1" xfId="0" applyNumberFormat="1" applyBorder="1" applyAlignment="1">
      <alignment horizontal="center" vertical="center" shrinkToFit="1"/>
    </xf>
    <xf numFmtId="0" fontId="0" fillId="0" borderId="20" xfId="0" applyBorder="1" applyAlignment="1">
      <alignment horizontal="center" vertical="center" shrinkToFit="1"/>
    </xf>
    <xf numFmtId="184" fontId="0" fillId="0" borderId="1" xfId="0" applyNumberFormat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 wrapText="1"/>
    </xf>
    <xf numFmtId="176" fontId="16" fillId="3" borderId="5" xfId="0" applyNumberFormat="1" applyFont="1" applyFill="1" applyBorder="1" applyAlignment="1">
      <alignment horizontal="center" vertical="center"/>
    </xf>
    <xf numFmtId="176" fontId="6" fillId="3" borderId="5" xfId="0" applyNumberFormat="1" applyFont="1" applyFill="1" applyBorder="1" applyAlignment="1">
      <alignment horizontal="center" vertical="center" shrinkToFit="1"/>
    </xf>
    <xf numFmtId="187" fontId="6" fillId="0" borderId="21" xfId="0" applyNumberFormat="1" applyFont="1" applyBorder="1" applyAlignment="1">
      <alignment horizontal="center" vertical="center" wrapText="1"/>
    </xf>
    <xf numFmtId="176" fontId="0" fillId="4" borderId="5" xfId="0" applyNumberFormat="1" applyFill="1" applyBorder="1" applyAlignment="1">
      <alignment horizontal="center" vertical="center" shrinkToFit="1"/>
    </xf>
    <xf numFmtId="180" fontId="6" fillId="3" borderId="5" xfId="0" applyNumberFormat="1" applyFont="1" applyFill="1" applyBorder="1" applyAlignment="1">
      <alignment horizontal="center" vertical="center" shrinkToFit="1"/>
    </xf>
    <xf numFmtId="6" fontId="6" fillId="3" borderId="5" xfId="0" applyNumberFormat="1" applyFont="1" applyFill="1" applyBorder="1" applyAlignment="1">
      <alignment horizontal="center" vertical="center" shrinkToFit="1"/>
    </xf>
    <xf numFmtId="180" fontId="0" fillId="3" borderId="5" xfId="0" applyNumberFormat="1" applyFill="1" applyBorder="1" applyAlignment="1">
      <alignment horizontal="center" vertical="center" shrinkToFit="1"/>
    </xf>
    <xf numFmtId="0" fontId="0" fillId="3" borderId="5" xfId="0" applyFill="1" applyBorder="1" applyAlignment="1">
      <alignment shrinkToFit="1"/>
    </xf>
    <xf numFmtId="6" fontId="0" fillId="3" borderId="5" xfId="0" applyNumberFormat="1" applyFill="1" applyBorder="1" applyAlignment="1">
      <alignment horizontal="center" vertical="center" shrinkToFit="1"/>
    </xf>
    <xf numFmtId="186" fontId="6" fillId="3" borderId="23" xfId="0" applyNumberFormat="1" applyFont="1" applyFill="1" applyBorder="1" applyAlignment="1">
      <alignment horizontal="center" vertical="center" shrinkToFit="1"/>
    </xf>
    <xf numFmtId="184" fontId="6" fillId="3" borderId="1" xfId="0" applyNumberFormat="1" applyFont="1" applyFill="1" applyBorder="1" applyAlignment="1">
      <alignment horizontal="center" vertical="center" shrinkToFit="1"/>
    </xf>
    <xf numFmtId="6" fontId="6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/>
    <xf numFmtId="183" fontId="6" fillId="0" borderId="0" xfId="0" applyNumberFormat="1" applyFont="1" applyAlignment="1">
      <alignment horizontal="center" vertical="center"/>
    </xf>
    <xf numFmtId="186" fontId="6" fillId="3" borderId="23" xfId="0" applyNumberFormat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4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176" fontId="6" fillId="11" borderId="1" xfId="0" applyNumberFormat="1" applyFont="1" applyFill="1" applyBorder="1" applyAlignment="1">
      <alignment horizontal="center" vertical="center" shrinkToFit="1"/>
    </xf>
    <xf numFmtId="49" fontId="6" fillId="11" borderId="17" xfId="0" applyNumberFormat="1" applyFont="1" applyFill="1" applyBorder="1" applyAlignment="1">
      <alignment horizontal="center" vertical="center" shrinkToFit="1"/>
    </xf>
    <xf numFmtId="180" fontId="6" fillId="0" borderId="0" xfId="0" applyNumberFormat="1" applyFont="1" applyAlignment="1">
      <alignment horizontal="left" vertical="center"/>
    </xf>
    <xf numFmtId="186" fontId="6" fillId="0" borderId="20" xfId="0" applyNumberFormat="1" applyFont="1" applyBorder="1" applyAlignment="1">
      <alignment horizontal="center" vertical="center"/>
    </xf>
    <xf numFmtId="176" fontId="6" fillId="0" borderId="0" xfId="0" applyNumberFormat="1" applyFont="1" applyAlignment="1">
      <alignment horizontal="center" vertical="center"/>
    </xf>
    <xf numFmtId="188" fontId="6" fillId="0" borderId="0" xfId="0" applyNumberFormat="1" applyFont="1" applyAlignment="1">
      <alignment horizontal="center" vertical="center"/>
    </xf>
    <xf numFmtId="188" fontId="0" fillId="3" borderId="5" xfId="0" applyNumberFormat="1" applyFill="1" applyBorder="1" applyAlignment="1">
      <alignment horizontal="center" vertical="center"/>
    </xf>
    <xf numFmtId="188" fontId="6" fillId="3" borderId="5" xfId="0" applyNumberFormat="1" applyFont="1" applyFill="1" applyBorder="1" applyAlignment="1">
      <alignment horizontal="center" vertical="center"/>
    </xf>
    <xf numFmtId="188" fontId="0" fillId="0" borderId="0" xfId="0" applyNumberFormat="1" applyAlignment="1">
      <alignment horizontal="center" vertical="center"/>
    </xf>
    <xf numFmtId="188" fontId="15" fillId="0" borderId="0" xfId="0" applyNumberFormat="1" applyFont="1" applyAlignment="1">
      <alignment horizontal="center" vertical="center"/>
    </xf>
    <xf numFmtId="188" fontId="15" fillId="3" borderId="5" xfId="0" applyNumberFormat="1" applyFont="1" applyFill="1" applyBorder="1" applyAlignment="1">
      <alignment horizontal="center" vertical="center"/>
    </xf>
    <xf numFmtId="186" fontId="6" fillId="3" borderId="1" xfId="0" applyNumberFormat="1" applyFont="1" applyFill="1" applyBorder="1" applyAlignment="1">
      <alignment horizontal="center" vertical="center"/>
    </xf>
    <xf numFmtId="186" fontId="6" fillId="0" borderId="1" xfId="0" applyNumberFormat="1" applyFont="1" applyBorder="1" applyAlignment="1">
      <alignment horizontal="center" vertical="center"/>
    </xf>
    <xf numFmtId="49" fontId="6" fillId="0" borderId="0" xfId="0" applyNumberFormat="1" applyFont="1" applyAlignment="1">
      <alignment horizontal="center" vertical="center"/>
    </xf>
    <xf numFmtId="189" fontId="6" fillId="3" borderId="5" xfId="0" applyNumberFormat="1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6" fillId="0" borderId="0" xfId="0" applyFont="1" applyAlignment="1">
      <alignment vertical="center" wrapText="1"/>
    </xf>
    <xf numFmtId="185" fontId="0" fillId="0" borderId="1" xfId="0" applyNumberFormat="1" applyBorder="1" applyAlignment="1">
      <alignment horizontal="center" vertical="center"/>
    </xf>
    <xf numFmtId="176" fontId="6" fillId="13" borderId="0" xfId="0" applyNumberFormat="1" applyFont="1" applyFill="1" applyAlignment="1">
      <alignment horizontal="center" vertical="center" shrinkToFit="1"/>
    </xf>
    <xf numFmtId="179" fontId="28" fillId="0" borderId="0" xfId="0" applyNumberFormat="1" applyFont="1" applyAlignment="1">
      <alignment horizontal="center" vertical="center" shrinkToFit="1"/>
    </xf>
    <xf numFmtId="0" fontId="0" fillId="0" borderId="5" xfId="1" applyFont="1" applyAlignment="1">
      <alignment horizontal="center" vertical="center" wrapText="1"/>
    </xf>
    <xf numFmtId="0" fontId="0" fillId="0" borderId="5" xfId="1" applyFont="1" applyAlignment="1">
      <alignment horizontal="center" vertical="center"/>
    </xf>
    <xf numFmtId="49" fontId="0" fillId="0" borderId="5" xfId="1" applyNumberFormat="1" applyFont="1" applyAlignment="1">
      <alignment horizontal="center" vertical="center" wrapText="1"/>
    </xf>
    <xf numFmtId="176" fontId="18" fillId="0" borderId="5" xfId="1" applyNumberFormat="1" applyFont="1" applyAlignment="1">
      <alignment horizontal="center" vertical="center"/>
    </xf>
    <xf numFmtId="176" fontId="16" fillId="0" borderId="5" xfId="1" applyNumberFormat="1" applyFont="1" applyAlignment="1">
      <alignment horizontal="center" vertical="center"/>
    </xf>
    <xf numFmtId="0" fontId="0" fillId="0" borderId="5" xfId="1" applyFont="1"/>
    <xf numFmtId="176" fontId="6" fillId="11" borderId="1" xfId="1" applyNumberFormat="1" applyFont="1" applyFill="1" applyBorder="1" applyAlignment="1">
      <alignment horizontal="center" vertical="center" shrinkToFit="1"/>
    </xf>
    <xf numFmtId="49" fontId="6" fillId="11" borderId="19" xfId="1" applyNumberFormat="1" applyFont="1" applyFill="1" applyBorder="1" applyAlignment="1">
      <alignment horizontal="center" vertical="center" shrinkToFit="1"/>
    </xf>
    <xf numFmtId="179" fontId="0" fillId="0" borderId="5" xfId="1" applyNumberFormat="1" applyFont="1" applyAlignment="1">
      <alignment horizontal="center" vertical="center" shrinkToFit="1"/>
    </xf>
    <xf numFmtId="176" fontId="0" fillId="0" borderId="5" xfId="1" applyNumberFormat="1" applyFont="1" applyAlignment="1">
      <alignment horizontal="center" vertical="center" shrinkToFit="1"/>
    </xf>
    <xf numFmtId="176" fontId="0" fillId="0" borderId="5" xfId="1" applyNumberFormat="1" applyFont="1" applyAlignment="1">
      <alignment horizontal="center" vertical="center" wrapText="1"/>
    </xf>
    <xf numFmtId="176" fontId="15" fillId="0" borderId="5" xfId="1" applyNumberFormat="1" applyFont="1" applyAlignment="1">
      <alignment horizontal="center" vertical="center"/>
    </xf>
    <xf numFmtId="176" fontId="16" fillId="0" borderId="5" xfId="1" applyNumberFormat="1" applyFont="1" applyAlignment="1">
      <alignment horizontal="center" vertical="center" wrapText="1"/>
    </xf>
    <xf numFmtId="176" fontId="17" fillId="0" borderId="5" xfId="1" applyNumberFormat="1" applyFont="1" applyAlignment="1">
      <alignment horizontal="center" vertical="center" wrapText="1"/>
    </xf>
    <xf numFmtId="179" fontId="0" fillId="0" borderId="5" xfId="1" applyNumberFormat="1" applyFont="1" applyAlignment="1">
      <alignment horizontal="center" vertical="center"/>
    </xf>
    <xf numFmtId="180" fontId="0" fillId="0" borderId="5" xfId="1" applyNumberFormat="1" applyFont="1" applyAlignment="1">
      <alignment horizontal="center" vertical="center"/>
    </xf>
    <xf numFmtId="6" fontId="0" fillId="0" borderId="5" xfId="1" applyNumberFormat="1" applyFont="1" applyAlignment="1">
      <alignment horizontal="center" vertical="center"/>
    </xf>
    <xf numFmtId="182" fontId="0" fillId="0" borderId="18" xfId="1" applyNumberFormat="1" applyFont="1" applyBorder="1" applyAlignment="1">
      <alignment horizontal="center" vertical="center" wrapText="1"/>
    </xf>
    <xf numFmtId="182" fontId="0" fillId="0" borderId="9" xfId="1" applyNumberFormat="1" applyFont="1" applyBorder="1" applyAlignment="1">
      <alignment horizontal="center" vertical="center" wrapText="1"/>
    </xf>
    <xf numFmtId="187" fontId="0" fillId="0" borderId="9" xfId="1" applyNumberFormat="1" applyFont="1" applyBorder="1" applyAlignment="1">
      <alignment horizontal="center" vertical="center"/>
    </xf>
    <xf numFmtId="183" fontId="6" fillId="11" borderId="19" xfId="1" applyNumberFormat="1" applyFont="1" applyFill="1" applyBorder="1" applyAlignment="1">
      <alignment horizontal="center" vertical="center"/>
    </xf>
    <xf numFmtId="183" fontId="6" fillId="11" borderId="1" xfId="1" applyNumberFormat="1" applyFont="1" applyFill="1" applyBorder="1" applyAlignment="1">
      <alignment horizontal="center" vertical="center"/>
    </xf>
    <xf numFmtId="183" fontId="6" fillId="0" borderId="5" xfId="1" applyNumberFormat="1" applyFont="1" applyAlignment="1">
      <alignment horizontal="center" vertical="center"/>
    </xf>
    <xf numFmtId="183" fontId="6" fillId="0" borderId="1" xfId="1" applyNumberFormat="1" applyFont="1" applyBorder="1" applyAlignment="1">
      <alignment horizontal="center" vertical="center"/>
    </xf>
    <xf numFmtId="184" fontId="0" fillId="0" borderId="19" xfId="1" applyNumberFormat="1" applyFont="1" applyBorder="1" applyAlignment="1">
      <alignment horizontal="center" vertical="center" wrapText="1"/>
    </xf>
    <xf numFmtId="184" fontId="0" fillId="0" borderId="1" xfId="1" quotePrefix="1" applyNumberFormat="1" applyFont="1" applyBorder="1" applyAlignment="1">
      <alignment horizontal="center" vertical="center" wrapText="1"/>
    </xf>
    <xf numFmtId="186" fontId="6" fillId="0" borderId="23" xfId="1" applyNumberFormat="1" applyFont="1" applyBorder="1" applyAlignment="1">
      <alignment horizontal="center" vertical="center"/>
    </xf>
    <xf numFmtId="184" fontId="6" fillId="0" borderId="1" xfId="1" applyNumberFormat="1" applyFont="1" applyBorder="1" applyAlignment="1">
      <alignment horizontal="center" vertical="center"/>
    </xf>
    <xf numFmtId="0" fontId="15" fillId="0" borderId="19" xfId="1" applyFont="1" applyBorder="1" applyAlignment="1">
      <alignment horizontal="center" vertical="center"/>
    </xf>
    <xf numFmtId="184" fontId="0" fillId="0" borderId="1" xfId="1" applyNumberFormat="1" applyFont="1" applyBorder="1" applyAlignment="1">
      <alignment horizontal="center" vertical="center"/>
    </xf>
    <xf numFmtId="176" fontId="6" fillId="0" borderId="22" xfId="1" applyNumberFormat="1" applyFont="1" applyBorder="1" applyAlignment="1">
      <alignment horizontal="center" vertical="center" wrapText="1"/>
    </xf>
    <xf numFmtId="179" fontId="6" fillId="0" borderId="5" xfId="1" applyNumberFormat="1" applyFont="1" applyAlignment="1">
      <alignment horizontal="center" vertical="center"/>
    </xf>
    <xf numFmtId="176" fontId="0" fillId="0" borderId="5" xfId="1" applyNumberFormat="1" applyFont="1" applyAlignment="1">
      <alignment horizontal="center" vertical="center"/>
    </xf>
    <xf numFmtId="180" fontId="6" fillId="0" borderId="5" xfId="1" applyNumberFormat="1" applyFont="1" applyAlignment="1">
      <alignment horizontal="center" vertical="center"/>
    </xf>
    <xf numFmtId="6" fontId="6" fillId="0" borderId="5" xfId="1" applyNumberFormat="1" applyFont="1" applyAlignment="1">
      <alignment horizontal="center" vertical="center"/>
    </xf>
    <xf numFmtId="180" fontId="15" fillId="0" borderId="5" xfId="1" applyNumberFormat="1" applyFont="1" applyAlignment="1">
      <alignment horizontal="center" vertical="center"/>
    </xf>
    <xf numFmtId="180" fontId="6" fillId="13" borderId="5" xfId="1" applyNumberFormat="1" applyFont="1" applyFill="1" applyAlignment="1">
      <alignment horizontal="center" vertical="center"/>
    </xf>
    <xf numFmtId="180" fontId="0" fillId="13" borderId="5" xfId="1" applyNumberFormat="1" applyFont="1" applyFill="1" applyAlignment="1">
      <alignment horizontal="center" vertical="center"/>
    </xf>
    <xf numFmtId="0" fontId="32" fillId="0" borderId="0" xfId="0" applyFont="1"/>
    <xf numFmtId="0" fontId="32" fillId="0" borderId="0" xfId="0" applyFont="1" applyAlignment="1">
      <alignment horizontal="left"/>
    </xf>
    <xf numFmtId="0" fontId="32" fillId="0" borderId="0" xfId="0" applyFont="1" applyAlignment="1">
      <alignment horizontal="center"/>
    </xf>
    <xf numFmtId="184" fontId="0" fillId="0" borderId="0" xfId="0" applyNumberFormat="1"/>
    <xf numFmtId="183" fontId="0" fillId="0" borderId="0" xfId="0" applyNumberFormat="1"/>
    <xf numFmtId="0" fontId="32" fillId="14" borderId="0" xfId="0" applyFont="1" applyFill="1"/>
    <xf numFmtId="0" fontId="32" fillId="15" borderId="0" xfId="0" applyFont="1" applyFill="1"/>
    <xf numFmtId="0" fontId="36" fillId="18" borderId="31" xfId="0" applyFont="1" applyFill="1" applyBorder="1"/>
    <xf numFmtId="0" fontId="36" fillId="18" borderId="31" xfId="0" applyFont="1" applyFill="1" applyBorder="1" applyAlignment="1">
      <alignment horizontal="center" vertical="center" wrapText="1"/>
    </xf>
    <xf numFmtId="0" fontId="32" fillId="16" borderId="31" xfId="0" applyFont="1" applyFill="1" applyBorder="1" applyAlignment="1">
      <alignment horizontal="center" vertical="center"/>
    </xf>
    <xf numFmtId="0" fontId="32" fillId="16" borderId="31" xfId="0" applyFont="1" applyFill="1" applyBorder="1" applyAlignment="1">
      <alignment horizontal="center" vertical="center" wrapText="1"/>
    </xf>
    <xf numFmtId="0" fontId="32" fillId="16" borderId="31" xfId="0" applyFont="1" applyFill="1" applyBorder="1"/>
    <xf numFmtId="0" fontId="32" fillId="14" borderId="31" xfId="0" applyFont="1" applyFill="1" applyBorder="1"/>
    <xf numFmtId="0" fontId="32" fillId="14" borderId="31" xfId="0" applyFont="1" applyFill="1" applyBorder="1" applyAlignment="1">
      <alignment horizontal="center" vertical="center" wrapText="1"/>
    </xf>
    <xf numFmtId="0" fontId="32" fillId="15" borderId="31" xfId="0" applyFont="1" applyFill="1" applyBorder="1"/>
    <xf numFmtId="0" fontId="32" fillId="15" borderId="31" xfId="0" applyFont="1" applyFill="1" applyBorder="1" applyAlignment="1">
      <alignment horizontal="center" vertical="center" wrapText="1"/>
    </xf>
    <xf numFmtId="10" fontId="36" fillId="18" borderId="31" xfId="0" applyNumberFormat="1" applyFont="1" applyFill="1" applyBorder="1"/>
    <xf numFmtId="10" fontId="32" fillId="16" borderId="31" xfId="0" applyNumberFormat="1" applyFont="1" applyFill="1" applyBorder="1"/>
    <xf numFmtId="10" fontId="32" fillId="14" borderId="31" xfId="0" applyNumberFormat="1" applyFont="1" applyFill="1" applyBorder="1"/>
    <xf numFmtId="10" fontId="32" fillId="15" borderId="31" xfId="0" applyNumberFormat="1" applyFont="1" applyFill="1" applyBorder="1"/>
    <xf numFmtId="10" fontId="32" fillId="0" borderId="0" xfId="0" applyNumberFormat="1" applyFont="1"/>
    <xf numFmtId="183" fontId="32" fillId="16" borderId="31" xfId="0" applyNumberFormat="1" applyFont="1" applyFill="1" applyBorder="1"/>
    <xf numFmtId="183" fontId="32" fillId="14" borderId="31" xfId="0" applyNumberFormat="1" applyFont="1" applyFill="1" applyBorder="1"/>
    <xf numFmtId="183" fontId="32" fillId="15" borderId="31" xfId="0" applyNumberFormat="1" applyFont="1" applyFill="1" applyBorder="1"/>
    <xf numFmtId="0" fontId="32" fillId="16" borderId="31" xfId="0" applyFont="1" applyFill="1" applyBorder="1" applyAlignment="1">
      <alignment horizontal="center"/>
    </xf>
    <xf numFmtId="177" fontId="36" fillId="18" borderId="31" xfId="0" applyNumberFormat="1" applyFont="1" applyFill="1" applyBorder="1"/>
    <xf numFmtId="177" fontId="34" fillId="16" borderId="31" xfId="0" applyNumberFormat="1" applyFont="1" applyFill="1" applyBorder="1" applyAlignment="1">
      <alignment horizontal="center" vertical="center"/>
    </xf>
    <xf numFmtId="177" fontId="33" fillId="16" borderId="31" xfId="0" applyNumberFormat="1" applyFont="1" applyFill="1" applyBorder="1" applyAlignment="1">
      <alignment horizontal="center" vertical="center"/>
    </xf>
    <xf numFmtId="177" fontId="33" fillId="17" borderId="31" xfId="0" applyNumberFormat="1" applyFont="1" applyFill="1" applyBorder="1" applyAlignment="1">
      <alignment horizontal="center" vertical="center"/>
    </xf>
    <xf numFmtId="177" fontId="34" fillId="14" borderId="31" xfId="0" applyNumberFormat="1" applyFont="1" applyFill="1" applyBorder="1" applyAlignment="1">
      <alignment horizontal="center" vertical="center"/>
    </xf>
    <xf numFmtId="177" fontId="33" fillId="14" borderId="31" xfId="0" applyNumberFormat="1" applyFont="1" applyFill="1" applyBorder="1" applyAlignment="1">
      <alignment horizontal="center" vertical="center"/>
    </xf>
    <xf numFmtId="177" fontId="34" fillId="15" borderId="31" xfId="0" applyNumberFormat="1" applyFont="1" applyFill="1" applyBorder="1" applyAlignment="1">
      <alignment horizontal="center" vertical="center"/>
    </xf>
    <xf numFmtId="177" fontId="33" fillId="15" borderId="31" xfId="0" applyNumberFormat="1" applyFont="1" applyFill="1" applyBorder="1" applyAlignment="1">
      <alignment horizontal="center" vertical="center"/>
    </xf>
    <xf numFmtId="177" fontId="32" fillId="0" borderId="0" xfId="0" applyNumberFormat="1" applyFont="1"/>
    <xf numFmtId="177" fontId="33" fillId="0" borderId="0" xfId="0" applyNumberFormat="1" applyFont="1"/>
    <xf numFmtId="0" fontId="37" fillId="18" borderId="31" xfId="0" applyFont="1" applyFill="1" applyBorder="1"/>
    <xf numFmtId="0" fontId="38" fillId="0" borderId="0" xfId="0" applyFont="1" applyAlignment="1">
      <alignment horizontal="left"/>
    </xf>
    <xf numFmtId="0" fontId="38" fillId="0" borderId="0" xfId="0" applyFont="1"/>
    <xf numFmtId="190" fontId="38" fillId="0" borderId="0" xfId="0" applyNumberFormat="1" applyFont="1"/>
    <xf numFmtId="0" fontId="39" fillId="0" borderId="0" xfId="0" applyFont="1"/>
    <xf numFmtId="3" fontId="38" fillId="0" borderId="0" xfId="0" applyNumberFormat="1" applyFont="1"/>
    <xf numFmtId="0" fontId="32" fillId="0" borderId="0" xfId="0" applyFont="1" applyAlignment="1">
      <alignment horizontal="center" vertical="center"/>
    </xf>
    <xf numFmtId="0" fontId="38" fillId="0" borderId="0" xfId="0" applyFont="1" applyAlignment="1">
      <alignment horizontal="center"/>
    </xf>
    <xf numFmtId="0" fontId="32" fillId="0" borderId="0" xfId="0" applyFont="1" applyAlignment="1">
      <alignment horizontal="left" vertical="center"/>
    </xf>
    <xf numFmtId="0" fontId="32" fillId="14" borderId="0" xfId="0" applyFont="1" applyFill="1" applyAlignment="1">
      <alignment horizontal="left"/>
    </xf>
    <xf numFmtId="0" fontId="38" fillId="14" borderId="0" xfId="0" applyFont="1" applyFill="1" applyAlignment="1">
      <alignment horizontal="center"/>
    </xf>
    <xf numFmtId="0" fontId="32" fillId="14" borderId="0" xfId="0" applyFont="1" applyFill="1" applyAlignment="1">
      <alignment horizontal="center" vertical="center"/>
    </xf>
    <xf numFmtId="0" fontId="32" fillId="14" borderId="0" xfId="0" applyFont="1" applyFill="1" applyAlignment="1">
      <alignment horizontal="left" vertical="center"/>
    </xf>
    <xf numFmtId="0" fontId="39" fillId="14" borderId="0" xfId="0" applyFont="1" applyFill="1"/>
    <xf numFmtId="190" fontId="38" fillId="14" borderId="0" xfId="0" applyNumberFormat="1" applyFont="1" applyFill="1"/>
    <xf numFmtId="3" fontId="38" fillId="14" borderId="0" xfId="0" applyNumberFormat="1" applyFont="1" applyFill="1"/>
    <xf numFmtId="0" fontId="38" fillId="14" borderId="0" xfId="0" applyFont="1" applyFill="1"/>
    <xf numFmtId="0" fontId="32" fillId="15" borderId="0" xfId="0" applyFont="1" applyFill="1" applyAlignment="1">
      <alignment horizontal="left"/>
    </xf>
    <xf numFmtId="0" fontId="38" fillId="15" borderId="0" xfId="0" applyFont="1" applyFill="1" applyAlignment="1">
      <alignment horizontal="center"/>
    </xf>
    <xf numFmtId="0" fontId="32" fillId="15" borderId="0" xfId="0" applyFont="1" applyFill="1" applyAlignment="1">
      <alignment horizontal="center" vertical="center"/>
    </xf>
    <xf numFmtId="0" fontId="32" fillId="15" borderId="0" xfId="0" applyFont="1" applyFill="1" applyAlignment="1">
      <alignment horizontal="left" vertical="center"/>
    </xf>
    <xf numFmtId="0" fontId="39" fillId="15" borderId="0" xfId="0" applyFont="1" applyFill="1"/>
    <xf numFmtId="190" fontId="38" fillId="15" borderId="0" xfId="0" applyNumberFormat="1" applyFont="1" applyFill="1"/>
    <xf numFmtId="3" fontId="38" fillId="15" borderId="0" xfId="0" applyNumberFormat="1" applyFont="1" applyFill="1"/>
    <xf numFmtId="0" fontId="38" fillId="15" borderId="0" xfId="0" applyFont="1" applyFill="1"/>
    <xf numFmtId="0" fontId="38" fillId="19" borderId="0" xfId="0" applyFont="1" applyFill="1" applyAlignment="1">
      <alignment horizontal="left"/>
    </xf>
    <xf numFmtId="0" fontId="38" fillId="19" borderId="0" xfId="0" applyFont="1" applyFill="1" applyAlignment="1">
      <alignment horizontal="center"/>
    </xf>
    <xf numFmtId="0" fontId="38" fillId="19" borderId="0" xfId="0" applyFont="1" applyFill="1"/>
    <xf numFmtId="190" fontId="38" fillId="19" borderId="0" xfId="0" applyNumberFormat="1" applyFont="1" applyFill="1"/>
    <xf numFmtId="3" fontId="38" fillId="19" borderId="0" xfId="0" applyNumberFormat="1" applyFont="1" applyFill="1"/>
    <xf numFmtId="0" fontId="32" fillId="19" borderId="0" xfId="0" applyFont="1" applyFill="1"/>
    <xf numFmtId="0" fontId="35" fillId="15" borderId="0" xfId="0" applyFont="1" applyFill="1"/>
    <xf numFmtId="0" fontId="38" fillId="0" borderId="0" xfId="0" pivotButton="1" applyFont="1"/>
    <xf numFmtId="0" fontId="7" fillId="0" borderId="0" xfId="0" applyFont="1" applyAlignment="1">
      <alignment horizontal="center" wrapText="1"/>
    </xf>
    <xf numFmtId="0" fontId="0" fillId="0" borderId="0" xfId="0"/>
    <xf numFmtId="0" fontId="7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9" fillId="0" borderId="3" xfId="0" applyFont="1" applyBorder="1"/>
    <xf numFmtId="0" fontId="9" fillId="0" borderId="4" xfId="0" applyFont="1" applyBorder="1"/>
    <xf numFmtId="0" fontId="7" fillId="6" borderId="2" xfId="0" applyFont="1" applyFill="1" applyBorder="1" applyAlignment="1">
      <alignment horizontal="center" wrapText="1"/>
    </xf>
    <xf numFmtId="0" fontId="0" fillId="12" borderId="8" xfId="0" applyFill="1" applyBorder="1" applyAlignment="1">
      <alignment horizontal="center" vertical="center"/>
    </xf>
    <xf numFmtId="0" fontId="9" fillId="0" borderId="11" xfId="0" applyFont="1" applyBorder="1"/>
    <xf numFmtId="0" fontId="9" fillId="0" borderId="13" xfId="0" applyFont="1" applyBorder="1"/>
    <xf numFmtId="0" fontId="0" fillId="11" borderId="8" xfId="0" applyFill="1" applyBorder="1" applyAlignment="1">
      <alignment horizontal="center" vertical="center"/>
    </xf>
    <xf numFmtId="0" fontId="0" fillId="10" borderId="8" xfId="0" applyFill="1" applyBorder="1" applyAlignment="1">
      <alignment horizontal="center" vertical="center"/>
    </xf>
    <xf numFmtId="176" fontId="6" fillId="0" borderId="22" xfId="0" applyNumberFormat="1" applyFont="1" applyBorder="1" applyAlignment="1">
      <alignment horizontal="center" vertical="center" wrapText="1"/>
    </xf>
    <xf numFmtId="0" fontId="9" fillId="0" borderId="22" xfId="0" applyFont="1" applyBorder="1"/>
    <xf numFmtId="0" fontId="6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 wrapText="1"/>
    </xf>
    <xf numFmtId="0" fontId="6" fillId="0" borderId="5" xfId="1" applyFont="1" applyAlignment="1">
      <alignment horizontal="center" vertical="center" wrapText="1"/>
    </xf>
    <xf numFmtId="0" fontId="0" fillId="0" borderId="5" xfId="1" applyFont="1"/>
    <xf numFmtId="0" fontId="6" fillId="0" borderId="5" xfId="1" applyFont="1" applyAlignment="1">
      <alignment horizontal="center" vertical="center"/>
    </xf>
    <xf numFmtId="0" fontId="6" fillId="0" borderId="5" xfId="1" applyFont="1" applyAlignment="1">
      <alignment horizontal="center" vertical="center" shrinkToFit="1"/>
    </xf>
    <xf numFmtId="0" fontId="6" fillId="0" borderId="0" xfId="0" applyFont="1" applyAlignment="1">
      <alignment horizontal="center" vertical="center" shrinkToFit="1"/>
    </xf>
    <xf numFmtId="184" fontId="3" fillId="0" borderId="0" xfId="0" applyNumberFormat="1" applyFont="1" applyAlignment="1">
      <alignment horizontal="center" vertical="center" wrapText="1"/>
    </xf>
    <xf numFmtId="0" fontId="38" fillId="0" borderId="0" xfId="0" applyNumberFormat="1" applyFont="1"/>
    <xf numFmtId="0" fontId="40" fillId="0" borderId="0" xfId="0" pivotButton="1" applyFont="1"/>
    <xf numFmtId="0" fontId="40" fillId="0" borderId="0" xfId="0" applyFont="1"/>
    <xf numFmtId="0" fontId="40" fillId="0" borderId="0" xfId="0" applyFont="1" applyAlignment="1">
      <alignment horizontal="left"/>
    </xf>
    <xf numFmtId="0" fontId="40" fillId="0" borderId="0" xfId="0" applyNumberFormat="1" applyFont="1"/>
  </cellXfs>
  <cellStyles count="4">
    <cellStyle name="一般" xfId="0" builtinId="0"/>
    <cellStyle name="一般 2" xfId="1" xr:uid="{00000000-0005-0000-0000-000001000000}"/>
    <cellStyle name="一般 2 2" xfId="3" xr:uid="{703257D8-089F-4E61-A257-1B89856CBD2E}"/>
    <cellStyle name="一般 3" xfId="2" xr:uid="{5D48479F-F4ED-4582-A5B9-397BB6C2068D}"/>
  </cellStyles>
  <dxfs count="1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in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name val="jf open 粉圓 2.0"/>
        <family val="2"/>
        <charset val="136"/>
        <scheme val="major"/>
      </font>
    </dxf>
    <dxf>
      <font>
        <color theme="6" tint="0.79998168889431442"/>
      </font>
    </dxf>
    <dxf>
      <font>
        <color theme="5" tint="0.79998168889431442"/>
      </font>
    </dxf>
    <dxf>
      <font>
        <b/>
        <i val="0"/>
      </font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  <dxf>
      <fill>
        <patternFill patternType="solid">
          <fgColor rgb="FFDAEEF3"/>
          <bgColor rgb="FFDAEEF3"/>
        </patternFill>
      </fill>
    </dxf>
  </dxfs>
  <tableStyles count="21">
    <tableStyle name="4-寒舍-style" pivot="0" count="1" xr9:uid="{00000000-0011-0000-FFFF-FFFF00000000}">
      <tableStyleElement type="secondRowStripe" dxfId="135"/>
    </tableStyle>
    <tableStyle name="4-寒舍-style 2" pivot="0" count="1" xr9:uid="{00000000-0011-0000-FFFF-FFFF01000000}">
      <tableStyleElement type="secondRowStripe" dxfId="134"/>
    </tableStyle>
    <tableStyle name="永吉-style" pivot="0" count="1" xr9:uid="{00000000-0011-0000-FFFF-FFFF02000000}">
      <tableStyleElement type="secondRowStripe" dxfId="133"/>
    </tableStyle>
    <tableStyle name="永吉-style 2" pivot="0" count="1" xr9:uid="{00000000-0011-0000-FFFF-FFFF03000000}">
      <tableStyleElement type="secondRowStripe" dxfId="132"/>
    </tableStyle>
    <tableStyle name="141-style" pivot="0" count="1" xr9:uid="{00000000-0011-0000-FFFF-FFFF04000000}">
      <tableStyleElement type="secondRowStripe" dxfId="131"/>
    </tableStyle>
    <tableStyle name="141-style 2" pivot="0" count="1" xr9:uid="{00000000-0011-0000-FFFF-FFFF05000000}">
      <tableStyleElement type="secondRowStripe" dxfId="130"/>
    </tableStyle>
    <tableStyle name="5-安和雅企-style" pivot="0" count="1" xr9:uid="{00000000-0011-0000-FFFF-FFFF06000000}">
      <tableStyleElement type="secondRowStripe" dxfId="129"/>
    </tableStyle>
    <tableStyle name="5-安和雅企-style 2" pivot="0" count="1" xr9:uid="{00000000-0011-0000-FFFF-FFFF07000000}">
      <tableStyleElement type="secondRowStripe" dxfId="128"/>
    </tableStyle>
    <tableStyle name="6-敦南薈館-style" pivot="0" count="1" xr9:uid="{00000000-0011-0000-FFFF-FFFF08000000}">
      <tableStyleElement type="secondRowStripe" dxfId="127"/>
    </tableStyle>
    <tableStyle name="6-敦南薈館-style 2" pivot="0" count="1" xr9:uid="{00000000-0011-0000-FFFF-FFFF09000000}">
      <tableStyleElement type="secondRowStripe" dxfId="126"/>
    </tableStyle>
    <tableStyle name="7-公司-style" pivot="0" count="1" xr9:uid="{00000000-0011-0000-FFFF-FFFF0A000000}">
      <tableStyleElement type="secondRowStripe" dxfId="125"/>
    </tableStyle>
    <tableStyle name="7-公司-style 2" pivot="0" count="1" xr9:uid="{00000000-0011-0000-FFFF-FFFF0B000000}">
      <tableStyleElement type="secondRowStripe" dxfId="124"/>
    </tableStyle>
    <tableStyle name="8-159-1-style" pivot="0" count="1" xr9:uid="{00000000-0011-0000-FFFF-FFFF0C000000}">
      <tableStyleElement type="secondRowStripe" dxfId="123"/>
    </tableStyle>
    <tableStyle name="8-159-1-style 2" pivot="0" count="1" xr9:uid="{00000000-0011-0000-FFFF-FFFF0D000000}">
      <tableStyleElement type="secondRowStripe" dxfId="122"/>
    </tableStyle>
    <tableStyle name="9-崇德-style" pivot="0" count="1" xr9:uid="{00000000-0011-0000-FFFF-FFFF0E000000}">
      <tableStyleElement type="secondRowStripe" dxfId="121"/>
    </tableStyle>
    <tableStyle name="9-崇德-style 2" pivot="0" count="1" xr9:uid="{00000000-0011-0000-FFFF-FFFF0F000000}">
      <tableStyleElement type="secondRowStripe" dxfId="120"/>
    </tableStyle>
    <tableStyle name="10-景新-style" pivot="0" count="1" xr9:uid="{00000000-0011-0000-FFFF-FFFF10000000}">
      <tableStyleElement type="secondRowStripe" dxfId="119"/>
    </tableStyle>
    <tableStyle name="10-景新-style 2" pivot="0" count="1" xr9:uid="{00000000-0011-0000-FFFF-FFFF11000000}">
      <tableStyleElement type="secondRowStripe" dxfId="118"/>
    </tableStyle>
    <tableStyle name="3-溫州-style" pivot="0" count="1" xr9:uid="{00000000-0011-0000-FFFF-FFFF12000000}">
      <tableStyleElement type="secondRowStripe" dxfId="117"/>
    </tableStyle>
    <tableStyle name="3-溫州-style 2" pivot="0" count="1" xr9:uid="{00000000-0011-0000-FFFF-FFFF13000000}">
      <tableStyleElement type="secondRowStripe" dxfId="116"/>
    </tableStyle>
    <tableStyle name="表格樣式 1" pivot="0" count="3" xr9:uid="{B2333948-77E3-4F8B-A1F9-572CD2D8E4C1}">
      <tableStyleElement type="headerRow" dxfId="115"/>
      <tableStyleElement type="firstRowStripe" dxfId="114"/>
      <tableStyleElement type="secondRowStripe" dxfId="113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Owner\Google%20&#38642;&#31471;&#30828;&#30879;\2.&#26989;&#31649;&#37096;\Jing\2018&#24180;&#25910;&#25903;&#26126;&#32048;&#34920;-&#33258;&#26377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總表"/>
      <sheetName val="日租滿房率"/>
      <sheetName val="各房源支出統計"/>
      <sheetName val="1-永吉"/>
      <sheetName val="2-141"/>
      <sheetName val="3-溫州"/>
      <sheetName val="4-寒舍"/>
      <sheetName val="5-安和雅企"/>
      <sheetName val="6-敦南薈館"/>
      <sheetName val="8-159-1"/>
      <sheetName val="7-公司"/>
      <sheetName val="9-崇德"/>
      <sheetName val="10-景新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6">
          <cell r="O6">
            <v>63000</v>
          </cell>
          <cell r="P6">
            <v>63000</v>
          </cell>
          <cell r="Q6">
            <v>63000</v>
          </cell>
          <cell r="R6">
            <v>0</v>
          </cell>
        </row>
      </sheetData>
      <sheetData sheetId="9"/>
      <sheetData sheetId="10"/>
      <sheetData sheetId="11"/>
      <sheetData sheetId="12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" refreshedDate="45410.758438310186" createdVersion="8" refreshedVersion="8" minRefreshableVersion="3" recordCount="96" xr:uid="{16B78670-9D23-4E15-BEA4-9A5B93EB2163}">
  <cacheSource type="worksheet">
    <worksheetSource ref="A1:H97" sheet="短租彙總"/>
  </cacheSource>
  <cacheFields count="8">
    <cacheField name="月份" numFmtId="0">
      <sharedItems count="12">
        <s v="106/01"/>
        <s v="106/02"/>
        <s v="106/03"/>
        <s v="106/04"/>
        <s v="106/05"/>
        <s v="106/06"/>
        <s v="106/07"/>
        <s v="106/08"/>
        <s v="106/09"/>
        <s v="106/10"/>
        <s v="106/11"/>
        <s v="106/12"/>
      </sharedItems>
    </cacheField>
    <cacheField name="地點" numFmtId="0">
      <sharedItems count="8">
        <s v="永吉A"/>
        <s v="永吉B"/>
        <s v="永吉C"/>
        <s v="141A"/>
        <s v="141B"/>
        <s v="141C"/>
        <s v="溫州"/>
        <s v="寒舍B or D"/>
      </sharedItems>
    </cacheField>
    <cacheField name="核算點" numFmtId="177">
      <sharedItems containsSemiMixedTypes="0" containsString="0" containsNumber="1" containsInteger="1" minValue="22000" maxValue="35000"/>
    </cacheField>
    <cacheField name="租金" numFmtId="177">
      <sharedItems containsString="0" containsBlank="1" containsNumber="1" containsInteger="1" minValue="6484" maxValue="67106"/>
    </cacheField>
    <cacheField name="空房日" numFmtId="0">
      <sharedItems containsString="0" containsBlank="1" containsNumber="1" containsInteger="1" minValue="0" maxValue="17"/>
    </cacheField>
    <cacheField name="滿屋率" numFmtId="10">
      <sharedItems containsString="0" containsBlank="1" containsNumber="1" minValue="0.43333333333333335" maxValue="1"/>
    </cacheField>
    <cacheField name="出租天數" numFmtId="0">
      <sharedItems containsString="0" containsBlank="1" containsNumber="1" containsInteger="1" minValue="24" maxValue="31"/>
    </cacheField>
    <cacheField name="日成本" numFmtId="183">
      <sharedItems containsSemiMixedTypes="0" containsString="0" containsNumber="1" minValue="733.33333333333337" maxValue="1166.66666666666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Chang" refreshedDate="45410.829689814818" createdVersion="8" refreshedVersion="8" minRefreshableVersion="3" recordCount="131" xr:uid="{5369728C-4430-48D1-81A7-E42D84DF9BB1}">
  <cacheSource type="worksheet">
    <worksheetSource ref="A1:L132" sheet="長租彙總"/>
  </cacheSource>
  <cacheFields count="12">
    <cacheField name="地點" numFmtId="0">
      <sharedItems containsMixedTypes="1" containsNumber="1" containsInteger="1" minValue="141" maxValue="141" count="9">
        <s v="永吉"/>
        <n v="141"/>
        <s v="寒舍"/>
        <s v="安和雅企"/>
        <s v="敦南薈館"/>
        <s v="公司"/>
        <s v="159-1"/>
        <s v="崇德"/>
        <s v="景新"/>
      </sharedItems>
    </cacheField>
    <cacheField name="房號" numFmtId="0">
      <sharedItems count="6">
        <s v="B"/>
        <s v="A"/>
        <s v="C"/>
        <s v="D"/>
        <s v="E"/>
        <s v="F"/>
      </sharedItems>
    </cacheField>
    <cacheField name="月份" numFmtId="0">
      <sharedItems count="12">
        <s v="106/09"/>
        <s v="106/10"/>
        <s v="106/11"/>
        <s v="106/12"/>
        <s v="106/07"/>
        <s v="106/08"/>
        <s v="106/06"/>
        <s v="106/04"/>
        <s v="106/05"/>
        <s v="106/01"/>
        <s v="106/02"/>
        <s v="106/03"/>
      </sharedItems>
    </cacheField>
    <cacheField name="姓名" numFmtId="0">
      <sharedItems count="25">
        <s v="Faisal Sabbagh"/>
        <s v="邱柏峻"/>
        <s v="Conor Prunty "/>
        <s v="當間一盛"/>
        <s v="Joseph Davies"/>
        <s v="黃招穎"/>
        <s v="Punyi"/>
        <s v="陳志誠"/>
        <s v="Ola"/>
        <s v="王學禮"/>
        <s v="張佳蕊"/>
        <s v="林一順"/>
        <s v="王繹嘉"/>
        <s v="何佳儒"/>
        <s v="蘇予昕"/>
        <s v="黃偉寧"/>
        <s v="簡杏如"/>
        <s v="趙翊辰"/>
        <s v="柯亭伃"/>
        <s v="Kellie"/>
        <s v="邱雅琳"/>
        <s v="施沛岑"/>
        <s v="陳思穎"/>
        <s v="Renan Guevara"/>
        <s v="許紹君"/>
      </sharedItems>
    </cacheField>
    <cacheField name="聯絡電話" numFmtId="0">
      <sharedItems containsBlank="1"/>
    </cacheField>
    <cacheField name="租期" numFmtId="0">
      <sharedItems count="55">
        <s v="106/8/30~106/11/10"/>
        <s v="106/9/1~107/3/31"/>
        <s v="106/7/18~106/10/18"/>
        <s v="106/5/30~106/11/30"/>
        <s v="106/8/8~107/2/8"/>
        <s v="106/09/1-107/02/1"/>
        <s v="106/09/1-107/02/2"/>
        <s v="106/09/1-107/02/3"/>
        <s v="106/09/1-107/02/4"/>
        <s v="106/8/1~107/7/31"/>
        <s v="106/8/1~107/7/32"/>
        <s v="106/8/1~107/7/33"/>
        <s v="106/8/1~107/7/34"/>
        <s v="106/8/1~107/7/35"/>
        <s v="106/06/25-107/06/24"/>
        <s v="106/06/25-107/06/25"/>
        <s v="106/06/25-107/06/26"/>
        <s v="106/06/25-107/06/27"/>
        <s v="106/06/25-107/06/28"/>
        <s v="106/06/25-107/06/29"/>
        <s v="106/06/25-107/06/30"/>
        <s v="106/8/11-107/03/11"/>
        <s v="106/8/11-107/03/12"/>
        <s v="106/8/11-107/03/13"/>
        <s v="106/8/11-107/03/14"/>
        <s v="106/8/11-107/03/15"/>
        <s v="106/7/20~107/1/20"/>
        <s v="106/04/15-106/10/31"/>
        <s v="106/04/15-106/10/32"/>
        <s v="106/04/15-106/10/33"/>
        <s v="106/04/15-106/10/34"/>
        <s v="106/04/15-106/10/35"/>
        <s v="106/04/15-106/10/36"/>
        <s v="106/04/15-106/10/37"/>
        <s v="106/04/26-107/04/25"/>
        <s v="105/09/25-106/09/30"/>
        <s v="106/07/01-107/06/30"/>
        <s v="106/12/16-107/08/31"/>
        <s v="106/07/01-107/06/31"/>
        <s v="106/07/01-107/06/32"/>
        <s v="106/07/01-107/06/33"/>
        <s v="106/07/01-107/06/34"/>
        <s v="106/07/01-107/06/35"/>
        <s v="106/09/14-107/09/30"/>
        <s v="106/9/9-107/3/8"/>
        <s v="106/9/9-107/3/9"/>
        <s v="106/9/9-107/3/10"/>
        <s v="106/9/9-107/3/11"/>
        <s v="106/10/7-107/10/31"/>
        <s v="106/8/16-107/2/16"/>
        <s v="106/01/05-106/06/04"/>
        <s v="106/07/15-107/12/31"/>
        <s v="106/04/01-106/09/30"/>
        <s v="106/8/10 一年"/>
        <s v="105/07/01-106/06/31"/>
      </sharedItems>
    </cacheField>
    <cacheField name="收租日" numFmtId="190">
      <sharedItems containsDate="1" containsBlank="1" containsMixedTypes="1" minDate="2017-01-07T00:00:00" maxDate="2017-12-17T00:00:00"/>
    </cacheField>
    <cacheField name="租金" numFmtId="3">
      <sharedItems containsString="0" containsBlank="1" containsNumber="1" minValue="5600" maxValue="35000"/>
    </cacheField>
    <cacheField name="押金" numFmtId="3">
      <sharedItems containsString="0" containsBlank="1" containsNumber="1" containsInteger="1" minValue="10000" maxValue="70000"/>
    </cacheField>
    <cacheField name="抄表度數" numFmtId="0">
      <sharedItems containsBlank="1" containsMixedTypes="1" containsNumber="1" containsInteger="1" minValue="168" maxValue="84882"/>
    </cacheField>
    <cacheField name="電費" numFmtId="3">
      <sharedItems containsString="0" containsBlank="1" containsNumber="1" minValue="0" maxValue="3806"/>
    </cacheField>
    <cacheField name="備註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6">
  <r>
    <x v="0"/>
    <x v="0"/>
    <n v="30000"/>
    <n v="30000"/>
    <n v="0"/>
    <n v="1"/>
    <n v="31"/>
    <n v="1000"/>
  </r>
  <r>
    <x v="1"/>
    <x v="0"/>
    <n v="30000"/>
    <n v="30000"/>
    <n v="0"/>
    <n v="1"/>
    <n v="28"/>
    <n v="1000"/>
  </r>
  <r>
    <x v="2"/>
    <x v="0"/>
    <n v="30000"/>
    <n v="30000"/>
    <n v="0"/>
    <n v="1"/>
    <n v="31"/>
    <n v="1000"/>
  </r>
  <r>
    <x v="3"/>
    <x v="0"/>
    <n v="30000"/>
    <n v="6484"/>
    <n v="0"/>
    <n v="1"/>
    <n v="30"/>
    <n v="1000"/>
  </r>
  <r>
    <x v="4"/>
    <x v="0"/>
    <n v="30000"/>
    <n v="41431"/>
    <n v="4"/>
    <n v="0.87096774193548387"/>
    <n v="31"/>
    <n v="1000"/>
  </r>
  <r>
    <x v="5"/>
    <x v="0"/>
    <n v="30000"/>
    <n v="31734"/>
    <n v="12"/>
    <n v="0.6"/>
    <n v="30"/>
    <n v="1000"/>
  </r>
  <r>
    <x v="6"/>
    <x v="0"/>
    <n v="30000"/>
    <n v="46963"/>
    <n v="5"/>
    <n v="0.83870967741935487"/>
    <n v="31"/>
    <n v="1000"/>
  </r>
  <r>
    <x v="7"/>
    <x v="0"/>
    <n v="30000"/>
    <n v="34574"/>
    <n v="11"/>
    <n v="0.64516129032258063"/>
    <n v="31"/>
    <n v="1000"/>
  </r>
  <r>
    <x v="8"/>
    <x v="0"/>
    <n v="30000"/>
    <n v="26944"/>
    <n v="16"/>
    <n v="0.46666666666666667"/>
    <n v="30"/>
    <n v="1000"/>
  </r>
  <r>
    <x v="9"/>
    <x v="0"/>
    <n v="30000"/>
    <n v="40620"/>
    <n v="9"/>
    <n v="0.70967741935483875"/>
    <n v="31"/>
    <n v="1000"/>
  </r>
  <r>
    <x v="10"/>
    <x v="0"/>
    <n v="30000"/>
    <n v="44065"/>
    <n v="6"/>
    <n v="0.75"/>
    <n v="24"/>
    <n v="1000"/>
  </r>
  <r>
    <x v="11"/>
    <x v="0"/>
    <n v="30000"/>
    <n v="65414"/>
    <n v="5"/>
    <n v="0.83870967741935487"/>
    <n v="31"/>
    <n v="1000"/>
  </r>
  <r>
    <x v="0"/>
    <x v="1"/>
    <n v="30000"/>
    <n v="57641"/>
    <n v="0"/>
    <n v="1"/>
    <n v="31"/>
    <n v="1000"/>
  </r>
  <r>
    <x v="1"/>
    <x v="1"/>
    <n v="30000"/>
    <n v="33705"/>
    <n v="0"/>
    <n v="1"/>
    <n v="28"/>
    <n v="1000"/>
  </r>
  <r>
    <x v="2"/>
    <x v="1"/>
    <n v="30000"/>
    <n v="41854"/>
    <n v="0"/>
    <n v="1"/>
    <n v="31"/>
    <n v="1000"/>
  </r>
  <r>
    <x v="3"/>
    <x v="1"/>
    <n v="30000"/>
    <n v="42952"/>
    <n v="7"/>
    <n v="0.76666666666666672"/>
    <n v="30"/>
    <n v="1000"/>
  </r>
  <r>
    <x v="4"/>
    <x v="1"/>
    <n v="30000"/>
    <n v="38772"/>
    <n v="9"/>
    <n v="0.70967741935483875"/>
    <n v="31"/>
    <n v="1000"/>
  </r>
  <r>
    <x v="5"/>
    <x v="1"/>
    <n v="30000"/>
    <n v="36786"/>
    <n v="7"/>
    <n v="0.76666666666666672"/>
    <n v="30"/>
    <n v="1000"/>
  </r>
  <r>
    <x v="6"/>
    <x v="1"/>
    <n v="30000"/>
    <n v="34549"/>
    <n v="9"/>
    <n v="0.70967741935483875"/>
    <n v="31"/>
    <n v="1000"/>
  </r>
  <r>
    <x v="7"/>
    <x v="1"/>
    <n v="30000"/>
    <n v="34802"/>
    <n v="7"/>
    <n v="0.77419354838709675"/>
    <n v="31"/>
    <n v="1000"/>
  </r>
  <r>
    <x v="8"/>
    <x v="1"/>
    <n v="30000"/>
    <n v="33000"/>
    <n v="0"/>
    <n v="1"/>
    <n v="30"/>
    <n v="1000"/>
  </r>
  <r>
    <x v="9"/>
    <x v="1"/>
    <n v="30000"/>
    <n v="33000"/>
    <n v="0"/>
    <n v="1"/>
    <n v="31"/>
    <n v="1000"/>
  </r>
  <r>
    <x v="10"/>
    <x v="1"/>
    <n v="30000"/>
    <n v="24086"/>
    <n v="10"/>
    <n v="0.58333333333333337"/>
    <n v="24"/>
    <n v="1000"/>
  </r>
  <r>
    <x v="11"/>
    <x v="1"/>
    <n v="30000"/>
    <n v="57251"/>
    <n v="3"/>
    <n v="0.90322580645161288"/>
    <n v="31"/>
    <n v="1000"/>
  </r>
  <r>
    <x v="0"/>
    <x v="2"/>
    <n v="32000"/>
    <n v="59736"/>
    <n v="0"/>
    <n v="1"/>
    <n v="31"/>
    <n v="1066.6666666666667"/>
  </r>
  <r>
    <x v="1"/>
    <x v="2"/>
    <n v="32000"/>
    <n v="54940"/>
    <n v="0"/>
    <n v="1"/>
    <n v="28"/>
    <n v="1066.6666666666667"/>
  </r>
  <r>
    <x v="2"/>
    <x v="2"/>
    <n v="32000"/>
    <n v="46602"/>
    <n v="0"/>
    <n v="1"/>
    <n v="31"/>
    <n v="1066.6666666666667"/>
  </r>
  <r>
    <x v="3"/>
    <x v="2"/>
    <n v="32000"/>
    <n v="60810"/>
    <n v="1"/>
    <n v="0.96666666666666667"/>
    <n v="30"/>
    <n v="1066.6666666666667"/>
  </r>
  <r>
    <x v="4"/>
    <x v="2"/>
    <n v="32000"/>
    <n v="61282"/>
    <n v="1"/>
    <n v="0.967741935483871"/>
    <n v="31"/>
    <n v="1066.6666666666667"/>
  </r>
  <r>
    <x v="5"/>
    <x v="2"/>
    <n v="32000"/>
    <n v="59205"/>
    <n v="3"/>
    <n v="0.9"/>
    <n v="30"/>
    <n v="1066.6666666666667"/>
  </r>
  <r>
    <x v="6"/>
    <x v="2"/>
    <n v="32000"/>
    <n v="64156"/>
    <n v="3"/>
    <n v="0.90322580645161288"/>
    <n v="31"/>
    <n v="1066.6666666666667"/>
  </r>
  <r>
    <x v="7"/>
    <x v="2"/>
    <n v="32000"/>
    <n v="50101"/>
    <n v="8"/>
    <n v="0.74193548387096775"/>
    <n v="31"/>
    <n v="1066.6666666666667"/>
  </r>
  <r>
    <x v="8"/>
    <x v="2"/>
    <n v="32000"/>
    <n v="59280"/>
    <n v="3"/>
    <n v="0.9"/>
    <n v="30"/>
    <n v="1066.6666666666667"/>
  </r>
  <r>
    <x v="9"/>
    <x v="2"/>
    <n v="32000"/>
    <n v="57039"/>
    <n v="5"/>
    <n v="0.83870967741935487"/>
    <n v="31"/>
    <n v="1066.6666666666667"/>
  </r>
  <r>
    <x v="10"/>
    <x v="2"/>
    <n v="32000"/>
    <n v="55868"/>
    <n v="5"/>
    <n v="0.79166666666666663"/>
    <n v="24"/>
    <n v="1066.6666666666667"/>
  </r>
  <r>
    <x v="11"/>
    <x v="2"/>
    <n v="32000"/>
    <n v="67106"/>
    <n v="6"/>
    <n v="0.80645161290322576"/>
    <n v="31"/>
    <n v="1066.6666666666667"/>
  </r>
  <r>
    <x v="0"/>
    <x v="3"/>
    <n v="30000"/>
    <n v="46514"/>
    <n v="0"/>
    <n v="1"/>
    <n v="31"/>
    <n v="1000"/>
  </r>
  <r>
    <x v="1"/>
    <x v="3"/>
    <n v="30000"/>
    <n v="31836"/>
    <n v="0"/>
    <n v="1"/>
    <n v="28"/>
    <n v="1000"/>
  </r>
  <r>
    <x v="2"/>
    <x v="3"/>
    <n v="30000"/>
    <n v="37688"/>
    <n v="0"/>
    <n v="1"/>
    <n v="31"/>
    <n v="1000"/>
  </r>
  <r>
    <x v="3"/>
    <x v="3"/>
    <n v="30000"/>
    <n v="37327"/>
    <n v="2"/>
    <n v="0.93333333333333335"/>
    <n v="30"/>
    <n v="1000"/>
  </r>
  <r>
    <x v="4"/>
    <x v="3"/>
    <n v="30000"/>
    <n v="41031"/>
    <n v="6"/>
    <n v="0.80645161290322576"/>
    <n v="31"/>
    <n v="1000"/>
  </r>
  <r>
    <x v="5"/>
    <x v="3"/>
    <n v="30000"/>
    <n v="48438"/>
    <n v="0"/>
    <n v="1"/>
    <n v="30"/>
    <n v="1000"/>
  </r>
  <r>
    <x v="6"/>
    <x v="3"/>
    <n v="30000"/>
    <n v="46097"/>
    <n v="3"/>
    <n v="0.90322580645161288"/>
    <n v="31"/>
    <n v="1000"/>
  </r>
  <r>
    <x v="7"/>
    <x v="3"/>
    <n v="30000"/>
    <n v="21877"/>
    <n v="15"/>
    <n v="0.5161290322580645"/>
    <n v="31"/>
    <n v="1000"/>
  </r>
  <r>
    <x v="8"/>
    <x v="3"/>
    <n v="30000"/>
    <m/>
    <m/>
    <m/>
    <m/>
    <n v="1000"/>
  </r>
  <r>
    <x v="9"/>
    <x v="3"/>
    <n v="30000"/>
    <m/>
    <m/>
    <m/>
    <m/>
    <n v="1000"/>
  </r>
  <r>
    <x v="10"/>
    <x v="3"/>
    <n v="30000"/>
    <n v="35163"/>
    <n v="3"/>
    <n v="0.875"/>
    <n v="24"/>
    <n v="1000"/>
  </r>
  <r>
    <x v="11"/>
    <x v="3"/>
    <n v="30000"/>
    <n v="56157"/>
    <n v="1"/>
    <n v="0.967741935483871"/>
    <n v="31"/>
    <n v="1000"/>
  </r>
  <r>
    <x v="0"/>
    <x v="4"/>
    <n v="28000"/>
    <n v="38870"/>
    <n v="0"/>
    <n v="1"/>
    <n v="31"/>
    <n v="933.33333333333337"/>
  </r>
  <r>
    <x v="1"/>
    <x v="4"/>
    <n v="28000"/>
    <n v="29271"/>
    <n v="0"/>
    <n v="1"/>
    <n v="28"/>
    <n v="933.33333333333337"/>
  </r>
  <r>
    <x v="2"/>
    <x v="4"/>
    <n v="28000"/>
    <n v="26800"/>
    <n v="0"/>
    <m/>
    <n v="31"/>
    <n v="933.33333333333337"/>
  </r>
  <r>
    <x v="3"/>
    <x v="4"/>
    <n v="28000"/>
    <n v="35803"/>
    <n v="2"/>
    <n v="0.93333333333333335"/>
    <n v="30"/>
    <n v="933.33333333333337"/>
  </r>
  <r>
    <x v="4"/>
    <x v="4"/>
    <n v="28000"/>
    <n v="36598"/>
    <n v="5"/>
    <n v="0.83870967741935487"/>
    <n v="31"/>
    <n v="933.33333333333337"/>
  </r>
  <r>
    <x v="5"/>
    <x v="4"/>
    <n v="28000"/>
    <n v="36079"/>
    <n v="4"/>
    <n v="0.8666666666666667"/>
    <n v="30"/>
    <n v="933.33333333333337"/>
  </r>
  <r>
    <x v="6"/>
    <x v="4"/>
    <n v="28000"/>
    <n v="40191"/>
    <n v="7"/>
    <n v="0.77419354838709675"/>
    <n v="31"/>
    <n v="933.33333333333337"/>
  </r>
  <r>
    <x v="7"/>
    <x v="4"/>
    <n v="28000"/>
    <n v="33531"/>
    <n v="3"/>
    <n v="0.90322580645161288"/>
    <n v="31"/>
    <n v="933.33333333333337"/>
  </r>
  <r>
    <x v="8"/>
    <x v="4"/>
    <n v="28000"/>
    <n v="32493"/>
    <n v="9"/>
    <n v="0.7"/>
    <n v="30"/>
    <n v="933.33333333333337"/>
  </r>
  <r>
    <x v="9"/>
    <x v="4"/>
    <n v="28000"/>
    <n v="23083"/>
    <n v="16"/>
    <n v="0.4838709677419355"/>
    <n v="31"/>
    <n v="933.33333333333337"/>
  </r>
  <r>
    <x v="10"/>
    <x v="4"/>
    <n v="28000"/>
    <m/>
    <m/>
    <m/>
    <m/>
    <n v="933.33333333333337"/>
  </r>
  <r>
    <x v="11"/>
    <x v="4"/>
    <n v="28000"/>
    <m/>
    <m/>
    <m/>
    <m/>
    <n v="933.33333333333337"/>
  </r>
  <r>
    <x v="0"/>
    <x v="5"/>
    <n v="26000"/>
    <n v="25139"/>
    <n v="0"/>
    <n v="1"/>
    <n v="31"/>
    <n v="866.66666666666663"/>
  </r>
  <r>
    <x v="1"/>
    <x v="5"/>
    <n v="26000"/>
    <n v="23046"/>
    <n v="0"/>
    <n v="1"/>
    <n v="28"/>
    <n v="866.66666666666663"/>
  </r>
  <r>
    <x v="2"/>
    <x v="5"/>
    <n v="26000"/>
    <n v="31557"/>
    <n v="0"/>
    <n v="1"/>
    <n v="31"/>
    <n v="866.66666666666663"/>
  </r>
  <r>
    <x v="3"/>
    <x v="5"/>
    <n v="26000"/>
    <n v="30854"/>
    <n v="5"/>
    <n v="0.83333333333333337"/>
    <n v="30"/>
    <n v="866.66666666666663"/>
  </r>
  <r>
    <x v="4"/>
    <x v="5"/>
    <n v="26000"/>
    <n v="36190"/>
    <n v="1"/>
    <n v="0.967741935483871"/>
    <n v="31"/>
    <n v="866.66666666666663"/>
  </r>
  <r>
    <x v="5"/>
    <x v="5"/>
    <n v="26000"/>
    <n v="33041"/>
    <n v="4"/>
    <n v="0.8666666666666667"/>
    <n v="30"/>
    <n v="866.66666666666663"/>
  </r>
  <r>
    <x v="6"/>
    <x v="5"/>
    <n v="26000"/>
    <m/>
    <m/>
    <m/>
    <m/>
    <n v="866.66666666666663"/>
  </r>
  <r>
    <x v="7"/>
    <x v="5"/>
    <n v="26000"/>
    <m/>
    <m/>
    <m/>
    <m/>
    <n v="866.66666666666663"/>
  </r>
  <r>
    <x v="8"/>
    <x v="5"/>
    <n v="26000"/>
    <m/>
    <m/>
    <m/>
    <m/>
    <n v="866.66666666666663"/>
  </r>
  <r>
    <x v="9"/>
    <x v="5"/>
    <n v="26000"/>
    <m/>
    <m/>
    <m/>
    <m/>
    <n v="866.66666666666663"/>
  </r>
  <r>
    <x v="10"/>
    <x v="5"/>
    <n v="26000"/>
    <m/>
    <n v="4"/>
    <n v="0.83333333333333337"/>
    <n v="24"/>
    <n v="866.66666666666663"/>
  </r>
  <r>
    <x v="11"/>
    <x v="5"/>
    <n v="26000"/>
    <n v="41988"/>
    <n v="2"/>
    <n v="0.93548387096774188"/>
    <n v="31"/>
    <n v="866.66666666666663"/>
  </r>
  <r>
    <x v="0"/>
    <x v="6"/>
    <n v="35000"/>
    <n v="54569"/>
    <n v="0"/>
    <n v="1"/>
    <n v="31"/>
    <n v="1166.6666666666667"/>
  </r>
  <r>
    <x v="1"/>
    <x v="6"/>
    <n v="35000"/>
    <n v="40441"/>
    <n v="0"/>
    <n v="1"/>
    <n v="28"/>
    <n v="1166.6666666666667"/>
  </r>
  <r>
    <x v="2"/>
    <x v="6"/>
    <n v="35000"/>
    <n v="37574"/>
    <n v="0"/>
    <n v="1"/>
    <n v="31"/>
    <n v="1166.6666666666667"/>
  </r>
  <r>
    <x v="3"/>
    <x v="6"/>
    <n v="35000"/>
    <n v="47130"/>
    <n v="6"/>
    <n v="0.8"/>
    <n v="30"/>
    <n v="1166.6666666666667"/>
  </r>
  <r>
    <x v="4"/>
    <x v="6"/>
    <n v="35000"/>
    <n v="40302"/>
    <n v="10"/>
    <n v="0.67741935483870963"/>
    <n v="31"/>
    <n v="1166.6666666666667"/>
  </r>
  <r>
    <x v="5"/>
    <x v="6"/>
    <n v="35000"/>
    <n v="40830"/>
    <n v="2"/>
    <n v="0.93333333333333335"/>
    <n v="30"/>
    <n v="1166.6666666666667"/>
  </r>
  <r>
    <x v="6"/>
    <x v="6"/>
    <n v="35000"/>
    <n v="45205"/>
    <n v="0"/>
    <n v="1"/>
    <n v="31"/>
    <n v="1166.6666666666667"/>
  </r>
  <r>
    <x v="7"/>
    <x v="6"/>
    <n v="35000"/>
    <n v="45205"/>
    <n v="0"/>
    <n v="1"/>
    <n v="31"/>
    <n v="1166.6666666666667"/>
  </r>
  <r>
    <x v="8"/>
    <x v="6"/>
    <n v="35000"/>
    <n v="24319"/>
    <n v="17"/>
    <n v="0.43333333333333335"/>
    <n v="30"/>
    <n v="1166.6666666666667"/>
  </r>
  <r>
    <x v="9"/>
    <x v="6"/>
    <n v="35000"/>
    <n v="35226"/>
    <n v="0"/>
    <n v="1"/>
    <n v="31"/>
    <n v="1166.6666666666667"/>
  </r>
  <r>
    <x v="10"/>
    <x v="6"/>
    <n v="35000"/>
    <n v="31465"/>
    <n v="10"/>
    <n v="0.58333333333333337"/>
    <n v="24"/>
    <n v="1166.6666666666667"/>
  </r>
  <r>
    <x v="11"/>
    <x v="6"/>
    <n v="35000"/>
    <n v="58953"/>
    <n v="9"/>
    <n v="0.70967741935483875"/>
    <n v="31"/>
    <n v="1166.6666666666667"/>
  </r>
  <r>
    <x v="0"/>
    <x v="7"/>
    <n v="22000"/>
    <m/>
    <m/>
    <n v="1"/>
    <n v="31"/>
    <n v="733.33333333333337"/>
  </r>
  <r>
    <x v="1"/>
    <x v="7"/>
    <n v="22000"/>
    <n v="23148"/>
    <n v="0"/>
    <n v="1"/>
    <n v="28"/>
    <n v="733.33333333333337"/>
  </r>
  <r>
    <x v="2"/>
    <x v="7"/>
    <n v="22000"/>
    <n v="19906"/>
    <n v="0"/>
    <n v="1"/>
    <n v="31"/>
    <n v="733.33333333333337"/>
  </r>
  <r>
    <x v="3"/>
    <x v="7"/>
    <n v="22000"/>
    <m/>
    <m/>
    <n v="1"/>
    <n v="30"/>
    <n v="733.33333333333337"/>
  </r>
  <r>
    <x v="4"/>
    <x v="7"/>
    <n v="22000"/>
    <m/>
    <m/>
    <n v="1"/>
    <n v="31"/>
    <n v="733.33333333333337"/>
  </r>
  <r>
    <x v="5"/>
    <x v="7"/>
    <n v="22000"/>
    <m/>
    <m/>
    <n v="1"/>
    <n v="30"/>
    <n v="733.33333333333337"/>
  </r>
  <r>
    <x v="6"/>
    <x v="7"/>
    <n v="22000"/>
    <m/>
    <m/>
    <n v="1"/>
    <n v="31"/>
    <n v="733.33333333333337"/>
  </r>
  <r>
    <x v="7"/>
    <x v="7"/>
    <n v="22000"/>
    <m/>
    <m/>
    <n v="1"/>
    <n v="31"/>
    <n v="733.33333333333337"/>
  </r>
  <r>
    <x v="8"/>
    <x v="7"/>
    <n v="22000"/>
    <m/>
    <m/>
    <n v="1"/>
    <n v="30"/>
    <n v="733.33333333333337"/>
  </r>
  <r>
    <x v="9"/>
    <x v="7"/>
    <n v="22000"/>
    <m/>
    <m/>
    <n v="1"/>
    <n v="31"/>
    <n v="733.33333333333337"/>
  </r>
  <r>
    <x v="10"/>
    <x v="7"/>
    <n v="22000"/>
    <m/>
    <m/>
    <n v="1"/>
    <n v="24"/>
    <n v="733.33333333333337"/>
  </r>
  <r>
    <x v="11"/>
    <x v="7"/>
    <n v="22000"/>
    <m/>
    <m/>
    <n v="1"/>
    <n v="31"/>
    <n v="733.333333333333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1">
  <r>
    <x v="0"/>
    <x v="0"/>
    <x v="0"/>
    <x v="0"/>
    <m/>
    <x v="0"/>
    <s v="106/8/30"/>
    <n v="33000"/>
    <n v="33000"/>
    <m/>
    <m/>
    <m/>
  </r>
  <r>
    <x v="0"/>
    <x v="0"/>
    <x v="1"/>
    <x v="0"/>
    <m/>
    <x v="0"/>
    <s v="106/10/4"/>
    <n v="33000"/>
    <m/>
    <m/>
    <m/>
    <m/>
  </r>
  <r>
    <x v="1"/>
    <x v="1"/>
    <x v="0"/>
    <x v="1"/>
    <m/>
    <x v="1"/>
    <s v="106/9/4"/>
    <n v="28000"/>
    <n v="28000"/>
    <n v="6059"/>
    <m/>
    <s v="一次付七個月 已全付清"/>
  </r>
  <r>
    <x v="1"/>
    <x v="1"/>
    <x v="1"/>
    <x v="1"/>
    <m/>
    <x v="1"/>
    <s v="106/9/4"/>
    <n v="28000"/>
    <m/>
    <n v="6299"/>
    <n v="1320"/>
    <m/>
  </r>
  <r>
    <x v="1"/>
    <x v="1"/>
    <x v="2"/>
    <x v="1"/>
    <m/>
    <x v="1"/>
    <s v="106/9/4"/>
    <n v="28000"/>
    <m/>
    <m/>
    <m/>
    <m/>
  </r>
  <r>
    <x v="1"/>
    <x v="1"/>
    <x v="3"/>
    <x v="1"/>
    <m/>
    <x v="1"/>
    <s v="106/9/4"/>
    <n v="28000"/>
    <m/>
    <m/>
    <m/>
    <m/>
  </r>
  <r>
    <x v="1"/>
    <x v="2"/>
    <x v="4"/>
    <x v="2"/>
    <s v="0975-702-979"/>
    <x v="2"/>
    <s v="106/7/18"/>
    <n v="24195.580645161292"/>
    <m/>
    <n v="5799"/>
    <m/>
    <s v="7/17 收訂金5000 7/18 收60000"/>
  </r>
  <r>
    <x v="1"/>
    <x v="2"/>
    <x v="5"/>
    <x v="2"/>
    <s v="0975-702-979"/>
    <x v="2"/>
    <s v="106/7/18"/>
    <n v="27000"/>
    <m/>
    <n v="5827"/>
    <n v="154"/>
    <m/>
  </r>
  <r>
    <x v="1"/>
    <x v="2"/>
    <x v="0"/>
    <x v="2"/>
    <s v="0975-702-979"/>
    <x v="2"/>
    <s v="106/7/19"/>
    <n v="27000"/>
    <m/>
    <n v="5931"/>
    <n v="572"/>
    <m/>
  </r>
  <r>
    <x v="1"/>
    <x v="2"/>
    <x v="1"/>
    <x v="2"/>
    <s v="0975-702-979"/>
    <x v="2"/>
    <s v="106/7/19"/>
    <n v="15677.41935483871"/>
    <m/>
    <m/>
    <m/>
    <m/>
  </r>
  <r>
    <x v="2"/>
    <x v="1"/>
    <x v="6"/>
    <x v="3"/>
    <s v="0965-453-260"/>
    <x v="3"/>
    <s v="106/6/8"/>
    <n v="20000"/>
    <n v="40000"/>
    <s v="6369~6511"/>
    <n v="781"/>
    <m/>
  </r>
  <r>
    <x v="2"/>
    <x v="1"/>
    <x v="4"/>
    <x v="3"/>
    <s v="0965-453-261"/>
    <x v="3"/>
    <s v="106/6/23"/>
    <n v="20000"/>
    <m/>
    <m/>
    <m/>
    <m/>
  </r>
  <r>
    <x v="2"/>
    <x v="1"/>
    <x v="5"/>
    <x v="3"/>
    <s v="0965-453-262"/>
    <x v="3"/>
    <s v="106/6/23"/>
    <n v="20000"/>
    <m/>
    <n v="6647"/>
    <n v="748"/>
    <m/>
  </r>
  <r>
    <x v="2"/>
    <x v="1"/>
    <x v="0"/>
    <x v="3"/>
    <s v="0965-453-263"/>
    <x v="3"/>
    <s v="106/9/10"/>
    <n v="20000"/>
    <m/>
    <n v="6817"/>
    <n v="935"/>
    <m/>
  </r>
  <r>
    <x v="2"/>
    <x v="1"/>
    <x v="1"/>
    <x v="3"/>
    <s v="0965-453-264"/>
    <x v="3"/>
    <s v="106/10/6"/>
    <n v="20000"/>
    <m/>
    <n v="7021"/>
    <n v="1122"/>
    <m/>
  </r>
  <r>
    <x v="2"/>
    <x v="1"/>
    <x v="2"/>
    <x v="3"/>
    <s v="0965-453-265"/>
    <x v="3"/>
    <s v="106/11/8"/>
    <n v="20000"/>
    <m/>
    <n v="7131"/>
    <n v="605"/>
    <m/>
  </r>
  <r>
    <x v="2"/>
    <x v="1"/>
    <x v="3"/>
    <x v="3"/>
    <s v="0965-453-266"/>
    <x v="3"/>
    <s v="106/12/12"/>
    <n v="20000"/>
    <m/>
    <m/>
    <m/>
    <m/>
  </r>
  <r>
    <x v="2"/>
    <x v="0"/>
    <x v="5"/>
    <x v="4"/>
    <m/>
    <x v="4"/>
    <s v="106/8/8"/>
    <n v="34556"/>
    <n v="34000"/>
    <n v="7324"/>
    <n v="1892"/>
    <s v="中信"/>
  </r>
  <r>
    <x v="2"/>
    <x v="0"/>
    <x v="0"/>
    <x v="4"/>
    <m/>
    <x v="4"/>
    <s v="106/9/7"/>
    <n v="25000"/>
    <m/>
    <n v="7858"/>
    <n v="2937"/>
    <m/>
  </r>
  <r>
    <x v="2"/>
    <x v="0"/>
    <x v="1"/>
    <x v="4"/>
    <m/>
    <x v="4"/>
    <s v="106/10/11"/>
    <n v="25000"/>
    <m/>
    <n v="8302"/>
    <n v="2442"/>
    <m/>
  </r>
  <r>
    <x v="2"/>
    <x v="0"/>
    <x v="2"/>
    <x v="4"/>
    <m/>
    <x v="4"/>
    <s v="106/10/11"/>
    <n v="22000"/>
    <m/>
    <n v="8556"/>
    <n v="1397"/>
    <m/>
  </r>
  <r>
    <x v="2"/>
    <x v="0"/>
    <x v="3"/>
    <x v="4"/>
    <m/>
    <x v="4"/>
    <s v="106/12/8"/>
    <n v="22000"/>
    <m/>
    <m/>
    <m/>
    <m/>
  </r>
  <r>
    <x v="2"/>
    <x v="2"/>
    <x v="0"/>
    <x v="5"/>
    <m/>
    <x v="5"/>
    <s v="106/9/18"/>
    <n v="30166"/>
    <n v="10000"/>
    <n v="9599"/>
    <n v="484"/>
    <m/>
  </r>
  <r>
    <x v="2"/>
    <x v="2"/>
    <x v="1"/>
    <x v="5"/>
    <m/>
    <x v="6"/>
    <s v="106/9/18"/>
    <n v="22000"/>
    <m/>
    <n v="9773"/>
    <n v="957"/>
    <m/>
  </r>
  <r>
    <x v="2"/>
    <x v="2"/>
    <x v="2"/>
    <x v="5"/>
    <m/>
    <x v="7"/>
    <s v="106/9/18"/>
    <n v="22000"/>
    <m/>
    <n v="9979"/>
    <n v="1133"/>
    <m/>
  </r>
  <r>
    <x v="2"/>
    <x v="2"/>
    <x v="3"/>
    <x v="5"/>
    <m/>
    <x v="8"/>
    <s v="106/9/18"/>
    <n v="22000"/>
    <m/>
    <m/>
    <m/>
    <m/>
  </r>
  <r>
    <x v="2"/>
    <x v="3"/>
    <x v="5"/>
    <x v="6"/>
    <m/>
    <x v="9"/>
    <s v="106/8/1"/>
    <n v="14903"/>
    <n v="10000"/>
    <n v="7005"/>
    <n v="286"/>
    <m/>
  </r>
  <r>
    <x v="2"/>
    <x v="3"/>
    <x v="0"/>
    <x v="6"/>
    <m/>
    <x v="10"/>
    <s v="106/9/1"/>
    <n v="22000"/>
    <m/>
    <n v="7163"/>
    <n v="869"/>
    <m/>
  </r>
  <r>
    <x v="2"/>
    <x v="3"/>
    <x v="1"/>
    <x v="6"/>
    <m/>
    <x v="11"/>
    <s v="106/10/2"/>
    <n v="22000"/>
    <m/>
    <n v="7365"/>
    <n v="1111"/>
    <m/>
  </r>
  <r>
    <x v="2"/>
    <x v="3"/>
    <x v="2"/>
    <x v="6"/>
    <m/>
    <x v="12"/>
    <s v="106/11/4"/>
    <n v="22000"/>
    <m/>
    <n v="7505"/>
    <n v="770"/>
    <m/>
  </r>
  <r>
    <x v="2"/>
    <x v="3"/>
    <x v="3"/>
    <x v="6"/>
    <m/>
    <x v="13"/>
    <s v="106/12/8"/>
    <n v="22000"/>
    <m/>
    <n v="7717"/>
    <n v="1166"/>
    <m/>
  </r>
  <r>
    <x v="2"/>
    <x v="4"/>
    <x v="6"/>
    <x v="7"/>
    <s v="0919-388-587"/>
    <x v="14"/>
    <s v="6/10~7/10"/>
    <n v="22000"/>
    <n v="40000"/>
    <n v="7660"/>
    <n v="803"/>
    <s v="中信"/>
  </r>
  <r>
    <x v="2"/>
    <x v="4"/>
    <x v="4"/>
    <x v="7"/>
    <s v="0919-388-588"/>
    <x v="15"/>
    <s v="7/10~8/10"/>
    <n v="22000"/>
    <m/>
    <n v="7832"/>
    <n v="946"/>
    <m/>
  </r>
  <r>
    <x v="2"/>
    <x v="4"/>
    <x v="5"/>
    <x v="7"/>
    <s v="0919-388-589"/>
    <x v="16"/>
    <s v="106/8/1"/>
    <n v="22000"/>
    <m/>
    <n v="7986"/>
    <n v="847"/>
    <m/>
  </r>
  <r>
    <x v="2"/>
    <x v="4"/>
    <x v="0"/>
    <x v="7"/>
    <s v="0919-388-590"/>
    <x v="17"/>
    <s v="106/9/1"/>
    <n v="22000"/>
    <m/>
    <n v="8146"/>
    <n v="880"/>
    <m/>
  </r>
  <r>
    <x v="2"/>
    <x v="4"/>
    <x v="1"/>
    <x v="7"/>
    <s v="0919-388-591"/>
    <x v="18"/>
    <s v="106/10/2"/>
    <n v="22000"/>
    <m/>
    <n v="8302"/>
    <n v="858"/>
    <m/>
  </r>
  <r>
    <x v="2"/>
    <x v="4"/>
    <x v="2"/>
    <x v="7"/>
    <s v="0919-388-592"/>
    <x v="19"/>
    <s v="106/11/4"/>
    <n v="22000"/>
    <m/>
    <n v="8458"/>
    <n v="858"/>
    <m/>
  </r>
  <r>
    <x v="2"/>
    <x v="4"/>
    <x v="3"/>
    <x v="7"/>
    <s v="0919-388-593"/>
    <x v="20"/>
    <s v="106/12/8"/>
    <n v="22000"/>
    <m/>
    <m/>
    <m/>
    <m/>
  </r>
  <r>
    <x v="2"/>
    <x v="5"/>
    <x v="5"/>
    <x v="8"/>
    <m/>
    <x v="21"/>
    <d v="2017-08-11T00:00:00"/>
    <n v="22000"/>
    <n v="44000"/>
    <n v="7689"/>
    <n v="385"/>
    <s v="中信"/>
  </r>
  <r>
    <x v="2"/>
    <x v="5"/>
    <x v="0"/>
    <x v="8"/>
    <m/>
    <x v="22"/>
    <d v="2017-09-07T00:00:00"/>
    <n v="22000"/>
    <m/>
    <n v="7921"/>
    <n v="1276"/>
    <m/>
  </r>
  <r>
    <x v="2"/>
    <x v="5"/>
    <x v="1"/>
    <x v="8"/>
    <m/>
    <x v="23"/>
    <d v="2017-10-05T00:00:00"/>
    <n v="22000"/>
    <m/>
    <n v="8109"/>
    <n v="121"/>
    <m/>
  </r>
  <r>
    <x v="2"/>
    <x v="5"/>
    <x v="2"/>
    <x v="8"/>
    <m/>
    <x v="24"/>
    <d v="2017-11-02T00:00:00"/>
    <n v="22000"/>
    <m/>
    <n v="8209"/>
    <n v="550"/>
    <m/>
  </r>
  <r>
    <x v="2"/>
    <x v="5"/>
    <x v="3"/>
    <x v="8"/>
    <m/>
    <x v="25"/>
    <d v="2017-11-28T00:00:00"/>
    <n v="22000"/>
    <m/>
    <m/>
    <m/>
    <m/>
  </r>
  <r>
    <x v="3"/>
    <x v="1"/>
    <x v="4"/>
    <x v="9"/>
    <m/>
    <x v="26"/>
    <d v="2017-06-28T00:00:00"/>
    <n v="31000"/>
    <n v="56000"/>
    <n v="6889"/>
    <n v="363"/>
    <s v="中信:369531708800"/>
  </r>
  <r>
    <x v="3"/>
    <x v="1"/>
    <x v="5"/>
    <x v="9"/>
    <m/>
    <x v="26"/>
    <d v="2017-07-21T00:00:00"/>
    <n v="28000"/>
    <m/>
    <n v="7225"/>
    <n v="1848"/>
    <m/>
  </r>
  <r>
    <x v="3"/>
    <x v="1"/>
    <x v="0"/>
    <x v="9"/>
    <m/>
    <x v="26"/>
    <d v="2017-08-21T00:00:00"/>
    <n v="28000"/>
    <m/>
    <n v="7485"/>
    <n v="1430"/>
    <m/>
  </r>
  <r>
    <x v="3"/>
    <x v="1"/>
    <x v="1"/>
    <x v="9"/>
    <m/>
    <x v="26"/>
    <d v="2017-11-28T00:00:00"/>
    <n v="28000"/>
    <m/>
    <n v="7691"/>
    <n v="1133"/>
    <m/>
  </r>
  <r>
    <x v="3"/>
    <x v="1"/>
    <x v="2"/>
    <x v="9"/>
    <m/>
    <x v="26"/>
    <m/>
    <n v="28000"/>
    <m/>
    <n v="7787"/>
    <n v="528"/>
    <m/>
  </r>
  <r>
    <x v="3"/>
    <x v="1"/>
    <x v="3"/>
    <x v="9"/>
    <m/>
    <x v="26"/>
    <m/>
    <n v="28000"/>
    <m/>
    <m/>
    <m/>
    <m/>
  </r>
  <r>
    <x v="3"/>
    <x v="0"/>
    <x v="7"/>
    <x v="10"/>
    <s v="LINE"/>
    <x v="27"/>
    <m/>
    <n v="22500"/>
    <n v="50000"/>
    <s v="7063-7117"/>
    <n v="297"/>
    <s v="中信:369531708800"/>
  </r>
  <r>
    <x v="3"/>
    <x v="0"/>
    <x v="8"/>
    <x v="10"/>
    <s v="LINE"/>
    <x v="28"/>
    <m/>
    <n v="25000"/>
    <m/>
    <n v="7198"/>
    <n v="445.5"/>
    <m/>
  </r>
  <r>
    <x v="3"/>
    <x v="0"/>
    <x v="6"/>
    <x v="10"/>
    <s v="LINE"/>
    <x v="29"/>
    <d v="2017-06-01T00:00:00"/>
    <n v="25000"/>
    <m/>
    <n v="7354"/>
    <n v="858"/>
    <m/>
  </r>
  <r>
    <x v="3"/>
    <x v="0"/>
    <x v="4"/>
    <x v="10"/>
    <s v="LINE"/>
    <x v="30"/>
    <d v="2017-07-03T00:00:00"/>
    <n v="25000"/>
    <m/>
    <n v="7514"/>
    <n v="880"/>
    <m/>
  </r>
  <r>
    <x v="3"/>
    <x v="0"/>
    <x v="5"/>
    <x v="10"/>
    <s v="LINE"/>
    <x v="31"/>
    <d v="2017-08-01T00:00:00"/>
    <n v="25000"/>
    <m/>
    <n v="7674"/>
    <n v="880"/>
    <m/>
  </r>
  <r>
    <x v="3"/>
    <x v="0"/>
    <x v="0"/>
    <x v="10"/>
    <s v="LINE"/>
    <x v="32"/>
    <d v="2017-09-01T00:00:00"/>
    <n v="25000"/>
    <m/>
    <n v="7742"/>
    <n v="374"/>
    <m/>
  </r>
  <r>
    <x v="3"/>
    <x v="0"/>
    <x v="1"/>
    <x v="10"/>
    <s v="LINE"/>
    <x v="33"/>
    <d v="2017-10-02T00:00:00"/>
    <n v="25000"/>
    <m/>
    <n v="7820"/>
    <n v="429"/>
    <m/>
  </r>
  <r>
    <x v="4"/>
    <x v="1"/>
    <x v="7"/>
    <x v="11"/>
    <s v="0922-014-276"/>
    <x v="34"/>
    <m/>
    <n v="28000"/>
    <n v="56000"/>
    <n v="6725"/>
    <n v="0"/>
    <s v="中信:369531708800"/>
  </r>
  <r>
    <x v="4"/>
    <x v="1"/>
    <x v="8"/>
    <x v="11"/>
    <s v="0922-014-276"/>
    <x v="34"/>
    <d v="2017-05-02T00:00:00"/>
    <n v="28000"/>
    <m/>
    <n v="6933"/>
    <n v="1144"/>
    <m/>
  </r>
  <r>
    <x v="4"/>
    <x v="1"/>
    <x v="6"/>
    <x v="11"/>
    <s v="0922-014-276"/>
    <x v="34"/>
    <d v="2017-06-01T00:00:00"/>
    <n v="28000"/>
    <m/>
    <n v="7239"/>
    <n v="1683"/>
    <m/>
  </r>
  <r>
    <x v="4"/>
    <x v="1"/>
    <x v="4"/>
    <x v="11"/>
    <s v="0922-014-276"/>
    <x v="34"/>
    <d v="2017-07-03T00:00:00"/>
    <n v="28000"/>
    <m/>
    <n v="7523"/>
    <n v="1562"/>
    <m/>
  </r>
  <r>
    <x v="4"/>
    <x v="1"/>
    <x v="5"/>
    <x v="11"/>
    <s v="0922-014-276"/>
    <x v="34"/>
    <d v="2017-08-01T00:00:00"/>
    <n v="28000"/>
    <m/>
    <m/>
    <n v="0"/>
    <m/>
  </r>
  <r>
    <x v="4"/>
    <x v="1"/>
    <x v="0"/>
    <x v="11"/>
    <s v="0922-014-276"/>
    <x v="34"/>
    <d v="2017-09-01T00:00:00"/>
    <n v="28000"/>
    <m/>
    <n v="8051"/>
    <n v="2904"/>
    <m/>
  </r>
  <r>
    <x v="4"/>
    <x v="1"/>
    <x v="1"/>
    <x v="11"/>
    <s v="0922-014-276"/>
    <x v="34"/>
    <d v="2017-10-02T00:00:00"/>
    <n v="28000"/>
    <m/>
    <m/>
    <n v="0"/>
    <m/>
  </r>
  <r>
    <x v="4"/>
    <x v="1"/>
    <x v="2"/>
    <x v="11"/>
    <s v="0922-014-276"/>
    <x v="34"/>
    <d v="2017-11-02T00:00:00"/>
    <n v="28000"/>
    <m/>
    <n v="8681"/>
    <n v="3465"/>
    <m/>
  </r>
  <r>
    <x v="4"/>
    <x v="1"/>
    <x v="3"/>
    <x v="11"/>
    <s v="0922-014-276"/>
    <x v="34"/>
    <d v="2017-12-04T00:00:00"/>
    <n v="28000"/>
    <m/>
    <m/>
    <n v="0"/>
    <m/>
  </r>
  <r>
    <x v="4"/>
    <x v="0"/>
    <x v="9"/>
    <x v="12"/>
    <s v="0913-062-406"/>
    <x v="35"/>
    <m/>
    <n v="35000"/>
    <n v="70000"/>
    <n v="82244"/>
    <m/>
    <s v="大都會:462102810930"/>
  </r>
  <r>
    <x v="4"/>
    <x v="0"/>
    <x v="10"/>
    <x v="12"/>
    <s v="0913-062-406"/>
    <x v="35"/>
    <m/>
    <n v="35000"/>
    <m/>
    <n v="82244"/>
    <n v="0"/>
    <m/>
  </r>
  <r>
    <x v="4"/>
    <x v="0"/>
    <x v="11"/>
    <x v="12"/>
    <s v="0913-062-406"/>
    <x v="35"/>
    <m/>
    <n v="35000"/>
    <m/>
    <m/>
    <n v="0"/>
    <m/>
  </r>
  <r>
    <x v="4"/>
    <x v="0"/>
    <x v="7"/>
    <x v="12"/>
    <s v="0913-062-406"/>
    <x v="35"/>
    <m/>
    <n v="35000"/>
    <m/>
    <n v="82770"/>
    <n v="2893"/>
    <m/>
  </r>
  <r>
    <x v="4"/>
    <x v="0"/>
    <x v="8"/>
    <x v="12"/>
    <s v="0913-062-406"/>
    <x v="35"/>
    <d v="2017-04-28T00:00:00"/>
    <n v="35000"/>
    <m/>
    <n v="83136"/>
    <n v="2013"/>
    <m/>
  </r>
  <r>
    <x v="4"/>
    <x v="0"/>
    <x v="6"/>
    <x v="12"/>
    <s v="0913-062-406"/>
    <x v="35"/>
    <d v="2017-05-31T00:00:00"/>
    <n v="35000"/>
    <m/>
    <n v="83504"/>
    <n v="2024"/>
    <m/>
  </r>
  <r>
    <x v="4"/>
    <x v="0"/>
    <x v="4"/>
    <x v="12"/>
    <s v="0913-062-406"/>
    <x v="35"/>
    <d v="2017-06-30T00:00:00"/>
    <n v="35000"/>
    <m/>
    <n v="84190"/>
    <n v="3773"/>
    <m/>
  </r>
  <r>
    <x v="4"/>
    <x v="0"/>
    <x v="5"/>
    <x v="12"/>
    <s v="0913-062-406"/>
    <x v="35"/>
    <d v="2017-07-31T00:00:00"/>
    <n v="35000"/>
    <m/>
    <m/>
    <n v="0"/>
    <m/>
  </r>
  <r>
    <x v="4"/>
    <x v="0"/>
    <x v="0"/>
    <x v="12"/>
    <s v="0913-062-406"/>
    <x v="35"/>
    <d v="2017-08-31T00:00:00"/>
    <n v="35000"/>
    <m/>
    <n v="84882"/>
    <n v="3806"/>
    <m/>
  </r>
  <r>
    <x v="5"/>
    <x v="1"/>
    <x v="4"/>
    <x v="13"/>
    <s v="LINE"/>
    <x v="36"/>
    <d v="2017-06-22T00:00:00"/>
    <n v="30000"/>
    <n v="60000"/>
    <n v="8048"/>
    <n v="2838"/>
    <m/>
  </r>
  <r>
    <x v="5"/>
    <x v="1"/>
    <x v="5"/>
    <x v="13"/>
    <s v="LINE"/>
    <x v="36"/>
    <d v="2017-07-31T00:00:00"/>
    <n v="30000"/>
    <m/>
    <n v="8584"/>
    <n v="2948"/>
    <m/>
  </r>
  <r>
    <x v="5"/>
    <x v="1"/>
    <x v="0"/>
    <x v="13"/>
    <s v="LINE"/>
    <x v="36"/>
    <d v="2017-09-04T00:00:00"/>
    <n v="30000"/>
    <m/>
    <n v="9016"/>
    <n v="2376"/>
    <m/>
  </r>
  <r>
    <x v="5"/>
    <x v="1"/>
    <x v="1"/>
    <x v="13"/>
    <s v="LINE"/>
    <x v="36"/>
    <d v="2017-10-03T00:00:00"/>
    <n v="30000"/>
    <m/>
    <n v="9364"/>
    <n v="1914"/>
    <m/>
  </r>
  <r>
    <x v="5"/>
    <x v="1"/>
    <x v="2"/>
    <x v="13"/>
    <s v="LINE"/>
    <x v="36"/>
    <d v="2017-11-06T00:00:00"/>
    <n v="30000"/>
    <m/>
    <n v="9580"/>
    <n v="1188"/>
    <m/>
  </r>
  <r>
    <x v="5"/>
    <x v="1"/>
    <x v="3"/>
    <x v="13"/>
    <s v="LINE"/>
    <x v="36"/>
    <d v="2017-12-05T00:00:00"/>
    <n v="30000"/>
    <m/>
    <m/>
    <n v="0"/>
    <m/>
  </r>
  <r>
    <x v="6"/>
    <x v="1"/>
    <x v="3"/>
    <x v="14"/>
    <m/>
    <x v="37"/>
    <d v="2017-12-16T00:00:00"/>
    <n v="12000"/>
    <n v="48000"/>
    <m/>
    <m/>
    <m/>
  </r>
  <r>
    <x v="6"/>
    <x v="0"/>
    <x v="4"/>
    <x v="15"/>
    <m/>
    <x v="36"/>
    <d v="2017-07-02T00:00:00"/>
    <n v="30000"/>
    <n v="60000"/>
    <n v="8245"/>
    <n v="1947"/>
    <s v="半年付"/>
  </r>
  <r>
    <x v="6"/>
    <x v="0"/>
    <x v="5"/>
    <x v="15"/>
    <m/>
    <x v="38"/>
    <d v="2017-08-01T00:00:00"/>
    <n v="30000"/>
    <m/>
    <n v="8707"/>
    <n v="2541"/>
    <m/>
  </r>
  <r>
    <x v="6"/>
    <x v="0"/>
    <x v="0"/>
    <x v="15"/>
    <m/>
    <x v="39"/>
    <d v="2017-08-31T00:00:00"/>
    <n v="30000"/>
    <m/>
    <n v="9031"/>
    <n v="1782"/>
    <m/>
  </r>
  <r>
    <x v="6"/>
    <x v="0"/>
    <x v="1"/>
    <x v="15"/>
    <m/>
    <x v="40"/>
    <d v="2017-10-02T00:00:00"/>
    <n v="30000"/>
    <m/>
    <n v="9211"/>
    <n v="990"/>
    <m/>
  </r>
  <r>
    <x v="6"/>
    <x v="0"/>
    <x v="2"/>
    <x v="15"/>
    <m/>
    <x v="41"/>
    <d v="2017-11-03T00:00:00"/>
    <n v="30000"/>
    <m/>
    <n v="9349"/>
    <n v="759"/>
    <m/>
  </r>
  <r>
    <x v="6"/>
    <x v="0"/>
    <x v="3"/>
    <x v="15"/>
    <m/>
    <x v="42"/>
    <d v="2017-12-02T00:00:00"/>
    <n v="30000"/>
    <m/>
    <m/>
    <n v="0"/>
    <m/>
  </r>
  <r>
    <x v="7"/>
    <x v="1"/>
    <x v="0"/>
    <x v="16"/>
    <s v="0982-246-440"/>
    <x v="43"/>
    <d v="2017-09-12T00:00:00"/>
    <n v="5600"/>
    <m/>
    <n v="168"/>
    <n v="418"/>
    <m/>
  </r>
  <r>
    <x v="7"/>
    <x v="1"/>
    <x v="1"/>
    <x v="16"/>
    <s v="0982-246-440"/>
    <x v="43"/>
    <d v="2017-09-30T00:00:00"/>
    <n v="12000"/>
    <m/>
    <n v="264"/>
    <n v="528"/>
    <m/>
  </r>
  <r>
    <x v="7"/>
    <x v="1"/>
    <x v="2"/>
    <x v="16"/>
    <s v="0982-246-440"/>
    <x v="43"/>
    <d v="2017-10-31T00:00:00"/>
    <n v="12000"/>
    <m/>
    <m/>
    <n v="0"/>
    <m/>
  </r>
  <r>
    <x v="7"/>
    <x v="1"/>
    <x v="3"/>
    <x v="16"/>
    <s v="0982-246-440"/>
    <x v="43"/>
    <m/>
    <n v="12774"/>
    <m/>
    <m/>
    <n v="0"/>
    <m/>
  </r>
  <r>
    <x v="7"/>
    <x v="0"/>
    <x v="0"/>
    <x v="17"/>
    <m/>
    <x v="44"/>
    <d v="2017-09-05T00:00:00"/>
    <n v="24000"/>
    <n v="24000"/>
    <s v="222~316"/>
    <n v="517"/>
    <m/>
  </r>
  <r>
    <x v="7"/>
    <x v="0"/>
    <x v="1"/>
    <x v="17"/>
    <m/>
    <x v="45"/>
    <d v="2017-10-02T00:00:00"/>
    <n v="12000"/>
    <m/>
    <n v="402"/>
    <n v="473"/>
    <m/>
  </r>
  <r>
    <x v="7"/>
    <x v="0"/>
    <x v="2"/>
    <x v="17"/>
    <m/>
    <x v="46"/>
    <d v="2017-11-06T00:00:00"/>
    <n v="12000"/>
    <m/>
    <n v="450"/>
    <n v="264"/>
    <m/>
  </r>
  <r>
    <x v="7"/>
    <x v="0"/>
    <x v="3"/>
    <x v="17"/>
    <m/>
    <x v="47"/>
    <d v="2017-12-07T00:00:00"/>
    <n v="12000"/>
    <m/>
    <m/>
    <n v="0"/>
    <m/>
  </r>
  <r>
    <x v="7"/>
    <x v="2"/>
    <x v="1"/>
    <x v="18"/>
    <m/>
    <x v="48"/>
    <d v="2017-10-17T00:00:00"/>
    <n v="5870"/>
    <n v="22000"/>
    <n v="235"/>
    <n v="132"/>
    <m/>
  </r>
  <r>
    <x v="7"/>
    <x v="2"/>
    <x v="2"/>
    <x v="18"/>
    <m/>
    <x v="48"/>
    <d v="2017-11-02T00:00:00"/>
    <n v="11000"/>
    <m/>
    <n v="291"/>
    <n v="308"/>
    <m/>
  </r>
  <r>
    <x v="7"/>
    <x v="2"/>
    <x v="3"/>
    <x v="18"/>
    <m/>
    <x v="48"/>
    <d v="2017-12-03T00:00:00"/>
    <n v="11000"/>
    <m/>
    <m/>
    <n v="0"/>
    <m/>
  </r>
  <r>
    <x v="7"/>
    <x v="3"/>
    <x v="5"/>
    <x v="19"/>
    <m/>
    <x v="49"/>
    <d v="2017-07-10T00:00:00"/>
    <n v="18000"/>
    <m/>
    <n v="406"/>
    <n v="1056"/>
    <m/>
  </r>
  <r>
    <x v="7"/>
    <x v="3"/>
    <x v="0"/>
    <x v="19"/>
    <m/>
    <x v="49"/>
    <d v="2017-08-16T00:00:00"/>
    <n v="7742"/>
    <m/>
    <n v="814"/>
    <n v="2244"/>
    <m/>
  </r>
  <r>
    <x v="7"/>
    <x v="3"/>
    <x v="1"/>
    <x v="19"/>
    <m/>
    <x v="49"/>
    <d v="2017-08-30T00:00:00"/>
    <n v="16000"/>
    <m/>
    <m/>
    <m/>
    <m/>
  </r>
  <r>
    <x v="7"/>
    <x v="3"/>
    <x v="2"/>
    <x v="19"/>
    <m/>
    <x v="49"/>
    <d v="2017-10-03T00:00:00"/>
    <n v="16000"/>
    <m/>
    <m/>
    <m/>
    <m/>
  </r>
  <r>
    <x v="8"/>
    <x v="1"/>
    <x v="9"/>
    <x v="20"/>
    <s v="0927-419-730"/>
    <x v="50"/>
    <d v="2017-01-07T00:00:00"/>
    <n v="13000"/>
    <n v="26000"/>
    <n v="5900"/>
    <m/>
    <s v="玉山:0266966090158"/>
  </r>
  <r>
    <x v="8"/>
    <x v="1"/>
    <x v="10"/>
    <x v="20"/>
    <s v="0927-419-730"/>
    <x v="50"/>
    <d v="2017-02-07T00:00:00"/>
    <n v="13000"/>
    <m/>
    <n v="6020"/>
    <n v="660"/>
    <m/>
  </r>
  <r>
    <x v="8"/>
    <x v="1"/>
    <x v="11"/>
    <x v="20"/>
    <s v="0927-419-730"/>
    <x v="50"/>
    <d v="2017-03-04T00:00:00"/>
    <n v="13000"/>
    <m/>
    <n v="6134"/>
    <n v="627"/>
    <m/>
  </r>
  <r>
    <x v="8"/>
    <x v="1"/>
    <x v="7"/>
    <x v="20"/>
    <s v="0927-419-730"/>
    <x v="50"/>
    <m/>
    <n v="13000"/>
    <m/>
    <n v="6238"/>
    <n v="572"/>
    <m/>
  </r>
  <r>
    <x v="8"/>
    <x v="1"/>
    <x v="8"/>
    <x v="20"/>
    <s v="0927-419-730"/>
    <x v="50"/>
    <m/>
    <n v="13000"/>
    <m/>
    <n v="6324"/>
    <n v="473"/>
    <m/>
  </r>
  <r>
    <x v="8"/>
    <x v="1"/>
    <x v="6"/>
    <x v="20"/>
    <s v="0927-419-730"/>
    <x v="50"/>
    <d v="2017-06-07T00:00:00"/>
    <n v="13000"/>
    <m/>
    <n v="6444"/>
    <n v="660"/>
    <m/>
  </r>
  <r>
    <x v="8"/>
    <x v="0"/>
    <x v="4"/>
    <x v="21"/>
    <m/>
    <x v="51"/>
    <d v="2017-07-14T00:00:00"/>
    <n v="7500"/>
    <m/>
    <n v="6124"/>
    <n v="572"/>
    <s v="玉山:0266966090158"/>
  </r>
  <r>
    <x v="8"/>
    <x v="0"/>
    <x v="5"/>
    <x v="21"/>
    <m/>
    <x v="51"/>
    <d v="2017-07-31T00:00:00"/>
    <n v="15000"/>
    <m/>
    <n v="6426"/>
    <n v="1661"/>
    <m/>
  </r>
  <r>
    <x v="8"/>
    <x v="0"/>
    <x v="0"/>
    <x v="21"/>
    <m/>
    <x v="51"/>
    <d v="2017-08-30T00:00:00"/>
    <n v="15000"/>
    <m/>
    <n v="6714"/>
    <n v="1584"/>
    <m/>
  </r>
  <r>
    <x v="8"/>
    <x v="0"/>
    <x v="1"/>
    <x v="21"/>
    <m/>
    <x v="51"/>
    <d v="2017-09-28T00:00:00"/>
    <n v="15000"/>
    <m/>
    <n v="6978"/>
    <n v="1452"/>
    <m/>
  </r>
  <r>
    <x v="8"/>
    <x v="0"/>
    <x v="2"/>
    <x v="21"/>
    <m/>
    <x v="51"/>
    <d v="2017-10-27T00:00:00"/>
    <n v="15000"/>
    <m/>
    <m/>
    <n v="0"/>
    <m/>
  </r>
  <r>
    <x v="8"/>
    <x v="0"/>
    <x v="3"/>
    <x v="21"/>
    <m/>
    <x v="51"/>
    <m/>
    <n v="22441"/>
    <m/>
    <m/>
    <n v="0"/>
    <m/>
  </r>
  <r>
    <x v="8"/>
    <x v="2"/>
    <x v="7"/>
    <x v="22"/>
    <s v="0956-770-321"/>
    <x v="52"/>
    <s v="4/1-6/30"/>
    <n v="13500"/>
    <n v="27000"/>
    <m/>
    <n v="0"/>
    <m/>
  </r>
  <r>
    <x v="8"/>
    <x v="2"/>
    <x v="8"/>
    <x v="22"/>
    <s v="0956-770-321"/>
    <x v="52"/>
    <m/>
    <n v="13500"/>
    <m/>
    <m/>
    <n v="0"/>
    <m/>
  </r>
  <r>
    <x v="8"/>
    <x v="2"/>
    <x v="6"/>
    <x v="22"/>
    <s v="0956-770-321"/>
    <x v="52"/>
    <m/>
    <n v="13500"/>
    <m/>
    <n v="6563"/>
    <n v="1529"/>
    <m/>
  </r>
  <r>
    <x v="8"/>
    <x v="2"/>
    <x v="4"/>
    <x v="22"/>
    <s v="0956-770-321"/>
    <x v="52"/>
    <d v="2017-07-01T00:00:00"/>
    <n v="13500"/>
    <m/>
    <n v="6659"/>
    <n v="528"/>
    <m/>
  </r>
  <r>
    <x v="8"/>
    <x v="2"/>
    <x v="5"/>
    <x v="22"/>
    <s v="0956-770-321"/>
    <x v="52"/>
    <d v="2017-07-30T00:00:00"/>
    <n v="13500"/>
    <m/>
    <n v="6771"/>
    <n v="616"/>
    <m/>
  </r>
  <r>
    <x v="8"/>
    <x v="2"/>
    <x v="0"/>
    <x v="22"/>
    <s v="0956-770-321"/>
    <x v="52"/>
    <d v="2017-09-01T00:00:00"/>
    <n v="13500"/>
    <m/>
    <m/>
    <n v="0"/>
    <m/>
  </r>
  <r>
    <x v="8"/>
    <x v="3"/>
    <x v="5"/>
    <x v="23"/>
    <m/>
    <x v="53"/>
    <d v="2017-08-11T00:00:00"/>
    <n v="16500"/>
    <n v="24000"/>
    <n v="10154"/>
    <n v="836"/>
    <s v="一年"/>
  </r>
  <r>
    <x v="8"/>
    <x v="3"/>
    <x v="0"/>
    <x v="23"/>
    <m/>
    <x v="53"/>
    <d v="2017-09-13T00:00:00"/>
    <n v="16500"/>
    <m/>
    <n v="10494"/>
    <n v="1870"/>
    <m/>
  </r>
  <r>
    <x v="8"/>
    <x v="3"/>
    <x v="1"/>
    <x v="23"/>
    <m/>
    <x v="53"/>
    <d v="2017-10-12T00:00:00"/>
    <n v="16500"/>
    <m/>
    <n v="10844"/>
    <n v="1925"/>
    <m/>
  </r>
  <r>
    <x v="8"/>
    <x v="3"/>
    <x v="2"/>
    <x v="23"/>
    <m/>
    <x v="53"/>
    <d v="2017-11-10T00:00:00"/>
    <n v="16500"/>
    <m/>
    <n v="11164"/>
    <n v="1760"/>
    <m/>
  </r>
  <r>
    <x v="8"/>
    <x v="3"/>
    <x v="3"/>
    <x v="23"/>
    <m/>
    <x v="53"/>
    <m/>
    <m/>
    <m/>
    <m/>
    <n v="0"/>
    <m/>
  </r>
  <r>
    <x v="8"/>
    <x v="4"/>
    <x v="9"/>
    <x v="24"/>
    <s v="0931-242-105"/>
    <x v="54"/>
    <d v="2017-01-07T00:00:00"/>
    <n v="15500"/>
    <n v="31000"/>
    <n v="5022"/>
    <m/>
    <m/>
  </r>
  <r>
    <x v="8"/>
    <x v="4"/>
    <x v="10"/>
    <x v="24"/>
    <s v="0931-242-105"/>
    <x v="54"/>
    <d v="2017-02-02T00:00:00"/>
    <n v="15500"/>
    <m/>
    <n v="5144"/>
    <n v="671"/>
    <m/>
  </r>
  <r>
    <x v="8"/>
    <x v="4"/>
    <x v="11"/>
    <x v="24"/>
    <s v="0931-242-105"/>
    <x v="54"/>
    <d v="2017-03-01T00:00:00"/>
    <n v="15500"/>
    <m/>
    <n v="5266"/>
    <n v="132"/>
    <m/>
  </r>
  <r>
    <x v="8"/>
    <x v="4"/>
    <x v="7"/>
    <x v="24"/>
    <s v="0931-242-105"/>
    <x v="54"/>
    <m/>
    <n v="15500"/>
    <m/>
    <n v="5388"/>
    <n v="132"/>
    <m/>
  </r>
  <r>
    <x v="8"/>
    <x v="4"/>
    <x v="8"/>
    <x v="24"/>
    <s v="0931-242-105"/>
    <x v="54"/>
    <d v="2017-04-29T00:00:00"/>
    <n v="15500"/>
    <m/>
    <n v="5510"/>
    <n v="154"/>
    <m/>
  </r>
  <r>
    <x v="8"/>
    <x v="4"/>
    <x v="6"/>
    <x v="24"/>
    <s v="0931-242-105"/>
    <x v="54"/>
    <d v="2017-05-27T00:00:00"/>
    <n v="15500"/>
    <m/>
    <n v="5632"/>
    <n v="44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A794B72-BC05-4E6A-8369-024EE9407658}" name="樞紐分析表2" cacheId="0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3:C16" firstHeaderRow="0" firstDataRow="1" firstDataCol="1" rowPageCount="1" colPageCount="1"/>
  <pivotFields count="8">
    <pivotField axis="axisRow" multipleItemSelectionAllowed="1" showAll="0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axis="axisPage" showAll="0">
      <items count="9">
        <item x="3"/>
        <item x="4"/>
        <item x="5"/>
        <item x="0"/>
        <item x="1"/>
        <item x="2"/>
        <item x="7"/>
        <item x="6"/>
        <item t="default"/>
      </items>
    </pivotField>
    <pivotField dataField="1" numFmtId="177" showAll="0"/>
    <pivotField dataField="1" showAll="0"/>
    <pivotField showAll="0"/>
    <pivotField showAll="0"/>
    <pivotField showAll="0"/>
    <pivotField numFmtId="183" showAll="0"/>
  </pivotFields>
  <rowFields count="1">
    <field x="0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0" hier="-1"/>
  </pageFields>
  <dataFields count="2">
    <dataField name="加總 - 租金" fld="3" baseField="0" baseItem="0"/>
    <dataField name="加總 - 核算點" fld="2" baseField="0" baseItem="0"/>
  </dataFields>
  <formats count="6">
    <format dxfId="27">
      <pivotArea type="all" dataOnly="0" outline="0" fieldPosition="0"/>
    </format>
    <format dxfId="28">
      <pivotArea outline="0" collapsedLevelsAreSubtotals="1" fieldPosition="0"/>
    </format>
    <format dxfId="29">
      <pivotArea field="0" type="button" dataOnly="0" labelOnly="1" outline="0" axis="axisRow" fieldPosition="0"/>
    </format>
    <format dxfId="30">
      <pivotArea dataOnly="0" labelOnly="1" fieldPosition="0">
        <references count="1">
          <reference field="0" count="0"/>
        </references>
      </pivotArea>
    </format>
    <format dxfId="31">
      <pivotArea dataOnly="0" labelOnly="1" grandRow="1" outline="0" fieldPosition="0"/>
    </format>
    <format dxfId="32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</formats>
  <conditionalFormats count="2">
    <conditionalFormat priority="2">
      <pivotAreas count="1">
        <pivotArea type="data" collapsedLevelsAreSubtotals="1" fieldPosition="0">
          <references count="2">
            <reference field="4294967294" count="1" selected="0">
              <x v="1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2">
            <reference field="4294967294" count="1" selected="0">
              <x v="0"/>
            </reference>
            <reference field="0" count="1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</reference>
          </references>
        </pivotArea>
      </pivotAreas>
    </conditionalFormat>
  </conditionalFormats>
  <pivotTableStyleInfo name="PivotStyleLight4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2D2DBC-4198-4CAC-931D-2203586F8FBD}" name="樞紐分析表5" cacheId="1" applyNumberFormats="0" applyBorderFormats="0" applyFontFormats="0" applyPatternFormats="0" applyAlignmentFormats="0" applyWidthHeightFormats="1" dataCaption="值" updatedVersion="8" minRefreshableVersion="3" useAutoFormatting="1" itemPrintTitles="1" createdVersion="8" indent="0" outline="1" outlineData="1" multipleFieldFilters="0">
  <location ref="A5:C12" firstHeaderRow="1" firstDataRow="2" firstDataCol="1" rowPageCount="2" colPageCount="1"/>
  <pivotFields count="12">
    <pivotField axis="axisPage" showAll="0">
      <items count="10">
        <item x="1"/>
        <item x="6"/>
        <item x="5"/>
        <item x="0"/>
        <item x="3"/>
        <item x="7"/>
        <item x="2"/>
        <item x="4"/>
        <item x="8"/>
        <item t="default"/>
      </items>
    </pivotField>
    <pivotField axis="axisPage" showAll="0">
      <items count="7">
        <item x="1"/>
        <item x="0"/>
        <item x="2"/>
        <item x="3"/>
        <item x="4"/>
        <item x="5"/>
        <item t="default"/>
      </items>
    </pivotField>
    <pivotField axis="axisRow" showAll="0">
      <items count="13">
        <item x="9"/>
        <item x="10"/>
        <item x="11"/>
        <item x="7"/>
        <item x="8"/>
        <item x="6"/>
        <item x="4"/>
        <item x="5"/>
        <item x="0"/>
        <item x="1"/>
        <item x="2"/>
        <item x="3"/>
        <item t="default"/>
      </items>
    </pivotField>
    <pivotField axis="axisCol" showAll="0">
      <items count="26">
        <item x="2"/>
        <item x="0"/>
        <item x="4"/>
        <item x="19"/>
        <item x="8"/>
        <item x="6"/>
        <item x="23"/>
        <item x="9"/>
        <item x="12"/>
        <item x="13"/>
        <item x="11"/>
        <item x="1"/>
        <item x="20"/>
        <item x="21"/>
        <item x="18"/>
        <item x="10"/>
        <item x="24"/>
        <item x="7"/>
        <item x="22"/>
        <item x="5"/>
        <item x="15"/>
        <item x="3"/>
        <item x="17"/>
        <item x="16"/>
        <item x="14"/>
        <item t="default"/>
      </items>
    </pivotField>
    <pivotField showAll="0"/>
    <pivotField showAll="0">
      <items count="56">
        <item x="54"/>
        <item x="35"/>
        <item x="50"/>
        <item x="52"/>
        <item x="27"/>
        <item x="28"/>
        <item x="29"/>
        <item x="30"/>
        <item x="31"/>
        <item x="32"/>
        <item x="33"/>
        <item x="34"/>
        <item x="14"/>
        <item x="15"/>
        <item x="16"/>
        <item x="17"/>
        <item x="18"/>
        <item x="19"/>
        <item x="20"/>
        <item x="36"/>
        <item x="38"/>
        <item x="39"/>
        <item x="40"/>
        <item x="41"/>
        <item x="42"/>
        <item x="51"/>
        <item x="5"/>
        <item x="6"/>
        <item x="7"/>
        <item x="8"/>
        <item x="43"/>
        <item x="48"/>
        <item x="37"/>
        <item x="3"/>
        <item x="2"/>
        <item x="26"/>
        <item x="9"/>
        <item x="10"/>
        <item x="11"/>
        <item x="12"/>
        <item x="13"/>
        <item x="53"/>
        <item x="21"/>
        <item x="22"/>
        <item x="23"/>
        <item x="24"/>
        <item x="25"/>
        <item x="49"/>
        <item x="0"/>
        <item x="4"/>
        <item x="1"/>
        <item x="46"/>
        <item x="47"/>
        <item x="44"/>
        <item x="45"/>
        <item t="default"/>
      </items>
    </pivotField>
    <pivotField showAll="0"/>
    <pivotField dataField="1" showAll="0"/>
    <pivotField showAll="0"/>
    <pivotField showAll="0"/>
    <pivotField showAll="0"/>
    <pivotField showAll="0"/>
  </pivotFields>
  <rowFields count="1">
    <field x="2"/>
  </rowFields>
  <rowItems count="6">
    <i>
      <x v="7"/>
    </i>
    <i>
      <x v="8"/>
    </i>
    <i>
      <x v="9"/>
    </i>
    <i>
      <x v="10"/>
    </i>
    <i>
      <x v="11"/>
    </i>
    <i t="grand">
      <x/>
    </i>
  </rowItems>
  <colFields count="1">
    <field x="3"/>
  </colFields>
  <colItems count="2">
    <i>
      <x v="6"/>
    </i>
    <i t="grand">
      <x/>
    </i>
  </colItems>
  <pageFields count="2">
    <pageField fld="0" item="8" hier="-1"/>
    <pageField fld="1" item="3" hier="-1"/>
  </pageFields>
  <dataFields count="1">
    <dataField name="加總 - 租金" fld="7" baseField="0" baseItem="0"/>
  </dataFields>
  <formats count="10">
    <format dxfId="112">
      <pivotArea type="all" dataOnly="0" outline="0" fieldPosition="0"/>
    </format>
    <format dxfId="111">
      <pivotArea outline="0" collapsedLevelsAreSubtotals="1" fieldPosition="0"/>
    </format>
    <format dxfId="110">
      <pivotArea type="origin" dataOnly="0" labelOnly="1" outline="0" fieldPosition="0"/>
    </format>
    <format dxfId="109">
      <pivotArea field="0" type="button" dataOnly="0" labelOnly="1" outline="0" axis="axisPage" fieldPosition="0"/>
    </format>
    <format dxfId="108">
      <pivotArea type="topRight" dataOnly="0" labelOnly="1" outline="0" fieldPosition="0"/>
    </format>
    <format dxfId="107">
      <pivotArea field="2" type="button" dataOnly="0" labelOnly="1" outline="0" axis="axisRow" fieldPosition="0"/>
    </format>
    <format dxfId="106">
      <pivotArea dataOnly="0" labelOnly="1" fieldPosition="0">
        <references count="1">
          <reference field="2" count="0"/>
        </references>
      </pivotArea>
    </format>
    <format dxfId="105">
      <pivotArea dataOnly="0" labelOnly="1" grandRow="1" outline="0" fieldPosition="0"/>
    </format>
    <format dxfId="104">
      <pivotArea dataOnly="0" labelOnly="1" fieldPosition="0">
        <references count="1">
          <reference field="0" count="0"/>
        </references>
      </pivotArea>
    </format>
    <format dxfId="103">
      <pivotArea dataOnly="0" labelOnly="1" grandCol="1" outline="0" fieldPosition="0"/>
    </format>
  </formats>
  <pivotTableStyleInfo name="PivotStyleMedium1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2000000}" name="Table_5" displayName="Table_5" ref="A1:R8" headerRowCount="0">
  <tableColumns count="18">
    <tableColumn id="1" xr3:uid="{00000000-0010-0000-0200-000001000000}" name="房號"/>
    <tableColumn id="2" xr3:uid="{00000000-0010-0000-0200-000002000000}" name="姓名"/>
    <tableColumn id="3" xr3:uid="{00000000-0010-0000-0200-000003000000}" name="聯絡電話"/>
    <tableColumn id="4" xr3:uid="{00000000-0010-0000-0200-000004000000}" name="租金"/>
    <tableColumn id="5" xr3:uid="{00000000-0010-0000-0200-000005000000}" name="押金"/>
    <tableColumn id="6" xr3:uid="{00000000-0010-0000-0200-000006000000}" name="租期"/>
    <tableColumn id="7" xr3:uid="{00000000-0010-0000-0200-000007000000}" name="106/01"/>
    <tableColumn id="8" xr3:uid="{00000000-0010-0000-0200-000008000000}" name="106/02"/>
    <tableColumn id="9" xr3:uid="{00000000-0010-0000-0200-000009000000}" name="106/03"/>
    <tableColumn id="10" xr3:uid="{00000000-0010-0000-0200-00000A000000}" name="106/04"/>
    <tableColumn id="11" xr3:uid="{00000000-0010-0000-0200-00000B000000}" name="106/05"/>
    <tableColumn id="12" xr3:uid="{00000000-0010-0000-0200-00000C000000}" name="106/06"/>
    <tableColumn id="13" xr3:uid="{00000000-0010-0000-0200-00000D000000}" name="106/07"/>
    <tableColumn id="14" xr3:uid="{00000000-0010-0000-0200-00000E000000}" name="106/08"/>
    <tableColumn id="15" xr3:uid="{00000000-0010-0000-0200-00000F000000}" name="106/09"/>
    <tableColumn id="16" xr3:uid="{00000000-0010-0000-0200-000010000000}" name="106/10"/>
    <tableColumn id="17" xr3:uid="{00000000-0010-0000-0200-000011000000}" name="106/11"/>
    <tableColumn id="18" xr3:uid="{00000000-0010-0000-0200-000012000000}" name="106/12"/>
  </tableColumns>
  <tableStyleInfo name="141-style" showFirstColumn="1" showLastColumn="1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00000000-000C-0000-FFFF-FFFF0B000000}" name="Table_10" displayName="Table_10" ref="E14:R19" headerRowCount="0">
  <tableColumns count="14">
    <tableColumn id="1" xr3:uid="{00000000-0010-0000-0B00-000001000000}" name="Column1"/>
    <tableColumn id="2" xr3:uid="{00000000-0010-0000-0B00-000002000000}" name="Column2"/>
    <tableColumn id="3" xr3:uid="{00000000-0010-0000-0B00-000003000000}" name="106/01"/>
    <tableColumn id="4" xr3:uid="{00000000-0010-0000-0B00-000004000000}" name="106/02"/>
    <tableColumn id="5" xr3:uid="{00000000-0010-0000-0B00-000005000000}" name="106/03"/>
    <tableColumn id="6" xr3:uid="{00000000-0010-0000-0B00-000006000000}" name="106/04"/>
    <tableColumn id="7" xr3:uid="{00000000-0010-0000-0B00-000007000000}" name="106/05"/>
    <tableColumn id="8" xr3:uid="{00000000-0010-0000-0B00-000008000000}" name="106/06"/>
    <tableColumn id="9" xr3:uid="{00000000-0010-0000-0B00-000009000000}" name="106/07"/>
    <tableColumn id="10" xr3:uid="{00000000-0010-0000-0B00-00000A000000}" name="106/08"/>
    <tableColumn id="11" xr3:uid="{00000000-0010-0000-0B00-00000B000000}" name="106/09"/>
    <tableColumn id="12" xr3:uid="{00000000-0010-0000-0B00-00000C000000}" name="106/10"/>
    <tableColumn id="13" xr3:uid="{00000000-0010-0000-0B00-00000D000000}" name="106/11"/>
    <tableColumn id="14" xr3:uid="{00000000-0010-0000-0B00-00000E000000}" name="106/12"/>
  </tableColumns>
  <tableStyleInfo name="6-敦南薈館-style 2" showFirstColumn="1" showLastColumn="1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00000000-000C-0000-FFFF-FFFF0C000000}" name="Table_11" displayName="Table_11" ref="A1:R4" headerRowCount="0">
  <tableColumns count="18">
    <tableColumn id="1" xr3:uid="{00000000-0010-0000-0C00-000001000000}" name="房號"/>
    <tableColumn id="2" xr3:uid="{00000000-0010-0000-0C00-000002000000}" name="姓名"/>
    <tableColumn id="3" xr3:uid="{00000000-0010-0000-0C00-000003000000}" name="聯絡電話"/>
    <tableColumn id="4" xr3:uid="{00000000-0010-0000-0C00-000004000000}" name="租金"/>
    <tableColumn id="5" xr3:uid="{00000000-0010-0000-0C00-000005000000}" name="押金"/>
    <tableColumn id="6" xr3:uid="{00000000-0010-0000-0C00-000006000000}" name="租期"/>
    <tableColumn id="7" xr3:uid="{00000000-0010-0000-0C00-000007000000}" name="106/01"/>
    <tableColumn id="8" xr3:uid="{00000000-0010-0000-0C00-000008000000}" name="106/02"/>
    <tableColumn id="9" xr3:uid="{00000000-0010-0000-0C00-000009000000}" name="106/03"/>
    <tableColumn id="10" xr3:uid="{00000000-0010-0000-0C00-00000A000000}" name="106/04"/>
    <tableColumn id="11" xr3:uid="{00000000-0010-0000-0C00-00000B000000}" name="106/05"/>
    <tableColumn id="12" xr3:uid="{00000000-0010-0000-0C00-00000C000000}" name="106/06"/>
    <tableColumn id="13" xr3:uid="{00000000-0010-0000-0C00-00000D000000}" name="106/07"/>
    <tableColumn id="14" xr3:uid="{00000000-0010-0000-0C00-00000E000000}" name="106/08"/>
    <tableColumn id="15" xr3:uid="{00000000-0010-0000-0C00-00000F000000}" name="106/09"/>
    <tableColumn id="16" xr3:uid="{00000000-0010-0000-0C00-000010000000}" name="106/10"/>
    <tableColumn id="17" xr3:uid="{00000000-0010-0000-0C00-000011000000}" name="106/11"/>
    <tableColumn id="18" xr3:uid="{00000000-0010-0000-0C00-000012000000}" name="106/12"/>
  </tableColumns>
  <tableStyleInfo name="7-公司-style" showFirstColumn="1" showLastColumn="1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00000000-000C-0000-FFFF-FFFF0D000000}" name="Table_12" displayName="Table_12" ref="E11:R14" headerRowCount="0">
  <tableColumns count="14">
    <tableColumn id="1" xr3:uid="{00000000-0010-0000-0D00-000001000000}" name="Column1"/>
    <tableColumn id="2" xr3:uid="{00000000-0010-0000-0D00-000002000000}" name="Column2"/>
    <tableColumn id="3" xr3:uid="{00000000-0010-0000-0D00-000003000000}" name="106/01"/>
    <tableColumn id="4" xr3:uid="{00000000-0010-0000-0D00-000004000000}" name="106/02"/>
    <tableColumn id="5" xr3:uid="{00000000-0010-0000-0D00-000005000000}" name="106/03"/>
    <tableColumn id="6" xr3:uid="{00000000-0010-0000-0D00-000006000000}" name="106/04"/>
    <tableColumn id="7" xr3:uid="{00000000-0010-0000-0D00-000007000000}" name="106/05"/>
    <tableColumn id="8" xr3:uid="{00000000-0010-0000-0D00-000008000000}" name="106/06"/>
    <tableColumn id="9" xr3:uid="{00000000-0010-0000-0D00-000009000000}" name="106/07"/>
    <tableColumn id="10" xr3:uid="{00000000-0010-0000-0D00-00000A000000}" name="106/08"/>
    <tableColumn id="11" xr3:uid="{00000000-0010-0000-0D00-00000B000000}" name="106/09"/>
    <tableColumn id="12" xr3:uid="{00000000-0010-0000-0D00-00000C000000}" name="106/10"/>
    <tableColumn id="13" xr3:uid="{00000000-0010-0000-0D00-00000D000000}" name="106/11"/>
    <tableColumn id="14" xr3:uid="{00000000-0010-0000-0D00-00000E000000}" name="106/12"/>
  </tableColumns>
  <tableStyleInfo name="7-公司-style 2" showFirstColumn="1" showLastColumn="1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00000000-000C-0000-FFFF-FFFF0E000000}" name="Table_13" displayName="Table_13" ref="A1:R6" headerRowCount="0">
  <tableColumns count="18">
    <tableColumn id="1" xr3:uid="{00000000-0010-0000-0E00-000001000000}" name="房號"/>
    <tableColumn id="2" xr3:uid="{00000000-0010-0000-0E00-000002000000}" name="姓名"/>
    <tableColumn id="3" xr3:uid="{00000000-0010-0000-0E00-000003000000}" name="聯絡電話"/>
    <tableColumn id="4" xr3:uid="{00000000-0010-0000-0E00-000004000000}" name="租金"/>
    <tableColumn id="5" xr3:uid="{00000000-0010-0000-0E00-000005000000}" name="押金"/>
    <tableColumn id="6" xr3:uid="{00000000-0010-0000-0E00-000006000000}" name="租期"/>
    <tableColumn id="7" xr3:uid="{00000000-0010-0000-0E00-000007000000}" name="106/01"/>
    <tableColumn id="8" xr3:uid="{00000000-0010-0000-0E00-000008000000}" name="106/02"/>
    <tableColumn id="9" xr3:uid="{00000000-0010-0000-0E00-000009000000}" name="106/03"/>
    <tableColumn id="10" xr3:uid="{00000000-0010-0000-0E00-00000A000000}" name="106/04"/>
    <tableColumn id="11" xr3:uid="{00000000-0010-0000-0E00-00000B000000}" name="106/05"/>
    <tableColumn id="12" xr3:uid="{00000000-0010-0000-0E00-00000C000000}" name="106/06"/>
    <tableColumn id="13" xr3:uid="{00000000-0010-0000-0E00-00000D000000}" name="106/07"/>
    <tableColumn id="14" xr3:uid="{00000000-0010-0000-0E00-00000E000000}" name="106/08"/>
    <tableColumn id="15" xr3:uid="{00000000-0010-0000-0E00-00000F000000}" name="106/09"/>
    <tableColumn id="16" xr3:uid="{00000000-0010-0000-0E00-000010000000}" name="106/10"/>
    <tableColumn id="17" xr3:uid="{00000000-0010-0000-0E00-000011000000}" name="106/11"/>
    <tableColumn id="18" xr3:uid="{00000000-0010-0000-0E00-000012000000}" name="106/12"/>
  </tableColumns>
  <tableStyleInfo name="8-159-1-style" showFirstColumn="1" showLastColumn="1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00000000-000C-0000-FFFF-FFFF0F000000}" name="Table_14" displayName="Table_14" ref="E13:R18" headerRowCount="0">
  <tableColumns count="14">
    <tableColumn id="1" xr3:uid="{00000000-0010-0000-0F00-000001000000}" name="Column1"/>
    <tableColumn id="2" xr3:uid="{00000000-0010-0000-0F00-000002000000}" name="Column2"/>
    <tableColumn id="3" xr3:uid="{00000000-0010-0000-0F00-000003000000}" name="106/01"/>
    <tableColumn id="4" xr3:uid="{00000000-0010-0000-0F00-000004000000}" name="106/02"/>
    <tableColumn id="5" xr3:uid="{00000000-0010-0000-0F00-000005000000}" name="106/03"/>
    <tableColumn id="6" xr3:uid="{00000000-0010-0000-0F00-000006000000}" name="106/04"/>
    <tableColumn id="7" xr3:uid="{00000000-0010-0000-0F00-000007000000}" name="106/05"/>
    <tableColumn id="8" xr3:uid="{00000000-0010-0000-0F00-000008000000}" name="106/06"/>
    <tableColumn id="9" xr3:uid="{00000000-0010-0000-0F00-000009000000}" name="106/07"/>
    <tableColumn id="10" xr3:uid="{00000000-0010-0000-0F00-00000A000000}" name="106/08"/>
    <tableColumn id="11" xr3:uid="{00000000-0010-0000-0F00-00000B000000}" name="106/09"/>
    <tableColumn id="12" xr3:uid="{00000000-0010-0000-0F00-00000C000000}" name="106/10"/>
    <tableColumn id="13" xr3:uid="{00000000-0010-0000-0F00-00000D000000}" name="106/11"/>
    <tableColumn id="14" xr3:uid="{00000000-0010-0000-0F00-00000E000000}" name="106/12"/>
  </tableColumns>
  <tableStyleInfo name="8-159-1-style 2" showFirstColumn="1" showLastColumn="1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00000000-000C-0000-FFFF-FFFF10000000}" name="Table_15" displayName="Table_15" ref="B1:R12" headerRowCount="0">
  <tableColumns count="17">
    <tableColumn id="1" xr3:uid="{00000000-0010-0000-1000-000001000000}" name="姓名"/>
    <tableColumn id="2" xr3:uid="{00000000-0010-0000-1000-000002000000}" name="聯絡電話"/>
    <tableColumn id="3" xr3:uid="{00000000-0010-0000-1000-000003000000}" name="租金"/>
    <tableColumn id="4" xr3:uid="{00000000-0010-0000-1000-000004000000}" name="押金"/>
    <tableColumn id="5" xr3:uid="{00000000-0010-0000-1000-000005000000}" name="租期"/>
    <tableColumn id="6" xr3:uid="{00000000-0010-0000-1000-000006000000}" name="106/01"/>
    <tableColumn id="7" xr3:uid="{00000000-0010-0000-1000-000007000000}" name="106/02"/>
    <tableColumn id="8" xr3:uid="{00000000-0010-0000-1000-000008000000}" name="106/03"/>
    <tableColumn id="9" xr3:uid="{00000000-0010-0000-1000-000009000000}" name="106/04"/>
    <tableColumn id="10" xr3:uid="{00000000-0010-0000-1000-00000A000000}" name="106/05"/>
    <tableColumn id="11" xr3:uid="{00000000-0010-0000-1000-00000B000000}" name="106/06"/>
    <tableColumn id="12" xr3:uid="{00000000-0010-0000-1000-00000C000000}" name="106/07"/>
    <tableColumn id="13" xr3:uid="{00000000-0010-0000-1000-00000D000000}" name="106/08"/>
    <tableColumn id="14" xr3:uid="{00000000-0010-0000-1000-00000E000000}" name="106/09"/>
    <tableColumn id="15" xr3:uid="{00000000-0010-0000-1000-00000F000000}" name="106/10"/>
    <tableColumn id="16" xr3:uid="{00000000-0010-0000-1000-000010000000}" name="106/11"/>
    <tableColumn id="17" xr3:uid="{00000000-0010-0000-1000-000011000000}" name="106/12"/>
  </tableColumns>
  <tableStyleInfo name="9-崇德-style" showFirstColumn="1" showLastColumn="1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00000000-000C-0000-FFFF-FFFF11000000}" name="Table_16" displayName="Table_16" ref="E20:R31" headerRowCount="0">
  <tableColumns count="14">
    <tableColumn id="1" xr3:uid="{00000000-0010-0000-1100-000001000000}" name="Column1"/>
    <tableColumn id="2" xr3:uid="{00000000-0010-0000-1100-000002000000}" name="Column2"/>
    <tableColumn id="3" xr3:uid="{00000000-0010-0000-1100-000003000000}" name="106/01"/>
    <tableColumn id="4" xr3:uid="{00000000-0010-0000-1100-000004000000}" name="106/02"/>
    <tableColumn id="5" xr3:uid="{00000000-0010-0000-1100-000005000000}" name="106/03"/>
    <tableColumn id="6" xr3:uid="{00000000-0010-0000-1100-000006000000}" name="106/04"/>
    <tableColumn id="7" xr3:uid="{00000000-0010-0000-1100-000007000000}" name="106/05"/>
    <tableColumn id="8" xr3:uid="{00000000-0010-0000-1100-000008000000}" name="106/06"/>
    <tableColumn id="9" xr3:uid="{00000000-0010-0000-1100-000009000000}" name="106/07"/>
    <tableColumn id="10" xr3:uid="{00000000-0010-0000-1100-00000A000000}" name="106/08"/>
    <tableColumn id="11" xr3:uid="{00000000-0010-0000-1100-00000B000000}" name="106/09"/>
    <tableColumn id="12" xr3:uid="{00000000-0010-0000-1100-00000C000000}" name="106/10"/>
    <tableColumn id="13" xr3:uid="{00000000-0010-0000-1100-00000D000000}" name="106/11"/>
    <tableColumn id="14" xr3:uid="{00000000-0010-0000-1100-00000E000000}" name="106/12"/>
  </tableColumns>
  <tableStyleInfo name="9-崇德-style 2" showFirstColumn="1" showLastColumn="1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00000000-000C-0000-FFFF-FFFF12000000}" name="Table_17" displayName="Table_17" ref="A1:R14" headerRowCount="0">
  <tableColumns count="18">
    <tableColumn id="1" xr3:uid="{00000000-0010-0000-1200-000001000000}" name="Column1"/>
    <tableColumn id="2" xr3:uid="{00000000-0010-0000-1200-000002000000}" name="姓名"/>
    <tableColumn id="3" xr3:uid="{00000000-0010-0000-1200-000003000000}" name="聯絡電話"/>
    <tableColumn id="4" xr3:uid="{00000000-0010-0000-1200-000004000000}" name="租金"/>
    <tableColumn id="5" xr3:uid="{00000000-0010-0000-1200-000005000000}" name="押金"/>
    <tableColumn id="6" xr3:uid="{00000000-0010-0000-1200-000006000000}" name="租期"/>
    <tableColumn id="7" xr3:uid="{00000000-0010-0000-1200-000007000000}" name="106/01"/>
    <tableColumn id="8" xr3:uid="{00000000-0010-0000-1200-000008000000}" name="106/02"/>
    <tableColumn id="9" xr3:uid="{00000000-0010-0000-1200-000009000000}" name="106/03"/>
    <tableColumn id="10" xr3:uid="{00000000-0010-0000-1200-00000A000000}" name="106/04"/>
    <tableColumn id="11" xr3:uid="{00000000-0010-0000-1200-00000B000000}" name="106/05"/>
    <tableColumn id="12" xr3:uid="{00000000-0010-0000-1200-00000C000000}" name="106/06"/>
    <tableColumn id="13" xr3:uid="{00000000-0010-0000-1200-00000D000000}" name="106/07"/>
    <tableColumn id="14" xr3:uid="{00000000-0010-0000-1200-00000E000000}" name="106/08"/>
    <tableColumn id="15" xr3:uid="{00000000-0010-0000-1200-00000F000000}" name="106/09"/>
    <tableColumn id="16" xr3:uid="{00000000-0010-0000-1200-000010000000}" name="106/10"/>
    <tableColumn id="17" xr3:uid="{00000000-0010-0000-1200-000011000000}" name="106/11"/>
    <tableColumn id="18" xr3:uid="{00000000-0010-0000-1200-000012000000}" name="106/12"/>
  </tableColumns>
  <tableStyleInfo name="10-景新-style" showFirstColumn="1" showLastColumn="1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00000000-000C-0000-FFFF-FFFF13000000}" name="Table_18" displayName="Table_18" ref="E21:R34" headerRowCount="0">
  <tableColumns count="14">
    <tableColumn id="1" xr3:uid="{00000000-0010-0000-1300-000001000000}" name="Column1"/>
    <tableColumn id="2" xr3:uid="{00000000-0010-0000-1300-000002000000}" name="Column2"/>
    <tableColumn id="3" xr3:uid="{00000000-0010-0000-1300-000003000000}" name="106/01"/>
    <tableColumn id="4" xr3:uid="{00000000-0010-0000-1300-000004000000}" name="106/02"/>
    <tableColumn id="5" xr3:uid="{00000000-0010-0000-1300-000005000000}" name="106/03"/>
    <tableColumn id="6" xr3:uid="{00000000-0010-0000-1300-000006000000}" name="106/04"/>
    <tableColumn id="7" xr3:uid="{00000000-0010-0000-1300-000007000000}" name="106/05"/>
    <tableColumn id="8" xr3:uid="{00000000-0010-0000-1300-000008000000}" name="106/06"/>
    <tableColumn id="9" xr3:uid="{00000000-0010-0000-1300-000009000000}" name="106/07"/>
    <tableColumn id="10" xr3:uid="{00000000-0010-0000-1300-00000A000000}" name="106/08"/>
    <tableColumn id="11" xr3:uid="{00000000-0010-0000-1300-00000B000000}" name="106/09"/>
    <tableColumn id="12" xr3:uid="{00000000-0010-0000-1300-00000C000000}" name="106/10"/>
    <tableColumn id="13" xr3:uid="{00000000-0010-0000-1300-00000D000000}" name="106/11"/>
    <tableColumn id="14" xr3:uid="{00000000-0010-0000-1300-00000E000000}" name="106/12"/>
  </tableColumns>
  <tableStyleInfo name="10-景新-style 2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e_6" displayName="Table_6" ref="E14:R21" headerRowCount="0">
  <tableColumns count="14">
    <tableColumn id="1" xr3:uid="{00000000-0010-0000-0300-000001000000}" name="Column1"/>
    <tableColumn id="2" xr3:uid="{00000000-0010-0000-0300-000002000000}" name="Column2"/>
    <tableColumn id="3" xr3:uid="{00000000-0010-0000-0300-000003000000}" name="106/01"/>
    <tableColumn id="4" xr3:uid="{00000000-0010-0000-0300-000004000000}" name="106/02"/>
    <tableColumn id="5" xr3:uid="{00000000-0010-0000-0300-000005000000}" name="106/03"/>
    <tableColumn id="6" xr3:uid="{00000000-0010-0000-0300-000006000000}" name="106/04"/>
    <tableColumn id="7" xr3:uid="{00000000-0010-0000-0300-000007000000}" name="106/05"/>
    <tableColumn id="8" xr3:uid="{00000000-0010-0000-0300-000008000000}" name="106/06"/>
    <tableColumn id="9" xr3:uid="{00000000-0010-0000-0300-000009000000}" name="106/07"/>
    <tableColumn id="10" xr3:uid="{00000000-0010-0000-0300-00000A000000}" name="106/08"/>
    <tableColumn id="11" xr3:uid="{00000000-0010-0000-0300-00000B000000}" name="106/09"/>
    <tableColumn id="12" xr3:uid="{00000000-0010-0000-0300-00000C000000}" name="106/10"/>
    <tableColumn id="13" xr3:uid="{00000000-0010-0000-0300-00000D000000}" name="106/11"/>
    <tableColumn id="14" xr3:uid="{00000000-0010-0000-0300-00000E000000}" name="106/12"/>
  </tableColumns>
  <tableStyleInfo name="141-style 2" showFirstColumn="1" showLastColumn="1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4000000}" name="Table_520" displayName="Table_520" ref="A1:R4" headerRowCount="0">
  <tableColumns count="18">
    <tableColumn id="1" xr3:uid="{00000000-0010-0000-0400-000001000000}" name="Column1"/>
    <tableColumn id="2" xr3:uid="{00000000-0010-0000-0400-000002000000}" name="Column2"/>
    <tableColumn id="3" xr3:uid="{00000000-0010-0000-0400-000003000000}" name="Column3"/>
    <tableColumn id="4" xr3:uid="{00000000-0010-0000-0400-000004000000}" name="Column4"/>
    <tableColumn id="5" xr3:uid="{00000000-0010-0000-0400-000005000000}" name="Column5"/>
    <tableColumn id="6" xr3:uid="{00000000-0010-0000-0400-000006000000}" name="Column6"/>
    <tableColumn id="7" xr3:uid="{00000000-0010-0000-0400-000007000000}" name="Column7"/>
    <tableColumn id="8" xr3:uid="{00000000-0010-0000-0400-000008000000}" name="Column8"/>
    <tableColumn id="9" xr3:uid="{00000000-0010-0000-0400-000009000000}" name="Column9"/>
    <tableColumn id="10" xr3:uid="{00000000-0010-0000-0400-00000A000000}" name="Column10"/>
    <tableColumn id="11" xr3:uid="{00000000-0010-0000-0400-00000B000000}" name="Column11"/>
    <tableColumn id="12" xr3:uid="{00000000-0010-0000-0400-00000C000000}" name="Column12"/>
    <tableColumn id="13" xr3:uid="{00000000-0010-0000-0400-00000D000000}" name="Column13"/>
    <tableColumn id="14" xr3:uid="{00000000-0010-0000-0400-00000E000000}" name="Column14"/>
    <tableColumn id="15" xr3:uid="{00000000-0010-0000-0400-00000F000000}" name="Column15"/>
    <tableColumn id="16" xr3:uid="{00000000-0010-0000-0400-000010000000}" name="Column16"/>
    <tableColumn id="17" xr3:uid="{00000000-0010-0000-0400-000011000000}" name="Column17"/>
    <tableColumn id="18" xr3:uid="{00000000-0010-0000-0400-000012000000}" name="Column18"/>
  </tableColumns>
  <tableStyleInfo name="3-溫州-style" showFirstColumn="1" showLastColumn="1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0" xr:uid="{00000000-000C-0000-FFFF-FFFF05000000}" name="Table_621" displayName="Table_621" ref="E12:R15" headerRowCount="0">
  <tableColumns count="14">
    <tableColumn id="1" xr3:uid="{00000000-0010-0000-0500-000001000000}" name="Column1"/>
    <tableColumn id="2" xr3:uid="{00000000-0010-0000-0500-000002000000}" name="Column2"/>
    <tableColumn id="3" xr3:uid="{00000000-0010-0000-0500-000003000000}" name="Column3"/>
    <tableColumn id="4" xr3:uid="{00000000-0010-0000-0500-000004000000}" name="Column4"/>
    <tableColumn id="5" xr3:uid="{00000000-0010-0000-0500-000005000000}" name="Column5"/>
    <tableColumn id="6" xr3:uid="{00000000-0010-0000-0500-000006000000}" name="Column6"/>
    <tableColumn id="7" xr3:uid="{00000000-0010-0000-0500-000007000000}" name="Column7"/>
    <tableColumn id="8" xr3:uid="{00000000-0010-0000-0500-000008000000}" name="Column8"/>
    <tableColumn id="9" xr3:uid="{00000000-0010-0000-0500-000009000000}" name="Column9"/>
    <tableColumn id="10" xr3:uid="{00000000-0010-0000-0500-00000A000000}" name="Column10"/>
    <tableColumn id="11" xr3:uid="{00000000-0010-0000-0500-00000B000000}" name="Column11"/>
    <tableColumn id="12" xr3:uid="{00000000-0010-0000-0500-00000C000000}" name="Column12"/>
    <tableColumn id="13" xr3:uid="{00000000-0010-0000-0500-00000D000000}" name="Column13"/>
    <tableColumn id="14" xr3:uid="{00000000-0010-0000-0500-00000E000000}" name="Column14"/>
  </tableColumns>
  <tableStyleInfo name="3-溫州-style 2" showFirstColumn="1" showLastColumn="1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6000000}" name="Table_1" displayName="Table_1" ref="A1:R14" headerRowCount="0">
  <tableColumns count="18">
    <tableColumn id="1" xr3:uid="{00000000-0010-0000-0600-000001000000}" name="Column1"/>
    <tableColumn id="2" xr3:uid="{00000000-0010-0000-0600-000002000000}" name="姓名"/>
    <tableColumn id="3" xr3:uid="{00000000-0010-0000-0600-000003000000}" name="聯絡電話"/>
    <tableColumn id="4" xr3:uid="{00000000-0010-0000-0600-000004000000}" name="租金"/>
    <tableColumn id="5" xr3:uid="{00000000-0010-0000-0600-000005000000}" name="押金"/>
    <tableColumn id="6" xr3:uid="{00000000-0010-0000-0600-000006000000}" name="租期"/>
    <tableColumn id="7" xr3:uid="{00000000-0010-0000-0600-000007000000}" name="106/01"/>
    <tableColumn id="8" xr3:uid="{00000000-0010-0000-0600-000008000000}" name="106/02"/>
    <tableColumn id="9" xr3:uid="{00000000-0010-0000-0600-000009000000}" name="106/03"/>
    <tableColumn id="10" xr3:uid="{00000000-0010-0000-0600-00000A000000}" name="106/04"/>
    <tableColumn id="11" xr3:uid="{00000000-0010-0000-0600-00000B000000}" name="106/05"/>
    <tableColumn id="12" xr3:uid="{00000000-0010-0000-0600-00000C000000}" name="106/06"/>
    <tableColumn id="13" xr3:uid="{00000000-0010-0000-0600-00000D000000}" name="106/07"/>
    <tableColumn id="14" xr3:uid="{00000000-0010-0000-0600-00000E000000}" name="106/08"/>
    <tableColumn id="15" xr3:uid="{00000000-0010-0000-0600-00000F000000}" name="106/09"/>
    <tableColumn id="16" xr3:uid="{00000000-0010-0000-0600-000010000000}" name="106/10"/>
    <tableColumn id="17" xr3:uid="{00000000-0010-0000-0600-000011000000}" name="106/11"/>
    <tableColumn id="18" xr3:uid="{00000000-0010-0000-0600-000012000000}" name="106/12"/>
  </tableColumns>
  <tableStyleInfo name="4-寒舍-style" showFirstColumn="1" showLastColumn="1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7000000}" name="Table_2" displayName="Table_2" ref="E20:R33" headerRowCount="0">
  <tableColumns count="14">
    <tableColumn id="1" xr3:uid="{00000000-0010-0000-0700-000001000000}" name="Column1"/>
    <tableColumn id="2" xr3:uid="{00000000-0010-0000-0700-000002000000}" name="Column2"/>
    <tableColumn id="3" xr3:uid="{00000000-0010-0000-0700-000003000000}" name="106/01"/>
    <tableColumn id="4" xr3:uid="{00000000-0010-0000-0700-000004000000}" name="106/02"/>
    <tableColumn id="5" xr3:uid="{00000000-0010-0000-0700-000005000000}" name="106/03"/>
    <tableColumn id="6" xr3:uid="{00000000-0010-0000-0700-000006000000}" name="106/04"/>
    <tableColumn id="7" xr3:uid="{00000000-0010-0000-0700-000007000000}" name="106/05"/>
    <tableColumn id="8" xr3:uid="{00000000-0010-0000-0700-000008000000}" name="106/06"/>
    <tableColumn id="9" xr3:uid="{00000000-0010-0000-0700-000009000000}" name="106/07"/>
    <tableColumn id="10" xr3:uid="{00000000-0010-0000-0700-00000A000000}" name="106/08"/>
    <tableColumn id="11" xr3:uid="{00000000-0010-0000-0700-00000B000000}" name="106/09"/>
    <tableColumn id="12" xr3:uid="{00000000-0010-0000-0700-00000C000000}" name="106/10"/>
    <tableColumn id="13" xr3:uid="{00000000-0010-0000-0700-00000D000000}" name="106/11"/>
    <tableColumn id="14" xr3:uid="{00000000-0010-0000-0700-00000E000000}" name="106/12"/>
  </tableColumns>
  <tableStyleInfo name="4-寒舍-style 2" showFirstColumn="1" showLastColumn="1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00000000-000C-0000-FFFF-FFFF08000000}" name="Table_7" displayName="Table_7" ref="A1:R8" headerRowCount="0">
  <tableColumns count="18">
    <tableColumn id="1" xr3:uid="{00000000-0010-0000-0800-000001000000}" name="房號"/>
    <tableColumn id="2" xr3:uid="{00000000-0010-0000-0800-000002000000}" name="姓名"/>
    <tableColumn id="3" xr3:uid="{00000000-0010-0000-0800-000003000000}" name="聯絡電話"/>
    <tableColumn id="4" xr3:uid="{00000000-0010-0000-0800-000004000000}" name="租金"/>
    <tableColumn id="5" xr3:uid="{00000000-0010-0000-0800-000005000000}" name="押金"/>
    <tableColumn id="6" xr3:uid="{00000000-0010-0000-0800-000006000000}" name="租期"/>
    <tableColumn id="7" xr3:uid="{00000000-0010-0000-0800-000007000000}" name="106/01"/>
    <tableColumn id="8" xr3:uid="{00000000-0010-0000-0800-000008000000}" name="106/02"/>
    <tableColumn id="9" xr3:uid="{00000000-0010-0000-0800-000009000000}" name="106/03"/>
    <tableColumn id="10" xr3:uid="{00000000-0010-0000-0800-00000A000000}" name="106/04"/>
    <tableColumn id="11" xr3:uid="{00000000-0010-0000-0800-00000B000000}" name="106/05"/>
    <tableColumn id="12" xr3:uid="{00000000-0010-0000-0800-00000C000000}" name="106/06"/>
    <tableColumn id="13" xr3:uid="{00000000-0010-0000-0800-00000D000000}" name="106/07"/>
    <tableColumn id="14" xr3:uid="{00000000-0010-0000-0800-00000E000000}" name="106/08"/>
    <tableColumn id="15" xr3:uid="{00000000-0010-0000-0800-00000F000000}" name="106/09"/>
    <tableColumn id="16" xr3:uid="{00000000-0010-0000-0800-000010000000}" name="106/10"/>
    <tableColumn id="17" xr3:uid="{00000000-0010-0000-0800-000011000000}" name="106/11"/>
    <tableColumn id="18" xr3:uid="{00000000-0010-0000-0800-000012000000}" name="106/12"/>
  </tableColumns>
  <tableStyleInfo name="5-安和雅企-style" showFirstColumn="1" showLastColumn="1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0000000-000C-0000-FFFF-FFFF09000000}" name="Table_8" displayName="Table_8" ref="E14:R21" headerRowCount="0">
  <tableColumns count="14">
    <tableColumn id="1" xr3:uid="{00000000-0010-0000-0900-000001000000}" name="Column1"/>
    <tableColumn id="2" xr3:uid="{00000000-0010-0000-0900-000002000000}" name="Column2"/>
    <tableColumn id="3" xr3:uid="{00000000-0010-0000-0900-000003000000}" name="106/01"/>
    <tableColumn id="4" xr3:uid="{00000000-0010-0000-0900-000004000000}" name="106/02"/>
    <tableColumn id="5" xr3:uid="{00000000-0010-0000-0900-000005000000}" name="106/03"/>
    <tableColumn id="6" xr3:uid="{00000000-0010-0000-0900-000006000000}" name="106/04"/>
    <tableColumn id="7" xr3:uid="{00000000-0010-0000-0900-000007000000}" name="106/05"/>
    <tableColumn id="8" xr3:uid="{00000000-0010-0000-0900-000008000000}" name="106/06"/>
    <tableColumn id="9" xr3:uid="{00000000-0010-0000-0900-000009000000}" name="106/07"/>
    <tableColumn id="10" xr3:uid="{00000000-0010-0000-0900-00000A000000}" name="106/08"/>
    <tableColumn id="11" xr3:uid="{00000000-0010-0000-0900-00000B000000}" name="106/09"/>
    <tableColumn id="12" xr3:uid="{00000000-0010-0000-0900-00000C000000}" name="106/10"/>
    <tableColumn id="13" xr3:uid="{00000000-0010-0000-0900-00000D000000}" name="106/11"/>
    <tableColumn id="14" xr3:uid="{00000000-0010-0000-0900-00000E000000}" name="106/12"/>
  </tableColumns>
  <tableStyleInfo name="5-安和雅企-style 2" showFirstColumn="1" showLastColumn="1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00000000-000C-0000-FFFF-FFFF0A000000}" name="Table_9" displayName="Table_9" ref="A1:R6" headerRowCount="0">
  <tableColumns count="18">
    <tableColumn id="1" xr3:uid="{00000000-0010-0000-0A00-000001000000}" name="房號"/>
    <tableColumn id="2" xr3:uid="{00000000-0010-0000-0A00-000002000000}" name="姓名"/>
    <tableColumn id="3" xr3:uid="{00000000-0010-0000-0A00-000003000000}" name="聯絡電話"/>
    <tableColumn id="4" xr3:uid="{00000000-0010-0000-0A00-000004000000}" name="租金"/>
    <tableColumn id="5" xr3:uid="{00000000-0010-0000-0A00-000005000000}" name="押金"/>
    <tableColumn id="6" xr3:uid="{00000000-0010-0000-0A00-000006000000}" name="租期"/>
    <tableColumn id="7" xr3:uid="{00000000-0010-0000-0A00-000007000000}" name="106/01"/>
    <tableColumn id="8" xr3:uid="{00000000-0010-0000-0A00-000008000000}" name="106/02"/>
    <tableColumn id="9" xr3:uid="{00000000-0010-0000-0A00-000009000000}" name="106/03"/>
    <tableColumn id="10" xr3:uid="{00000000-0010-0000-0A00-00000A000000}" name="106/04"/>
    <tableColumn id="11" xr3:uid="{00000000-0010-0000-0A00-00000B000000}" name="106/05"/>
    <tableColumn id="12" xr3:uid="{00000000-0010-0000-0A00-00000C000000}" name="106/06"/>
    <tableColumn id="13" xr3:uid="{00000000-0010-0000-0A00-00000D000000}" name="106/07"/>
    <tableColumn id="14" xr3:uid="{00000000-0010-0000-0A00-00000E000000}" name="106/08"/>
    <tableColumn id="15" xr3:uid="{00000000-0010-0000-0A00-00000F000000}" name="106/09"/>
    <tableColumn id="16" xr3:uid="{00000000-0010-0000-0A00-000010000000}" name="106/10"/>
    <tableColumn id="17" xr3:uid="{00000000-0010-0000-0A00-000011000000}" name="106/11"/>
    <tableColumn id="18" xr3:uid="{00000000-0010-0000-0A00-000012000000}" name="106/12"/>
  </tableColumns>
  <tableStyleInfo name="6-敦南薈館-style" showFirstColumn="1" showLastColumn="1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jf open 粉圓 2.0">
      <a:majorFont>
        <a:latin typeface="jf open 粉圓 2.0"/>
        <a:ea typeface="jf open 粉圓 2.0"/>
        <a:cs typeface=""/>
      </a:majorFont>
      <a:minorFont>
        <a:latin typeface="jf open 粉圓 2.0"/>
        <a:ea typeface="jf open 粉圓 2.0"/>
        <a:cs typeface="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table" Target="../tables/table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table" Target="../tables/table13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table" Target="../tables/table15.x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8.xml"/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1.vml"/><Relationship Id="rId4" Type="http://schemas.openxmlformats.org/officeDocument/2006/relationships/comments" Target="../comments1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table" Target="../tables/table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0EF00E-35F1-4F32-BC14-320D11CEE5C6}">
  <dimension ref="A1:H97"/>
  <sheetViews>
    <sheetView workbookViewId="0">
      <selection activeCell="A89" sqref="A89:H97"/>
    </sheetView>
  </sheetViews>
  <sheetFormatPr defaultRowHeight="14.25"/>
  <cols>
    <col min="1" max="1" width="9" style="289"/>
    <col min="2" max="2" width="12" style="291" customWidth="1"/>
    <col min="3" max="3" width="9.875" style="322" customWidth="1"/>
    <col min="4" max="4" width="9.875" style="323" customWidth="1"/>
    <col min="5" max="5" width="10" style="289" bestFit="1" customWidth="1"/>
    <col min="6" max="6" width="12.875" style="309" bestFit="1" customWidth="1"/>
    <col min="7" max="9" width="10" style="289" bestFit="1" customWidth="1"/>
    <col min="10" max="10" width="11.875" style="289" customWidth="1"/>
    <col min="11" max="23" width="10" style="289" bestFit="1" customWidth="1"/>
    <col min="24" max="16384" width="9" style="289"/>
  </cols>
  <sheetData>
    <row r="1" spans="1:8" ht="15.75">
      <c r="A1" s="324" t="s">
        <v>258</v>
      </c>
      <c r="B1" s="297" t="s">
        <v>249</v>
      </c>
      <c r="C1" s="314" t="s">
        <v>240</v>
      </c>
      <c r="D1" s="314" t="s">
        <v>241</v>
      </c>
      <c r="E1" s="296" t="s">
        <v>250</v>
      </c>
      <c r="F1" s="305" t="s">
        <v>251</v>
      </c>
      <c r="G1" s="296" t="s">
        <v>252</v>
      </c>
      <c r="H1" s="296" t="s">
        <v>253</v>
      </c>
    </row>
    <row r="2" spans="1:8">
      <c r="A2" s="298" t="s">
        <v>2</v>
      </c>
      <c r="B2" s="299" t="s">
        <v>39</v>
      </c>
      <c r="C2" s="315">
        <v>30000</v>
      </c>
      <c r="D2" s="316">
        <v>30000</v>
      </c>
      <c r="E2" s="300">
        <v>0</v>
      </c>
      <c r="F2" s="306">
        <v>1</v>
      </c>
      <c r="G2" s="300">
        <v>31</v>
      </c>
      <c r="H2" s="310">
        <v>1000</v>
      </c>
    </row>
    <row r="3" spans="1:8">
      <c r="A3" s="298" t="s">
        <v>3</v>
      </c>
      <c r="B3" s="299" t="s">
        <v>39</v>
      </c>
      <c r="C3" s="315">
        <v>30000</v>
      </c>
      <c r="D3" s="316">
        <v>30000</v>
      </c>
      <c r="E3" s="300">
        <v>0</v>
      </c>
      <c r="F3" s="306">
        <v>1</v>
      </c>
      <c r="G3" s="300">
        <v>28</v>
      </c>
      <c r="H3" s="310">
        <v>1000</v>
      </c>
    </row>
    <row r="4" spans="1:8">
      <c r="A4" s="298" t="s">
        <v>4</v>
      </c>
      <c r="B4" s="299" t="s">
        <v>39</v>
      </c>
      <c r="C4" s="315">
        <v>30000</v>
      </c>
      <c r="D4" s="316">
        <v>30000</v>
      </c>
      <c r="E4" s="300">
        <v>0</v>
      </c>
      <c r="F4" s="306">
        <v>1</v>
      </c>
      <c r="G4" s="300">
        <v>31</v>
      </c>
      <c r="H4" s="310">
        <v>1000</v>
      </c>
    </row>
    <row r="5" spans="1:8">
      <c r="A5" s="298" t="s">
        <v>5</v>
      </c>
      <c r="B5" s="299" t="s">
        <v>39</v>
      </c>
      <c r="C5" s="315">
        <v>30000</v>
      </c>
      <c r="D5" s="316">
        <v>6484</v>
      </c>
      <c r="E5" s="300">
        <v>0</v>
      </c>
      <c r="F5" s="306">
        <v>1</v>
      </c>
      <c r="G5" s="300">
        <v>30</v>
      </c>
      <c r="H5" s="310">
        <v>1000</v>
      </c>
    </row>
    <row r="6" spans="1:8">
      <c r="A6" s="298" t="s">
        <v>6</v>
      </c>
      <c r="B6" s="299" t="s">
        <v>39</v>
      </c>
      <c r="C6" s="315">
        <v>30000</v>
      </c>
      <c r="D6" s="316">
        <v>41431</v>
      </c>
      <c r="E6" s="300">
        <v>4</v>
      </c>
      <c r="F6" s="306">
        <v>0.87096774193548387</v>
      </c>
      <c r="G6" s="300">
        <v>31</v>
      </c>
      <c r="H6" s="310">
        <v>1000</v>
      </c>
    </row>
    <row r="7" spans="1:8">
      <c r="A7" s="298" t="s">
        <v>7</v>
      </c>
      <c r="B7" s="299" t="s">
        <v>39</v>
      </c>
      <c r="C7" s="315">
        <v>30000</v>
      </c>
      <c r="D7" s="316">
        <v>31734</v>
      </c>
      <c r="E7" s="300">
        <v>12</v>
      </c>
      <c r="F7" s="306">
        <v>0.6</v>
      </c>
      <c r="G7" s="300">
        <v>30</v>
      </c>
      <c r="H7" s="310">
        <v>1000</v>
      </c>
    </row>
    <row r="8" spans="1:8">
      <c r="A8" s="298" t="s">
        <v>8</v>
      </c>
      <c r="B8" s="299" t="s">
        <v>39</v>
      </c>
      <c r="C8" s="315">
        <v>30000</v>
      </c>
      <c r="D8" s="316">
        <v>46963</v>
      </c>
      <c r="E8" s="300">
        <v>5</v>
      </c>
      <c r="F8" s="306">
        <v>0.83870967741935487</v>
      </c>
      <c r="G8" s="300">
        <v>31</v>
      </c>
      <c r="H8" s="310">
        <v>1000</v>
      </c>
    </row>
    <row r="9" spans="1:8">
      <c r="A9" s="298" t="s">
        <v>9</v>
      </c>
      <c r="B9" s="299" t="s">
        <v>39</v>
      </c>
      <c r="C9" s="315">
        <v>30000</v>
      </c>
      <c r="D9" s="316">
        <v>34574</v>
      </c>
      <c r="E9" s="300">
        <v>11</v>
      </c>
      <c r="F9" s="306">
        <v>0.64516129032258063</v>
      </c>
      <c r="G9" s="300">
        <v>31</v>
      </c>
      <c r="H9" s="310">
        <v>1000</v>
      </c>
    </row>
    <row r="10" spans="1:8">
      <c r="A10" s="298" t="s">
        <v>10</v>
      </c>
      <c r="B10" s="299" t="s">
        <v>39</v>
      </c>
      <c r="C10" s="315">
        <v>30000</v>
      </c>
      <c r="D10" s="316">
        <v>26944</v>
      </c>
      <c r="E10" s="300">
        <v>16</v>
      </c>
      <c r="F10" s="306">
        <v>0.46666666666666667</v>
      </c>
      <c r="G10" s="300">
        <v>30</v>
      </c>
      <c r="H10" s="310">
        <v>1000</v>
      </c>
    </row>
    <row r="11" spans="1:8">
      <c r="A11" s="298" t="s">
        <v>11</v>
      </c>
      <c r="B11" s="299" t="s">
        <v>39</v>
      </c>
      <c r="C11" s="315">
        <v>30000</v>
      </c>
      <c r="D11" s="316">
        <v>40620</v>
      </c>
      <c r="E11" s="300">
        <v>9</v>
      </c>
      <c r="F11" s="306">
        <v>0.70967741935483875</v>
      </c>
      <c r="G11" s="300">
        <v>31</v>
      </c>
      <c r="H11" s="310">
        <v>1000</v>
      </c>
    </row>
    <row r="12" spans="1:8">
      <c r="A12" s="298" t="s">
        <v>12</v>
      </c>
      <c r="B12" s="299" t="s">
        <v>39</v>
      </c>
      <c r="C12" s="315">
        <v>30000</v>
      </c>
      <c r="D12" s="316">
        <v>44065</v>
      </c>
      <c r="E12" s="300">
        <v>6</v>
      </c>
      <c r="F12" s="306">
        <v>0.75</v>
      </c>
      <c r="G12" s="300">
        <v>24</v>
      </c>
      <c r="H12" s="310">
        <v>1000</v>
      </c>
    </row>
    <row r="13" spans="1:8">
      <c r="A13" s="298" t="s">
        <v>16</v>
      </c>
      <c r="B13" s="299" t="s">
        <v>39</v>
      </c>
      <c r="C13" s="315">
        <v>30000</v>
      </c>
      <c r="D13" s="316">
        <v>65414</v>
      </c>
      <c r="E13" s="300">
        <v>5</v>
      </c>
      <c r="F13" s="306">
        <v>0.83870967741935487</v>
      </c>
      <c r="G13" s="300">
        <v>31</v>
      </c>
      <c r="H13" s="310">
        <v>1000</v>
      </c>
    </row>
    <row r="14" spans="1:8">
      <c r="A14" s="298" t="s">
        <v>2</v>
      </c>
      <c r="B14" s="313" t="s">
        <v>40</v>
      </c>
      <c r="C14" s="315">
        <v>30000</v>
      </c>
      <c r="D14" s="316">
        <v>57641</v>
      </c>
      <c r="E14" s="300">
        <v>0</v>
      </c>
      <c r="F14" s="306">
        <v>1</v>
      </c>
      <c r="G14" s="300">
        <v>31</v>
      </c>
      <c r="H14" s="310">
        <v>1000</v>
      </c>
    </row>
    <row r="15" spans="1:8">
      <c r="A15" s="298" t="s">
        <v>3</v>
      </c>
      <c r="B15" s="313" t="s">
        <v>40</v>
      </c>
      <c r="C15" s="315">
        <v>30000</v>
      </c>
      <c r="D15" s="316">
        <v>33705</v>
      </c>
      <c r="E15" s="300">
        <v>0</v>
      </c>
      <c r="F15" s="306">
        <v>1</v>
      </c>
      <c r="G15" s="300">
        <v>28</v>
      </c>
      <c r="H15" s="310">
        <v>1000</v>
      </c>
    </row>
    <row r="16" spans="1:8">
      <c r="A16" s="298" t="s">
        <v>4</v>
      </c>
      <c r="B16" s="313" t="s">
        <v>40</v>
      </c>
      <c r="C16" s="315">
        <v>30000</v>
      </c>
      <c r="D16" s="316">
        <v>41854</v>
      </c>
      <c r="E16" s="300">
        <v>0</v>
      </c>
      <c r="F16" s="306">
        <v>1</v>
      </c>
      <c r="G16" s="300">
        <v>31</v>
      </c>
      <c r="H16" s="310">
        <v>1000</v>
      </c>
    </row>
    <row r="17" spans="1:8">
      <c r="A17" s="298" t="s">
        <v>5</v>
      </c>
      <c r="B17" s="313" t="s">
        <v>40</v>
      </c>
      <c r="C17" s="315">
        <v>30000</v>
      </c>
      <c r="D17" s="316">
        <v>42952</v>
      </c>
      <c r="E17" s="300">
        <v>7</v>
      </c>
      <c r="F17" s="306">
        <v>0.76666666666666672</v>
      </c>
      <c r="G17" s="300">
        <v>30</v>
      </c>
      <c r="H17" s="310">
        <v>1000</v>
      </c>
    </row>
    <row r="18" spans="1:8">
      <c r="A18" s="298" t="s">
        <v>6</v>
      </c>
      <c r="B18" s="313" t="s">
        <v>40</v>
      </c>
      <c r="C18" s="315">
        <v>30000</v>
      </c>
      <c r="D18" s="316">
        <v>38772</v>
      </c>
      <c r="E18" s="300">
        <v>9</v>
      </c>
      <c r="F18" s="306">
        <v>0.70967741935483875</v>
      </c>
      <c r="G18" s="300">
        <v>31</v>
      </c>
      <c r="H18" s="310">
        <v>1000</v>
      </c>
    </row>
    <row r="19" spans="1:8">
      <c r="A19" s="298" t="s">
        <v>7</v>
      </c>
      <c r="B19" s="313" t="s">
        <v>40</v>
      </c>
      <c r="C19" s="315">
        <v>30000</v>
      </c>
      <c r="D19" s="316">
        <v>36786</v>
      </c>
      <c r="E19" s="300">
        <v>7</v>
      </c>
      <c r="F19" s="306">
        <v>0.76666666666666672</v>
      </c>
      <c r="G19" s="300">
        <v>30</v>
      </c>
      <c r="H19" s="310">
        <v>1000</v>
      </c>
    </row>
    <row r="20" spans="1:8">
      <c r="A20" s="298" t="s">
        <v>8</v>
      </c>
      <c r="B20" s="313" t="s">
        <v>40</v>
      </c>
      <c r="C20" s="315">
        <v>30000</v>
      </c>
      <c r="D20" s="316">
        <v>34549</v>
      </c>
      <c r="E20" s="300">
        <v>9</v>
      </c>
      <c r="F20" s="306">
        <v>0.70967741935483875</v>
      </c>
      <c r="G20" s="300">
        <v>31</v>
      </c>
      <c r="H20" s="310">
        <v>1000</v>
      </c>
    </row>
    <row r="21" spans="1:8">
      <c r="A21" s="298" t="s">
        <v>9</v>
      </c>
      <c r="B21" s="313" t="s">
        <v>40</v>
      </c>
      <c r="C21" s="315">
        <v>30000</v>
      </c>
      <c r="D21" s="316">
        <v>34802</v>
      </c>
      <c r="E21" s="300">
        <v>7</v>
      </c>
      <c r="F21" s="306">
        <v>0.77419354838709675</v>
      </c>
      <c r="G21" s="300">
        <v>31</v>
      </c>
      <c r="H21" s="310">
        <v>1000</v>
      </c>
    </row>
    <row r="22" spans="1:8">
      <c r="A22" s="298" t="s">
        <v>10</v>
      </c>
      <c r="B22" s="313" t="s">
        <v>40</v>
      </c>
      <c r="C22" s="315">
        <v>30000</v>
      </c>
      <c r="D22" s="317">
        <v>33000</v>
      </c>
      <c r="E22" s="300">
        <v>0</v>
      </c>
      <c r="F22" s="306">
        <v>1</v>
      </c>
      <c r="G22" s="300">
        <v>30</v>
      </c>
      <c r="H22" s="310">
        <v>1000</v>
      </c>
    </row>
    <row r="23" spans="1:8">
      <c r="A23" s="298" t="s">
        <v>11</v>
      </c>
      <c r="B23" s="313" t="s">
        <v>40</v>
      </c>
      <c r="C23" s="315">
        <v>30000</v>
      </c>
      <c r="D23" s="316">
        <v>33000</v>
      </c>
      <c r="E23" s="300">
        <v>0</v>
      </c>
      <c r="F23" s="306">
        <v>1</v>
      </c>
      <c r="G23" s="300">
        <v>31</v>
      </c>
      <c r="H23" s="310">
        <v>1000</v>
      </c>
    </row>
    <row r="24" spans="1:8">
      <c r="A24" s="298" t="s">
        <v>12</v>
      </c>
      <c r="B24" s="313" t="s">
        <v>40</v>
      </c>
      <c r="C24" s="315">
        <v>30000</v>
      </c>
      <c r="D24" s="316">
        <v>24086</v>
      </c>
      <c r="E24" s="300">
        <v>10</v>
      </c>
      <c r="F24" s="306">
        <v>0.58333333333333337</v>
      </c>
      <c r="G24" s="300">
        <v>24</v>
      </c>
      <c r="H24" s="310">
        <v>1000</v>
      </c>
    </row>
    <row r="25" spans="1:8">
      <c r="A25" s="298" t="s">
        <v>16</v>
      </c>
      <c r="B25" s="313" t="s">
        <v>40</v>
      </c>
      <c r="C25" s="315">
        <v>30000</v>
      </c>
      <c r="D25" s="316">
        <v>57251</v>
      </c>
      <c r="E25" s="300">
        <v>3</v>
      </c>
      <c r="F25" s="306">
        <v>0.90322580645161288</v>
      </c>
      <c r="G25" s="300">
        <v>31</v>
      </c>
      <c r="H25" s="310">
        <v>1000</v>
      </c>
    </row>
    <row r="26" spans="1:8">
      <c r="A26" s="298" t="s">
        <v>2</v>
      </c>
      <c r="B26" s="313" t="s">
        <v>41</v>
      </c>
      <c r="C26" s="315">
        <v>32000</v>
      </c>
      <c r="D26" s="316">
        <v>59736</v>
      </c>
      <c r="E26" s="300">
        <v>0</v>
      </c>
      <c r="F26" s="306">
        <v>1</v>
      </c>
      <c r="G26" s="300">
        <v>31</v>
      </c>
      <c r="H26" s="310">
        <v>1066.6666666666667</v>
      </c>
    </row>
    <row r="27" spans="1:8">
      <c r="A27" s="298" t="s">
        <v>3</v>
      </c>
      <c r="B27" s="313" t="s">
        <v>41</v>
      </c>
      <c r="C27" s="315">
        <v>32000</v>
      </c>
      <c r="D27" s="316">
        <v>54940</v>
      </c>
      <c r="E27" s="300">
        <v>0</v>
      </c>
      <c r="F27" s="306">
        <v>1</v>
      </c>
      <c r="G27" s="300">
        <v>28</v>
      </c>
      <c r="H27" s="310">
        <v>1066.6666666666667</v>
      </c>
    </row>
    <row r="28" spans="1:8">
      <c r="A28" s="298" t="s">
        <v>4</v>
      </c>
      <c r="B28" s="313" t="s">
        <v>41</v>
      </c>
      <c r="C28" s="315">
        <v>32000</v>
      </c>
      <c r="D28" s="316">
        <v>46602</v>
      </c>
      <c r="E28" s="300">
        <v>0</v>
      </c>
      <c r="F28" s="306">
        <v>1</v>
      </c>
      <c r="G28" s="300">
        <v>31</v>
      </c>
      <c r="H28" s="310">
        <v>1066.6666666666667</v>
      </c>
    </row>
    <row r="29" spans="1:8">
      <c r="A29" s="298" t="s">
        <v>5</v>
      </c>
      <c r="B29" s="313" t="s">
        <v>41</v>
      </c>
      <c r="C29" s="315">
        <v>32000</v>
      </c>
      <c r="D29" s="316">
        <v>60810</v>
      </c>
      <c r="E29" s="300">
        <v>1</v>
      </c>
      <c r="F29" s="306">
        <v>0.96666666666666667</v>
      </c>
      <c r="G29" s="300">
        <v>30</v>
      </c>
      <c r="H29" s="310">
        <v>1066.6666666666667</v>
      </c>
    </row>
    <row r="30" spans="1:8">
      <c r="A30" s="298" t="s">
        <v>6</v>
      </c>
      <c r="B30" s="313" t="s">
        <v>41</v>
      </c>
      <c r="C30" s="315">
        <v>32000</v>
      </c>
      <c r="D30" s="316">
        <v>61282</v>
      </c>
      <c r="E30" s="300">
        <v>1</v>
      </c>
      <c r="F30" s="306">
        <v>0.967741935483871</v>
      </c>
      <c r="G30" s="300">
        <v>31</v>
      </c>
      <c r="H30" s="310">
        <v>1066.6666666666667</v>
      </c>
    </row>
    <row r="31" spans="1:8">
      <c r="A31" s="298" t="s">
        <v>7</v>
      </c>
      <c r="B31" s="313" t="s">
        <v>41</v>
      </c>
      <c r="C31" s="315">
        <v>32000</v>
      </c>
      <c r="D31" s="316">
        <v>59205</v>
      </c>
      <c r="E31" s="300">
        <v>3</v>
      </c>
      <c r="F31" s="306">
        <v>0.9</v>
      </c>
      <c r="G31" s="300">
        <v>30</v>
      </c>
      <c r="H31" s="310">
        <v>1066.6666666666667</v>
      </c>
    </row>
    <row r="32" spans="1:8">
      <c r="A32" s="298" t="s">
        <v>8</v>
      </c>
      <c r="B32" s="313" t="s">
        <v>41</v>
      </c>
      <c r="C32" s="315">
        <v>32000</v>
      </c>
      <c r="D32" s="316">
        <v>64156</v>
      </c>
      <c r="E32" s="300">
        <v>3</v>
      </c>
      <c r="F32" s="306">
        <v>0.90322580645161288</v>
      </c>
      <c r="G32" s="300">
        <v>31</v>
      </c>
      <c r="H32" s="310">
        <v>1066.6666666666667</v>
      </c>
    </row>
    <row r="33" spans="1:8">
      <c r="A33" s="298" t="s">
        <v>9</v>
      </c>
      <c r="B33" s="313" t="s">
        <v>41</v>
      </c>
      <c r="C33" s="315">
        <v>32000</v>
      </c>
      <c r="D33" s="316">
        <v>50101</v>
      </c>
      <c r="E33" s="300">
        <v>8</v>
      </c>
      <c r="F33" s="306">
        <v>0.74193548387096775</v>
      </c>
      <c r="G33" s="300">
        <v>31</v>
      </c>
      <c r="H33" s="310">
        <v>1066.6666666666667</v>
      </c>
    </row>
    <row r="34" spans="1:8">
      <c r="A34" s="298" t="s">
        <v>10</v>
      </c>
      <c r="B34" s="313" t="s">
        <v>41</v>
      </c>
      <c r="C34" s="315">
        <v>32000</v>
      </c>
      <c r="D34" s="317">
        <v>59280</v>
      </c>
      <c r="E34" s="300">
        <v>3</v>
      </c>
      <c r="F34" s="306">
        <v>0.9</v>
      </c>
      <c r="G34" s="300">
        <v>30</v>
      </c>
      <c r="H34" s="310">
        <v>1066.6666666666667</v>
      </c>
    </row>
    <row r="35" spans="1:8">
      <c r="A35" s="298" t="s">
        <v>11</v>
      </c>
      <c r="B35" s="313" t="s">
        <v>41</v>
      </c>
      <c r="C35" s="315">
        <v>32000</v>
      </c>
      <c r="D35" s="316">
        <v>57039</v>
      </c>
      <c r="E35" s="300">
        <v>5</v>
      </c>
      <c r="F35" s="306">
        <v>0.83870967741935487</v>
      </c>
      <c r="G35" s="300">
        <v>31</v>
      </c>
      <c r="H35" s="310">
        <v>1066.6666666666667</v>
      </c>
    </row>
    <row r="36" spans="1:8">
      <c r="A36" s="298" t="s">
        <v>12</v>
      </c>
      <c r="B36" s="313" t="s">
        <v>41</v>
      </c>
      <c r="C36" s="315">
        <v>32000</v>
      </c>
      <c r="D36" s="316">
        <v>55868</v>
      </c>
      <c r="E36" s="300">
        <v>5</v>
      </c>
      <c r="F36" s="306">
        <v>0.79166666666666663</v>
      </c>
      <c r="G36" s="300">
        <v>24</v>
      </c>
      <c r="H36" s="310">
        <v>1066.6666666666667</v>
      </c>
    </row>
    <row r="37" spans="1:8">
      <c r="A37" s="298" t="s">
        <v>16</v>
      </c>
      <c r="B37" s="313" t="s">
        <v>41</v>
      </c>
      <c r="C37" s="315">
        <v>32000</v>
      </c>
      <c r="D37" s="316">
        <v>67106</v>
      </c>
      <c r="E37" s="300">
        <v>6</v>
      </c>
      <c r="F37" s="306">
        <v>0.80645161290322576</v>
      </c>
      <c r="G37" s="300">
        <v>31</v>
      </c>
      <c r="H37" s="310">
        <v>1066.6666666666667</v>
      </c>
    </row>
    <row r="38" spans="1:8">
      <c r="A38" s="301" t="s">
        <v>2</v>
      </c>
      <c r="B38" s="302" t="s">
        <v>17</v>
      </c>
      <c r="C38" s="318">
        <v>30000</v>
      </c>
      <c r="D38" s="319">
        <v>46514</v>
      </c>
      <c r="E38" s="301">
        <v>0</v>
      </c>
      <c r="F38" s="307">
        <v>1</v>
      </c>
      <c r="G38" s="301">
        <v>31</v>
      </c>
      <c r="H38" s="311">
        <v>1000</v>
      </c>
    </row>
    <row r="39" spans="1:8">
      <c r="A39" s="301" t="s">
        <v>3</v>
      </c>
      <c r="B39" s="302" t="s">
        <v>17</v>
      </c>
      <c r="C39" s="318">
        <v>30000</v>
      </c>
      <c r="D39" s="319">
        <v>31836</v>
      </c>
      <c r="E39" s="301">
        <v>0</v>
      </c>
      <c r="F39" s="307">
        <v>1</v>
      </c>
      <c r="G39" s="301">
        <v>28</v>
      </c>
      <c r="H39" s="311">
        <v>1000</v>
      </c>
    </row>
    <row r="40" spans="1:8">
      <c r="A40" s="301" t="s">
        <v>4</v>
      </c>
      <c r="B40" s="302" t="s">
        <v>17</v>
      </c>
      <c r="C40" s="318">
        <v>30000</v>
      </c>
      <c r="D40" s="319">
        <v>37688</v>
      </c>
      <c r="E40" s="301">
        <v>0</v>
      </c>
      <c r="F40" s="307">
        <v>1</v>
      </c>
      <c r="G40" s="301">
        <v>31</v>
      </c>
      <c r="H40" s="311">
        <v>1000</v>
      </c>
    </row>
    <row r="41" spans="1:8">
      <c r="A41" s="301" t="s">
        <v>5</v>
      </c>
      <c r="B41" s="302" t="s">
        <v>17</v>
      </c>
      <c r="C41" s="318">
        <v>30000</v>
      </c>
      <c r="D41" s="319">
        <v>37327</v>
      </c>
      <c r="E41" s="301">
        <v>2</v>
      </c>
      <c r="F41" s="307">
        <v>0.93333333333333335</v>
      </c>
      <c r="G41" s="301">
        <v>30</v>
      </c>
      <c r="H41" s="311">
        <v>1000</v>
      </c>
    </row>
    <row r="42" spans="1:8">
      <c r="A42" s="301" t="s">
        <v>6</v>
      </c>
      <c r="B42" s="302" t="s">
        <v>17</v>
      </c>
      <c r="C42" s="318">
        <v>30000</v>
      </c>
      <c r="D42" s="319">
        <v>41031</v>
      </c>
      <c r="E42" s="301">
        <v>6</v>
      </c>
      <c r="F42" s="307">
        <v>0.80645161290322576</v>
      </c>
      <c r="G42" s="301">
        <v>31</v>
      </c>
      <c r="H42" s="311">
        <v>1000</v>
      </c>
    </row>
    <row r="43" spans="1:8">
      <c r="A43" s="301" t="s">
        <v>7</v>
      </c>
      <c r="B43" s="302" t="s">
        <v>17</v>
      </c>
      <c r="C43" s="318">
        <v>30000</v>
      </c>
      <c r="D43" s="319">
        <v>48438</v>
      </c>
      <c r="E43" s="301">
        <v>0</v>
      </c>
      <c r="F43" s="307">
        <v>1</v>
      </c>
      <c r="G43" s="301">
        <v>30</v>
      </c>
      <c r="H43" s="311">
        <v>1000</v>
      </c>
    </row>
    <row r="44" spans="1:8">
      <c r="A44" s="301" t="s">
        <v>8</v>
      </c>
      <c r="B44" s="302" t="s">
        <v>17</v>
      </c>
      <c r="C44" s="318">
        <v>30000</v>
      </c>
      <c r="D44" s="319">
        <v>46097</v>
      </c>
      <c r="E44" s="301">
        <v>3</v>
      </c>
      <c r="F44" s="307">
        <v>0.90322580645161288</v>
      </c>
      <c r="G44" s="301">
        <v>31</v>
      </c>
      <c r="H44" s="311">
        <v>1000</v>
      </c>
    </row>
    <row r="45" spans="1:8">
      <c r="A45" s="301" t="s">
        <v>9</v>
      </c>
      <c r="B45" s="302" t="s">
        <v>17</v>
      </c>
      <c r="C45" s="318">
        <v>30000</v>
      </c>
      <c r="D45" s="319">
        <v>21877</v>
      </c>
      <c r="E45" s="301">
        <v>15</v>
      </c>
      <c r="F45" s="307">
        <v>0.5161290322580645</v>
      </c>
      <c r="G45" s="301">
        <v>31</v>
      </c>
      <c r="H45" s="311">
        <v>1000</v>
      </c>
    </row>
    <row r="46" spans="1:8">
      <c r="A46" s="301" t="s">
        <v>10</v>
      </c>
      <c r="B46" s="302" t="s">
        <v>17</v>
      </c>
      <c r="C46" s="318">
        <v>30000</v>
      </c>
      <c r="D46" s="319"/>
      <c r="E46" s="301"/>
      <c r="F46" s="307"/>
      <c r="G46" s="301"/>
      <c r="H46" s="311">
        <v>1000</v>
      </c>
    </row>
    <row r="47" spans="1:8">
      <c r="A47" s="301" t="s">
        <v>11</v>
      </c>
      <c r="B47" s="302" t="s">
        <v>17</v>
      </c>
      <c r="C47" s="318">
        <v>30000</v>
      </c>
      <c r="D47" s="319"/>
      <c r="E47" s="301"/>
      <c r="F47" s="307"/>
      <c r="G47" s="301"/>
      <c r="H47" s="311">
        <v>1000</v>
      </c>
    </row>
    <row r="48" spans="1:8">
      <c r="A48" s="301" t="s">
        <v>12</v>
      </c>
      <c r="B48" s="302" t="s">
        <v>17</v>
      </c>
      <c r="C48" s="318">
        <v>30000</v>
      </c>
      <c r="D48" s="319">
        <v>35163</v>
      </c>
      <c r="E48" s="301">
        <v>3</v>
      </c>
      <c r="F48" s="307">
        <v>0.875</v>
      </c>
      <c r="G48" s="301">
        <v>24</v>
      </c>
      <c r="H48" s="311">
        <v>1000</v>
      </c>
    </row>
    <row r="49" spans="1:8">
      <c r="A49" s="301" t="s">
        <v>16</v>
      </c>
      <c r="B49" s="302" t="s">
        <v>17</v>
      </c>
      <c r="C49" s="318">
        <v>30000</v>
      </c>
      <c r="D49" s="319">
        <v>56157</v>
      </c>
      <c r="E49" s="301">
        <v>1</v>
      </c>
      <c r="F49" s="307">
        <v>0.967741935483871</v>
      </c>
      <c r="G49" s="301">
        <v>31</v>
      </c>
      <c r="H49" s="311">
        <v>1000</v>
      </c>
    </row>
    <row r="50" spans="1:8">
      <c r="A50" s="301" t="s">
        <v>2</v>
      </c>
      <c r="B50" s="302" t="s">
        <v>18</v>
      </c>
      <c r="C50" s="318">
        <v>28000</v>
      </c>
      <c r="D50" s="319">
        <v>38870</v>
      </c>
      <c r="E50" s="301">
        <v>0</v>
      </c>
      <c r="F50" s="307">
        <v>1</v>
      </c>
      <c r="G50" s="301">
        <v>31</v>
      </c>
      <c r="H50" s="311">
        <v>933.33333333333337</v>
      </c>
    </row>
    <row r="51" spans="1:8">
      <c r="A51" s="301" t="s">
        <v>3</v>
      </c>
      <c r="B51" s="302" t="s">
        <v>18</v>
      </c>
      <c r="C51" s="318">
        <v>28000</v>
      </c>
      <c r="D51" s="319">
        <v>29271</v>
      </c>
      <c r="E51" s="301">
        <v>0</v>
      </c>
      <c r="F51" s="307">
        <v>1</v>
      </c>
      <c r="G51" s="301">
        <v>28</v>
      </c>
      <c r="H51" s="311">
        <v>933.33333333333337</v>
      </c>
    </row>
    <row r="52" spans="1:8">
      <c r="A52" s="301" t="s">
        <v>4</v>
      </c>
      <c r="B52" s="302" t="s">
        <v>18</v>
      </c>
      <c r="C52" s="318">
        <v>28000</v>
      </c>
      <c r="D52" s="319">
        <v>26800</v>
      </c>
      <c r="E52" s="301">
        <v>0</v>
      </c>
      <c r="F52" s="307"/>
      <c r="G52" s="301">
        <v>31</v>
      </c>
      <c r="H52" s="311">
        <v>933.33333333333337</v>
      </c>
    </row>
    <row r="53" spans="1:8">
      <c r="A53" s="301" t="s">
        <v>5</v>
      </c>
      <c r="B53" s="302" t="s">
        <v>18</v>
      </c>
      <c r="C53" s="318">
        <v>28000</v>
      </c>
      <c r="D53" s="319">
        <v>35803</v>
      </c>
      <c r="E53" s="301">
        <v>2</v>
      </c>
      <c r="F53" s="307">
        <v>0.93333333333333335</v>
      </c>
      <c r="G53" s="301">
        <v>30</v>
      </c>
      <c r="H53" s="311">
        <v>933.33333333333337</v>
      </c>
    </row>
    <row r="54" spans="1:8">
      <c r="A54" s="301" t="s">
        <v>6</v>
      </c>
      <c r="B54" s="302" t="s">
        <v>18</v>
      </c>
      <c r="C54" s="318">
        <v>28000</v>
      </c>
      <c r="D54" s="319">
        <v>36598</v>
      </c>
      <c r="E54" s="301">
        <v>5</v>
      </c>
      <c r="F54" s="307">
        <v>0.83870967741935487</v>
      </c>
      <c r="G54" s="301">
        <v>31</v>
      </c>
      <c r="H54" s="311">
        <v>933.33333333333337</v>
      </c>
    </row>
    <row r="55" spans="1:8">
      <c r="A55" s="301" t="s">
        <v>7</v>
      </c>
      <c r="B55" s="302" t="s">
        <v>18</v>
      </c>
      <c r="C55" s="318">
        <v>28000</v>
      </c>
      <c r="D55" s="319">
        <v>36079</v>
      </c>
      <c r="E55" s="301">
        <v>4</v>
      </c>
      <c r="F55" s="307">
        <v>0.8666666666666667</v>
      </c>
      <c r="G55" s="301">
        <v>30</v>
      </c>
      <c r="H55" s="311">
        <v>933.33333333333337</v>
      </c>
    </row>
    <row r="56" spans="1:8">
      <c r="A56" s="301" t="s">
        <v>8</v>
      </c>
      <c r="B56" s="302" t="s">
        <v>18</v>
      </c>
      <c r="C56" s="318">
        <v>28000</v>
      </c>
      <c r="D56" s="319">
        <v>40191</v>
      </c>
      <c r="E56" s="301">
        <v>7</v>
      </c>
      <c r="F56" s="307">
        <v>0.77419354838709675</v>
      </c>
      <c r="G56" s="301">
        <v>31</v>
      </c>
      <c r="H56" s="311">
        <v>933.33333333333337</v>
      </c>
    </row>
    <row r="57" spans="1:8">
      <c r="A57" s="301" t="s">
        <v>9</v>
      </c>
      <c r="B57" s="302" t="s">
        <v>18</v>
      </c>
      <c r="C57" s="318">
        <v>28000</v>
      </c>
      <c r="D57" s="319">
        <v>33531</v>
      </c>
      <c r="E57" s="301">
        <v>3</v>
      </c>
      <c r="F57" s="307">
        <v>0.90322580645161288</v>
      </c>
      <c r="G57" s="301">
        <v>31</v>
      </c>
      <c r="H57" s="311">
        <v>933.33333333333337</v>
      </c>
    </row>
    <row r="58" spans="1:8">
      <c r="A58" s="301" t="s">
        <v>10</v>
      </c>
      <c r="B58" s="302" t="s">
        <v>18</v>
      </c>
      <c r="C58" s="318">
        <v>28000</v>
      </c>
      <c r="D58" s="319">
        <v>32493</v>
      </c>
      <c r="E58" s="301">
        <v>9</v>
      </c>
      <c r="F58" s="307">
        <v>0.7</v>
      </c>
      <c r="G58" s="301">
        <v>30</v>
      </c>
      <c r="H58" s="311">
        <v>933.33333333333337</v>
      </c>
    </row>
    <row r="59" spans="1:8">
      <c r="A59" s="301" t="s">
        <v>11</v>
      </c>
      <c r="B59" s="302" t="s">
        <v>18</v>
      </c>
      <c r="C59" s="318">
        <v>28000</v>
      </c>
      <c r="D59" s="319">
        <v>23083</v>
      </c>
      <c r="E59" s="301">
        <v>16</v>
      </c>
      <c r="F59" s="307">
        <v>0.4838709677419355</v>
      </c>
      <c r="G59" s="301">
        <v>31</v>
      </c>
      <c r="H59" s="311">
        <v>933.33333333333337</v>
      </c>
    </row>
    <row r="60" spans="1:8">
      <c r="A60" s="301" t="s">
        <v>12</v>
      </c>
      <c r="B60" s="302" t="s">
        <v>18</v>
      </c>
      <c r="C60" s="318">
        <v>28000</v>
      </c>
      <c r="D60" s="319"/>
      <c r="E60" s="301"/>
      <c r="F60" s="307"/>
      <c r="G60" s="301"/>
      <c r="H60" s="311">
        <v>933.33333333333337</v>
      </c>
    </row>
    <row r="61" spans="1:8">
      <c r="A61" s="301" t="s">
        <v>16</v>
      </c>
      <c r="B61" s="302" t="s">
        <v>18</v>
      </c>
      <c r="C61" s="318">
        <v>28000</v>
      </c>
      <c r="D61" s="319"/>
      <c r="E61" s="301"/>
      <c r="F61" s="307"/>
      <c r="G61" s="301"/>
      <c r="H61" s="311">
        <v>933.33333333333337</v>
      </c>
    </row>
    <row r="62" spans="1:8">
      <c r="A62" s="301" t="s">
        <v>2</v>
      </c>
      <c r="B62" s="302" t="s">
        <v>13</v>
      </c>
      <c r="C62" s="318">
        <v>26000</v>
      </c>
      <c r="D62" s="319">
        <v>25139</v>
      </c>
      <c r="E62" s="301">
        <v>0</v>
      </c>
      <c r="F62" s="307">
        <v>1</v>
      </c>
      <c r="G62" s="301">
        <v>31</v>
      </c>
      <c r="H62" s="311">
        <v>866.66666666666663</v>
      </c>
    </row>
    <row r="63" spans="1:8">
      <c r="A63" s="301" t="s">
        <v>3</v>
      </c>
      <c r="B63" s="302" t="s">
        <v>13</v>
      </c>
      <c r="C63" s="318">
        <v>26000</v>
      </c>
      <c r="D63" s="319">
        <v>23046</v>
      </c>
      <c r="E63" s="301">
        <v>0</v>
      </c>
      <c r="F63" s="307">
        <v>1</v>
      </c>
      <c r="G63" s="301">
        <v>28</v>
      </c>
      <c r="H63" s="311">
        <v>866.66666666666663</v>
      </c>
    </row>
    <row r="64" spans="1:8">
      <c r="A64" s="301" t="s">
        <v>4</v>
      </c>
      <c r="B64" s="302" t="s">
        <v>13</v>
      </c>
      <c r="C64" s="318">
        <v>26000</v>
      </c>
      <c r="D64" s="319">
        <v>31557</v>
      </c>
      <c r="E64" s="301">
        <v>0</v>
      </c>
      <c r="F64" s="307">
        <v>1</v>
      </c>
      <c r="G64" s="301">
        <v>31</v>
      </c>
      <c r="H64" s="311">
        <v>866.66666666666663</v>
      </c>
    </row>
    <row r="65" spans="1:8">
      <c r="A65" s="301" t="s">
        <v>5</v>
      </c>
      <c r="B65" s="302" t="s">
        <v>13</v>
      </c>
      <c r="C65" s="318">
        <v>26000</v>
      </c>
      <c r="D65" s="319">
        <v>30854</v>
      </c>
      <c r="E65" s="301">
        <v>5</v>
      </c>
      <c r="F65" s="307">
        <v>0.83333333333333337</v>
      </c>
      <c r="G65" s="301">
        <v>30</v>
      </c>
      <c r="H65" s="311">
        <v>866.66666666666663</v>
      </c>
    </row>
    <row r="66" spans="1:8">
      <c r="A66" s="301" t="s">
        <v>6</v>
      </c>
      <c r="B66" s="302" t="s">
        <v>13</v>
      </c>
      <c r="C66" s="318">
        <v>26000</v>
      </c>
      <c r="D66" s="319">
        <v>36190</v>
      </c>
      <c r="E66" s="301">
        <v>1</v>
      </c>
      <c r="F66" s="307">
        <v>0.967741935483871</v>
      </c>
      <c r="G66" s="301">
        <v>31</v>
      </c>
      <c r="H66" s="311">
        <v>866.66666666666663</v>
      </c>
    </row>
    <row r="67" spans="1:8">
      <c r="A67" s="301" t="s">
        <v>7</v>
      </c>
      <c r="B67" s="302" t="s">
        <v>13</v>
      </c>
      <c r="C67" s="318">
        <v>26000</v>
      </c>
      <c r="D67" s="319">
        <v>33041</v>
      </c>
      <c r="E67" s="301">
        <v>4</v>
      </c>
      <c r="F67" s="307">
        <v>0.8666666666666667</v>
      </c>
      <c r="G67" s="301">
        <v>30</v>
      </c>
      <c r="H67" s="311">
        <v>866.66666666666663</v>
      </c>
    </row>
    <row r="68" spans="1:8">
      <c r="A68" s="301" t="s">
        <v>8</v>
      </c>
      <c r="B68" s="302" t="s">
        <v>13</v>
      </c>
      <c r="C68" s="318">
        <v>26000</v>
      </c>
      <c r="D68" s="319"/>
      <c r="E68" s="301"/>
      <c r="F68" s="307"/>
      <c r="G68" s="301"/>
      <c r="H68" s="311">
        <v>866.66666666666663</v>
      </c>
    </row>
    <row r="69" spans="1:8">
      <c r="A69" s="301" t="s">
        <v>9</v>
      </c>
      <c r="B69" s="302" t="s">
        <v>13</v>
      </c>
      <c r="C69" s="318">
        <v>26000</v>
      </c>
      <c r="D69" s="319"/>
      <c r="E69" s="301"/>
      <c r="F69" s="307"/>
      <c r="G69" s="301"/>
      <c r="H69" s="311">
        <v>866.66666666666663</v>
      </c>
    </row>
    <row r="70" spans="1:8">
      <c r="A70" s="301" t="s">
        <v>10</v>
      </c>
      <c r="B70" s="302" t="s">
        <v>13</v>
      </c>
      <c r="C70" s="318">
        <v>26000</v>
      </c>
      <c r="D70" s="319"/>
      <c r="E70" s="301"/>
      <c r="F70" s="307"/>
      <c r="G70" s="301"/>
      <c r="H70" s="311">
        <v>866.66666666666663</v>
      </c>
    </row>
    <row r="71" spans="1:8">
      <c r="A71" s="301" t="s">
        <v>11</v>
      </c>
      <c r="B71" s="302" t="s">
        <v>13</v>
      </c>
      <c r="C71" s="318">
        <v>26000</v>
      </c>
      <c r="D71" s="319"/>
      <c r="E71" s="301"/>
      <c r="F71" s="307"/>
      <c r="G71" s="301"/>
      <c r="H71" s="311">
        <v>866.66666666666663</v>
      </c>
    </row>
    <row r="72" spans="1:8">
      <c r="A72" s="301" t="s">
        <v>12</v>
      </c>
      <c r="B72" s="302" t="s">
        <v>13</v>
      </c>
      <c r="C72" s="318">
        <v>26000</v>
      </c>
      <c r="D72" s="319"/>
      <c r="E72" s="301">
        <v>4</v>
      </c>
      <c r="F72" s="307">
        <v>0.83333333333333337</v>
      </c>
      <c r="G72" s="301">
        <v>24</v>
      </c>
      <c r="H72" s="311">
        <v>866.66666666666663</v>
      </c>
    </row>
    <row r="73" spans="1:8">
      <c r="A73" s="301" t="s">
        <v>16</v>
      </c>
      <c r="B73" s="302" t="s">
        <v>13</v>
      </c>
      <c r="C73" s="318">
        <v>26000</v>
      </c>
      <c r="D73" s="319">
        <v>41988</v>
      </c>
      <c r="E73" s="301">
        <v>2</v>
      </c>
      <c r="F73" s="307">
        <v>0.93548387096774188</v>
      </c>
      <c r="G73" s="301">
        <v>31</v>
      </c>
      <c r="H73" s="311">
        <v>866.66666666666663</v>
      </c>
    </row>
    <row r="74" spans="1:8">
      <c r="A74" s="303" t="s">
        <v>2</v>
      </c>
      <c r="B74" s="304" t="s">
        <v>42</v>
      </c>
      <c r="C74" s="320">
        <v>35000</v>
      </c>
      <c r="D74" s="321">
        <v>54569</v>
      </c>
      <c r="E74" s="303">
        <v>0</v>
      </c>
      <c r="F74" s="308">
        <v>1</v>
      </c>
      <c r="G74" s="303">
        <v>31</v>
      </c>
      <c r="H74" s="312">
        <v>1166.6666666666667</v>
      </c>
    </row>
    <row r="75" spans="1:8">
      <c r="A75" s="303" t="s">
        <v>3</v>
      </c>
      <c r="B75" s="304" t="s">
        <v>42</v>
      </c>
      <c r="C75" s="320">
        <v>35000</v>
      </c>
      <c r="D75" s="321">
        <v>40441</v>
      </c>
      <c r="E75" s="303">
        <v>0</v>
      </c>
      <c r="F75" s="308">
        <v>1</v>
      </c>
      <c r="G75" s="303">
        <v>28</v>
      </c>
      <c r="H75" s="312">
        <v>1166.6666666666667</v>
      </c>
    </row>
    <row r="76" spans="1:8">
      <c r="A76" s="303" t="s">
        <v>4</v>
      </c>
      <c r="B76" s="304" t="s">
        <v>42</v>
      </c>
      <c r="C76" s="320">
        <v>35000</v>
      </c>
      <c r="D76" s="321">
        <v>37574</v>
      </c>
      <c r="E76" s="303">
        <v>0</v>
      </c>
      <c r="F76" s="308">
        <v>1</v>
      </c>
      <c r="G76" s="303">
        <v>31</v>
      </c>
      <c r="H76" s="312">
        <v>1166.6666666666667</v>
      </c>
    </row>
    <row r="77" spans="1:8">
      <c r="A77" s="303" t="s">
        <v>5</v>
      </c>
      <c r="B77" s="304" t="s">
        <v>42</v>
      </c>
      <c r="C77" s="320">
        <v>35000</v>
      </c>
      <c r="D77" s="321">
        <v>47130</v>
      </c>
      <c r="E77" s="303">
        <v>6</v>
      </c>
      <c r="F77" s="308">
        <v>0.8</v>
      </c>
      <c r="G77" s="303">
        <v>30</v>
      </c>
      <c r="H77" s="312">
        <v>1166.6666666666667</v>
      </c>
    </row>
    <row r="78" spans="1:8">
      <c r="A78" s="303" t="s">
        <v>6</v>
      </c>
      <c r="B78" s="304" t="s">
        <v>42</v>
      </c>
      <c r="C78" s="320">
        <v>35000</v>
      </c>
      <c r="D78" s="321">
        <v>40302</v>
      </c>
      <c r="E78" s="303">
        <v>10</v>
      </c>
      <c r="F78" s="308">
        <v>0.67741935483870963</v>
      </c>
      <c r="G78" s="303">
        <v>31</v>
      </c>
      <c r="H78" s="312">
        <v>1166.6666666666667</v>
      </c>
    </row>
    <row r="79" spans="1:8">
      <c r="A79" s="303" t="s">
        <v>7</v>
      </c>
      <c r="B79" s="304" t="s">
        <v>42</v>
      </c>
      <c r="C79" s="320">
        <v>35000</v>
      </c>
      <c r="D79" s="321">
        <v>40830</v>
      </c>
      <c r="E79" s="303">
        <v>2</v>
      </c>
      <c r="F79" s="308">
        <v>0.93333333333333335</v>
      </c>
      <c r="G79" s="303">
        <v>30</v>
      </c>
      <c r="H79" s="312">
        <v>1166.6666666666667</v>
      </c>
    </row>
    <row r="80" spans="1:8">
      <c r="A80" s="303" t="s">
        <v>8</v>
      </c>
      <c r="B80" s="304" t="s">
        <v>42</v>
      </c>
      <c r="C80" s="320">
        <v>35000</v>
      </c>
      <c r="D80" s="321">
        <v>45205</v>
      </c>
      <c r="E80" s="303">
        <v>0</v>
      </c>
      <c r="F80" s="308">
        <v>1</v>
      </c>
      <c r="G80" s="303">
        <v>31</v>
      </c>
      <c r="H80" s="312">
        <v>1166.6666666666667</v>
      </c>
    </row>
    <row r="81" spans="1:8">
      <c r="A81" s="303" t="s">
        <v>9</v>
      </c>
      <c r="B81" s="304" t="s">
        <v>42</v>
      </c>
      <c r="C81" s="320">
        <v>35000</v>
      </c>
      <c r="D81" s="321">
        <v>45205</v>
      </c>
      <c r="E81" s="303">
        <v>0</v>
      </c>
      <c r="F81" s="308">
        <v>1</v>
      </c>
      <c r="G81" s="303">
        <v>31</v>
      </c>
      <c r="H81" s="312">
        <v>1166.6666666666667</v>
      </c>
    </row>
    <row r="82" spans="1:8">
      <c r="A82" s="303" t="s">
        <v>10</v>
      </c>
      <c r="B82" s="304" t="s">
        <v>42</v>
      </c>
      <c r="C82" s="320">
        <v>35000</v>
      </c>
      <c r="D82" s="321">
        <v>24319</v>
      </c>
      <c r="E82" s="303">
        <v>17</v>
      </c>
      <c r="F82" s="308">
        <v>0.43333333333333335</v>
      </c>
      <c r="G82" s="303">
        <v>30</v>
      </c>
      <c r="H82" s="312">
        <v>1166.6666666666667</v>
      </c>
    </row>
    <row r="83" spans="1:8">
      <c r="A83" s="303" t="s">
        <v>11</v>
      </c>
      <c r="B83" s="304" t="s">
        <v>42</v>
      </c>
      <c r="C83" s="320">
        <v>35000</v>
      </c>
      <c r="D83" s="321">
        <v>35226</v>
      </c>
      <c r="E83" s="303">
        <v>0</v>
      </c>
      <c r="F83" s="308">
        <v>1</v>
      </c>
      <c r="G83" s="303">
        <v>31</v>
      </c>
      <c r="H83" s="312">
        <v>1166.6666666666667</v>
      </c>
    </row>
    <row r="84" spans="1:8">
      <c r="A84" s="303" t="s">
        <v>12</v>
      </c>
      <c r="B84" s="304" t="s">
        <v>42</v>
      </c>
      <c r="C84" s="320">
        <v>35000</v>
      </c>
      <c r="D84" s="321">
        <v>31465</v>
      </c>
      <c r="E84" s="303">
        <v>10</v>
      </c>
      <c r="F84" s="308">
        <v>0.58333333333333337</v>
      </c>
      <c r="G84" s="303">
        <v>24</v>
      </c>
      <c r="H84" s="312">
        <v>1166.6666666666667</v>
      </c>
    </row>
    <row r="85" spans="1:8">
      <c r="A85" s="303" t="s">
        <v>16</v>
      </c>
      <c r="B85" s="304" t="s">
        <v>42</v>
      </c>
      <c r="C85" s="320">
        <v>35000</v>
      </c>
      <c r="D85" s="321">
        <v>58953</v>
      </c>
      <c r="E85" s="303">
        <v>9</v>
      </c>
      <c r="F85" s="308">
        <v>0.70967741935483875</v>
      </c>
      <c r="G85" s="303">
        <v>31</v>
      </c>
      <c r="H85" s="312">
        <v>1166.6666666666667</v>
      </c>
    </row>
    <row r="86" spans="1:8">
      <c r="A86" s="303" t="s">
        <v>2</v>
      </c>
      <c r="B86" s="304" t="s">
        <v>248</v>
      </c>
      <c r="C86" s="320">
        <v>22000</v>
      </c>
      <c r="D86" s="321"/>
      <c r="E86" s="303"/>
      <c r="F86" s="308">
        <v>1</v>
      </c>
      <c r="G86" s="303">
        <v>31</v>
      </c>
      <c r="H86" s="312">
        <v>733.33333333333337</v>
      </c>
    </row>
    <row r="87" spans="1:8">
      <c r="A87" s="303" t="s">
        <v>3</v>
      </c>
      <c r="B87" s="304" t="s">
        <v>248</v>
      </c>
      <c r="C87" s="320">
        <v>22000</v>
      </c>
      <c r="D87" s="321">
        <v>23148</v>
      </c>
      <c r="E87" s="303">
        <v>0</v>
      </c>
      <c r="F87" s="308">
        <v>1</v>
      </c>
      <c r="G87" s="303">
        <v>28</v>
      </c>
      <c r="H87" s="312">
        <v>733.33333333333337</v>
      </c>
    </row>
    <row r="88" spans="1:8">
      <c r="A88" s="303" t="s">
        <v>4</v>
      </c>
      <c r="B88" s="304" t="s">
        <v>248</v>
      </c>
      <c r="C88" s="320">
        <v>22000</v>
      </c>
      <c r="D88" s="321">
        <v>19906</v>
      </c>
      <c r="E88" s="303">
        <v>0</v>
      </c>
      <c r="F88" s="308">
        <v>1</v>
      </c>
      <c r="G88" s="303">
        <v>31</v>
      </c>
      <c r="H88" s="312">
        <v>733.33333333333337</v>
      </c>
    </row>
    <row r="89" spans="1:8">
      <c r="A89" s="303" t="s">
        <v>5</v>
      </c>
      <c r="B89" s="304" t="s">
        <v>248</v>
      </c>
      <c r="C89" s="320">
        <v>22000</v>
      </c>
      <c r="D89" s="321"/>
      <c r="E89" s="303"/>
      <c r="F89" s="308">
        <v>1</v>
      </c>
      <c r="G89" s="303">
        <v>30</v>
      </c>
      <c r="H89" s="312">
        <v>733.33333333333337</v>
      </c>
    </row>
    <row r="90" spans="1:8">
      <c r="A90" s="303" t="s">
        <v>6</v>
      </c>
      <c r="B90" s="304" t="s">
        <v>248</v>
      </c>
      <c r="C90" s="320">
        <v>22000</v>
      </c>
      <c r="D90" s="321"/>
      <c r="E90" s="303"/>
      <c r="F90" s="308">
        <v>1</v>
      </c>
      <c r="G90" s="303">
        <v>31</v>
      </c>
      <c r="H90" s="312">
        <v>733.33333333333337</v>
      </c>
    </row>
    <row r="91" spans="1:8">
      <c r="A91" s="303" t="s">
        <v>7</v>
      </c>
      <c r="B91" s="304" t="s">
        <v>248</v>
      </c>
      <c r="C91" s="320">
        <v>22000</v>
      </c>
      <c r="D91" s="321"/>
      <c r="E91" s="303"/>
      <c r="F91" s="308">
        <v>1</v>
      </c>
      <c r="G91" s="303">
        <v>30</v>
      </c>
      <c r="H91" s="312">
        <v>733.33333333333337</v>
      </c>
    </row>
    <row r="92" spans="1:8">
      <c r="A92" s="303" t="s">
        <v>8</v>
      </c>
      <c r="B92" s="304" t="s">
        <v>248</v>
      </c>
      <c r="C92" s="320">
        <v>22000</v>
      </c>
      <c r="D92" s="321"/>
      <c r="E92" s="303"/>
      <c r="F92" s="308">
        <v>1</v>
      </c>
      <c r="G92" s="303">
        <v>31</v>
      </c>
      <c r="H92" s="312">
        <v>733.33333333333337</v>
      </c>
    </row>
    <row r="93" spans="1:8">
      <c r="A93" s="303" t="s">
        <v>9</v>
      </c>
      <c r="B93" s="304" t="s">
        <v>248</v>
      </c>
      <c r="C93" s="320">
        <v>22000</v>
      </c>
      <c r="D93" s="321"/>
      <c r="E93" s="303"/>
      <c r="F93" s="308">
        <v>1</v>
      </c>
      <c r="G93" s="303">
        <v>31</v>
      </c>
      <c r="H93" s="312">
        <v>733.33333333333337</v>
      </c>
    </row>
    <row r="94" spans="1:8">
      <c r="A94" s="303" t="s">
        <v>10</v>
      </c>
      <c r="B94" s="304" t="s">
        <v>248</v>
      </c>
      <c r="C94" s="320">
        <v>22000</v>
      </c>
      <c r="D94" s="321"/>
      <c r="E94" s="303"/>
      <c r="F94" s="308">
        <v>1</v>
      </c>
      <c r="G94" s="303">
        <v>30</v>
      </c>
      <c r="H94" s="312">
        <v>733.33333333333337</v>
      </c>
    </row>
    <row r="95" spans="1:8">
      <c r="A95" s="303" t="s">
        <v>11</v>
      </c>
      <c r="B95" s="304" t="s">
        <v>248</v>
      </c>
      <c r="C95" s="320">
        <v>22000</v>
      </c>
      <c r="D95" s="321"/>
      <c r="E95" s="303"/>
      <c r="F95" s="308">
        <v>1</v>
      </c>
      <c r="G95" s="303">
        <v>31</v>
      </c>
      <c r="H95" s="312">
        <v>733.33333333333337</v>
      </c>
    </row>
    <row r="96" spans="1:8">
      <c r="A96" s="303" t="s">
        <v>12</v>
      </c>
      <c r="B96" s="304" t="s">
        <v>248</v>
      </c>
      <c r="C96" s="320">
        <v>22000</v>
      </c>
      <c r="D96" s="321"/>
      <c r="E96" s="303"/>
      <c r="F96" s="308">
        <v>1</v>
      </c>
      <c r="G96" s="303">
        <v>24</v>
      </c>
      <c r="H96" s="312">
        <v>733.33333333333337</v>
      </c>
    </row>
    <row r="97" spans="1:8">
      <c r="A97" s="303" t="s">
        <v>16</v>
      </c>
      <c r="B97" s="304" t="s">
        <v>248</v>
      </c>
      <c r="C97" s="320">
        <v>22000</v>
      </c>
      <c r="D97" s="321"/>
      <c r="E97" s="303"/>
      <c r="F97" s="308">
        <v>1</v>
      </c>
      <c r="G97" s="303">
        <v>31</v>
      </c>
      <c r="H97" s="312">
        <v>733.33333333333337</v>
      </c>
    </row>
  </sheetData>
  <phoneticPr fontId="27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T100"/>
  <sheetViews>
    <sheetView workbookViewId="0">
      <selection activeCell="S17" sqref="S17"/>
    </sheetView>
  </sheetViews>
  <sheetFormatPr defaultColWidth="12.625" defaultRowHeight="15" customHeight="1"/>
  <cols>
    <col min="1" max="1" width="5.25" customWidth="1"/>
    <col min="2" max="2" width="7" customWidth="1"/>
    <col min="3" max="3" width="12.375" customWidth="1"/>
    <col min="4" max="4" width="10.5" customWidth="1"/>
    <col min="5" max="5" width="10.625" customWidth="1"/>
    <col min="6" max="6" width="21" customWidth="1"/>
    <col min="7" max="10" width="8.25" customWidth="1"/>
    <col min="11" max="18" width="7.875" customWidth="1"/>
  </cols>
  <sheetData>
    <row r="1" spans="1:20" ht="21.75" customHeight="1">
      <c r="A1" s="128" t="s">
        <v>124</v>
      </c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132" t="s">
        <v>2</v>
      </c>
      <c r="H1" s="132" t="s">
        <v>3</v>
      </c>
      <c r="I1" s="132" t="s">
        <v>4</v>
      </c>
      <c r="J1" s="132" t="s">
        <v>5</v>
      </c>
      <c r="K1" s="132" t="s">
        <v>6</v>
      </c>
      <c r="L1" s="132" t="s">
        <v>7</v>
      </c>
      <c r="M1" s="132" t="s">
        <v>8</v>
      </c>
      <c r="N1" s="132" t="s">
        <v>9</v>
      </c>
      <c r="O1" s="132" t="s">
        <v>10</v>
      </c>
      <c r="P1" s="132" t="s">
        <v>11</v>
      </c>
      <c r="Q1" s="132" t="s">
        <v>12</v>
      </c>
      <c r="R1" s="132" t="s">
        <v>16</v>
      </c>
    </row>
    <row r="2" spans="1:20" ht="21.75" customHeight="1">
      <c r="A2" s="128" t="s">
        <v>79</v>
      </c>
      <c r="B2" s="128" t="s">
        <v>138</v>
      </c>
      <c r="C2" s="129"/>
      <c r="D2" s="135" t="s">
        <v>87</v>
      </c>
      <c r="E2" s="135" t="s">
        <v>88</v>
      </c>
      <c r="F2" s="128" t="s">
        <v>139</v>
      </c>
      <c r="G2" s="136"/>
      <c r="H2" s="136"/>
      <c r="I2" s="136"/>
      <c r="J2" s="136"/>
      <c r="K2" s="182"/>
      <c r="L2" s="182" t="s">
        <v>140</v>
      </c>
      <c r="M2" s="182">
        <v>42914</v>
      </c>
      <c r="N2" s="182">
        <v>42937</v>
      </c>
      <c r="O2" s="182">
        <v>42968</v>
      </c>
      <c r="P2" s="182">
        <v>43067</v>
      </c>
      <c r="Q2" s="182"/>
      <c r="R2" s="182"/>
    </row>
    <row r="3" spans="1:20" ht="21.75" customHeight="1">
      <c r="A3" s="128"/>
      <c r="B3" s="128"/>
      <c r="C3" s="129"/>
      <c r="D3" s="181">
        <v>28000</v>
      </c>
      <c r="E3" s="131">
        <v>56000</v>
      </c>
      <c r="F3" s="209">
        <v>42949</v>
      </c>
      <c r="G3" s="141">
        <v>28000</v>
      </c>
      <c r="H3" s="141">
        <v>28000</v>
      </c>
      <c r="I3" s="210"/>
      <c r="J3" s="184">
        <v>27000</v>
      </c>
      <c r="K3" s="208">
        <v>27000</v>
      </c>
      <c r="L3" s="208">
        <v>27000</v>
      </c>
      <c r="M3" s="208">
        <v>31000</v>
      </c>
      <c r="N3" s="208">
        <v>28000</v>
      </c>
      <c r="O3" s="208">
        <f>8000+20000</f>
        <v>28000</v>
      </c>
      <c r="P3" s="208">
        <v>28000</v>
      </c>
      <c r="Q3" s="249">
        <v>28000</v>
      </c>
      <c r="R3" s="249">
        <v>28000</v>
      </c>
    </row>
    <row r="4" spans="1:20" ht="21.75" customHeight="1">
      <c r="A4" s="128" t="s">
        <v>85</v>
      </c>
      <c r="B4" s="128" t="s">
        <v>141</v>
      </c>
      <c r="C4" s="129" t="s">
        <v>142</v>
      </c>
      <c r="D4" s="135" t="s">
        <v>87</v>
      </c>
      <c r="E4" s="135" t="s">
        <v>88</v>
      </c>
      <c r="F4" s="136" t="s">
        <v>143</v>
      </c>
      <c r="G4" s="136"/>
      <c r="H4" s="136"/>
      <c r="I4" s="136"/>
      <c r="J4" s="136"/>
      <c r="K4" s="182"/>
      <c r="L4" s="182">
        <v>42887</v>
      </c>
      <c r="M4" s="182">
        <v>42919</v>
      </c>
      <c r="N4" s="182">
        <v>42948</v>
      </c>
      <c r="O4" s="182">
        <v>42979</v>
      </c>
      <c r="P4" s="182">
        <v>43010</v>
      </c>
      <c r="Q4" s="182">
        <v>43040</v>
      </c>
      <c r="R4" s="182">
        <v>43070</v>
      </c>
    </row>
    <row r="5" spans="1:20" ht="21.75" customHeight="1">
      <c r="A5" s="128"/>
      <c r="B5" s="128"/>
      <c r="C5" s="129"/>
      <c r="D5" s="181">
        <v>25000</v>
      </c>
      <c r="E5" s="131">
        <v>50000</v>
      </c>
      <c r="F5" s="141"/>
      <c r="G5" s="141">
        <v>25000</v>
      </c>
      <c r="H5" s="141">
        <v>25000</v>
      </c>
      <c r="I5" s="141">
        <v>25000</v>
      </c>
      <c r="J5" s="184">
        <f>10000+12500</f>
        <v>22500</v>
      </c>
      <c r="K5" s="184">
        <v>25000</v>
      </c>
      <c r="L5" s="184">
        <v>25000</v>
      </c>
      <c r="M5" s="184">
        <v>25000</v>
      </c>
      <c r="N5" s="184">
        <v>25000</v>
      </c>
      <c r="O5" s="184">
        <v>25000</v>
      </c>
      <c r="P5" s="184">
        <v>25000</v>
      </c>
      <c r="Q5" s="184">
        <v>25000</v>
      </c>
      <c r="R5" s="184">
        <v>25000</v>
      </c>
    </row>
    <row r="6" spans="1:20" ht="21.75" customHeight="1">
      <c r="A6" s="128" t="s">
        <v>90</v>
      </c>
      <c r="B6" s="128"/>
      <c r="C6" s="129"/>
      <c r="D6" s="135" t="s">
        <v>87</v>
      </c>
      <c r="E6" s="135" t="s">
        <v>88</v>
      </c>
      <c r="F6" s="136" t="s">
        <v>144</v>
      </c>
      <c r="G6" s="136"/>
      <c r="H6" s="136"/>
      <c r="I6" s="136"/>
      <c r="J6" s="136"/>
      <c r="K6" s="136"/>
      <c r="L6" s="136">
        <v>42894</v>
      </c>
      <c r="M6" s="136">
        <v>42923</v>
      </c>
      <c r="N6" s="136">
        <v>42963</v>
      </c>
      <c r="O6" s="136">
        <v>43006</v>
      </c>
      <c r="P6" s="136">
        <v>43013</v>
      </c>
      <c r="Q6" s="136">
        <v>43045</v>
      </c>
      <c r="R6" s="136"/>
    </row>
    <row r="7" spans="1:20" ht="21.75" customHeight="1">
      <c r="A7" s="128"/>
      <c r="B7" s="128"/>
      <c r="C7" s="129"/>
      <c r="D7" s="181"/>
      <c r="E7" s="131"/>
      <c r="F7" s="185"/>
      <c r="G7" s="184">
        <v>25000</v>
      </c>
      <c r="H7" s="184">
        <v>25000</v>
      </c>
      <c r="I7" s="184">
        <v>25000</v>
      </c>
      <c r="J7" s="184">
        <v>25000</v>
      </c>
      <c r="K7" s="184">
        <v>25000</v>
      </c>
      <c r="L7" s="184">
        <v>25000</v>
      </c>
      <c r="M7" s="184">
        <v>25000</v>
      </c>
      <c r="N7" s="184">
        <v>25000</v>
      </c>
      <c r="O7" s="184">
        <v>25000</v>
      </c>
      <c r="P7" s="184">
        <v>28000</v>
      </c>
      <c r="Q7" s="184">
        <v>28000</v>
      </c>
      <c r="R7" s="141"/>
    </row>
    <row r="8" spans="1:20" ht="21.75" customHeight="1">
      <c r="A8" s="128"/>
      <c r="B8" s="128"/>
      <c r="C8" s="77"/>
      <c r="D8" s="130">
        <f>SUBTOTAL(109,'5-安和雅企'!$D$1:$D$7)</f>
        <v>53000</v>
      </c>
      <c r="E8" s="145">
        <f>SUBTOTAL(109,'5-安和雅企'!$E$1:$E$7)</f>
        <v>106000</v>
      </c>
      <c r="F8" s="144" t="s">
        <v>113</v>
      </c>
      <c r="G8" s="186">
        <f t="shared" ref="G8:R8" si="0">G3+G5+G7</f>
        <v>78000</v>
      </c>
      <c r="H8" s="186">
        <f t="shared" si="0"/>
        <v>78000</v>
      </c>
      <c r="I8" s="186">
        <f t="shared" si="0"/>
        <v>50000</v>
      </c>
      <c r="J8" s="186">
        <f t="shared" si="0"/>
        <v>74500</v>
      </c>
      <c r="K8" s="186">
        <f t="shared" si="0"/>
        <v>77000</v>
      </c>
      <c r="L8" s="186">
        <f t="shared" si="0"/>
        <v>77000</v>
      </c>
      <c r="M8" s="186">
        <f t="shared" si="0"/>
        <v>81000</v>
      </c>
      <c r="N8" s="186">
        <f t="shared" si="0"/>
        <v>78000</v>
      </c>
      <c r="O8" s="186">
        <f t="shared" si="0"/>
        <v>78000</v>
      </c>
      <c r="P8" s="186">
        <f t="shared" si="0"/>
        <v>81000</v>
      </c>
      <c r="Q8" s="186">
        <f t="shared" si="0"/>
        <v>81000</v>
      </c>
      <c r="R8" s="186">
        <f t="shared" si="0"/>
        <v>53000</v>
      </c>
    </row>
    <row r="9" spans="1:20" ht="21.75" customHeight="1">
      <c r="A9" s="77"/>
      <c r="B9" s="77"/>
      <c r="C9" s="77"/>
      <c r="D9" s="371" t="s">
        <v>126</v>
      </c>
      <c r="E9" s="358"/>
      <c r="F9" s="358"/>
      <c r="G9" s="211">
        <v>-291</v>
      </c>
      <c r="H9" s="211"/>
      <c r="I9" s="211">
        <v>-270</v>
      </c>
      <c r="J9" s="211"/>
      <c r="K9" s="212">
        <v>-259</v>
      </c>
      <c r="L9" s="187"/>
      <c r="M9" s="187"/>
      <c r="N9" s="189"/>
      <c r="O9" s="187"/>
      <c r="P9" s="190"/>
      <c r="Q9" s="190"/>
      <c r="R9" s="190"/>
    </row>
    <row r="10" spans="1:20" ht="21.75" customHeight="1">
      <c r="A10" s="133"/>
      <c r="B10" s="133"/>
      <c r="C10" s="133"/>
      <c r="D10" s="371" t="s">
        <v>127</v>
      </c>
      <c r="E10" s="358"/>
      <c r="F10" s="358"/>
      <c r="G10" s="213">
        <v>-1133</v>
      </c>
      <c r="H10" s="213"/>
      <c r="I10" s="213">
        <v>-1234</v>
      </c>
      <c r="J10" s="214"/>
      <c r="K10" s="212">
        <v>-1083</v>
      </c>
      <c r="L10" s="189"/>
      <c r="M10" s="187"/>
      <c r="N10" s="187"/>
      <c r="O10" s="187"/>
      <c r="P10" s="187"/>
      <c r="Q10" s="189"/>
      <c r="R10" s="189"/>
    </row>
    <row r="11" spans="1:20" ht="21.75" customHeight="1">
      <c r="A11" s="77"/>
      <c r="B11" s="77"/>
      <c r="C11" s="77"/>
      <c r="D11" s="372" t="s">
        <v>128</v>
      </c>
      <c r="E11" s="358"/>
      <c r="F11" s="358"/>
      <c r="G11" s="213"/>
      <c r="H11" s="213">
        <v>-3735</v>
      </c>
      <c r="I11" s="213"/>
      <c r="J11" s="211"/>
      <c r="K11" s="215">
        <v>-3735</v>
      </c>
      <c r="L11" s="211"/>
      <c r="M11" s="213"/>
      <c r="N11" s="189"/>
      <c r="O11" s="187"/>
      <c r="P11" s="187"/>
      <c r="Q11" s="189"/>
      <c r="R11" s="189"/>
    </row>
    <row r="12" spans="1:20" ht="21.75" customHeight="1">
      <c r="A12" s="77"/>
      <c r="B12" s="77"/>
      <c r="C12" s="77"/>
      <c r="D12" s="372" t="s">
        <v>117</v>
      </c>
      <c r="E12" s="358"/>
      <c r="F12" s="358"/>
      <c r="G12" s="189"/>
      <c r="H12" s="189"/>
      <c r="I12" s="189"/>
      <c r="J12" s="187"/>
      <c r="K12" s="189"/>
      <c r="L12" s="187"/>
      <c r="M12" s="189"/>
      <c r="N12" s="189"/>
      <c r="O12" s="187"/>
      <c r="P12" s="187"/>
      <c r="Q12" s="189"/>
      <c r="R12" s="189"/>
    </row>
    <row r="13" spans="1:20" ht="21.75" customHeight="1">
      <c r="A13" s="77"/>
      <c r="B13" s="77"/>
      <c r="C13" s="77"/>
      <c r="D13" s="372" t="s">
        <v>118</v>
      </c>
      <c r="E13" s="358"/>
      <c r="F13" s="358"/>
      <c r="G13" s="189">
        <f t="shared" ref="G13:R13" si="1">SUM(G9:G12)</f>
        <v>-1424</v>
      </c>
      <c r="H13" s="189">
        <f t="shared" si="1"/>
        <v>-3735</v>
      </c>
      <c r="I13" s="189">
        <f t="shared" si="1"/>
        <v>-1504</v>
      </c>
      <c r="J13" s="189">
        <f t="shared" si="1"/>
        <v>0</v>
      </c>
      <c r="K13" s="189">
        <f t="shared" si="1"/>
        <v>-5077</v>
      </c>
      <c r="L13" s="189">
        <f t="shared" si="1"/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</row>
    <row r="14" spans="1:20" ht="21.75" customHeight="1">
      <c r="A14" s="77"/>
      <c r="B14" s="77"/>
      <c r="C14" s="160"/>
      <c r="D14" s="77"/>
      <c r="E14" s="157"/>
      <c r="F14" s="193"/>
      <c r="G14" s="194" t="s">
        <v>2</v>
      </c>
      <c r="H14" s="194" t="s">
        <v>3</v>
      </c>
      <c r="I14" s="194" t="s">
        <v>4</v>
      </c>
      <c r="J14" s="194" t="s">
        <v>5</v>
      </c>
      <c r="K14" s="194" t="s">
        <v>6</v>
      </c>
      <c r="L14" s="194" t="s">
        <v>7</v>
      </c>
      <c r="M14" s="194" t="s">
        <v>8</v>
      </c>
      <c r="N14" s="194" t="s">
        <v>9</v>
      </c>
      <c r="O14" s="194" t="s">
        <v>10</v>
      </c>
      <c r="P14" s="194" t="s">
        <v>11</v>
      </c>
      <c r="Q14" s="194" t="s">
        <v>12</v>
      </c>
      <c r="R14" s="194" t="s">
        <v>16</v>
      </c>
    </row>
    <row r="15" spans="1:20" ht="21.75" customHeight="1">
      <c r="A15" s="77"/>
      <c r="B15" s="77"/>
      <c r="C15" s="160"/>
      <c r="D15" s="78"/>
      <c r="E15" s="161" t="s">
        <v>79</v>
      </c>
      <c r="F15" s="195" t="s">
        <v>119</v>
      </c>
      <c r="G15" s="196">
        <v>6217</v>
      </c>
      <c r="H15" s="196">
        <v>6343</v>
      </c>
      <c r="I15" s="164">
        <v>6403</v>
      </c>
      <c r="J15" s="164">
        <v>6481</v>
      </c>
      <c r="K15" s="164"/>
      <c r="L15" s="164">
        <v>6823</v>
      </c>
      <c r="M15" s="164">
        <v>6889</v>
      </c>
      <c r="N15" s="164">
        <v>7225</v>
      </c>
      <c r="O15" s="164">
        <v>7485</v>
      </c>
      <c r="P15" s="164">
        <v>7691</v>
      </c>
      <c r="Q15" s="164">
        <v>7787</v>
      </c>
      <c r="R15" s="164"/>
      <c r="T15" s="293">
        <f>Table_8[[#This Row],[106/08]]-Table_8[[#This Row],[106/07]]</f>
        <v>336</v>
      </c>
    </row>
    <row r="16" spans="1:20" ht="21.75" customHeight="1">
      <c r="A16" s="77"/>
      <c r="B16" s="77"/>
      <c r="C16" s="160"/>
      <c r="D16" s="78"/>
      <c r="E16" s="165"/>
      <c r="F16" s="197" t="s">
        <v>121</v>
      </c>
      <c r="G16" s="216"/>
      <c r="H16" s="217">
        <f>IF((H15-G15)*5.5&gt;0,(H15-G15)*5.5,0)</f>
        <v>693</v>
      </c>
      <c r="I16" s="217"/>
      <c r="J16" s="200">
        <f t="shared" ref="J16:K16" si="2">IF((J15-I15)*5.5&gt;0,(J15-I15)*5.5,0)</f>
        <v>429</v>
      </c>
      <c r="K16" s="199">
        <f t="shared" si="2"/>
        <v>0</v>
      </c>
      <c r="L16" s="199"/>
      <c r="M16" s="217">
        <f>IF((M15-L15)*5.5&gt;0,(M15-L15)*5.5,0)</f>
        <v>363</v>
      </c>
      <c r="N16" s="217">
        <f>IF((N15-M15)*5.5&gt;0,(N15-M15)*5.5,0)</f>
        <v>1848</v>
      </c>
      <c r="O16" s="199">
        <f t="shared" ref="O16:R16" si="3">IF((O15-N15)*5.5&gt;0,(O15-N15)*5.5,0)</f>
        <v>1430</v>
      </c>
      <c r="P16" s="199">
        <f t="shared" si="3"/>
        <v>1133</v>
      </c>
      <c r="Q16" s="199">
        <f t="shared" si="3"/>
        <v>528</v>
      </c>
      <c r="R16" s="199">
        <f t="shared" si="3"/>
        <v>0</v>
      </c>
      <c r="T16" s="292">
        <f>Table_8[[#This Row],[106/08]]/T15</f>
        <v>5.5</v>
      </c>
    </row>
    <row r="17" spans="1:18" ht="21.75" customHeight="1">
      <c r="A17" s="77"/>
      <c r="B17" s="77"/>
      <c r="C17" s="160"/>
      <c r="D17" s="78"/>
      <c r="E17" s="161" t="s">
        <v>85</v>
      </c>
      <c r="F17" s="195" t="s">
        <v>119</v>
      </c>
      <c r="G17" s="196">
        <v>6652</v>
      </c>
      <c r="H17" s="196">
        <v>6652</v>
      </c>
      <c r="I17" s="164">
        <v>6869</v>
      </c>
      <c r="J17" s="164" t="s">
        <v>145</v>
      </c>
      <c r="K17" s="164">
        <v>7198</v>
      </c>
      <c r="L17" s="201">
        <v>7354</v>
      </c>
      <c r="M17" s="164">
        <v>7514</v>
      </c>
      <c r="N17" s="164">
        <v>7674</v>
      </c>
      <c r="O17" s="164">
        <v>7742</v>
      </c>
      <c r="P17" s="164">
        <v>7820</v>
      </c>
      <c r="Q17" s="164">
        <v>7956</v>
      </c>
      <c r="R17" s="164"/>
    </row>
    <row r="18" spans="1:18" ht="21.75" customHeight="1">
      <c r="A18" s="77"/>
      <c r="B18" s="77"/>
      <c r="C18" s="160"/>
      <c r="D18" s="78"/>
      <c r="E18" s="165"/>
      <c r="F18" s="197" t="s">
        <v>121</v>
      </c>
      <c r="G18" s="216"/>
      <c r="H18" s="216">
        <f t="shared" ref="H18:I18" si="4">IF((H17-G17)*5.5&gt;0,(H17-G17)*5.5,0)</f>
        <v>0</v>
      </c>
      <c r="I18" s="217">
        <f t="shared" si="4"/>
        <v>1193.5</v>
      </c>
      <c r="J18" s="217">
        <v>297</v>
      </c>
      <c r="K18" s="217">
        <f>IF((K17-7117)*5.5&gt;0,(K17-7117)*5.5,0)</f>
        <v>445.5</v>
      </c>
      <c r="L18" s="217">
        <f t="shared" ref="L18:R18" si="5">IF((L17-K17)*5.5&gt;0,(L17-K17)*5.5,0)</f>
        <v>858</v>
      </c>
      <c r="M18" s="217">
        <f t="shared" si="5"/>
        <v>880</v>
      </c>
      <c r="N18" s="217">
        <f t="shared" si="5"/>
        <v>880</v>
      </c>
      <c r="O18" s="217">
        <f t="shared" si="5"/>
        <v>374</v>
      </c>
      <c r="P18" s="217">
        <f t="shared" si="5"/>
        <v>429</v>
      </c>
      <c r="Q18" s="217">
        <f t="shared" si="5"/>
        <v>748</v>
      </c>
      <c r="R18" s="199">
        <f t="shared" si="5"/>
        <v>0</v>
      </c>
    </row>
    <row r="19" spans="1:18" ht="21.75" customHeight="1">
      <c r="A19" s="77"/>
      <c r="B19" s="77"/>
      <c r="C19" s="160"/>
      <c r="D19" s="78"/>
      <c r="E19" s="169" t="s">
        <v>90</v>
      </c>
      <c r="F19" s="195" t="s">
        <v>119</v>
      </c>
      <c r="G19" s="196">
        <v>4773</v>
      </c>
      <c r="H19" s="196">
        <v>4773</v>
      </c>
      <c r="I19" s="202">
        <v>4773</v>
      </c>
      <c r="J19" s="202" t="s">
        <v>146</v>
      </c>
      <c r="K19" s="201">
        <v>5135</v>
      </c>
      <c r="L19" s="201">
        <v>5311</v>
      </c>
      <c r="M19" s="201">
        <v>5477</v>
      </c>
      <c r="N19" s="201">
        <v>5713</v>
      </c>
      <c r="O19" s="203"/>
      <c r="P19" s="201">
        <v>5958</v>
      </c>
      <c r="Q19" s="201">
        <v>6333</v>
      </c>
      <c r="R19" s="204"/>
    </row>
    <row r="20" spans="1:18" ht="21.75" customHeight="1">
      <c r="A20" s="77"/>
      <c r="B20" s="77"/>
      <c r="C20" s="160"/>
      <c r="D20" s="78"/>
      <c r="E20" s="165"/>
      <c r="F20" s="197" t="s">
        <v>121</v>
      </c>
      <c r="G20" s="216"/>
      <c r="H20" s="216">
        <f>IF((H19-G19)*5.5&gt;0,(H19-G19)*5.5,0)</f>
        <v>0</v>
      </c>
      <c r="I20" s="217">
        <v>737</v>
      </c>
      <c r="J20" s="199">
        <v>517</v>
      </c>
      <c r="K20" s="217">
        <f>IF((K19-5001)*5.5&gt;0,(K19-5001)*5.5,0)</f>
        <v>737</v>
      </c>
      <c r="L20" s="217">
        <f t="shared" ref="L20:N20" si="6">IF((L19-K19)*5.5&gt;0,(L19-K19)*5.5,0)</f>
        <v>968</v>
      </c>
      <c r="M20" s="217">
        <f t="shared" si="6"/>
        <v>913</v>
      </c>
      <c r="N20" s="199">
        <f t="shared" si="6"/>
        <v>1298</v>
      </c>
      <c r="O20" s="199"/>
      <c r="P20" s="199"/>
      <c r="Q20" s="217">
        <f t="shared" ref="Q20:R20" si="7">IF((Q19-P19)*5.5&gt;0,(Q19-P19)*5.5,0)</f>
        <v>2062.5</v>
      </c>
      <c r="R20" s="199">
        <f t="shared" si="7"/>
        <v>0</v>
      </c>
    </row>
    <row r="21" spans="1:18" ht="21.75" customHeight="1">
      <c r="A21" s="77"/>
      <c r="B21" s="77"/>
      <c r="C21" s="160"/>
      <c r="D21" s="78"/>
      <c r="E21" s="176"/>
      <c r="F21" s="205" t="s">
        <v>122</v>
      </c>
      <c r="G21" s="199">
        <f t="shared" ref="G21:R21" si="8">G16+G18+G20</f>
        <v>0</v>
      </c>
      <c r="H21" s="199">
        <f t="shared" si="8"/>
        <v>693</v>
      </c>
      <c r="I21" s="199">
        <f t="shared" si="8"/>
        <v>1930.5</v>
      </c>
      <c r="J21" s="199">
        <f t="shared" si="8"/>
        <v>1243</v>
      </c>
      <c r="K21" s="199">
        <f t="shared" si="8"/>
        <v>1182.5</v>
      </c>
      <c r="L21" s="199">
        <f t="shared" si="8"/>
        <v>1826</v>
      </c>
      <c r="M21" s="199">
        <f t="shared" si="8"/>
        <v>2156</v>
      </c>
      <c r="N21" s="199">
        <f t="shared" si="8"/>
        <v>4026</v>
      </c>
      <c r="O21" s="199">
        <f t="shared" si="8"/>
        <v>1804</v>
      </c>
      <c r="P21" s="199">
        <f t="shared" si="8"/>
        <v>1562</v>
      </c>
      <c r="Q21" s="199">
        <f t="shared" si="8"/>
        <v>3338.5</v>
      </c>
      <c r="R21" s="199">
        <f t="shared" si="8"/>
        <v>0</v>
      </c>
    </row>
    <row r="22" spans="1:18" ht="21.75" customHeight="1">
      <c r="A22" s="77"/>
      <c r="B22" s="77"/>
      <c r="C22" s="160"/>
      <c r="D22" s="78"/>
      <c r="E22" s="369" t="s">
        <v>123</v>
      </c>
      <c r="F22" s="370"/>
      <c r="G22" s="192">
        <f>'5-安和雅企'!$G$8+G13+'5-安和雅企'!$G$21</f>
        <v>76576</v>
      </c>
      <c r="H22" s="192">
        <f>'5-安和雅企'!$H$8+H13+'5-安和雅企'!$H$21</f>
        <v>74958</v>
      </c>
      <c r="I22" s="192">
        <f>'5-安和雅企'!$I$8+I13+'5-安和雅企'!$I$21</f>
        <v>50426.5</v>
      </c>
      <c r="J22" s="192">
        <f>'5-安和雅企'!$J$8+J13+'5-安和雅企'!$J$21</f>
        <v>75743</v>
      </c>
      <c r="K22" s="192">
        <f>'5-安和雅企'!$K$8+K13+'5-安和雅企'!$K$21</f>
        <v>73105.5</v>
      </c>
      <c r="L22" s="192">
        <f>'5-安和雅企'!$L$8+L13+'5-安和雅企'!$L$21</f>
        <v>78826</v>
      </c>
      <c r="M22" s="192">
        <f>'5-安和雅企'!$M$8+M13+'5-安和雅企'!$M$21</f>
        <v>83156</v>
      </c>
      <c r="N22" s="192">
        <f>'5-安和雅企'!$N$8+N13+'5-安和雅企'!$N$21</f>
        <v>82026</v>
      </c>
      <c r="O22" s="192">
        <f>'5-安和雅企'!$O$8+O13+'5-安和雅企'!$O$21</f>
        <v>79804</v>
      </c>
      <c r="P22" s="192">
        <f>'5-安和雅企'!$P$8+P13+'5-安和雅企'!$P$21</f>
        <v>82562</v>
      </c>
      <c r="Q22" s="192">
        <f>'5-安和雅企'!$Q$8+Q13+'5-安和雅企'!$Q$21</f>
        <v>84338.5</v>
      </c>
      <c r="R22" s="192">
        <f>'5-安和雅企'!$R$8+R13+'5-安和雅企'!$R$21</f>
        <v>53000</v>
      </c>
    </row>
    <row r="23" spans="1:18" ht="21.75" customHeight="1">
      <c r="A23" s="77"/>
      <c r="B23" s="77"/>
      <c r="C23" s="160"/>
      <c r="D23" s="78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</row>
    <row r="24" spans="1:18" ht="21.75" customHeight="1">
      <c r="D24" s="78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</row>
    <row r="25" spans="1:18" ht="21.75" customHeight="1">
      <c r="G25" s="191"/>
      <c r="H25" s="191"/>
      <c r="I25" s="191"/>
      <c r="J25" s="191"/>
      <c r="K25" s="191"/>
      <c r="L25" s="191" t="s">
        <v>129</v>
      </c>
      <c r="M25" s="191"/>
      <c r="N25" s="191"/>
      <c r="O25" s="191"/>
      <c r="P25" s="191"/>
      <c r="Q25" s="191"/>
      <c r="R25" s="191"/>
    </row>
    <row r="26" spans="1:18" ht="21.75" customHeight="1"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7" spans="1:18" ht="21.75" customHeight="1"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</row>
    <row r="28" spans="1:18" ht="21.75" customHeight="1"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</row>
    <row r="29" spans="1:18" ht="21.75" customHeight="1"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8" ht="21.75" customHeight="1"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</row>
    <row r="31" spans="1:18" ht="21.75" customHeight="1"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</row>
    <row r="32" spans="1:18" ht="21.75" customHeight="1"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</row>
    <row r="33" spans="7:18" ht="21.75" customHeight="1"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</row>
    <row r="34" spans="7:18" ht="21.75" customHeight="1"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</row>
    <row r="35" spans="7:18" ht="21.75" customHeight="1"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</row>
    <row r="36" spans="7:18" ht="21.75" customHeight="1"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</row>
    <row r="37" spans="7:18" ht="21.75" customHeight="1"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</row>
    <row r="38" spans="7:18" ht="21.75" customHeight="1"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</row>
    <row r="39" spans="7:18" ht="21.75" customHeight="1"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</row>
    <row r="40" spans="7:18" ht="21.75" customHeight="1"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</row>
    <row r="41" spans="7:18" ht="21.75" customHeight="1"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</row>
    <row r="42" spans="7:18" ht="21.75" customHeight="1"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</row>
    <row r="43" spans="7:18" ht="21.75" customHeight="1"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</row>
    <row r="44" spans="7:18" ht="21.75" customHeight="1"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</row>
    <row r="45" spans="7:18" ht="21.75" customHeight="1"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</row>
    <row r="46" spans="7:18" ht="21.75" customHeight="1"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</row>
    <row r="47" spans="7:18" ht="21.75" customHeight="1"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</row>
    <row r="48" spans="7:18" ht="21.75" customHeight="1"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</row>
    <row r="49" spans="7:18" ht="21.75" customHeight="1"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</row>
    <row r="50" spans="7:18" ht="21.75" customHeight="1"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</row>
    <row r="51" spans="7:18" ht="21.75" customHeight="1"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</row>
    <row r="52" spans="7:18" ht="21.75" customHeight="1"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</row>
    <row r="53" spans="7:18" ht="21.75" customHeight="1"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</row>
    <row r="54" spans="7:18" ht="21.75" customHeight="1"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</row>
    <row r="55" spans="7:18" ht="21.75" customHeight="1"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</row>
    <row r="56" spans="7:18" ht="21.75" customHeight="1"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</row>
    <row r="57" spans="7:18" ht="21.75" customHeight="1"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7:18" ht="21.75" customHeight="1"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</row>
    <row r="59" spans="7:18" ht="21.75" customHeight="1"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</row>
    <row r="60" spans="7:18" ht="21.75" customHeight="1"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</row>
    <row r="61" spans="7:18" ht="21.75" customHeight="1"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</row>
    <row r="62" spans="7:18" ht="21.75" customHeight="1"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</row>
    <row r="63" spans="7:18" ht="21.75" customHeight="1"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</row>
    <row r="64" spans="7:18" ht="21.75" customHeight="1"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</row>
    <row r="65" spans="7:18" ht="21.75" customHeight="1"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</row>
    <row r="66" spans="7:18" ht="21.75" customHeight="1"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</row>
    <row r="67" spans="7:18" ht="21.75" customHeight="1"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</row>
    <row r="68" spans="7:18" ht="21.75" customHeight="1"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</row>
    <row r="69" spans="7:18" ht="21.75" customHeight="1"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</row>
    <row r="70" spans="7:18" ht="21.75" customHeight="1"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</row>
    <row r="71" spans="7:18" ht="21.75" customHeight="1"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</row>
    <row r="72" spans="7:18" ht="21.75" customHeight="1"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</row>
    <row r="73" spans="7:18" ht="21.75" customHeight="1"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</row>
    <row r="74" spans="7:18" ht="21.75" customHeight="1"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</row>
    <row r="75" spans="7:18" ht="21.75" customHeight="1"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</row>
    <row r="76" spans="7:18" ht="21.75" customHeight="1"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</row>
    <row r="77" spans="7:18" ht="21.75" customHeight="1"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</row>
    <row r="78" spans="7:18" ht="21.75" customHeight="1"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</row>
    <row r="79" spans="7:18" ht="21.75" customHeight="1"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</row>
    <row r="80" spans="7:18" ht="21.75" customHeight="1"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</row>
    <row r="81" spans="7:18" ht="21.75" customHeight="1"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</row>
    <row r="82" spans="7:18" ht="21.75" customHeight="1"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</row>
    <row r="83" spans="7:18" ht="21.75" customHeight="1"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</row>
    <row r="84" spans="7:18" ht="21.75" customHeight="1"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</row>
    <row r="85" spans="7:18" ht="21.75" customHeight="1"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</row>
    <row r="86" spans="7:18" ht="21.75" customHeight="1"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</row>
    <row r="87" spans="7:18" ht="21.75" customHeight="1"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</row>
    <row r="88" spans="7:18" ht="21.75" customHeight="1"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</row>
    <row r="89" spans="7:18" ht="21.75" customHeight="1"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</row>
    <row r="90" spans="7:18" ht="21.75" customHeight="1"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</row>
    <row r="91" spans="7:18" ht="21.75" customHeight="1"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</row>
    <row r="92" spans="7:18" ht="21.75" customHeight="1"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</row>
    <row r="93" spans="7:18" ht="21.75" customHeight="1"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</row>
    <row r="94" spans="7:18" ht="21.75" customHeight="1"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</row>
    <row r="95" spans="7:18" ht="21.75" customHeight="1"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</row>
    <row r="96" spans="7:18" ht="21.75" customHeight="1"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</row>
    <row r="97" spans="7:18" ht="21.75" customHeight="1"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</row>
    <row r="98" spans="7:18" ht="21.75" customHeight="1"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</row>
    <row r="99" spans="7:18" ht="21.75" customHeight="1"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</row>
    <row r="100" spans="7:18" ht="21.75" customHeight="1"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</row>
  </sheetData>
  <mergeCells count="6">
    <mergeCell ref="D13:F13"/>
    <mergeCell ref="E22:F22"/>
    <mergeCell ref="D9:F9"/>
    <mergeCell ref="D10:F10"/>
    <mergeCell ref="D11:F11"/>
    <mergeCell ref="D12:F12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R100"/>
  <sheetViews>
    <sheetView workbookViewId="0"/>
  </sheetViews>
  <sheetFormatPr defaultColWidth="12.625" defaultRowHeight="15" customHeight="1"/>
  <cols>
    <col min="1" max="1" width="5.25" customWidth="1"/>
    <col min="2" max="2" width="7" customWidth="1"/>
    <col min="3" max="3" width="12.375" customWidth="1"/>
    <col min="4" max="4" width="9.625" customWidth="1"/>
    <col min="5" max="5" width="11" customWidth="1"/>
    <col min="6" max="6" width="14.625" customWidth="1"/>
    <col min="7" max="18" width="7.625" customWidth="1"/>
  </cols>
  <sheetData>
    <row r="1" spans="1:18" ht="20.25" customHeight="1">
      <c r="A1" s="128" t="s">
        <v>124</v>
      </c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</row>
    <row r="2" spans="1:18" ht="20.25" customHeight="1">
      <c r="A2" s="128" t="s">
        <v>79</v>
      </c>
      <c r="B2" s="128" t="s">
        <v>147</v>
      </c>
      <c r="C2" s="129" t="s">
        <v>148</v>
      </c>
      <c r="D2" s="179" t="s">
        <v>87</v>
      </c>
      <c r="E2" s="135" t="s">
        <v>88</v>
      </c>
      <c r="F2" s="136" t="s">
        <v>149</v>
      </c>
      <c r="G2" s="134"/>
      <c r="H2" s="134"/>
      <c r="I2" s="134"/>
      <c r="J2" s="134"/>
      <c r="K2" s="137">
        <v>42857</v>
      </c>
      <c r="L2" s="137">
        <v>42887</v>
      </c>
      <c r="M2" s="137">
        <v>42919</v>
      </c>
      <c r="N2" s="137">
        <v>42948</v>
      </c>
      <c r="O2" s="137">
        <v>42979</v>
      </c>
      <c r="P2" s="137">
        <v>43010</v>
      </c>
      <c r="Q2" s="137">
        <v>43041</v>
      </c>
      <c r="R2" s="137">
        <v>43073</v>
      </c>
    </row>
    <row r="3" spans="1:18" ht="20.25" customHeight="1">
      <c r="A3" s="128"/>
      <c r="B3" s="128"/>
      <c r="C3" s="129"/>
      <c r="D3" s="181">
        <v>28000</v>
      </c>
      <c r="E3" s="131">
        <v>56000</v>
      </c>
      <c r="F3" s="132"/>
      <c r="G3" s="138">
        <v>28000</v>
      </c>
      <c r="H3" s="138">
        <v>28000</v>
      </c>
      <c r="I3" s="138">
        <v>28000</v>
      </c>
      <c r="J3" s="138">
        <v>28000</v>
      </c>
      <c r="K3" s="138">
        <v>28000</v>
      </c>
      <c r="L3" s="140">
        <v>28000</v>
      </c>
      <c r="M3" s="140">
        <v>28000</v>
      </c>
      <c r="N3" s="140">
        <v>28000</v>
      </c>
      <c r="O3" s="140">
        <v>28000</v>
      </c>
      <c r="P3" s="140">
        <v>28000</v>
      </c>
      <c r="Q3" s="140">
        <v>28000</v>
      </c>
      <c r="R3" s="140">
        <v>28000</v>
      </c>
    </row>
    <row r="4" spans="1:18" ht="20.25" customHeight="1">
      <c r="A4" s="128" t="s">
        <v>85</v>
      </c>
      <c r="B4" s="128" t="s">
        <v>150</v>
      </c>
      <c r="C4" s="129" t="s">
        <v>151</v>
      </c>
      <c r="D4" s="179" t="s">
        <v>152</v>
      </c>
      <c r="E4" s="135" t="s">
        <v>153</v>
      </c>
      <c r="F4" s="136" t="s">
        <v>154</v>
      </c>
      <c r="G4" s="134"/>
      <c r="H4" s="134"/>
      <c r="I4" s="134"/>
      <c r="J4" s="134"/>
      <c r="K4" s="137">
        <v>42853</v>
      </c>
      <c r="L4" s="137">
        <v>42886</v>
      </c>
      <c r="M4" s="137">
        <v>42916</v>
      </c>
      <c r="N4" s="137">
        <v>42947</v>
      </c>
      <c r="O4" s="137">
        <v>42978</v>
      </c>
      <c r="P4" s="137">
        <v>43008</v>
      </c>
      <c r="Q4" s="137">
        <v>43039</v>
      </c>
      <c r="R4" s="137">
        <v>43069</v>
      </c>
    </row>
    <row r="5" spans="1:18" ht="20.25" customHeight="1">
      <c r="A5" s="128"/>
      <c r="B5" s="128"/>
      <c r="C5" s="129"/>
      <c r="D5" s="181">
        <v>35000</v>
      </c>
      <c r="E5" s="131">
        <v>70000</v>
      </c>
      <c r="F5" s="141"/>
      <c r="G5" s="142">
        <v>35000</v>
      </c>
      <c r="H5" s="142">
        <v>35000</v>
      </c>
      <c r="I5" s="142">
        <v>35000</v>
      </c>
      <c r="J5" s="142">
        <v>35000</v>
      </c>
      <c r="K5" s="138">
        <v>35000</v>
      </c>
      <c r="L5" s="138">
        <v>35000</v>
      </c>
      <c r="M5" s="138">
        <v>35000</v>
      </c>
      <c r="N5" s="138">
        <v>35000</v>
      </c>
      <c r="O5" s="138">
        <v>35000</v>
      </c>
      <c r="P5" s="138">
        <v>35000</v>
      </c>
      <c r="Q5" s="138">
        <v>35000</v>
      </c>
      <c r="R5" s="138">
        <v>35000</v>
      </c>
    </row>
    <row r="6" spans="1:18" ht="20.25" customHeight="1">
      <c r="A6" s="128"/>
      <c r="B6" s="128"/>
      <c r="C6" s="77"/>
      <c r="D6" s="130">
        <f>SUBTOTAL(109,'6-敦南薈館'!$D$1:$D$5)</f>
        <v>63000</v>
      </c>
      <c r="E6" s="145">
        <f>SUBTOTAL(109,'6-敦南薈館'!$E$1:$E$5)</f>
        <v>126000</v>
      </c>
      <c r="F6" s="144" t="s">
        <v>113</v>
      </c>
      <c r="G6" s="146">
        <f t="shared" ref="G6:R6" si="0">G3+G5</f>
        <v>63000</v>
      </c>
      <c r="H6" s="146">
        <f t="shared" si="0"/>
        <v>63000</v>
      </c>
      <c r="I6" s="146">
        <f t="shared" si="0"/>
        <v>63000</v>
      </c>
      <c r="J6" s="146">
        <f t="shared" si="0"/>
        <v>63000</v>
      </c>
      <c r="K6" s="146">
        <f t="shared" si="0"/>
        <v>63000</v>
      </c>
      <c r="L6" s="146">
        <f t="shared" si="0"/>
        <v>63000</v>
      </c>
      <c r="M6" s="146">
        <f t="shared" si="0"/>
        <v>63000</v>
      </c>
      <c r="N6" s="146">
        <f t="shared" si="0"/>
        <v>63000</v>
      </c>
      <c r="O6" s="146">
        <f t="shared" si="0"/>
        <v>63000</v>
      </c>
      <c r="P6" s="146">
        <f t="shared" si="0"/>
        <v>63000</v>
      </c>
      <c r="Q6" s="146">
        <f t="shared" si="0"/>
        <v>63000</v>
      </c>
      <c r="R6" s="146">
        <f t="shared" si="0"/>
        <v>63000</v>
      </c>
    </row>
    <row r="7" spans="1:18" ht="20.25" customHeight="1">
      <c r="A7" s="77"/>
      <c r="B7" s="77"/>
      <c r="C7" s="77"/>
      <c r="D7" s="371" t="s">
        <v>155</v>
      </c>
      <c r="E7" s="358"/>
      <c r="F7" s="358"/>
      <c r="G7" s="149">
        <v>-522</v>
      </c>
      <c r="H7" s="149"/>
      <c r="I7" s="149">
        <v>-553</v>
      </c>
      <c r="J7" s="149"/>
      <c r="K7" s="218">
        <v>-532</v>
      </c>
      <c r="L7" s="151"/>
      <c r="M7" s="151"/>
      <c r="N7" s="152"/>
      <c r="O7" s="151"/>
      <c r="P7" s="153"/>
      <c r="Q7" s="153"/>
      <c r="R7" s="153"/>
    </row>
    <row r="8" spans="1:18" ht="20.25" customHeight="1">
      <c r="A8" s="133"/>
      <c r="B8" s="133"/>
      <c r="C8" s="133"/>
      <c r="D8" s="371" t="s">
        <v>156</v>
      </c>
      <c r="E8" s="358"/>
      <c r="F8" s="358"/>
      <c r="G8" s="150">
        <v>-620</v>
      </c>
      <c r="H8" s="150"/>
      <c r="I8" s="150">
        <v>-728</v>
      </c>
      <c r="J8" s="219"/>
      <c r="K8" s="218">
        <v>-673</v>
      </c>
      <c r="L8" s="152"/>
      <c r="M8" s="151"/>
      <c r="N8" s="151"/>
      <c r="O8" s="151"/>
      <c r="P8" s="151"/>
      <c r="Q8" s="152"/>
      <c r="R8" s="152"/>
    </row>
    <row r="9" spans="1:18" ht="20.25" customHeight="1">
      <c r="A9" s="77"/>
      <c r="B9" s="77"/>
      <c r="C9" s="77"/>
      <c r="D9" s="377" t="s">
        <v>157</v>
      </c>
      <c r="E9" s="358"/>
      <c r="F9" s="358"/>
      <c r="G9" s="152">
        <v>-1285</v>
      </c>
      <c r="H9" s="151">
        <v>-1285</v>
      </c>
      <c r="I9" s="152">
        <v>-1285</v>
      </c>
      <c r="J9" s="151">
        <v>-1285</v>
      </c>
      <c r="K9" s="180"/>
      <c r="L9" s="151"/>
      <c r="M9" s="152"/>
      <c r="N9" s="152"/>
      <c r="O9" s="151"/>
      <c r="P9" s="151"/>
      <c r="Q9" s="152"/>
      <c r="R9" s="152"/>
    </row>
    <row r="10" spans="1:18" ht="20.25" customHeight="1">
      <c r="A10" s="77"/>
      <c r="B10" s="77"/>
      <c r="C10" s="77"/>
      <c r="D10" s="148"/>
      <c r="E10" s="148"/>
      <c r="F10" s="148"/>
      <c r="G10" s="152"/>
      <c r="H10" s="151"/>
      <c r="I10" s="152"/>
      <c r="J10" s="151"/>
      <c r="K10" s="180"/>
      <c r="L10" s="151"/>
      <c r="M10" s="152"/>
      <c r="N10" s="150">
        <v>-1470</v>
      </c>
      <c r="O10" s="149"/>
      <c r="P10" s="149"/>
      <c r="Q10" s="152"/>
      <c r="R10" s="152"/>
    </row>
    <row r="11" spans="1:18" ht="20.25" customHeight="1">
      <c r="A11" s="77"/>
      <c r="B11" s="77"/>
      <c r="C11" s="77"/>
      <c r="D11" s="377" t="s">
        <v>158</v>
      </c>
      <c r="E11" s="358"/>
      <c r="F11" s="358"/>
      <c r="G11" s="152">
        <v>-1400</v>
      </c>
      <c r="H11" s="151">
        <v>-1400</v>
      </c>
      <c r="I11" s="152">
        <v>-1400</v>
      </c>
      <c r="J11" s="151">
        <v>-1400</v>
      </c>
      <c r="K11" s="180"/>
      <c r="L11" s="151"/>
      <c r="M11" s="152"/>
      <c r="N11" s="152"/>
      <c r="O11" s="151"/>
      <c r="P11" s="151"/>
      <c r="Q11" s="152"/>
      <c r="R11" s="152"/>
    </row>
    <row r="12" spans="1:18" ht="20.25" customHeight="1">
      <c r="A12" s="77"/>
      <c r="B12" s="77"/>
      <c r="C12" s="77"/>
      <c r="D12" s="372" t="s">
        <v>117</v>
      </c>
      <c r="E12" s="358"/>
      <c r="F12" s="358"/>
      <c r="G12" s="152"/>
      <c r="H12" s="152"/>
      <c r="I12" s="152"/>
      <c r="J12" s="151"/>
      <c r="K12" s="152"/>
      <c r="L12" s="151"/>
      <c r="M12" s="152"/>
      <c r="N12" s="152"/>
      <c r="O12" s="151"/>
      <c r="P12" s="151"/>
      <c r="Q12" s="152"/>
      <c r="R12" s="152"/>
    </row>
    <row r="13" spans="1:18" ht="20.25" customHeight="1">
      <c r="A13" s="77"/>
      <c r="B13" s="77"/>
      <c r="C13" s="77"/>
      <c r="D13" s="372" t="s">
        <v>118</v>
      </c>
      <c r="E13" s="358"/>
      <c r="F13" s="358"/>
      <c r="G13" s="152">
        <f t="shared" ref="G13:R13" si="1">SUM(G7:G12)</f>
        <v>-3827</v>
      </c>
      <c r="H13" s="152">
        <f t="shared" si="1"/>
        <v>-2685</v>
      </c>
      <c r="I13" s="152">
        <f t="shared" si="1"/>
        <v>-3966</v>
      </c>
      <c r="J13" s="152">
        <f t="shared" si="1"/>
        <v>-2685</v>
      </c>
      <c r="K13" s="152">
        <f t="shared" si="1"/>
        <v>-1205</v>
      </c>
      <c r="L13" s="152">
        <f t="shared" si="1"/>
        <v>0</v>
      </c>
      <c r="M13" s="152">
        <f t="shared" si="1"/>
        <v>0</v>
      </c>
      <c r="N13" s="152">
        <f t="shared" si="1"/>
        <v>-1470</v>
      </c>
      <c r="O13" s="152">
        <f t="shared" si="1"/>
        <v>0</v>
      </c>
      <c r="P13" s="152">
        <f t="shared" si="1"/>
        <v>0</v>
      </c>
      <c r="Q13" s="152">
        <f t="shared" si="1"/>
        <v>0</v>
      </c>
      <c r="R13" s="152">
        <f t="shared" si="1"/>
        <v>0</v>
      </c>
    </row>
    <row r="14" spans="1:18" ht="20.25" customHeight="1">
      <c r="A14" s="77"/>
      <c r="B14" s="77"/>
      <c r="C14" s="160"/>
      <c r="D14" s="77"/>
      <c r="E14" s="157"/>
      <c r="F14" s="193"/>
      <c r="G14" s="159" t="s">
        <v>2</v>
      </c>
      <c r="H14" s="159" t="s">
        <v>3</v>
      </c>
      <c r="I14" s="159" t="s">
        <v>4</v>
      </c>
      <c r="J14" s="159" t="s">
        <v>5</v>
      </c>
      <c r="K14" s="159" t="s">
        <v>6</v>
      </c>
      <c r="L14" s="159" t="s">
        <v>7</v>
      </c>
      <c r="M14" s="159" t="s">
        <v>8</v>
      </c>
      <c r="N14" s="159" t="s">
        <v>9</v>
      </c>
      <c r="O14" s="159" t="s">
        <v>10</v>
      </c>
      <c r="P14" s="159" t="s">
        <v>11</v>
      </c>
      <c r="Q14" s="159" t="s">
        <v>12</v>
      </c>
      <c r="R14" s="159" t="s">
        <v>16</v>
      </c>
    </row>
    <row r="15" spans="1:18" ht="20.25" customHeight="1">
      <c r="A15" s="77"/>
      <c r="B15" s="77"/>
      <c r="C15" s="160"/>
      <c r="D15" s="78"/>
      <c r="E15" s="161" t="s">
        <v>79</v>
      </c>
      <c r="F15" s="195" t="s">
        <v>119</v>
      </c>
      <c r="G15" s="220">
        <v>6017</v>
      </c>
      <c r="H15" s="220">
        <v>6357</v>
      </c>
      <c r="I15" s="163">
        <v>6357</v>
      </c>
      <c r="J15" s="163">
        <v>6725</v>
      </c>
      <c r="K15" s="163">
        <v>6933</v>
      </c>
      <c r="L15" s="163">
        <v>7239</v>
      </c>
      <c r="M15" s="163">
        <v>7523</v>
      </c>
      <c r="N15" s="163"/>
      <c r="O15" s="163">
        <v>8051</v>
      </c>
      <c r="P15" s="163"/>
      <c r="Q15" s="163">
        <v>8681</v>
      </c>
      <c r="R15" s="163"/>
    </row>
    <row r="16" spans="1:18" ht="20.25" customHeight="1">
      <c r="A16" s="77"/>
      <c r="B16" s="77"/>
      <c r="C16" s="160"/>
      <c r="D16" s="78"/>
      <c r="E16" s="165"/>
      <c r="F16" s="197" t="s">
        <v>121</v>
      </c>
      <c r="G16" s="221"/>
      <c r="H16" s="221">
        <f t="shared" ref="H16:N16" si="2">IF((H15-G15)*5.5&gt;0,(H15-G15)*5.5,0)</f>
        <v>1870</v>
      </c>
      <c r="I16" s="168">
        <f t="shared" si="2"/>
        <v>0</v>
      </c>
      <c r="J16" s="167">
        <f t="shared" si="2"/>
        <v>2024</v>
      </c>
      <c r="K16" s="167">
        <f t="shared" si="2"/>
        <v>1144</v>
      </c>
      <c r="L16" s="167">
        <f t="shared" si="2"/>
        <v>1683</v>
      </c>
      <c r="M16" s="167">
        <f t="shared" si="2"/>
        <v>1562</v>
      </c>
      <c r="N16" s="168">
        <f t="shared" si="2"/>
        <v>0</v>
      </c>
      <c r="O16" s="167">
        <v>2904</v>
      </c>
      <c r="P16" s="168">
        <f>IF((P15-O15)*5.5&gt;0,(P15-O15)*5.5,0)</f>
        <v>0</v>
      </c>
      <c r="Q16" s="167">
        <v>3465</v>
      </c>
      <c r="R16" s="168">
        <f>IF((R15-Q15)*5.5&gt;0,(R15-Q15)*5.5,0)</f>
        <v>0</v>
      </c>
    </row>
    <row r="17" spans="1:18" ht="20.25" customHeight="1">
      <c r="A17" s="77"/>
      <c r="B17" s="77"/>
      <c r="C17" s="160"/>
      <c r="D17" s="78"/>
      <c r="E17" s="161" t="s">
        <v>85</v>
      </c>
      <c r="F17" s="195" t="s">
        <v>119</v>
      </c>
      <c r="G17" s="220">
        <v>82244</v>
      </c>
      <c r="H17" s="220">
        <v>82244</v>
      </c>
      <c r="I17" s="163"/>
      <c r="J17" s="163">
        <v>82770</v>
      </c>
      <c r="K17" s="163">
        <v>83136</v>
      </c>
      <c r="L17" s="163">
        <v>83504</v>
      </c>
      <c r="M17" s="163">
        <v>84190</v>
      </c>
      <c r="N17" s="163"/>
      <c r="O17" s="163">
        <v>84882</v>
      </c>
      <c r="P17" s="163"/>
      <c r="Q17" s="163">
        <v>85706</v>
      </c>
      <c r="R17" s="163"/>
    </row>
    <row r="18" spans="1:18" ht="20.25" customHeight="1">
      <c r="A18" s="77"/>
      <c r="D18" s="78"/>
      <c r="E18" s="165"/>
      <c r="F18" s="197" t="s">
        <v>121</v>
      </c>
      <c r="G18" s="221"/>
      <c r="H18" s="221">
        <f t="shared" ref="H18:I18" si="3">IF((H17-G17)*5.5&gt;0,(H17-G17)*5.5,0)</f>
        <v>0</v>
      </c>
      <c r="I18" s="168">
        <f t="shared" si="3"/>
        <v>0</v>
      </c>
      <c r="J18" s="167">
        <f>IF((J17-H17)*5.5&gt;0,(J17-H17)*5.5,0)-J16</f>
        <v>869</v>
      </c>
      <c r="K18" s="167">
        <f t="shared" ref="K18:N18" si="4">IF((K17-J17)*5.5&gt;0,(K17-J17)*5.5,0)-K16</f>
        <v>869</v>
      </c>
      <c r="L18" s="167">
        <f t="shared" si="4"/>
        <v>341</v>
      </c>
      <c r="M18" s="167">
        <f t="shared" si="4"/>
        <v>2211</v>
      </c>
      <c r="N18" s="168">
        <f t="shared" si="4"/>
        <v>0</v>
      </c>
      <c r="O18" s="167">
        <f>IF((O17-M17)*5.5&gt;0,(O17-M17)*5.5,0)-O16</f>
        <v>902</v>
      </c>
      <c r="P18" s="168"/>
      <c r="Q18" s="167">
        <f>IF((Q17-O17)*5.5&gt;0,(Q17-O17)*5.5,0)-Q16</f>
        <v>1067</v>
      </c>
      <c r="R18" s="168">
        <f>IF((R17-Q17)*5.5&gt;0,(R17-Q17)*5.5,0)</f>
        <v>0</v>
      </c>
    </row>
    <row r="19" spans="1:18" ht="20.25" customHeight="1">
      <c r="A19" s="77"/>
      <c r="B19" s="77"/>
      <c r="C19" s="160"/>
      <c r="D19" s="78"/>
      <c r="E19" s="176"/>
      <c r="F19" s="205" t="s">
        <v>122</v>
      </c>
      <c r="G19" s="168">
        <f t="shared" ref="G19:R19" si="5">G16+G18</f>
        <v>0</v>
      </c>
      <c r="H19" s="168">
        <f t="shared" si="5"/>
        <v>1870</v>
      </c>
      <c r="I19" s="168">
        <f t="shared" si="5"/>
        <v>0</v>
      </c>
      <c r="J19" s="168">
        <f t="shared" si="5"/>
        <v>2893</v>
      </c>
      <c r="K19" s="168">
        <f t="shared" si="5"/>
        <v>2013</v>
      </c>
      <c r="L19" s="168">
        <f t="shared" si="5"/>
        <v>2024</v>
      </c>
      <c r="M19" s="168">
        <f t="shared" si="5"/>
        <v>3773</v>
      </c>
      <c r="N19" s="168">
        <f t="shared" si="5"/>
        <v>0</v>
      </c>
      <c r="O19" s="168">
        <f t="shared" si="5"/>
        <v>3806</v>
      </c>
      <c r="P19" s="168">
        <f t="shared" si="5"/>
        <v>0</v>
      </c>
      <c r="Q19" s="168">
        <f t="shared" si="5"/>
        <v>4532</v>
      </c>
      <c r="R19" s="168">
        <f t="shared" si="5"/>
        <v>0</v>
      </c>
    </row>
    <row r="20" spans="1:18" ht="20.25" customHeight="1">
      <c r="A20" s="77"/>
      <c r="B20" s="77"/>
      <c r="C20" s="160"/>
      <c r="D20" s="78"/>
      <c r="E20" s="369" t="s">
        <v>123</v>
      </c>
      <c r="F20" s="370"/>
      <c r="G20" s="180">
        <f>'6-敦南薈館'!$G$6+G13+'6-敦南薈館'!$G$19</f>
        <v>59173</v>
      </c>
      <c r="H20" s="180">
        <f>'6-敦南薈館'!$H$6+H13+'6-敦南薈館'!$H$19</f>
        <v>62185</v>
      </c>
      <c r="I20" s="180">
        <f>'6-敦南薈館'!$I$6+I13+'6-敦南薈館'!$I$19</f>
        <v>59034</v>
      </c>
      <c r="J20" s="180">
        <f>'6-敦南薈館'!$J$6+J13+'6-敦南薈館'!$J$19</f>
        <v>63208</v>
      </c>
      <c r="K20" s="180">
        <f>'6-敦南薈館'!$K$6+K13+'6-敦南薈館'!$K$19</f>
        <v>63808</v>
      </c>
      <c r="L20" s="180">
        <f>'6-敦南薈館'!$L$6+L13+'6-敦南薈館'!$L$19</f>
        <v>65024</v>
      </c>
      <c r="M20" s="180">
        <f>'6-敦南薈館'!$M$6+M13+'6-敦南薈館'!$M$19</f>
        <v>66773</v>
      </c>
      <c r="N20" s="180">
        <f>'6-敦南薈館'!$N$6+N13+'6-敦南薈館'!$N$19</f>
        <v>61530</v>
      </c>
      <c r="O20" s="180">
        <f>'6-敦南薈館'!$O$6+O13+'6-敦南薈館'!$O$19</f>
        <v>66806</v>
      </c>
      <c r="P20" s="180">
        <f>'6-敦南薈館'!$P$6+P13+'6-敦南薈館'!$P$19</f>
        <v>63000</v>
      </c>
      <c r="Q20" s="180">
        <f>'6-敦南薈館'!$Q$6+Q13+'6-敦南薈館'!$Q$19</f>
        <v>67532</v>
      </c>
      <c r="R20" s="180">
        <f>'6-敦南薈館'!$R$6+R13+'6-敦南薈館'!$R$19</f>
        <v>63000</v>
      </c>
    </row>
    <row r="21" spans="1:18" ht="20.25" customHeight="1">
      <c r="A21" s="77"/>
      <c r="B21" s="77"/>
      <c r="C21" s="160"/>
      <c r="D21" s="78"/>
    </row>
    <row r="22" spans="1:18" ht="20.25" customHeight="1">
      <c r="D22" s="160" t="s">
        <v>159</v>
      </c>
    </row>
    <row r="23" spans="1:18" ht="20.25" customHeight="1">
      <c r="D23" s="222" t="s">
        <v>160</v>
      </c>
    </row>
    <row r="24" spans="1:18" ht="20.25" customHeight="1"/>
    <row r="25" spans="1:18" ht="20.25" customHeight="1">
      <c r="F25" s="223" t="s">
        <v>161</v>
      </c>
      <c r="G25" s="224" t="s">
        <v>162</v>
      </c>
      <c r="H25" s="224" t="s">
        <v>163</v>
      </c>
      <c r="I25" s="225" t="s">
        <v>164</v>
      </c>
    </row>
    <row r="26" spans="1:18" ht="20.25" customHeight="1">
      <c r="F26" s="226" t="s">
        <v>165</v>
      </c>
      <c r="G26" s="77">
        <v>1000</v>
      </c>
      <c r="H26" s="77">
        <v>836</v>
      </c>
      <c r="I26" s="227">
        <f>G26-H26</f>
        <v>164</v>
      </c>
    </row>
    <row r="27" spans="1:18" ht="20.25" customHeight="1">
      <c r="F27" s="226" t="s">
        <v>166</v>
      </c>
      <c r="G27" s="77">
        <v>1000</v>
      </c>
      <c r="H27" s="77">
        <v>286</v>
      </c>
      <c r="I27" s="227">
        <f t="shared" ref="I27:I39" si="6">I26+G27-H27</f>
        <v>878</v>
      </c>
    </row>
    <row r="28" spans="1:18" ht="20.25" customHeight="1">
      <c r="F28" s="226" t="s">
        <v>167</v>
      </c>
      <c r="G28" s="77">
        <v>1000</v>
      </c>
      <c r="H28" s="77">
        <v>429</v>
      </c>
      <c r="I28" s="227">
        <f t="shared" si="6"/>
        <v>1449</v>
      </c>
    </row>
    <row r="29" spans="1:18" ht="20.25" customHeight="1">
      <c r="F29" s="226" t="s">
        <v>2</v>
      </c>
      <c r="G29" s="77">
        <v>1000</v>
      </c>
      <c r="H29" s="77"/>
      <c r="I29" s="227">
        <f t="shared" si="6"/>
        <v>2449</v>
      </c>
    </row>
    <row r="30" spans="1:18" ht="20.25" customHeight="1">
      <c r="F30" s="226" t="s">
        <v>3</v>
      </c>
      <c r="G30" s="77">
        <v>1000</v>
      </c>
      <c r="H30" s="77">
        <v>512</v>
      </c>
      <c r="I30" s="227">
        <f t="shared" si="6"/>
        <v>2937</v>
      </c>
    </row>
    <row r="31" spans="1:18" ht="20.25" customHeight="1">
      <c r="F31" s="226" t="s">
        <v>4</v>
      </c>
      <c r="G31" s="77">
        <v>1000</v>
      </c>
      <c r="H31" s="77"/>
      <c r="I31" s="227">
        <f t="shared" si="6"/>
        <v>3937</v>
      </c>
    </row>
    <row r="32" spans="1:18" ht="20.25" customHeight="1">
      <c r="F32" s="226" t="s">
        <v>5</v>
      </c>
      <c r="G32" s="77">
        <v>1000</v>
      </c>
      <c r="H32" s="77">
        <v>869</v>
      </c>
      <c r="I32" s="227">
        <f t="shared" si="6"/>
        <v>4068</v>
      </c>
    </row>
    <row r="33" spans="6:9" ht="20.25" customHeight="1">
      <c r="F33" s="226" t="s">
        <v>6</v>
      </c>
      <c r="G33" s="77">
        <v>1000</v>
      </c>
      <c r="H33" s="77">
        <v>869</v>
      </c>
      <c r="I33" s="227">
        <f t="shared" si="6"/>
        <v>4199</v>
      </c>
    </row>
    <row r="34" spans="6:9" ht="20.25" customHeight="1">
      <c r="F34" s="226" t="s">
        <v>7</v>
      </c>
      <c r="G34" s="77">
        <v>1000</v>
      </c>
      <c r="H34" s="77">
        <v>341</v>
      </c>
      <c r="I34" s="227">
        <f t="shared" si="6"/>
        <v>4858</v>
      </c>
    </row>
    <row r="35" spans="6:9" ht="20.25" customHeight="1">
      <c r="F35" s="226" t="s">
        <v>8</v>
      </c>
      <c r="G35" s="77">
        <v>1000</v>
      </c>
      <c r="H35" s="77">
        <v>2211</v>
      </c>
      <c r="I35" s="227">
        <f t="shared" si="6"/>
        <v>3647</v>
      </c>
    </row>
    <row r="36" spans="6:9" ht="20.25" customHeight="1">
      <c r="F36" s="226" t="s">
        <v>9</v>
      </c>
      <c r="G36" s="77">
        <v>1000</v>
      </c>
      <c r="H36" s="77"/>
      <c r="I36" s="227">
        <f t="shared" si="6"/>
        <v>4647</v>
      </c>
    </row>
    <row r="37" spans="6:9" ht="20.25" customHeight="1">
      <c r="F37" s="226" t="s">
        <v>10</v>
      </c>
      <c r="G37" s="77">
        <v>1000</v>
      </c>
      <c r="H37" s="77">
        <v>902</v>
      </c>
      <c r="I37" s="227">
        <f t="shared" si="6"/>
        <v>4745</v>
      </c>
    </row>
    <row r="38" spans="6:9" ht="20.25" customHeight="1">
      <c r="F38" s="226" t="s">
        <v>11</v>
      </c>
      <c r="G38" s="77">
        <v>1000</v>
      </c>
      <c r="H38" s="77"/>
      <c r="I38" s="227">
        <f t="shared" si="6"/>
        <v>5745</v>
      </c>
    </row>
    <row r="39" spans="6:9" ht="20.25" customHeight="1">
      <c r="F39" s="228" t="s">
        <v>12</v>
      </c>
      <c r="G39" s="229">
        <v>1000</v>
      </c>
      <c r="H39" s="229">
        <v>1067</v>
      </c>
      <c r="I39" s="230">
        <f t="shared" si="6"/>
        <v>5678</v>
      </c>
    </row>
    <row r="40" spans="6:9" ht="20.25" customHeight="1"/>
    <row r="41" spans="6:9" ht="20.25" customHeight="1"/>
    <row r="42" spans="6:9" ht="20.25" customHeight="1"/>
    <row r="43" spans="6:9" ht="20.25" customHeight="1"/>
    <row r="44" spans="6:9" ht="20.25" customHeight="1"/>
    <row r="45" spans="6:9" ht="20.25" customHeight="1"/>
    <row r="46" spans="6:9" ht="20.25" customHeight="1"/>
    <row r="47" spans="6:9" ht="20.25" customHeight="1"/>
    <row r="48" spans="6:9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</sheetData>
  <mergeCells count="7">
    <mergeCell ref="E20:F20"/>
    <mergeCell ref="D11:F11"/>
    <mergeCell ref="D7:F7"/>
    <mergeCell ref="D8:F8"/>
    <mergeCell ref="D9:F9"/>
    <mergeCell ref="D12:F12"/>
    <mergeCell ref="D13:F13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R100"/>
  <sheetViews>
    <sheetView workbookViewId="0"/>
  </sheetViews>
  <sheetFormatPr defaultColWidth="12.625" defaultRowHeight="15" customHeight="1"/>
  <cols>
    <col min="1" max="3" width="7.875" customWidth="1"/>
    <col min="4" max="4" width="8.25" customWidth="1"/>
    <col min="5" max="5" width="10.25" customWidth="1"/>
    <col min="6" max="6" width="15" customWidth="1"/>
    <col min="7" max="18" width="7.875" customWidth="1"/>
  </cols>
  <sheetData>
    <row r="1" spans="1:18" ht="20.25" customHeight="1">
      <c r="A1" s="128" t="s">
        <v>124</v>
      </c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</row>
    <row r="2" spans="1:18" ht="20.25" customHeight="1">
      <c r="A2" s="128"/>
      <c r="B2" s="128" t="s">
        <v>168</v>
      </c>
      <c r="C2" s="129" t="s">
        <v>84</v>
      </c>
      <c r="D2" s="231"/>
      <c r="E2" s="232" t="s">
        <v>169</v>
      </c>
      <c r="F2" s="136" t="s">
        <v>170</v>
      </c>
      <c r="G2" s="134"/>
      <c r="H2" s="134"/>
      <c r="I2" s="134"/>
      <c r="J2" s="134"/>
      <c r="K2" s="137"/>
      <c r="L2" s="137" t="s">
        <v>171</v>
      </c>
      <c r="M2" s="137">
        <v>42908</v>
      </c>
      <c r="N2" s="137">
        <v>42947</v>
      </c>
      <c r="O2" s="137">
        <v>42982</v>
      </c>
      <c r="P2" s="137">
        <v>43011</v>
      </c>
      <c r="Q2" s="137">
        <v>43045</v>
      </c>
      <c r="R2" s="137">
        <v>43074</v>
      </c>
    </row>
    <row r="3" spans="1:18" ht="20.25" customHeight="1">
      <c r="A3" s="128"/>
      <c r="B3" s="128"/>
      <c r="C3" s="129"/>
      <c r="D3" s="181">
        <v>30000</v>
      </c>
      <c r="E3" s="131">
        <v>60000</v>
      </c>
      <c r="F3" s="141"/>
      <c r="G3" s="144">
        <v>30000</v>
      </c>
      <c r="H3" s="144">
        <v>30000</v>
      </c>
      <c r="I3" s="144">
        <v>30000</v>
      </c>
      <c r="J3" s="144">
        <v>30000</v>
      </c>
      <c r="K3" s="139">
        <v>30000</v>
      </c>
      <c r="L3" s="139">
        <v>3000</v>
      </c>
      <c r="M3" s="138">
        <v>30000</v>
      </c>
      <c r="N3" s="138">
        <v>30000</v>
      </c>
      <c r="O3" s="138">
        <v>30000</v>
      </c>
      <c r="P3" s="138">
        <v>30000</v>
      </c>
      <c r="Q3" s="138">
        <v>30000</v>
      </c>
      <c r="R3" s="138">
        <v>30000</v>
      </c>
    </row>
    <row r="4" spans="1:18" ht="20.25" customHeight="1">
      <c r="A4" s="128"/>
      <c r="B4" s="128"/>
      <c r="C4" s="77"/>
      <c r="D4" s="130">
        <f>SUBTOTAL(109,'7-公司'!$D$1:$D$3)</f>
        <v>30000</v>
      </c>
      <c r="E4" s="145">
        <f>SUBTOTAL(109,'7-公司'!$E$1:$E$3)</f>
        <v>60000</v>
      </c>
      <c r="F4" s="144" t="s">
        <v>113</v>
      </c>
      <c r="G4" s="146">
        <f t="shared" ref="G4:R4" si="0">G3</f>
        <v>30000</v>
      </c>
      <c r="H4" s="146">
        <f t="shared" si="0"/>
        <v>30000</v>
      </c>
      <c r="I4" s="146">
        <f t="shared" si="0"/>
        <v>30000</v>
      </c>
      <c r="J4" s="146">
        <f t="shared" si="0"/>
        <v>30000</v>
      </c>
      <c r="K4" s="146">
        <f t="shared" si="0"/>
        <v>30000</v>
      </c>
      <c r="L4" s="146">
        <f t="shared" si="0"/>
        <v>3000</v>
      </c>
      <c r="M4" s="146">
        <f t="shared" si="0"/>
        <v>30000</v>
      </c>
      <c r="N4" s="146">
        <f t="shared" si="0"/>
        <v>30000</v>
      </c>
      <c r="O4" s="146">
        <f t="shared" si="0"/>
        <v>30000</v>
      </c>
      <c r="P4" s="146">
        <f t="shared" si="0"/>
        <v>30000</v>
      </c>
      <c r="Q4" s="146">
        <f t="shared" si="0"/>
        <v>30000</v>
      </c>
      <c r="R4" s="146">
        <f t="shared" si="0"/>
        <v>30000</v>
      </c>
    </row>
    <row r="5" spans="1:18" ht="20.25" customHeight="1">
      <c r="A5" s="77"/>
      <c r="B5" s="77"/>
      <c r="C5" s="77"/>
      <c r="D5" s="371" t="s">
        <v>172</v>
      </c>
      <c r="E5" s="358"/>
      <c r="F5" s="358"/>
      <c r="G5" s="149">
        <v>-188</v>
      </c>
      <c r="H5" s="149"/>
      <c r="I5" s="149">
        <v>-183</v>
      </c>
      <c r="J5" s="149"/>
      <c r="K5" s="218">
        <v>-194</v>
      </c>
      <c r="L5" s="151"/>
      <c r="M5" s="151"/>
      <c r="N5" s="152"/>
      <c r="O5" s="151"/>
      <c r="P5" s="153"/>
      <c r="Q5" s="153"/>
      <c r="R5" s="153"/>
    </row>
    <row r="6" spans="1:18" ht="20.25" customHeight="1">
      <c r="A6" s="133"/>
      <c r="D6" s="371" t="s">
        <v>173</v>
      </c>
      <c r="E6" s="358"/>
      <c r="F6" s="358"/>
      <c r="G6" s="150"/>
      <c r="H6" s="150">
        <v>-1684</v>
      </c>
      <c r="I6" s="150"/>
      <c r="J6" s="150">
        <v>-2178</v>
      </c>
      <c r="K6" s="218"/>
      <c r="L6" s="150">
        <v>-3189</v>
      </c>
      <c r="M6" s="233"/>
      <c r="N6" s="151"/>
      <c r="O6" s="151"/>
      <c r="P6" s="151"/>
      <c r="Q6" s="152"/>
      <c r="R6" s="152"/>
    </row>
    <row r="7" spans="1:18" ht="20.25" customHeight="1">
      <c r="A7" s="77"/>
      <c r="B7" s="77"/>
      <c r="C7" s="77"/>
      <c r="D7" s="377" t="s">
        <v>174</v>
      </c>
      <c r="E7" s="358"/>
      <c r="F7" s="358"/>
      <c r="G7" s="152"/>
      <c r="H7" s="152"/>
      <c r="I7" s="152"/>
      <c r="J7" s="151"/>
      <c r="K7" s="180"/>
      <c r="L7" s="151"/>
      <c r="M7" s="152"/>
      <c r="N7" s="152"/>
      <c r="O7" s="151"/>
      <c r="P7" s="151"/>
      <c r="Q7" s="152"/>
      <c r="R7" s="152"/>
    </row>
    <row r="8" spans="1:18" ht="20.25" customHeight="1">
      <c r="A8" s="77"/>
      <c r="B8" s="77"/>
      <c r="C8" s="77"/>
      <c r="D8" s="372" t="s">
        <v>117</v>
      </c>
      <c r="E8" s="358"/>
      <c r="F8" s="358"/>
      <c r="G8" s="152"/>
      <c r="H8" s="152"/>
      <c r="I8" s="152"/>
      <c r="J8" s="151"/>
      <c r="K8" s="152"/>
      <c r="L8" s="151"/>
      <c r="M8" s="152"/>
      <c r="N8" s="152"/>
      <c r="O8" s="151"/>
      <c r="P8" s="151"/>
      <c r="Q8" s="152"/>
      <c r="R8" s="152"/>
    </row>
    <row r="9" spans="1:18" ht="20.25" customHeight="1">
      <c r="A9" s="77"/>
      <c r="B9" s="77"/>
      <c r="C9" s="77"/>
      <c r="D9" s="372" t="s">
        <v>118</v>
      </c>
      <c r="E9" s="358"/>
      <c r="F9" s="358"/>
      <c r="G9" s="152">
        <f t="shared" ref="G9:R9" si="1">SUM(G5:G8)</f>
        <v>-188</v>
      </c>
      <c r="H9" s="152">
        <f t="shared" si="1"/>
        <v>-1684</v>
      </c>
      <c r="I9" s="152">
        <f t="shared" si="1"/>
        <v>-183</v>
      </c>
      <c r="J9" s="152">
        <f t="shared" si="1"/>
        <v>-2178</v>
      </c>
      <c r="K9" s="152">
        <f t="shared" si="1"/>
        <v>-194</v>
      </c>
      <c r="L9" s="152">
        <f t="shared" si="1"/>
        <v>-3189</v>
      </c>
      <c r="M9" s="152">
        <f t="shared" si="1"/>
        <v>0</v>
      </c>
      <c r="N9" s="152">
        <f t="shared" si="1"/>
        <v>0</v>
      </c>
      <c r="O9" s="152">
        <f t="shared" si="1"/>
        <v>0</v>
      </c>
      <c r="P9" s="152">
        <f t="shared" si="1"/>
        <v>0</v>
      </c>
      <c r="Q9" s="152">
        <f t="shared" si="1"/>
        <v>0</v>
      </c>
      <c r="R9" s="152">
        <f t="shared" si="1"/>
        <v>0</v>
      </c>
    </row>
    <row r="10" spans="1:18" ht="20.25" customHeight="1"/>
    <row r="11" spans="1:18" ht="20.25" customHeight="1">
      <c r="E11" s="157"/>
      <c r="F11" s="193"/>
      <c r="G11" s="159" t="s">
        <v>2</v>
      </c>
      <c r="H11" s="159" t="s">
        <v>3</v>
      </c>
      <c r="I11" s="159" t="s">
        <v>4</v>
      </c>
      <c r="J11" s="159" t="s">
        <v>5</v>
      </c>
      <c r="K11" s="159" t="s">
        <v>6</v>
      </c>
      <c r="L11" s="159" t="s">
        <v>7</v>
      </c>
      <c r="M11" s="159" t="s">
        <v>8</v>
      </c>
      <c r="N11" s="159" t="s">
        <v>9</v>
      </c>
      <c r="O11" s="159" t="s">
        <v>10</v>
      </c>
      <c r="P11" s="159" t="s">
        <v>11</v>
      </c>
      <c r="Q11" s="159" t="s">
        <v>12</v>
      </c>
      <c r="R11" s="159" t="s">
        <v>16</v>
      </c>
    </row>
    <row r="12" spans="1:18" ht="20.25" customHeight="1">
      <c r="E12" s="161" t="s">
        <v>79</v>
      </c>
      <c r="F12" s="195" t="s">
        <v>119</v>
      </c>
      <c r="G12" s="220"/>
      <c r="H12" s="220"/>
      <c r="I12" s="163"/>
      <c r="J12" s="163"/>
      <c r="K12" s="163">
        <v>7532</v>
      </c>
      <c r="L12" s="163">
        <v>7532</v>
      </c>
      <c r="M12" s="163">
        <v>8048</v>
      </c>
      <c r="N12" s="163">
        <v>8584</v>
      </c>
      <c r="O12" s="163">
        <v>9016</v>
      </c>
      <c r="P12" s="163">
        <v>9364</v>
      </c>
      <c r="Q12" s="163">
        <v>9580</v>
      </c>
      <c r="R12" s="163"/>
    </row>
    <row r="13" spans="1:18" ht="20.25" customHeight="1">
      <c r="E13" s="165"/>
      <c r="F13" s="197" t="s">
        <v>121</v>
      </c>
      <c r="G13" s="234"/>
      <c r="H13" s="234">
        <f t="shared" ref="H13:J13" si="2">IF((H12-G12)*5.5&gt;0,(H12-G12)*5.5,0)</f>
        <v>0</v>
      </c>
      <c r="I13" s="168">
        <f t="shared" si="2"/>
        <v>0</v>
      </c>
      <c r="J13" s="168">
        <f t="shared" si="2"/>
        <v>0</v>
      </c>
      <c r="K13" s="168"/>
      <c r="L13" s="168">
        <f t="shared" ref="L13:R13" si="3">IF((L12-K12)*5.5&gt;0,(L12-K12)*5.5,0)</f>
        <v>0</v>
      </c>
      <c r="M13" s="167">
        <f t="shared" si="3"/>
        <v>2838</v>
      </c>
      <c r="N13" s="167">
        <f t="shared" si="3"/>
        <v>2948</v>
      </c>
      <c r="O13" s="167">
        <f t="shared" si="3"/>
        <v>2376</v>
      </c>
      <c r="P13" s="167">
        <f t="shared" si="3"/>
        <v>1914</v>
      </c>
      <c r="Q13" s="167">
        <f t="shared" si="3"/>
        <v>1188</v>
      </c>
      <c r="R13" s="168">
        <f t="shared" si="3"/>
        <v>0</v>
      </c>
    </row>
    <row r="14" spans="1:18" ht="20.25" customHeight="1">
      <c r="E14" s="176"/>
      <c r="F14" s="205" t="s">
        <v>122</v>
      </c>
      <c r="G14" s="168"/>
      <c r="H14" s="168"/>
      <c r="I14" s="168"/>
      <c r="J14" s="168"/>
      <c r="K14" s="168"/>
      <c r="L14" s="168">
        <f t="shared" ref="L14:R14" si="4">L13</f>
        <v>0</v>
      </c>
      <c r="M14" s="168">
        <f t="shared" si="4"/>
        <v>2838</v>
      </c>
      <c r="N14" s="168">
        <f t="shared" si="4"/>
        <v>2948</v>
      </c>
      <c r="O14" s="168">
        <f t="shared" si="4"/>
        <v>2376</v>
      </c>
      <c r="P14" s="168">
        <f t="shared" si="4"/>
        <v>1914</v>
      </c>
      <c r="Q14" s="168">
        <f t="shared" si="4"/>
        <v>1188</v>
      </c>
      <c r="R14" s="168">
        <f t="shared" si="4"/>
        <v>0</v>
      </c>
    </row>
    <row r="15" spans="1:18" ht="20.25" customHeight="1">
      <c r="E15" s="206" t="s">
        <v>123</v>
      </c>
      <c r="F15" s="206"/>
      <c r="G15" s="180"/>
      <c r="H15" s="180"/>
      <c r="I15" s="180"/>
      <c r="J15" s="180"/>
      <c r="K15" s="180"/>
      <c r="L15" s="180">
        <f>L3+L9+'7-公司'!$L$14</f>
        <v>-189</v>
      </c>
      <c r="M15" s="180">
        <f>'6-敦南薈館'!$M$6+N10+'7-公司'!$M$14</f>
        <v>65838</v>
      </c>
      <c r="N15" s="180">
        <f>'6-敦南薈館'!$N$6+O10+'7-公司'!$N$14</f>
        <v>65948</v>
      </c>
      <c r="O15" s="180">
        <f>'6-敦南薈館'!$O$6+P10+'7-公司'!$O$14</f>
        <v>65376</v>
      </c>
      <c r="P15" s="180">
        <f>'6-敦南薈館'!$P$6+Q10+'7-公司'!$P$14</f>
        <v>64914</v>
      </c>
      <c r="Q15" s="180">
        <f>'6-敦南薈館'!$Q$6+R10+'7-公司'!$Q$14</f>
        <v>64188</v>
      </c>
      <c r="R15" s="180">
        <f>'6-敦南薈館'!$R$6+S10+'7-公司'!$R$14</f>
        <v>63000</v>
      </c>
    </row>
    <row r="16" spans="1:18" ht="20.25" customHeight="1"/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</sheetData>
  <mergeCells count="5">
    <mergeCell ref="D5:F5"/>
    <mergeCell ref="D6:F6"/>
    <mergeCell ref="D7:F7"/>
    <mergeCell ref="D8:F8"/>
    <mergeCell ref="D9:F9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R100"/>
  <sheetViews>
    <sheetView workbookViewId="0"/>
  </sheetViews>
  <sheetFormatPr defaultColWidth="12.625" defaultRowHeight="15" customHeight="1"/>
  <cols>
    <col min="1" max="2" width="7.875" customWidth="1"/>
    <col min="3" max="3" width="10.875" customWidth="1"/>
    <col min="4" max="6" width="12.75" customWidth="1"/>
    <col min="7" max="18" width="7.875" customWidth="1"/>
  </cols>
  <sheetData>
    <row r="1" spans="1:18" ht="23.25" customHeight="1">
      <c r="A1" s="128" t="s">
        <v>124</v>
      </c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</row>
    <row r="2" spans="1:18" ht="23.25" customHeight="1">
      <c r="A2" s="128" t="s">
        <v>79</v>
      </c>
      <c r="B2" s="128" t="s">
        <v>175</v>
      </c>
      <c r="C2" s="129"/>
      <c r="D2" s="135"/>
      <c r="E2" s="135"/>
      <c r="F2" s="136" t="s">
        <v>176</v>
      </c>
      <c r="G2" s="134"/>
      <c r="H2" s="134"/>
      <c r="I2" s="134"/>
      <c r="J2" s="134"/>
      <c r="K2" s="137">
        <v>42854</v>
      </c>
      <c r="L2" s="137">
        <v>42885</v>
      </c>
      <c r="M2" s="137">
        <v>42915</v>
      </c>
      <c r="N2" s="137">
        <v>42948</v>
      </c>
      <c r="O2" s="137">
        <v>42976</v>
      </c>
      <c r="P2" s="137">
        <v>43010</v>
      </c>
      <c r="Q2" s="137">
        <v>43045</v>
      </c>
      <c r="R2" s="137">
        <v>43085</v>
      </c>
    </row>
    <row r="3" spans="1:18" ht="23.25" customHeight="1">
      <c r="A3" s="128"/>
      <c r="B3" s="128"/>
      <c r="C3" s="129"/>
      <c r="D3" s="181">
        <v>24000</v>
      </c>
      <c r="E3" s="131">
        <v>48000</v>
      </c>
      <c r="F3" s="132"/>
      <c r="G3" s="138">
        <v>26000</v>
      </c>
      <c r="H3" s="138">
        <v>26000</v>
      </c>
      <c r="I3" s="138">
        <v>26000</v>
      </c>
      <c r="J3" s="138">
        <v>26000</v>
      </c>
      <c r="K3" s="140">
        <v>26000</v>
      </c>
      <c r="L3" s="140">
        <v>26000</v>
      </c>
      <c r="M3" s="140">
        <v>26000</v>
      </c>
      <c r="N3" s="140">
        <v>26000</v>
      </c>
      <c r="O3" s="140">
        <v>26000</v>
      </c>
      <c r="P3" s="140">
        <v>26000</v>
      </c>
      <c r="Q3" s="140">
        <f>10000+10000</f>
        <v>20000</v>
      </c>
      <c r="R3" s="235">
        <v>12000</v>
      </c>
    </row>
    <row r="4" spans="1:18" ht="23.25" customHeight="1">
      <c r="A4" s="128" t="s">
        <v>85</v>
      </c>
      <c r="B4" s="128" t="s">
        <v>177</v>
      </c>
      <c r="C4" s="129"/>
      <c r="D4" s="135" t="s">
        <v>87</v>
      </c>
      <c r="E4" s="135" t="s">
        <v>88</v>
      </c>
      <c r="F4" s="136" t="s">
        <v>170</v>
      </c>
      <c r="G4" s="134"/>
      <c r="H4" s="134"/>
      <c r="I4" s="134"/>
      <c r="J4" s="134"/>
      <c r="K4" s="137" t="s">
        <v>140</v>
      </c>
      <c r="L4" s="137">
        <v>42899</v>
      </c>
      <c r="M4" s="137">
        <v>42918</v>
      </c>
      <c r="N4" s="137">
        <v>42948</v>
      </c>
      <c r="O4" s="137">
        <v>42978</v>
      </c>
      <c r="P4" s="137">
        <v>43010</v>
      </c>
      <c r="Q4" s="137">
        <v>43042</v>
      </c>
      <c r="R4" s="137">
        <v>43071</v>
      </c>
    </row>
    <row r="5" spans="1:18" ht="23.25" customHeight="1">
      <c r="A5" s="128"/>
      <c r="B5" s="236" t="s">
        <v>178</v>
      </c>
      <c r="C5" s="129"/>
      <c r="D5" s="181">
        <v>30000</v>
      </c>
      <c r="E5" s="131">
        <v>60000</v>
      </c>
      <c r="F5" s="141" t="s">
        <v>179</v>
      </c>
      <c r="G5" s="142">
        <v>30000</v>
      </c>
      <c r="H5" s="142">
        <v>30000</v>
      </c>
      <c r="I5" s="142">
        <v>30000</v>
      </c>
      <c r="J5" s="142">
        <v>30000</v>
      </c>
      <c r="K5" s="138">
        <v>30000</v>
      </c>
      <c r="L5" s="138">
        <v>15000</v>
      </c>
      <c r="M5" s="138">
        <v>30000</v>
      </c>
      <c r="N5" s="138">
        <v>30000</v>
      </c>
      <c r="O5" s="138">
        <v>30000</v>
      </c>
      <c r="P5" s="138">
        <v>30000</v>
      </c>
      <c r="Q5" s="138">
        <v>30000</v>
      </c>
      <c r="R5" s="138">
        <v>30000</v>
      </c>
    </row>
    <row r="6" spans="1:18" ht="23.25" customHeight="1">
      <c r="A6" s="128"/>
      <c r="B6" s="128"/>
      <c r="C6" s="77"/>
      <c r="D6" s="130">
        <f>SUBTOTAL(109,'8-159-1'!$D$1:$D$5)</f>
        <v>54000</v>
      </c>
      <c r="E6" s="145">
        <f>SUBTOTAL(109,'8-159-1'!$E$1:$E$5)</f>
        <v>108000</v>
      </c>
      <c r="F6" s="144" t="s">
        <v>113</v>
      </c>
      <c r="G6" s="146">
        <f t="shared" ref="G6:R6" si="0">G3+G5</f>
        <v>56000</v>
      </c>
      <c r="H6" s="146">
        <f t="shared" si="0"/>
        <v>56000</v>
      </c>
      <c r="I6" s="146">
        <f t="shared" si="0"/>
        <v>56000</v>
      </c>
      <c r="J6" s="146">
        <f t="shared" si="0"/>
        <v>56000</v>
      </c>
      <c r="K6" s="146">
        <f t="shared" si="0"/>
        <v>56000</v>
      </c>
      <c r="L6" s="146">
        <f t="shared" si="0"/>
        <v>41000</v>
      </c>
      <c r="M6" s="146">
        <f t="shared" si="0"/>
        <v>56000</v>
      </c>
      <c r="N6" s="146">
        <f t="shared" si="0"/>
        <v>56000</v>
      </c>
      <c r="O6" s="146">
        <f t="shared" si="0"/>
        <v>56000</v>
      </c>
      <c r="P6" s="146">
        <f t="shared" si="0"/>
        <v>56000</v>
      </c>
      <c r="Q6" s="146">
        <f t="shared" si="0"/>
        <v>50000</v>
      </c>
      <c r="R6" s="146">
        <f t="shared" si="0"/>
        <v>42000</v>
      </c>
    </row>
    <row r="7" spans="1:18" ht="23.25" customHeight="1">
      <c r="A7" s="77"/>
      <c r="B7" s="77"/>
      <c r="C7" s="77"/>
      <c r="D7" s="371" t="s">
        <v>180</v>
      </c>
      <c r="E7" s="358"/>
      <c r="F7" s="358"/>
      <c r="G7" s="237"/>
      <c r="H7" s="237">
        <v>-533</v>
      </c>
      <c r="I7" s="237"/>
      <c r="J7" s="237">
        <v>-617</v>
      </c>
      <c r="K7" s="238"/>
      <c r="L7" s="238">
        <v>-617</v>
      </c>
      <c r="M7" s="236"/>
      <c r="N7" s="239"/>
      <c r="O7" s="236"/>
      <c r="P7" s="240"/>
      <c r="Q7" s="240"/>
      <c r="R7" s="240"/>
    </row>
    <row r="8" spans="1:18" ht="23.25" customHeight="1">
      <c r="A8" s="133"/>
      <c r="B8" s="133"/>
      <c r="C8" s="133"/>
      <c r="D8" s="371" t="s">
        <v>181</v>
      </c>
      <c r="E8" s="358"/>
      <c r="F8" s="358"/>
      <c r="G8" s="238">
        <v>-794</v>
      </c>
      <c r="H8" s="238"/>
      <c r="I8" s="238">
        <v>-1815</v>
      </c>
      <c r="J8" s="238"/>
      <c r="K8" s="237">
        <v>-1344</v>
      </c>
      <c r="N8" s="236"/>
      <c r="O8" s="236"/>
      <c r="P8" s="236"/>
      <c r="Q8" s="239"/>
      <c r="R8" s="239"/>
    </row>
    <row r="9" spans="1:18" ht="23.25" customHeight="1">
      <c r="A9" s="77"/>
      <c r="B9" s="77"/>
      <c r="C9" s="77"/>
      <c r="D9" s="377" t="s">
        <v>182</v>
      </c>
      <c r="E9" s="358"/>
      <c r="F9" s="358"/>
      <c r="G9" s="241">
        <v>-3038</v>
      </c>
      <c r="H9" s="241"/>
      <c r="I9" s="241"/>
      <c r="J9" s="238">
        <v>-3597</v>
      </c>
      <c r="K9" s="237"/>
      <c r="L9" s="238"/>
      <c r="M9" s="237">
        <v>-3597</v>
      </c>
      <c r="N9" s="237"/>
      <c r="O9" s="238"/>
      <c r="P9" s="236"/>
      <c r="Q9" s="239"/>
      <c r="R9" s="239"/>
    </row>
    <row r="10" spans="1:18" ht="23.25" customHeight="1">
      <c r="A10" s="77"/>
      <c r="B10" s="77"/>
      <c r="C10" s="77"/>
      <c r="D10" s="377" t="s">
        <v>158</v>
      </c>
      <c r="E10" s="358"/>
      <c r="F10" s="358"/>
      <c r="G10" s="237">
        <v>-1985</v>
      </c>
      <c r="H10" s="237">
        <v>-1985</v>
      </c>
      <c r="I10" s="237">
        <v>-1985</v>
      </c>
      <c r="J10" s="238">
        <v>-1985</v>
      </c>
      <c r="K10" s="238">
        <v>-1985</v>
      </c>
      <c r="L10" s="238">
        <v>-1985</v>
      </c>
      <c r="M10" s="238">
        <v>-1985</v>
      </c>
      <c r="N10" s="239"/>
      <c r="O10" s="236"/>
      <c r="P10" s="236"/>
      <c r="Q10" s="239"/>
      <c r="R10" s="239"/>
    </row>
    <row r="11" spans="1:18" ht="23.25" customHeight="1">
      <c r="A11" s="77"/>
      <c r="B11" s="77"/>
      <c r="C11" s="77"/>
      <c r="D11" s="372" t="s">
        <v>117</v>
      </c>
      <c r="E11" s="358"/>
      <c r="F11" s="358"/>
      <c r="G11" s="239"/>
      <c r="H11" s="239"/>
      <c r="I11" s="239"/>
      <c r="J11" s="236"/>
      <c r="K11" s="239"/>
      <c r="L11" s="236"/>
      <c r="M11" s="239"/>
      <c r="N11" s="239"/>
      <c r="O11" s="236"/>
      <c r="P11" s="236"/>
      <c r="Q11" s="239"/>
      <c r="R11" s="239"/>
    </row>
    <row r="12" spans="1:18" ht="23.25" customHeight="1">
      <c r="A12" s="77"/>
      <c r="B12" s="77"/>
      <c r="C12" s="77"/>
      <c r="D12" s="372" t="s">
        <v>118</v>
      </c>
      <c r="E12" s="358"/>
      <c r="F12" s="358"/>
      <c r="G12" s="239">
        <f t="shared" ref="G12:J12" si="1">SUM(G8:G11)</f>
        <v>-5817</v>
      </c>
      <c r="H12" s="239">
        <f t="shared" si="1"/>
        <v>-1985</v>
      </c>
      <c r="I12" s="239">
        <f t="shared" si="1"/>
        <v>-3800</v>
      </c>
      <c r="J12" s="239">
        <f t="shared" si="1"/>
        <v>-5582</v>
      </c>
      <c r="K12" s="239">
        <f t="shared" ref="K12:R12" si="2">SUM(K7:K11)</f>
        <v>-3329</v>
      </c>
      <c r="L12" s="239">
        <f t="shared" si="2"/>
        <v>-2602</v>
      </c>
      <c r="M12" s="239">
        <f t="shared" si="2"/>
        <v>-5582</v>
      </c>
      <c r="N12" s="239">
        <f t="shared" si="2"/>
        <v>0</v>
      </c>
      <c r="O12" s="239">
        <f t="shared" si="2"/>
        <v>0</v>
      </c>
      <c r="P12" s="239">
        <f t="shared" si="2"/>
        <v>0</v>
      </c>
      <c r="Q12" s="239">
        <f t="shared" si="2"/>
        <v>0</v>
      </c>
      <c r="R12" s="239">
        <f t="shared" si="2"/>
        <v>0</v>
      </c>
    </row>
    <row r="13" spans="1:18" ht="23.25" customHeight="1">
      <c r="A13" s="77"/>
      <c r="B13" s="77"/>
      <c r="C13" s="160"/>
      <c r="D13" s="77"/>
      <c r="E13" s="157"/>
      <c r="F13" s="193"/>
      <c r="G13" s="159" t="s">
        <v>2</v>
      </c>
      <c r="H13" s="159" t="s">
        <v>3</v>
      </c>
      <c r="I13" s="159" t="s">
        <v>4</v>
      </c>
      <c r="J13" s="159" t="s">
        <v>5</v>
      </c>
      <c r="K13" s="159" t="s">
        <v>6</v>
      </c>
      <c r="L13" s="159" t="s">
        <v>7</v>
      </c>
      <c r="M13" s="159" t="s">
        <v>8</v>
      </c>
      <c r="N13" s="159" t="s">
        <v>9</v>
      </c>
      <c r="O13" s="159" t="s">
        <v>10</v>
      </c>
      <c r="P13" s="159" t="s">
        <v>11</v>
      </c>
      <c r="Q13" s="159" t="s">
        <v>12</v>
      </c>
      <c r="R13" s="159" t="s">
        <v>16</v>
      </c>
    </row>
    <row r="14" spans="1:18" ht="23.25" customHeight="1">
      <c r="A14" s="77"/>
      <c r="B14" s="77"/>
      <c r="C14" s="160"/>
      <c r="D14" s="78"/>
      <c r="E14" s="161" t="s">
        <v>79</v>
      </c>
      <c r="F14" s="195" t="s">
        <v>119</v>
      </c>
      <c r="G14" s="220">
        <v>5000</v>
      </c>
      <c r="H14" s="220">
        <v>5044</v>
      </c>
      <c r="I14" s="163">
        <v>5102</v>
      </c>
      <c r="J14" s="163">
        <v>5162</v>
      </c>
      <c r="K14" s="163">
        <v>5240</v>
      </c>
      <c r="L14" s="163">
        <v>5348</v>
      </c>
      <c r="M14" s="163">
        <v>5496</v>
      </c>
      <c r="N14" s="163">
        <v>5696</v>
      </c>
      <c r="O14" s="163">
        <v>5846</v>
      </c>
      <c r="P14" s="163">
        <v>5944</v>
      </c>
      <c r="Q14" s="163"/>
      <c r="R14" s="163"/>
    </row>
    <row r="15" spans="1:18" ht="23.25" customHeight="1">
      <c r="A15" s="77"/>
      <c r="B15" s="77"/>
      <c r="C15" s="160"/>
      <c r="D15" s="78"/>
      <c r="E15" s="165"/>
      <c r="F15" s="197" t="s">
        <v>121</v>
      </c>
      <c r="G15" s="221"/>
      <c r="H15" s="221">
        <f t="shared" ref="H15:R15" si="3">IF((H14-G14)*5.5&gt;0,(H14-G14)*5.5,0)</f>
        <v>242</v>
      </c>
      <c r="I15" s="242">
        <f t="shared" si="3"/>
        <v>319</v>
      </c>
      <c r="J15" s="242">
        <f t="shared" si="3"/>
        <v>330</v>
      </c>
      <c r="K15" s="242">
        <f t="shared" si="3"/>
        <v>429</v>
      </c>
      <c r="L15" s="242">
        <f t="shared" si="3"/>
        <v>594</v>
      </c>
      <c r="M15" s="242">
        <f t="shared" si="3"/>
        <v>814</v>
      </c>
      <c r="N15" s="242">
        <f t="shared" si="3"/>
        <v>1100</v>
      </c>
      <c r="O15" s="242">
        <f t="shared" si="3"/>
        <v>825</v>
      </c>
      <c r="P15" s="242">
        <f t="shared" si="3"/>
        <v>539</v>
      </c>
      <c r="Q15" s="243">
        <f t="shared" si="3"/>
        <v>0</v>
      </c>
      <c r="R15" s="243">
        <f t="shared" si="3"/>
        <v>0</v>
      </c>
    </row>
    <row r="16" spans="1:18" ht="23.25" customHeight="1">
      <c r="A16" s="77"/>
      <c r="B16" s="77"/>
      <c r="C16" s="160"/>
      <c r="D16" s="78"/>
      <c r="E16" s="161" t="s">
        <v>85</v>
      </c>
      <c r="F16" s="195" t="s">
        <v>119</v>
      </c>
      <c r="G16" s="220">
        <v>5508</v>
      </c>
      <c r="H16" s="220"/>
      <c r="I16" s="163"/>
      <c r="J16" s="163"/>
      <c r="K16" s="163">
        <v>7799</v>
      </c>
      <c r="L16" s="163">
        <v>7891</v>
      </c>
      <c r="M16" s="163">
        <v>8245</v>
      </c>
      <c r="N16" s="163">
        <v>8707</v>
      </c>
      <c r="O16" s="163">
        <v>9031</v>
      </c>
      <c r="P16" s="163">
        <v>9211</v>
      </c>
      <c r="Q16" s="163">
        <v>9349</v>
      </c>
      <c r="R16" s="163"/>
    </row>
    <row r="17" spans="1:18" ht="23.25" customHeight="1">
      <c r="A17" s="77"/>
      <c r="B17" s="77"/>
      <c r="C17" s="160"/>
      <c r="D17" s="78"/>
      <c r="E17" s="165"/>
      <c r="F17" s="197" t="s">
        <v>121</v>
      </c>
      <c r="G17" s="234"/>
      <c r="H17" s="234">
        <f t="shared" ref="H17:J17" si="4">IF((H16-G16)*5.5&gt;0,(H16-G16)*5.5,0)</f>
        <v>0</v>
      </c>
      <c r="I17" s="168">
        <f t="shared" si="4"/>
        <v>0</v>
      </c>
      <c r="J17" s="168">
        <f t="shared" si="4"/>
        <v>0</v>
      </c>
      <c r="K17" s="168"/>
      <c r="L17" s="167">
        <f t="shared" ref="L17:R17" si="5">IF((L16-K16)*5.5&gt;0,(L16-K16)*5.5,0)</f>
        <v>506</v>
      </c>
      <c r="M17" s="167">
        <f t="shared" si="5"/>
        <v>1947</v>
      </c>
      <c r="N17" s="167">
        <f t="shared" si="5"/>
        <v>2541</v>
      </c>
      <c r="O17" s="167">
        <f t="shared" si="5"/>
        <v>1782</v>
      </c>
      <c r="P17" s="167">
        <f t="shared" si="5"/>
        <v>990</v>
      </c>
      <c r="Q17" s="167">
        <f t="shared" si="5"/>
        <v>759</v>
      </c>
      <c r="R17" s="168">
        <f t="shared" si="5"/>
        <v>0</v>
      </c>
    </row>
    <row r="18" spans="1:18" ht="23.25" customHeight="1">
      <c r="A18" s="77"/>
      <c r="B18" s="77"/>
      <c r="C18" s="160"/>
      <c r="D18" s="78"/>
      <c r="E18" s="176"/>
      <c r="F18" s="205" t="s">
        <v>122</v>
      </c>
      <c r="G18" s="168">
        <f t="shared" ref="G18:R18" si="6">G15+G17</f>
        <v>0</v>
      </c>
      <c r="H18" s="168">
        <f t="shared" si="6"/>
        <v>242</v>
      </c>
      <c r="I18" s="168">
        <f t="shared" si="6"/>
        <v>319</v>
      </c>
      <c r="J18" s="168">
        <f t="shared" si="6"/>
        <v>330</v>
      </c>
      <c r="K18" s="168">
        <f t="shared" si="6"/>
        <v>429</v>
      </c>
      <c r="L18" s="168">
        <f t="shared" si="6"/>
        <v>1100</v>
      </c>
      <c r="M18" s="168">
        <f t="shared" si="6"/>
        <v>2761</v>
      </c>
      <c r="N18" s="168">
        <f t="shared" si="6"/>
        <v>3641</v>
      </c>
      <c r="O18" s="168">
        <f t="shared" si="6"/>
        <v>2607</v>
      </c>
      <c r="P18" s="168">
        <f t="shared" si="6"/>
        <v>1529</v>
      </c>
      <c r="Q18" s="168">
        <f t="shared" si="6"/>
        <v>759</v>
      </c>
      <c r="R18" s="168">
        <f t="shared" si="6"/>
        <v>0</v>
      </c>
    </row>
    <row r="19" spans="1:18" ht="23.25" customHeight="1">
      <c r="A19" s="77"/>
      <c r="B19" s="77"/>
      <c r="C19" s="160"/>
      <c r="D19" s="78"/>
      <c r="E19" s="180">
        <f>SUM(G19:R19)</f>
        <v>622020</v>
      </c>
      <c r="F19" s="206" t="s">
        <v>123</v>
      </c>
      <c r="G19" s="180">
        <f>'8-159-1'!$G$6+G12+'8-159-1'!$G$18</f>
        <v>50183</v>
      </c>
      <c r="H19" s="180">
        <f>'8-159-1'!$H$6+H12+'8-159-1'!$H$18</f>
        <v>54257</v>
      </c>
      <c r="I19" s="180">
        <f>'8-159-1'!$I$6+I12+'8-159-1'!$I$18</f>
        <v>52519</v>
      </c>
      <c r="J19" s="180">
        <f>'8-159-1'!$J$6+J12+'8-159-1'!$J$18</f>
        <v>50748</v>
      </c>
      <c r="K19" s="180">
        <f>'8-159-1'!$K$6+K12+'8-159-1'!$K$18</f>
        <v>53100</v>
      </c>
      <c r="L19" s="180">
        <f>'8-159-1'!$L$6+L12+'8-159-1'!$L$18</f>
        <v>39498</v>
      </c>
      <c r="M19" s="180">
        <f>'8-159-1'!$M$6+M12+'8-159-1'!$M$18</f>
        <v>53179</v>
      </c>
      <c r="N19" s="180">
        <f>'8-159-1'!$N$6+N12+'8-159-1'!$N$18</f>
        <v>59641</v>
      </c>
      <c r="O19" s="180">
        <f>'8-159-1'!$O$6+O12+'8-159-1'!$O$18</f>
        <v>58607</v>
      </c>
      <c r="P19" s="180">
        <f>'8-159-1'!$P$6+P12+'8-159-1'!$P$18</f>
        <v>57529</v>
      </c>
      <c r="Q19" s="180">
        <f>'8-159-1'!$Q$6+Q12+'8-159-1'!$Q$18</f>
        <v>50759</v>
      </c>
      <c r="R19" s="180">
        <f>'8-159-1'!$R$6+R12+'8-159-1'!$R$18</f>
        <v>42000</v>
      </c>
    </row>
    <row r="20" spans="1:18" ht="23.25" customHeight="1"/>
    <row r="21" spans="1:18" ht="23.25" customHeight="1"/>
    <row r="22" spans="1:18" ht="23.25" customHeight="1"/>
    <row r="23" spans="1:18" ht="23.25" customHeight="1"/>
    <row r="24" spans="1:18" ht="23.25" customHeight="1"/>
    <row r="25" spans="1:18" ht="23.25" customHeight="1"/>
    <row r="26" spans="1:18" ht="23.25" customHeight="1"/>
    <row r="27" spans="1:18" ht="23.25" customHeight="1"/>
    <row r="28" spans="1:18" ht="23.25" customHeight="1"/>
    <row r="29" spans="1:18" ht="23.25" customHeight="1"/>
    <row r="30" spans="1:18" ht="23.25" customHeight="1"/>
    <row r="31" spans="1:18" ht="23.25" customHeight="1"/>
    <row r="32" spans="1:18" ht="23.25" customHeight="1"/>
    <row r="33" ht="23.25" customHeight="1"/>
    <row r="34" ht="23.25" customHeight="1"/>
    <row r="35" ht="23.25" customHeight="1"/>
    <row r="36" ht="23.25" customHeight="1"/>
    <row r="37" ht="23.25" customHeight="1"/>
    <row r="38" ht="23.25" customHeight="1"/>
    <row r="39" ht="23.25" customHeight="1"/>
    <row r="40" ht="23.25" customHeight="1"/>
    <row r="41" ht="23.25" customHeight="1"/>
    <row r="42" ht="23.25" customHeight="1"/>
    <row r="43" ht="23.25" customHeight="1"/>
    <row r="44" ht="23.25" customHeight="1"/>
    <row r="45" ht="23.25" customHeight="1"/>
    <row r="46" ht="23.25" customHeight="1"/>
    <row r="47" ht="23.25" customHeight="1"/>
    <row r="48" ht="23.25" customHeight="1"/>
    <row r="49" ht="23.25" customHeight="1"/>
    <row r="50" ht="23.25" customHeight="1"/>
    <row r="51" ht="23.25" customHeight="1"/>
    <row r="52" ht="23.25" customHeight="1"/>
    <row r="53" ht="23.25" customHeight="1"/>
    <row r="54" ht="23.25" customHeight="1"/>
    <row r="55" ht="23.25" customHeight="1"/>
    <row r="56" ht="23.25" customHeight="1"/>
    <row r="57" ht="23.25" customHeight="1"/>
    <row r="58" ht="23.25" customHeight="1"/>
    <row r="59" ht="23.25" customHeight="1"/>
    <row r="60" ht="23.25" customHeight="1"/>
    <row r="61" ht="23.25" customHeight="1"/>
    <row r="62" ht="23.25" customHeight="1"/>
    <row r="63" ht="23.25" customHeight="1"/>
    <row r="64" ht="23.25" customHeight="1"/>
    <row r="65" ht="23.25" customHeight="1"/>
    <row r="66" ht="23.25" customHeight="1"/>
    <row r="67" ht="23.25" customHeight="1"/>
    <row r="68" ht="23.25" customHeight="1"/>
    <row r="69" ht="23.25" customHeight="1"/>
    <row r="70" ht="23.25" customHeight="1"/>
    <row r="71" ht="23.25" customHeight="1"/>
    <row r="72" ht="23.25" customHeight="1"/>
    <row r="73" ht="23.25" customHeight="1"/>
    <row r="74" ht="23.25" customHeight="1"/>
    <row r="75" ht="23.25" customHeight="1"/>
    <row r="76" ht="23.25" customHeight="1"/>
    <row r="77" ht="23.25" customHeight="1"/>
    <row r="78" ht="23.25" customHeight="1"/>
    <row r="79" ht="23.25" customHeight="1"/>
    <row r="80" ht="23.25" customHeight="1"/>
    <row r="81" ht="23.25" customHeight="1"/>
    <row r="82" ht="23.25" customHeight="1"/>
    <row r="83" ht="23.25" customHeight="1"/>
    <row r="84" ht="23.25" customHeight="1"/>
    <row r="85" ht="23.25" customHeight="1"/>
    <row r="86" ht="23.25" customHeight="1"/>
    <row r="87" ht="23.25" customHeight="1"/>
    <row r="88" ht="23.25" customHeight="1"/>
    <row r="89" ht="23.25" customHeight="1"/>
    <row r="90" ht="23.25" customHeight="1"/>
    <row r="91" ht="23.25" customHeight="1"/>
    <row r="92" ht="23.25" customHeight="1"/>
    <row r="93" ht="23.25" customHeight="1"/>
    <row r="94" ht="23.25" customHeight="1"/>
    <row r="95" ht="23.25" customHeight="1"/>
    <row r="96" ht="23.25" customHeight="1"/>
    <row r="97" ht="23.25" customHeight="1"/>
    <row r="98" ht="23.25" customHeight="1"/>
    <row r="99" ht="23.25" customHeight="1"/>
    <row r="100" ht="23.25" customHeight="1"/>
  </sheetData>
  <mergeCells count="6">
    <mergeCell ref="D12:F12"/>
    <mergeCell ref="D7:F7"/>
    <mergeCell ref="D8:F8"/>
    <mergeCell ref="D9:F9"/>
    <mergeCell ref="D10:F10"/>
    <mergeCell ref="D11:F11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R100"/>
  <sheetViews>
    <sheetView workbookViewId="0">
      <selection activeCell="T24" sqref="T24"/>
    </sheetView>
  </sheetViews>
  <sheetFormatPr defaultColWidth="12.625" defaultRowHeight="15" customHeight="1"/>
  <cols>
    <col min="1" max="1" width="4.875" customWidth="1"/>
    <col min="2" max="3" width="11.625" customWidth="1"/>
    <col min="4" max="5" width="10.125" customWidth="1"/>
    <col min="6" max="6" width="20.125" customWidth="1"/>
    <col min="7" max="10" width="7.875" customWidth="1"/>
    <col min="11" max="11" width="7.75" customWidth="1"/>
    <col min="12" max="14" width="7.875" customWidth="1"/>
    <col min="15" max="15" width="8.375" customWidth="1"/>
    <col min="16" max="17" width="7.875" customWidth="1"/>
    <col min="18" max="18" width="7.75" customWidth="1"/>
  </cols>
  <sheetData>
    <row r="1" spans="1:18" ht="24.75" customHeight="1">
      <c r="A1" s="128"/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</row>
    <row r="2" spans="1:18" ht="24.75" customHeight="1">
      <c r="A2" s="134" t="s">
        <v>79</v>
      </c>
      <c r="B2" s="128" t="s">
        <v>183</v>
      </c>
      <c r="C2" s="129" t="s">
        <v>184</v>
      </c>
      <c r="D2" s="181"/>
      <c r="E2" s="137"/>
      <c r="F2" s="235" t="s">
        <v>185</v>
      </c>
      <c r="G2" s="134"/>
      <c r="H2" s="134"/>
      <c r="I2" s="134"/>
      <c r="J2" s="134"/>
      <c r="K2" s="137">
        <v>42874</v>
      </c>
      <c r="L2" s="137" t="s">
        <v>186</v>
      </c>
      <c r="M2" s="137"/>
      <c r="N2" s="137">
        <v>42956</v>
      </c>
      <c r="O2" s="137">
        <v>42990</v>
      </c>
      <c r="P2" s="137">
        <v>43008</v>
      </c>
      <c r="Q2" s="137">
        <v>43039</v>
      </c>
      <c r="R2" s="137"/>
    </row>
    <row r="3" spans="1:18" ht="24.75" customHeight="1">
      <c r="A3" s="128"/>
      <c r="B3" s="128"/>
      <c r="C3" s="129"/>
      <c r="D3" s="181"/>
      <c r="E3" s="131"/>
      <c r="F3" s="136"/>
      <c r="G3" s="142">
        <v>85000</v>
      </c>
      <c r="H3" s="142">
        <v>85000</v>
      </c>
      <c r="I3" s="142">
        <v>85000</v>
      </c>
      <c r="J3" s="142">
        <v>85000</v>
      </c>
      <c r="K3" s="142">
        <v>85000</v>
      </c>
      <c r="L3" s="139">
        <v>28333</v>
      </c>
      <c r="M3" s="139"/>
      <c r="N3" s="138">
        <v>5000</v>
      </c>
      <c r="O3" s="138">
        <f>2800+2800</f>
        <v>5600</v>
      </c>
      <c r="P3" s="138">
        <v>12000</v>
      </c>
      <c r="Q3" s="138">
        <v>12000</v>
      </c>
      <c r="R3" s="139">
        <f>774+12000</f>
        <v>12774</v>
      </c>
    </row>
    <row r="4" spans="1:18" ht="24.75" customHeight="1">
      <c r="A4" s="134" t="s">
        <v>85</v>
      </c>
      <c r="B4" s="128" t="s">
        <v>187</v>
      </c>
      <c r="C4" s="129"/>
      <c r="D4" s="181"/>
      <c r="E4" s="137">
        <v>42983</v>
      </c>
      <c r="F4" s="133" t="s">
        <v>188</v>
      </c>
      <c r="G4" s="144"/>
      <c r="H4" s="144"/>
      <c r="I4" s="144"/>
      <c r="J4" s="144"/>
      <c r="K4" s="144"/>
      <c r="L4" s="139"/>
      <c r="M4" s="139"/>
      <c r="N4" s="137">
        <v>42961</v>
      </c>
      <c r="O4" s="137">
        <v>42983</v>
      </c>
      <c r="P4" s="137">
        <v>43010</v>
      </c>
      <c r="Q4" s="137">
        <v>43045</v>
      </c>
      <c r="R4" s="137">
        <v>43076</v>
      </c>
    </row>
    <row r="5" spans="1:18" ht="24.75" customHeight="1">
      <c r="A5" s="128"/>
      <c r="B5" s="128"/>
      <c r="C5" s="129"/>
      <c r="D5" s="181">
        <v>12000</v>
      </c>
      <c r="E5" s="131">
        <v>24000</v>
      </c>
      <c r="F5" s="133"/>
      <c r="G5" s="144"/>
      <c r="H5" s="144"/>
      <c r="I5" s="144"/>
      <c r="J5" s="144"/>
      <c r="K5" s="144"/>
      <c r="L5" s="139"/>
      <c r="M5" s="139"/>
      <c r="N5" s="138">
        <v>6193</v>
      </c>
      <c r="O5" s="138">
        <f>12000+12000</f>
        <v>24000</v>
      </c>
      <c r="P5" s="138">
        <v>12000</v>
      </c>
      <c r="Q5" s="138">
        <v>12000</v>
      </c>
      <c r="R5" s="138">
        <v>12000</v>
      </c>
    </row>
    <row r="6" spans="1:18" ht="24.75" customHeight="1">
      <c r="A6" s="134" t="s">
        <v>90</v>
      </c>
      <c r="B6" s="128" t="s">
        <v>189</v>
      </c>
      <c r="C6" s="129"/>
      <c r="D6" s="181"/>
      <c r="E6" s="137">
        <v>43015</v>
      </c>
      <c r="F6" s="133" t="s">
        <v>190</v>
      </c>
      <c r="G6" s="144"/>
      <c r="H6" s="144"/>
      <c r="I6" s="144"/>
      <c r="J6" s="144"/>
      <c r="K6" s="144"/>
      <c r="L6" s="139"/>
      <c r="M6" s="139"/>
      <c r="N6" s="139"/>
      <c r="O6" s="139"/>
      <c r="P6" s="137">
        <v>43025</v>
      </c>
      <c r="Q6" s="137">
        <v>43041</v>
      </c>
      <c r="R6" s="137">
        <v>43072</v>
      </c>
    </row>
    <row r="7" spans="1:18" ht="24.75" customHeight="1">
      <c r="A7" s="128"/>
      <c r="B7" s="128"/>
      <c r="C7" s="129"/>
      <c r="D7" s="181">
        <v>11000</v>
      </c>
      <c r="E7" s="131">
        <v>22000</v>
      </c>
      <c r="F7" s="133"/>
      <c r="G7" s="144"/>
      <c r="H7" s="144"/>
      <c r="I7" s="144"/>
      <c r="J7" s="144"/>
      <c r="K7" s="144"/>
      <c r="L7" s="139"/>
      <c r="M7" s="139"/>
      <c r="N7" s="139"/>
      <c r="O7" s="139"/>
      <c r="P7" s="138">
        <v>5870</v>
      </c>
      <c r="Q7" s="138">
        <v>11000</v>
      </c>
      <c r="R7" s="138">
        <v>11000</v>
      </c>
    </row>
    <row r="8" spans="1:18" ht="24.75" customHeight="1">
      <c r="A8" s="134" t="s">
        <v>97</v>
      </c>
      <c r="B8" s="128" t="s">
        <v>191</v>
      </c>
      <c r="C8" s="129"/>
      <c r="D8" s="181"/>
      <c r="E8" s="137"/>
      <c r="F8" s="133" t="s">
        <v>192</v>
      </c>
      <c r="G8" s="144"/>
      <c r="H8" s="144"/>
      <c r="I8" s="144"/>
      <c r="J8" s="144"/>
      <c r="K8" s="144"/>
      <c r="L8" s="139"/>
      <c r="M8" s="137">
        <v>42926</v>
      </c>
      <c r="N8" s="137">
        <v>42963</v>
      </c>
      <c r="O8" s="137">
        <v>42977</v>
      </c>
      <c r="P8" s="137">
        <v>43011</v>
      </c>
      <c r="Q8" s="139"/>
      <c r="R8" s="139"/>
    </row>
    <row r="9" spans="1:18" ht="24.75" customHeight="1">
      <c r="A9" s="128"/>
      <c r="B9" s="128"/>
      <c r="C9" s="129"/>
      <c r="D9" s="181"/>
      <c r="E9" s="131"/>
      <c r="F9" s="133"/>
      <c r="G9" s="144"/>
      <c r="H9" s="144"/>
      <c r="I9" s="144"/>
      <c r="J9" s="144"/>
      <c r="K9" s="144"/>
      <c r="L9" s="139"/>
      <c r="M9" s="138">
        <v>18000</v>
      </c>
      <c r="N9" s="138">
        <v>7742</v>
      </c>
      <c r="O9" s="138">
        <v>16000</v>
      </c>
      <c r="P9" s="138">
        <v>16000</v>
      </c>
      <c r="Q9" s="139"/>
      <c r="R9" s="139"/>
    </row>
    <row r="10" spans="1:18" ht="24.75" customHeight="1">
      <c r="A10" s="128" t="s">
        <v>104</v>
      </c>
      <c r="B10" s="128"/>
      <c r="C10" s="129"/>
      <c r="D10" s="181"/>
      <c r="E10" s="131"/>
      <c r="F10" s="77"/>
      <c r="G10" s="134"/>
      <c r="H10" s="134"/>
      <c r="I10" s="134"/>
      <c r="J10" s="134"/>
      <c r="K10" s="137"/>
      <c r="L10" s="137"/>
      <c r="M10" s="137"/>
      <c r="N10" s="137"/>
      <c r="O10" s="137">
        <v>42981</v>
      </c>
      <c r="P10" s="137"/>
      <c r="Q10" s="137"/>
      <c r="R10" s="137"/>
    </row>
    <row r="11" spans="1:18" ht="24.75" customHeight="1">
      <c r="A11" s="128"/>
      <c r="D11" s="181"/>
      <c r="E11" s="131"/>
      <c r="O11" s="138">
        <v>18000</v>
      </c>
    </row>
    <row r="12" spans="1:18" ht="24.75" customHeight="1">
      <c r="A12" s="128"/>
      <c r="B12" s="128"/>
      <c r="C12" s="77"/>
      <c r="D12" s="130">
        <f>SUBTOTAL(109,'9-崇德'!$D$1:$D$11)</f>
        <v>23000</v>
      </c>
      <c r="E12" s="145">
        <f>SUBTOTAL(109,'9-崇德'!$E$1:$E$11)</f>
        <v>131998</v>
      </c>
      <c r="F12" s="144" t="s">
        <v>113</v>
      </c>
      <c r="G12" s="146">
        <f t="shared" ref="G12:K12" si="0">G3</f>
        <v>85000</v>
      </c>
      <c r="H12" s="146">
        <f t="shared" si="0"/>
        <v>85000</v>
      </c>
      <c r="I12" s="146">
        <f t="shared" si="0"/>
        <v>85000</v>
      </c>
      <c r="J12" s="146">
        <f t="shared" si="0"/>
        <v>85000</v>
      </c>
      <c r="K12" s="146">
        <f t="shared" si="0"/>
        <v>85000</v>
      </c>
      <c r="L12" s="146">
        <f t="shared" ref="L12:R12" si="1">L3+L5+L7+L9+L11</f>
        <v>28333</v>
      </c>
      <c r="M12" s="146">
        <f t="shared" si="1"/>
        <v>18000</v>
      </c>
      <c r="N12" s="146">
        <f t="shared" si="1"/>
        <v>18935</v>
      </c>
      <c r="O12" s="146">
        <f t="shared" si="1"/>
        <v>63600</v>
      </c>
      <c r="P12" s="146">
        <f t="shared" si="1"/>
        <v>45870</v>
      </c>
      <c r="Q12" s="146">
        <f t="shared" si="1"/>
        <v>35000</v>
      </c>
      <c r="R12" s="146">
        <f t="shared" si="1"/>
        <v>35774</v>
      </c>
    </row>
    <row r="13" spans="1:18" ht="24.75" customHeight="1">
      <c r="A13" s="128"/>
      <c r="B13" s="77"/>
      <c r="C13" s="77"/>
      <c r="D13" s="378" t="s">
        <v>193</v>
      </c>
      <c r="E13" s="358"/>
      <c r="F13" s="358"/>
      <c r="G13" s="149"/>
      <c r="H13" s="149">
        <v>-1181</v>
      </c>
      <c r="I13" s="149"/>
      <c r="J13" s="218">
        <v>-779</v>
      </c>
      <c r="K13" s="219"/>
      <c r="L13" s="149">
        <v>-877</v>
      </c>
      <c r="M13" s="151"/>
      <c r="N13" s="152"/>
      <c r="O13" s="151"/>
      <c r="P13" s="153"/>
      <c r="Q13" s="153"/>
      <c r="R13" s="153"/>
    </row>
    <row r="14" spans="1:18" ht="24.75" customHeight="1">
      <c r="A14" s="128"/>
      <c r="B14" s="133"/>
      <c r="C14" s="133"/>
      <c r="D14" s="378" t="s">
        <v>194</v>
      </c>
      <c r="E14" s="358"/>
      <c r="F14" s="358"/>
      <c r="G14" s="150">
        <v>-1895</v>
      </c>
      <c r="H14" s="150"/>
      <c r="I14" s="150">
        <v>-1116</v>
      </c>
      <c r="J14" s="219"/>
      <c r="K14" s="218">
        <v>-2219</v>
      </c>
      <c r="L14" s="152"/>
      <c r="M14" s="151"/>
      <c r="N14" s="151"/>
      <c r="O14" s="151"/>
      <c r="P14" s="151"/>
      <c r="Q14" s="152"/>
      <c r="R14" s="152"/>
    </row>
    <row r="15" spans="1:18" ht="24.75" customHeight="1">
      <c r="A15" s="77"/>
      <c r="B15" s="77"/>
      <c r="C15" s="77"/>
      <c r="D15" s="378" t="s">
        <v>195</v>
      </c>
      <c r="E15" s="358"/>
      <c r="F15" s="358"/>
      <c r="G15" s="150"/>
      <c r="H15" s="150">
        <v>-482</v>
      </c>
      <c r="I15" s="150"/>
      <c r="J15" s="149">
        <v>-658</v>
      </c>
      <c r="K15" s="180"/>
      <c r="L15" s="151"/>
      <c r="M15" s="152"/>
      <c r="N15" s="152"/>
      <c r="O15" s="151"/>
      <c r="P15" s="151"/>
      <c r="Q15" s="152"/>
      <c r="R15" s="152"/>
    </row>
    <row r="16" spans="1:18" ht="24.75" customHeight="1">
      <c r="A16" s="133"/>
      <c r="B16" s="77"/>
      <c r="C16" s="77"/>
      <c r="D16" s="378" t="s">
        <v>196</v>
      </c>
      <c r="E16" s="358"/>
      <c r="F16" s="358"/>
      <c r="G16" s="150"/>
      <c r="H16" s="150"/>
      <c r="I16" s="150">
        <v>-3720</v>
      </c>
      <c r="J16" s="149"/>
      <c r="K16" s="152"/>
      <c r="L16" s="151"/>
      <c r="M16" s="152"/>
      <c r="N16" s="152"/>
      <c r="O16" s="151"/>
      <c r="P16" s="151"/>
      <c r="Q16" s="152"/>
      <c r="R16" s="152"/>
    </row>
    <row r="17" spans="1:18" ht="24.75" customHeight="1">
      <c r="A17" s="77"/>
      <c r="B17" s="77"/>
      <c r="C17" s="77"/>
      <c r="D17" s="372" t="s">
        <v>118</v>
      </c>
      <c r="E17" s="358"/>
      <c r="F17" s="358"/>
      <c r="G17" s="150">
        <f t="shared" ref="G17:R17" si="2">SUM(G13:G16)</f>
        <v>-1895</v>
      </c>
      <c r="H17" s="150">
        <f t="shared" si="2"/>
        <v>-1663</v>
      </c>
      <c r="I17" s="150">
        <f t="shared" si="2"/>
        <v>-4836</v>
      </c>
      <c r="J17" s="150">
        <f t="shared" si="2"/>
        <v>-1437</v>
      </c>
      <c r="K17" s="152">
        <f t="shared" si="2"/>
        <v>-2219</v>
      </c>
      <c r="L17" s="152">
        <f t="shared" si="2"/>
        <v>-877</v>
      </c>
      <c r="M17" s="152">
        <f t="shared" si="2"/>
        <v>0</v>
      </c>
      <c r="N17" s="152">
        <f t="shared" si="2"/>
        <v>0</v>
      </c>
      <c r="O17" s="152">
        <f t="shared" si="2"/>
        <v>0</v>
      </c>
      <c r="P17" s="152">
        <f t="shared" si="2"/>
        <v>0</v>
      </c>
      <c r="Q17" s="152">
        <f t="shared" si="2"/>
        <v>0</v>
      </c>
      <c r="R17" s="152">
        <f t="shared" si="2"/>
        <v>0</v>
      </c>
    </row>
    <row r="18" spans="1:18" ht="24.75" customHeight="1">
      <c r="A18" s="77"/>
    </row>
    <row r="19" spans="1:18" ht="24.75" customHeight="1">
      <c r="A19" s="77"/>
    </row>
    <row r="20" spans="1:18" ht="26.25" customHeight="1">
      <c r="A20" s="77"/>
      <c r="B20" s="77"/>
      <c r="C20" s="77"/>
      <c r="D20" s="77"/>
      <c r="E20" s="157"/>
      <c r="F20" s="158"/>
      <c r="G20" s="159" t="s">
        <v>2</v>
      </c>
      <c r="H20" s="159" t="s">
        <v>3</v>
      </c>
      <c r="I20" s="159" t="s">
        <v>4</v>
      </c>
      <c r="J20" s="159" t="s">
        <v>5</v>
      </c>
      <c r="K20" s="159" t="s">
        <v>6</v>
      </c>
      <c r="L20" s="159" t="s">
        <v>7</v>
      </c>
      <c r="M20" s="159" t="s">
        <v>8</v>
      </c>
      <c r="N20" s="159" t="s">
        <v>9</v>
      </c>
      <c r="O20" s="159" t="s">
        <v>10</v>
      </c>
      <c r="P20" s="159" t="s">
        <v>11</v>
      </c>
      <c r="Q20" s="159" t="s">
        <v>12</v>
      </c>
      <c r="R20" s="159" t="s">
        <v>16</v>
      </c>
    </row>
    <row r="21" spans="1:18" ht="26.25" customHeight="1">
      <c r="A21" s="77"/>
      <c r="B21" s="77"/>
      <c r="C21" s="160"/>
      <c r="D21" s="78"/>
      <c r="E21" s="161" t="s">
        <v>79</v>
      </c>
      <c r="F21" s="162" t="s">
        <v>119</v>
      </c>
      <c r="G21" s="163"/>
      <c r="H21" s="163"/>
      <c r="I21" s="163"/>
      <c r="J21" s="163"/>
      <c r="K21" s="163"/>
      <c r="L21" s="164"/>
      <c r="M21" s="163"/>
      <c r="N21" s="163">
        <v>92</v>
      </c>
      <c r="O21" s="163">
        <v>168</v>
      </c>
      <c r="P21" s="163">
        <v>264</v>
      </c>
      <c r="Q21" s="163"/>
      <c r="R21" s="163"/>
    </row>
    <row r="22" spans="1:18" ht="26.25" customHeight="1">
      <c r="A22" s="77"/>
      <c r="B22" s="77"/>
      <c r="C22" s="160"/>
      <c r="D22" s="78"/>
      <c r="E22" s="165"/>
      <c r="F22" s="166" t="s">
        <v>121</v>
      </c>
      <c r="G22" s="168"/>
      <c r="H22" s="168">
        <f>IF((H21-G21)*5.5&gt;0,(H21-G21)*5.5,0)</f>
        <v>0</v>
      </c>
      <c r="I22" s="168"/>
      <c r="J22" s="168"/>
      <c r="K22" s="168"/>
      <c r="L22" s="168"/>
      <c r="M22" s="168">
        <f>IF((M21-6511)*5.5&gt;0,(M21-6511)*5.5,0)</f>
        <v>0</v>
      </c>
      <c r="N22" s="168"/>
      <c r="O22" s="167">
        <f t="shared" ref="O22:R22" si="3">IF((O21-N21)*5.5&gt;0,(O21-N21)*5.5,0)</f>
        <v>418</v>
      </c>
      <c r="P22" s="167">
        <f t="shared" si="3"/>
        <v>528</v>
      </c>
      <c r="Q22" s="168">
        <f t="shared" si="3"/>
        <v>0</v>
      </c>
      <c r="R22" s="168">
        <f t="shared" si="3"/>
        <v>0</v>
      </c>
    </row>
    <row r="23" spans="1:18" ht="26.25" customHeight="1">
      <c r="A23" s="77"/>
      <c r="B23" s="77"/>
      <c r="C23" s="160"/>
      <c r="D23" s="78"/>
      <c r="E23" s="161" t="s">
        <v>85</v>
      </c>
      <c r="F23" s="162" t="s">
        <v>119</v>
      </c>
      <c r="G23" s="163"/>
      <c r="H23" s="163"/>
      <c r="I23" s="163"/>
      <c r="J23" s="163"/>
      <c r="K23" s="163"/>
      <c r="L23" s="163"/>
      <c r="M23" s="163">
        <v>70</v>
      </c>
      <c r="N23" s="163">
        <v>220</v>
      </c>
      <c r="O23" s="163" t="s">
        <v>197</v>
      </c>
      <c r="P23" s="163">
        <v>402</v>
      </c>
      <c r="Q23" s="163">
        <v>450</v>
      </c>
      <c r="R23" s="163"/>
    </row>
    <row r="24" spans="1:18" ht="26.25" customHeight="1">
      <c r="A24" s="77"/>
      <c r="B24" s="77"/>
      <c r="C24" s="160"/>
      <c r="D24" s="78"/>
      <c r="E24" s="165"/>
      <c r="F24" s="166" t="s">
        <v>121</v>
      </c>
      <c r="G24" s="168"/>
      <c r="H24" s="168"/>
      <c r="I24" s="168"/>
      <c r="J24" s="168"/>
      <c r="K24" s="168"/>
      <c r="L24" s="168"/>
      <c r="M24" s="168"/>
      <c r="N24" s="167">
        <f>IF((N23-M23)*5.5&gt;0,(N23-M23)*5.5,0)</f>
        <v>825</v>
      </c>
      <c r="O24" s="167">
        <f>IF((316-222)*5.5&gt;0,(316-222)*5.5,0)</f>
        <v>517</v>
      </c>
      <c r="P24" s="167">
        <f>IF((P23-316)*5.5&gt;0,(P23-316)*5.5,0)</f>
        <v>473</v>
      </c>
      <c r="Q24" s="167">
        <f t="shared" ref="Q24:R24" si="4">IF((Q23-P23)*5.5&gt;0,(Q23-P23)*5.5,0)</f>
        <v>264</v>
      </c>
      <c r="R24" s="168">
        <f t="shared" si="4"/>
        <v>0</v>
      </c>
    </row>
    <row r="25" spans="1:18" ht="26.25" customHeight="1">
      <c r="A25" s="77"/>
      <c r="B25" s="77"/>
      <c r="C25" s="160"/>
      <c r="D25" s="78"/>
      <c r="E25" s="169" t="s">
        <v>90</v>
      </c>
      <c r="F25" s="162" t="s">
        <v>119</v>
      </c>
      <c r="G25" s="170"/>
      <c r="H25" s="170"/>
      <c r="I25" s="170"/>
      <c r="J25" s="170"/>
      <c r="K25" s="170"/>
      <c r="L25" s="170"/>
      <c r="M25" s="170"/>
      <c r="N25" s="170"/>
      <c r="O25" s="174">
        <v>211</v>
      </c>
      <c r="P25" s="170">
        <v>235</v>
      </c>
      <c r="Q25" s="170">
        <v>291</v>
      </c>
      <c r="R25" s="171"/>
    </row>
    <row r="26" spans="1:18" ht="26.25" customHeight="1">
      <c r="A26" s="77"/>
      <c r="B26" s="77"/>
      <c r="C26" s="160"/>
      <c r="D26" s="78"/>
      <c r="E26" s="165"/>
      <c r="F26" s="166" t="s">
        <v>121</v>
      </c>
      <c r="G26" s="170"/>
      <c r="H26" s="168"/>
      <c r="I26" s="168"/>
      <c r="J26" s="168"/>
      <c r="K26" s="168"/>
      <c r="L26" s="168"/>
      <c r="M26" s="168">
        <f t="shared" ref="M26:N26" si="5">IF((M25-L25)*5.5&gt;0,(M25-L25)*5.5,0)</f>
        <v>0</v>
      </c>
      <c r="N26" s="168">
        <f t="shared" si="5"/>
        <v>0</v>
      </c>
      <c r="O26" s="168"/>
      <c r="P26" s="167">
        <f t="shared" ref="P26:R26" si="6">IF((P25-O25)*5.5&gt;0,(P25-O25)*5.5,0)</f>
        <v>132</v>
      </c>
      <c r="Q26" s="167">
        <f t="shared" si="6"/>
        <v>308</v>
      </c>
      <c r="R26" s="168">
        <f t="shared" si="6"/>
        <v>0</v>
      </c>
    </row>
    <row r="27" spans="1:18" ht="26.25" customHeight="1">
      <c r="A27" s="77"/>
      <c r="B27" s="77"/>
      <c r="C27" s="160"/>
      <c r="D27" s="78"/>
      <c r="E27" s="169" t="s">
        <v>97</v>
      </c>
      <c r="F27" s="162" t="s">
        <v>119</v>
      </c>
      <c r="G27" s="170"/>
      <c r="H27" s="170"/>
      <c r="I27" s="170"/>
      <c r="J27" s="170"/>
      <c r="K27" s="170"/>
      <c r="L27" s="170"/>
      <c r="M27" s="170">
        <v>214</v>
      </c>
      <c r="N27" s="170">
        <v>406</v>
      </c>
      <c r="O27" s="174">
        <v>814</v>
      </c>
      <c r="P27" s="170"/>
      <c r="Q27" s="170"/>
      <c r="R27" s="171"/>
    </row>
    <row r="28" spans="1:18" ht="26.25" customHeight="1">
      <c r="A28" s="77"/>
      <c r="B28" s="77"/>
      <c r="C28" s="160"/>
      <c r="D28" s="78"/>
      <c r="E28" s="173"/>
      <c r="F28" s="166" t="s">
        <v>121</v>
      </c>
      <c r="G28" s="170"/>
      <c r="H28" s="168"/>
      <c r="I28" s="168"/>
      <c r="J28" s="168"/>
      <c r="K28" s="168"/>
      <c r="L28" s="168"/>
      <c r="M28" s="168"/>
      <c r="N28" s="167">
        <f t="shared" ref="N28:R28" si="7">IF((N27-M27)*5.5&gt;0,(N27-M27)*5.5,0)</f>
        <v>1056</v>
      </c>
      <c r="O28" s="167">
        <f t="shared" si="7"/>
        <v>2244</v>
      </c>
      <c r="P28" s="168">
        <f t="shared" si="7"/>
        <v>0</v>
      </c>
      <c r="Q28" s="168">
        <f t="shared" si="7"/>
        <v>0</v>
      </c>
      <c r="R28" s="168">
        <f t="shared" si="7"/>
        <v>0</v>
      </c>
    </row>
    <row r="29" spans="1:18" ht="26.25" customHeight="1">
      <c r="A29" s="77"/>
      <c r="B29" s="77"/>
      <c r="C29" s="160"/>
      <c r="D29" s="78"/>
      <c r="E29" s="173" t="s">
        <v>104</v>
      </c>
      <c r="F29" s="162" t="s">
        <v>119</v>
      </c>
      <c r="G29" s="174"/>
      <c r="H29" s="174"/>
      <c r="I29" s="174"/>
      <c r="J29" s="174"/>
      <c r="K29" s="174"/>
      <c r="L29" s="174"/>
      <c r="M29" s="174"/>
      <c r="N29" s="174">
        <v>110</v>
      </c>
      <c r="O29" s="174">
        <v>322</v>
      </c>
      <c r="P29" s="174"/>
      <c r="Q29" s="174"/>
      <c r="R29" s="174"/>
    </row>
    <row r="30" spans="1:18" ht="26.25" customHeight="1">
      <c r="A30" s="77"/>
      <c r="B30" s="77"/>
      <c r="C30" s="160"/>
      <c r="D30" s="78"/>
      <c r="E30" s="173"/>
      <c r="F30" s="166" t="s">
        <v>121</v>
      </c>
      <c r="G30" s="168"/>
      <c r="H30" s="168"/>
      <c r="I30" s="168"/>
      <c r="J30" s="168"/>
      <c r="K30" s="168"/>
      <c r="L30" s="168"/>
      <c r="M30" s="168"/>
      <c r="N30" s="168"/>
      <c r="O30" s="167">
        <f t="shared" ref="O30:R30" si="8">IF((O29-N29)*5.5&gt;0,(O29-N29)*5.5,0)</f>
        <v>1166</v>
      </c>
      <c r="P30" s="168">
        <f t="shared" si="8"/>
        <v>0</v>
      </c>
      <c r="Q30" s="168">
        <f t="shared" si="8"/>
        <v>0</v>
      </c>
      <c r="R30" s="168">
        <f t="shared" si="8"/>
        <v>0</v>
      </c>
    </row>
    <row r="31" spans="1:18" ht="26.25" customHeight="1">
      <c r="A31" s="77"/>
      <c r="B31" s="77"/>
      <c r="C31" s="160"/>
      <c r="D31" s="78"/>
      <c r="E31" s="176"/>
      <c r="F31" s="177" t="s">
        <v>122</v>
      </c>
      <c r="G31" s="168">
        <f t="shared" ref="G31:R31" si="9">G22+G24+G26+G28+G30</f>
        <v>0</v>
      </c>
      <c r="H31" s="168">
        <f t="shared" si="9"/>
        <v>0</v>
      </c>
      <c r="I31" s="168">
        <f t="shared" si="9"/>
        <v>0</v>
      </c>
      <c r="J31" s="168">
        <f t="shared" si="9"/>
        <v>0</v>
      </c>
      <c r="K31" s="168">
        <f t="shared" si="9"/>
        <v>0</v>
      </c>
      <c r="L31" s="168">
        <f t="shared" si="9"/>
        <v>0</v>
      </c>
      <c r="M31" s="168">
        <f t="shared" si="9"/>
        <v>0</v>
      </c>
      <c r="N31" s="168">
        <f t="shared" si="9"/>
        <v>1881</v>
      </c>
      <c r="O31" s="168">
        <f t="shared" si="9"/>
        <v>4345</v>
      </c>
      <c r="P31" s="168">
        <f t="shared" si="9"/>
        <v>1133</v>
      </c>
      <c r="Q31" s="168">
        <f t="shared" si="9"/>
        <v>572</v>
      </c>
      <c r="R31" s="168">
        <f t="shared" si="9"/>
        <v>0</v>
      </c>
    </row>
    <row r="32" spans="1:18" ht="26.25" customHeight="1">
      <c r="A32" s="77"/>
      <c r="B32" s="77"/>
      <c r="C32" s="160"/>
      <c r="D32" s="78"/>
      <c r="E32" s="178" t="s">
        <v>123</v>
      </c>
      <c r="F32" s="179"/>
      <c r="G32" s="180">
        <f>'4-寒舍'!$G$14+G19+'9-崇德'!$G$31</f>
        <v>139000</v>
      </c>
      <c r="H32" s="180">
        <f>'4-寒舍'!$H$14+H19+'9-崇德'!$H$31</f>
        <v>119000</v>
      </c>
      <c r="I32" s="180">
        <f>'4-寒舍'!$H$14+I19+'9-崇德'!$H$31</f>
        <v>119000</v>
      </c>
      <c r="J32" s="180">
        <f>'4-寒舍'!$I$14+J19+'9-崇德'!$I$31</f>
        <v>78880</v>
      </c>
      <c r="K32" s="180">
        <f>'4-寒舍'!$I$14+K19+'9-崇德'!$I$31</f>
        <v>78880</v>
      </c>
      <c r="L32" s="180">
        <f>'4-寒舍'!$J$14+L19+'9-崇德'!$J$31</f>
        <v>111800</v>
      </c>
      <c r="M32" s="180">
        <f>'4-寒舍'!$J$14+M19+'9-崇德'!$J$31</f>
        <v>111800</v>
      </c>
      <c r="N32" s="180">
        <f>'4-寒舍'!$K$14+N19+'9-崇德'!$K$31</f>
        <v>109398</v>
      </c>
      <c r="O32" s="180">
        <f>'4-寒舍'!$K$14+O19+'9-崇德'!$K$31</f>
        <v>109398</v>
      </c>
      <c r="P32" s="180">
        <f>'4-寒舍'!$L$14+P19+'9-崇德'!$L$31</f>
        <v>115000</v>
      </c>
      <c r="Q32" s="180">
        <f>'4-寒舍'!$L$14+Q19+'9-崇德'!$L$31</f>
        <v>115000</v>
      </c>
      <c r="R32" s="180">
        <f>'4-寒舍'!$M$14+R19+'9-崇德'!$M$31</f>
        <v>115000</v>
      </c>
    </row>
    <row r="33" spans="1:4" ht="26.25" customHeight="1">
      <c r="A33" s="77"/>
      <c r="B33" s="77"/>
      <c r="C33" s="160"/>
      <c r="D33" s="78"/>
    </row>
    <row r="34" spans="1:4" ht="26.25" customHeight="1">
      <c r="A34" s="77"/>
      <c r="B34" s="77"/>
      <c r="C34" s="160"/>
      <c r="D34" s="78"/>
    </row>
    <row r="35" spans="1:4" ht="24.75" customHeight="1">
      <c r="A35" s="77"/>
    </row>
    <row r="36" spans="1:4" ht="24.75" customHeight="1">
      <c r="A36" s="77"/>
    </row>
    <row r="37" spans="1:4" ht="24.75" customHeight="1">
      <c r="A37" s="77"/>
    </row>
    <row r="38" spans="1:4" ht="24.75" customHeight="1">
      <c r="A38" s="77"/>
    </row>
    <row r="39" spans="1:4" ht="24.75" customHeight="1">
      <c r="A39" s="77"/>
    </row>
    <row r="40" spans="1:4" ht="24.75" customHeight="1">
      <c r="A40" s="77"/>
    </row>
    <row r="41" spans="1:4" ht="24.75" customHeight="1">
      <c r="A41" s="77"/>
    </row>
    <row r="42" spans="1:4" ht="24.75" customHeight="1">
      <c r="A42" s="77"/>
    </row>
    <row r="43" spans="1:4" ht="24.75" customHeight="1">
      <c r="A43" s="77"/>
    </row>
    <row r="44" spans="1:4" ht="24.75" customHeight="1">
      <c r="A44" s="77"/>
    </row>
    <row r="45" spans="1:4" ht="24.75" customHeight="1">
      <c r="A45" s="77"/>
    </row>
    <row r="46" spans="1:4" ht="24.75" customHeight="1">
      <c r="A46" s="77"/>
    </row>
    <row r="47" spans="1:4" ht="24.75" customHeight="1">
      <c r="A47" s="77"/>
    </row>
    <row r="48" spans="1:4" ht="24.75" customHeight="1">
      <c r="A48" s="77"/>
    </row>
    <row r="49" spans="1:1" ht="24.75" customHeight="1">
      <c r="A49" s="77"/>
    </row>
    <row r="50" spans="1:1" ht="24.75" customHeight="1">
      <c r="A50" s="77"/>
    </row>
    <row r="51" spans="1:1" ht="24.75" customHeight="1">
      <c r="A51" s="77"/>
    </row>
    <row r="52" spans="1:1" ht="24.75" customHeight="1">
      <c r="A52" s="77"/>
    </row>
    <row r="53" spans="1:1" ht="24.75" customHeight="1">
      <c r="A53" s="77"/>
    </row>
    <row r="54" spans="1:1" ht="24.75" customHeight="1">
      <c r="A54" s="77"/>
    </row>
    <row r="55" spans="1:1" ht="24.75" customHeight="1">
      <c r="A55" s="77"/>
    </row>
    <row r="56" spans="1:1" ht="24.75" customHeight="1">
      <c r="A56" s="77"/>
    </row>
    <row r="57" spans="1:1" ht="24.75" customHeight="1">
      <c r="A57" s="77"/>
    </row>
    <row r="58" spans="1:1" ht="24.75" customHeight="1">
      <c r="A58" s="77"/>
    </row>
    <row r="59" spans="1:1" ht="24.75" customHeight="1">
      <c r="A59" s="77"/>
    </row>
    <row r="60" spans="1:1" ht="24.75" customHeight="1">
      <c r="A60" s="77"/>
    </row>
    <row r="61" spans="1:1" ht="24.75" customHeight="1">
      <c r="A61" s="77"/>
    </row>
    <row r="62" spans="1:1" ht="24.75" customHeight="1">
      <c r="A62" s="77"/>
    </row>
    <row r="63" spans="1:1" ht="24.75" customHeight="1">
      <c r="A63" s="77"/>
    </row>
    <row r="64" spans="1:1" ht="24.75" customHeight="1">
      <c r="A64" s="77"/>
    </row>
    <row r="65" spans="1:1" ht="24.75" customHeight="1">
      <c r="A65" s="77"/>
    </row>
    <row r="66" spans="1:1" ht="24.75" customHeight="1">
      <c r="A66" s="77"/>
    </row>
    <row r="67" spans="1:1" ht="24.75" customHeight="1">
      <c r="A67" s="77"/>
    </row>
    <row r="68" spans="1:1" ht="24.75" customHeight="1">
      <c r="A68" s="77"/>
    </row>
    <row r="69" spans="1:1" ht="24.75" customHeight="1">
      <c r="A69" s="77"/>
    </row>
    <row r="70" spans="1:1" ht="24.75" customHeight="1">
      <c r="A70" s="77"/>
    </row>
    <row r="71" spans="1:1" ht="24.75" customHeight="1">
      <c r="A71" s="77"/>
    </row>
    <row r="72" spans="1:1" ht="24.75" customHeight="1">
      <c r="A72" s="77"/>
    </row>
    <row r="73" spans="1:1" ht="24.75" customHeight="1">
      <c r="A73" s="77"/>
    </row>
    <row r="74" spans="1:1" ht="24.75" customHeight="1">
      <c r="A74" s="77"/>
    </row>
    <row r="75" spans="1:1" ht="24.75" customHeight="1">
      <c r="A75" s="77"/>
    </row>
    <row r="76" spans="1:1" ht="24.75" customHeight="1">
      <c r="A76" s="77"/>
    </row>
    <row r="77" spans="1:1" ht="24.75" customHeight="1">
      <c r="A77" s="77"/>
    </row>
    <row r="78" spans="1:1" ht="24.75" customHeight="1">
      <c r="A78" s="77"/>
    </row>
    <row r="79" spans="1:1" ht="24.75" customHeight="1">
      <c r="A79" s="77"/>
    </row>
    <row r="80" spans="1:1" ht="24.75" customHeight="1">
      <c r="A80" s="77"/>
    </row>
    <row r="81" spans="1:1" ht="24.75" customHeight="1">
      <c r="A81" s="77"/>
    </row>
    <row r="82" spans="1:1" ht="24.75" customHeight="1">
      <c r="A82" s="77"/>
    </row>
    <row r="83" spans="1:1" ht="24.75" customHeight="1">
      <c r="A83" s="77"/>
    </row>
    <row r="84" spans="1:1" ht="24.75" customHeight="1">
      <c r="A84" s="77"/>
    </row>
    <row r="85" spans="1:1" ht="24.75" customHeight="1">
      <c r="A85" s="77"/>
    </row>
    <row r="86" spans="1:1" ht="24.75" customHeight="1">
      <c r="A86" s="77"/>
    </row>
    <row r="87" spans="1:1" ht="24.75" customHeight="1">
      <c r="A87" s="77"/>
    </row>
    <row r="88" spans="1:1" ht="24.75" customHeight="1">
      <c r="A88" s="77"/>
    </row>
    <row r="89" spans="1:1" ht="24.75" customHeight="1">
      <c r="A89" s="77"/>
    </row>
    <row r="90" spans="1:1" ht="24.75" customHeight="1">
      <c r="A90" s="77"/>
    </row>
    <row r="91" spans="1:1" ht="24.75" customHeight="1">
      <c r="A91" s="77"/>
    </row>
    <row r="92" spans="1:1" ht="24.75" customHeight="1">
      <c r="A92" s="77"/>
    </row>
    <row r="93" spans="1:1" ht="24.75" customHeight="1">
      <c r="A93" s="77"/>
    </row>
    <row r="94" spans="1:1" ht="24.75" customHeight="1">
      <c r="A94" s="77"/>
    </row>
    <row r="95" spans="1:1" ht="24.75" customHeight="1">
      <c r="A95" s="77"/>
    </row>
    <row r="96" spans="1:1" ht="24.75" customHeight="1">
      <c r="A96" s="77"/>
    </row>
    <row r="97" spans="1:1" ht="24.75" customHeight="1">
      <c r="A97" s="77"/>
    </row>
    <row r="98" spans="1:1" ht="24.75" customHeight="1">
      <c r="A98" s="77"/>
    </row>
    <row r="99" spans="1:1" ht="24.75" customHeight="1">
      <c r="A99" s="77"/>
    </row>
    <row r="100" spans="1:1" ht="24.75" customHeight="1">
      <c r="A100" s="77"/>
    </row>
  </sheetData>
  <mergeCells count="5">
    <mergeCell ref="D13:F13"/>
    <mergeCell ref="D14:F14"/>
    <mergeCell ref="D15:F15"/>
    <mergeCell ref="D16:F16"/>
    <mergeCell ref="D17:F17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R100"/>
  <sheetViews>
    <sheetView workbookViewId="0">
      <selection activeCell="F11" sqref="F11"/>
    </sheetView>
  </sheetViews>
  <sheetFormatPr defaultColWidth="12.625" defaultRowHeight="15" customHeight="1"/>
  <cols>
    <col min="1" max="1" width="4.875" customWidth="1"/>
    <col min="2" max="3" width="11.25" customWidth="1"/>
    <col min="4" max="4" width="9.375" customWidth="1"/>
    <col min="5" max="5" width="12.5" customWidth="1"/>
    <col min="6" max="6" width="21.25" customWidth="1"/>
    <col min="7" max="9" width="7.75" customWidth="1"/>
    <col min="10" max="10" width="8.25" customWidth="1"/>
    <col min="11" max="18" width="7.75" customWidth="1"/>
  </cols>
  <sheetData>
    <row r="1" spans="1:18" ht="21.75" customHeight="1">
      <c r="A1" s="128"/>
      <c r="B1" s="77" t="s">
        <v>74</v>
      </c>
      <c r="C1" s="129" t="s">
        <v>75</v>
      </c>
      <c r="D1" s="130" t="s">
        <v>76</v>
      </c>
      <c r="E1" s="131" t="s">
        <v>77</v>
      </c>
      <c r="F1" s="132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</row>
    <row r="2" spans="1:18" ht="21.75" customHeight="1">
      <c r="A2" s="134" t="s">
        <v>79</v>
      </c>
      <c r="B2" s="134" t="s">
        <v>198</v>
      </c>
      <c r="C2" s="134" t="s">
        <v>199</v>
      </c>
      <c r="D2" s="235" t="s">
        <v>200</v>
      </c>
      <c r="E2" s="244" t="s">
        <v>201</v>
      </c>
      <c r="F2" s="136"/>
      <c r="G2" s="137">
        <v>42742</v>
      </c>
      <c r="H2" s="137">
        <v>42773</v>
      </c>
      <c r="I2" s="137">
        <v>42798</v>
      </c>
      <c r="J2" s="134"/>
      <c r="K2" s="137"/>
      <c r="L2" s="137">
        <v>42893</v>
      </c>
      <c r="M2" s="137">
        <v>42923</v>
      </c>
      <c r="N2" s="137">
        <v>42953</v>
      </c>
      <c r="O2" s="137">
        <v>42986</v>
      </c>
      <c r="P2" s="137">
        <v>43010</v>
      </c>
      <c r="Q2" s="137">
        <v>43046</v>
      </c>
      <c r="R2" s="137">
        <v>43077</v>
      </c>
    </row>
    <row r="3" spans="1:18" ht="21.75" customHeight="1">
      <c r="A3" s="128"/>
      <c r="B3" s="128"/>
      <c r="C3" s="129"/>
      <c r="D3" s="130">
        <v>13000</v>
      </c>
      <c r="E3" s="131">
        <v>26000</v>
      </c>
      <c r="F3" s="136" t="s">
        <v>202</v>
      </c>
      <c r="G3" s="245">
        <v>13000</v>
      </c>
      <c r="H3" s="245">
        <v>13000</v>
      </c>
      <c r="I3" s="245">
        <v>13000</v>
      </c>
      <c r="J3" s="138">
        <v>13000</v>
      </c>
      <c r="K3" s="140">
        <v>13000</v>
      </c>
      <c r="L3" s="140">
        <v>13000</v>
      </c>
      <c r="M3" s="140">
        <v>13000</v>
      </c>
      <c r="N3" s="140">
        <v>13000</v>
      </c>
      <c r="O3" s="140">
        <v>13000</v>
      </c>
      <c r="P3" s="140">
        <v>13000</v>
      </c>
      <c r="Q3" s="140">
        <v>13000</v>
      </c>
      <c r="R3" s="140">
        <v>13000</v>
      </c>
    </row>
    <row r="4" spans="1:18" ht="21.75" customHeight="1">
      <c r="A4" s="134" t="s">
        <v>85</v>
      </c>
      <c r="B4" s="134" t="s">
        <v>203</v>
      </c>
      <c r="C4" s="134"/>
      <c r="D4" s="235" t="s">
        <v>200</v>
      </c>
      <c r="E4" s="244" t="s">
        <v>201</v>
      </c>
      <c r="F4" s="136"/>
      <c r="G4" s="137"/>
      <c r="H4" s="137">
        <v>42779</v>
      </c>
      <c r="I4" s="137">
        <v>42807</v>
      </c>
      <c r="J4" s="134">
        <v>42846</v>
      </c>
      <c r="K4" s="137" t="s">
        <v>140</v>
      </c>
      <c r="L4" s="137"/>
      <c r="M4" s="137">
        <v>42930</v>
      </c>
      <c r="N4" s="137">
        <v>42947</v>
      </c>
      <c r="O4" s="137">
        <v>42977</v>
      </c>
      <c r="P4" s="137">
        <v>43006</v>
      </c>
      <c r="Q4" s="137">
        <v>43035</v>
      </c>
      <c r="R4" s="137"/>
    </row>
    <row r="5" spans="1:18" ht="21.75" customHeight="1">
      <c r="A5" s="128"/>
      <c r="B5" s="128"/>
      <c r="C5" s="129"/>
      <c r="D5" s="130">
        <v>15000</v>
      </c>
      <c r="E5" s="131"/>
      <c r="F5" s="136" t="s">
        <v>204</v>
      </c>
      <c r="G5" s="245">
        <v>14500</v>
      </c>
      <c r="H5" s="245">
        <v>14500</v>
      </c>
      <c r="I5" s="245">
        <v>14500</v>
      </c>
      <c r="J5" s="142">
        <v>14500</v>
      </c>
      <c r="K5" s="138">
        <v>14500</v>
      </c>
      <c r="L5" s="139"/>
      <c r="M5" s="138">
        <v>7500</v>
      </c>
      <c r="N5" s="138">
        <v>15000</v>
      </c>
      <c r="O5" s="138">
        <v>15000</v>
      </c>
      <c r="P5" s="138">
        <v>15000</v>
      </c>
      <c r="Q5" s="138">
        <v>15000</v>
      </c>
      <c r="R5" s="139">
        <f>15000+7441</f>
        <v>22441</v>
      </c>
    </row>
    <row r="6" spans="1:18" ht="21.75" customHeight="1">
      <c r="A6" s="134" t="s">
        <v>90</v>
      </c>
      <c r="B6" s="128" t="s">
        <v>205</v>
      </c>
      <c r="C6" s="129" t="s">
        <v>206</v>
      </c>
      <c r="D6" s="235" t="s">
        <v>200</v>
      </c>
      <c r="E6" s="244" t="s">
        <v>201</v>
      </c>
      <c r="F6" s="136"/>
      <c r="G6" s="137"/>
      <c r="H6" s="137"/>
      <c r="I6" s="137"/>
      <c r="J6" s="144" t="s">
        <v>207</v>
      </c>
      <c r="K6" s="139"/>
      <c r="L6" s="139"/>
      <c r="M6" s="134">
        <v>42917</v>
      </c>
      <c r="N6" s="134">
        <v>42946</v>
      </c>
      <c r="O6" s="134">
        <v>42979</v>
      </c>
      <c r="P6" s="133">
        <v>43014</v>
      </c>
      <c r="Q6" s="139"/>
      <c r="R6" s="139"/>
    </row>
    <row r="7" spans="1:18" ht="21.75" customHeight="1">
      <c r="A7" s="128"/>
      <c r="B7" s="128"/>
      <c r="C7" s="129"/>
      <c r="D7" s="130">
        <v>13500</v>
      </c>
      <c r="E7" s="131">
        <v>27000</v>
      </c>
      <c r="F7" s="141" t="s">
        <v>208</v>
      </c>
      <c r="G7" s="245">
        <v>15000</v>
      </c>
      <c r="H7" s="245">
        <v>7500</v>
      </c>
      <c r="I7" s="245"/>
      <c r="J7" s="142">
        <v>13500</v>
      </c>
      <c r="K7" s="138">
        <v>13500</v>
      </c>
      <c r="L7" s="138">
        <v>13500</v>
      </c>
      <c r="M7" s="138">
        <v>13500</v>
      </c>
      <c r="N7" s="138">
        <v>13500</v>
      </c>
      <c r="O7" s="138">
        <v>13500</v>
      </c>
      <c r="P7" s="138">
        <v>13500</v>
      </c>
      <c r="Q7" s="139"/>
      <c r="R7" s="139"/>
    </row>
    <row r="8" spans="1:18" ht="21.75" customHeight="1">
      <c r="A8" s="134" t="s">
        <v>97</v>
      </c>
      <c r="B8" s="128" t="s">
        <v>209</v>
      </c>
      <c r="C8" s="129"/>
      <c r="D8" s="235" t="s">
        <v>200</v>
      </c>
      <c r="E8" s="244" t="s">
        <v>201</v>
      </c>
      <c r="F8" s="136"/>
      <c r="G8" s="137"/>
      <c r="H8" s="137"/>
      <c r="I8" s="137"/>
      <c r="J8" s="144"/>
      <c r="K8" s="139"/>
      <c r="L8" s="139"/>
      <c r="M8" s="139" t="s">
        <v>140</v>
      </c>
      <c r="N8" s="134">
        <v>42958</v>
      </c>
      <c r="O8" s="134">
        <v>42991</v>
      </c>
      <c r="P8" s="137">
        <v>43020</v>
      </c>
      <c r="Q8" s="133">
        <v>43049</v>
      </c>
      <c r="R8" s="139"/>
    </row>
    <row r="9" spans="1:18" ht="21.75" customHeight="1">
      <c r="A9" s="128"/>
      <c r="B9" s="128"/>
      <c r="C9" s="129"/>
      <c r="D9" s="130">
        <v>16500</v>
      </c>
      <c r="E9" s="131">
        <v>24000</v>
      </c>
      <c r="F9" s="141" t="s">
        <v>210</v>
      </c>
      <c r="G9" s="245">
        <v>16500</v>
      </c>
      <c r="H9" s="245">
        <v>16500</v>
      </c>
      <c r="I9" s="245">
        <v>16500</v>
      </c>
      <c r="J9" s="142">
        <v>16500</v>
      </c>
      <c r="K9" s="138">
        <v>16500</v>
      </c>
      <c r="L9" s="138">
        <v>16500</v>
      </c>
      <c r="M9" s="138">
        <v>16500</v>
      </c>
      <c r="N9" s="138">
        <v>16500</v>
      </c>
      <c r="O9" s="138">
        <v>16500</v>
      </c>
      <c r="P9" s="138">
        <v>16500</v>
      </c>
      <c r="Q9" s="138">
        <v>16500</v>
      </c>
      <c r="R9" s="139"/>
    </row>
    <row r="10" spans="1:18" ht="21.75" customHeight="1">
      <c r="A10" s="128" t="s">
        <v>104</v>
      </c>
      <c r="B10" s="134" t="s">
        <v>211</v>
      </c>
      <c r="C10" s="134" t="s">
        <v>212</v>
      </c>
      <c r="D10" s="235" t="s">
        <v>200</v>
      </c>
      <c r="E10" s="244" t="s">
        <v>201</v>
      </c>
      <c r="F10" s="136"/>
      <c r="G10" s="137">
        <v>42742</v>
      </c>
      <c r="H10" s="137">
        <v>42768</v>
      </c>
      <c r="I10" s="137">
        <v>42795</v>
      </c>
      <c r="J10" s="134"/>
      <c r="K10" s="133">
        <v>42854</v>
      </c>
      <c r="L10" s="133">
        <v>42882</v>
      </c>
      <c r="M10" s="133">
        <v>42915</v>
      </c>
      <c r="N10" s="133">
        <v>42946</v>
      </c>
      <c r="O10" s="133">
        <v>42984</v>
      </c>
      <c r="P10" s="133">
        <v>43014</v>
      </c>
      <c r="Q10" s="133">
        <v>43043</v>
      </c>
      <c r="R10" s="133">
        <v>43073</v>
      </c>
    </row>
    <row r="11" spans="1:18" ht="21.75" customHeight="1">
      <c r="A11" s="128"/>
      <c r="B11" s="128"/>
      <c r="C11" s="129"/>
      <c r="D11" s="130">
        <v>15500</v>
      </c>
      <c r="E11" s="131">
        <v>31000</v>
      </c>
      <c r="F11" s="250" t="s">
        <v>218</v>
      </c>
      <c r="G11" s="245">
        <v>15500</v>
      </c>
      <c r="H11" s="245">
        <v>15500</v>
      </c>
      <c r="I11" s="245">
        <v>15500</v>
      </c>
      <c r="J11" s="142">
        <v>15500</v>
      </c>
      <c r="K11" s="138">
        <v>15500</v>
      </c>
      <c r="L11" s="138">
        <v>15500</v>
      </c>
      <c r="M11" s="138">
        <v>15500</v>
      </c>
      <c r="N11" s="138">
        <v>15500</v>
      </c>
      <c r="O11" s="138">
        <v>15500</v>
      </c>
      <c r="P11" s="138">
        <v>15500</v>
      </c>
      <c r="Q11" s="138">
        <v>15500</v>
      </c>
      <c r="R11" s="138">
        <v>15500</v>
      </c>
    </row>
    <row r="12" spans="1:18" ht="21.75" customHeight="1">
      <c r="A12" s="128" t="s">
        <v>108</v>
      </c>
      <c r="B12" s="134"/>
      <c r="C12" s="134"/>
      <c r="D12" s="235"/>
      <c r="E12" s="244"/>
      <c r="F12" s="136"/>
      <c r="G12" s="137">
        <v>42740</v>
      </c>
      <c r="H12" s="137">
        <v>42770</v>
      </c>
      <c r="I12" s="137">
        <v>42799</v>
      </c>
      <c r="J12" s="134"/>
      <c r="K12" s="137">
        <v>42860</v>
      </c>
      <c r="L12" s="137">
        <v>42887</v>
      </c>
      <c r="M12" s="137">
        <v>42920</v>
      </c>
      <c r="N12" s="137">
        <v>42951</v>
      </c>
      <c r="O12" s="137"/>
      <c r="P12" s="137"/>
      <c r="Q12" s="137"/>
      <c r="R12" s="137"/>
    </row>
    <row r="13" spans="1:18" ht="21.75" customHeight="1">
      <c r="A13" s="128"/>
      <c r="B13" s="128"/>
      <c r="C13" s="129"/>
      <c r="D13" s="130"/>
      <c r="E13" s="131"/>
      <c r="F13" s="136"/>
      <c r="G13" s="245">
        <v>16000</v>
      </c>
      <c r="H13" s="245">
        <v>16000</v>
      </c>
      <c r="I13" s="245">
        <v>16000</v>
      </c>
      <c r="J13" s="142">
        <v>16000</v>
      </c>
      <c r="K13" s="138">
        <v>16000</v>
      </c>
      <c r="L13" s="138">
        <v>16000</v>
      </c>
      <c r="M13" s="138">
        <v>16000</v>
      </c>
      <c r="N13" s="138">
        <v>16000</v>
      </c>
      <c r="O13" s="139"/>
      <c r="P13" s="139"/>
      <c r="Q13" s="139"/>
      <c r="R13" s="139"/>
    </row>
    <row r="14" spans="1:18" ht="21.75" customHeight="1">
      <c r="A14" s="128"/>
      <c r="B14" s="128"/>
      <c r="C14" s="77"/>
      <c r="D14" s="130">
        <f>SUBTOTAL(109,'10-景新'!$D$1:$D$13)</f>
        <v>73500</v>
      </c>
      <c r="E14" s="145">
        <f>SUBTOTAL(109,'10-景新'!$E$1:$E$13)</f>
        <v>108000</v>
      </c>
      <c r="F14" s="141" t="s">
        <v>113</v>
      </c>
      <c r="G14" s="146">
        <f t="shared" ref="G14:R14" si="0">G3+G5+G7+G9+G11+G13</f>
        <v>90500</v>
      </c>
      <c r="H14" s="146">
        <f t="shared" si="0"/>
        <v>83000</v>
      </c>
      <c r="I14" s="146">
        <f t="shared" si="0"/>
        <v>75500</v>
      </c>
      <c r="J14" s="146">
        <f t="shared" si="0"/>
        <v>89000</v>
      </c>
      <c r="K14" s="146">
        <f t="shared" si="0"/>
        <v>89000</v>
      </c>
      <c r="L14" s="146">
        <f t="shared" si="0"/>
        <v>74500</v>
      </c>
      <c r="M14" s="146">
        <f t="shared" si="0"/>
        <v>82000</v>
      </c>
      <c r="N14" s="146">
        <f t="shared" si="0"/>
        <v>89500</v>
      </c>
      <c r="O14" s="146">
        <f t="shared" si="0"/>
        <v>73500</v>
      </c>
      <c r="P14" s="146">
        <f t="shared" si="0"/>
        <v>73500</v>
      </c>
      <c r="Q14" s="146">
        <f t="shared" si="0"/>
        <v>60000</v>
      </c>
      <c r="R14" s="146">
        <f t="shared" si="0"/>
        <v>50941</v>
      </c>
    </row>
    <row r="15" spans="1:18" ht="21.75" customHeight="1">
      <c r="A15" s="77"/>
      <c r="B15" s="77"/>
      <c r="C15" s="77"/>
      <c r="D15" s="78"/>
      <c r="E15" s="147"/>
      <c r="F15" s="148" t="s">
        <v>213</v>
      </c>
      <c r="G15" s="149"/>
      <c r="H15" s="149">
        <v>-540</v>
      </c>
      <c r="I15" s="246"/>
      <c r="J15" s="149">
        <v>-526</v>
      </c>
      <c r="K15" s="246"/>
      <c r="L15" s="149">
        <v>-404</v>
      </c>
      <c r="M15" s="151"/>
      <c r="N15" s="152"/>
      <c r="O15" s="151"/>
      <c r="P15" s="153"/>
      <c r="Q15" s="153"/>
      <c r="R15" s="153"/>
    </row>
    <row r="16" spans="1:18" ht="21.75" customHeight="1">
      <c r="A16" s="133"/>
      <c r="B16" s="133"/>
      <c r="C16" s="133"/>
      <c r="D16" s="133"/>
      <c r="E16" s="147"/>
      <c r="F16" s="148" t="s">
        <v>214</v>
      </c>
      <c r="G16" s="150"/>
      <c r="H16" s="150">
        <v>-7258</v>
      </c>
      <c r="I16" s="154"/>
      <c r="J16" s="150">
        <v>-3990</v>
      </c>
      <c r="K16" s="149"/>
      <c r="L16" s="150">
        <v>-3873</v>
      </c>
      <c r="M16" s="151"/>
      <c r="N16" s="151"/>
      <c r="O16" s="151"/>
      <c r="P16" s="151"/>
      <c r="Q16" s="152"/>
      <c r="R16" s="152"/>
    </row>
    <row r="17" spans="1:18" ht="21.75" customHeight="1">
      <c r="A17" s="77"/>
      <c r="B17" s="77"/>
      <c r="C17" s="160"/>
      <c r="D17" s="247"/>
      <c r="E17" s="247"/>
      <c r="F17" s="148" t="s">
        <v>215</v>
      </c>
      <c r="G17" s="150">
        <v>-2250</v>
      </c>
      <c r="H17" s="150"/>
      <c r="I17" s="150"/>
      <c r="J17" s="149">
        <v>-2250</v>
      </c>
      <c r="K17" s="150"/>
      <c r="L17" s="149"/>
      <c r="M17" s="150">
        <v>-2250</v>
      </c>
      <c r="N17" s="150"/>
      <c r="O17" s="150"/>
      <c r="P17" s="151"/>
      <c r="Q17" s="152"/>
      <c r="R17" s="151"/>
    </row>
    <row r="18" spans="1:18" ht="21.75" customHeight="1">
      <c r="A18" s="77"/>
      <c r="B18" s="77"/>
      <c r="C18" s="160"/>
      <c r="D18" s="247"/>
      <c r="E18" s="247"/>
      <c r="F18" s="148" t="s">
        <v>216</v>
      </c>
      <c r="G18" s="152"/>
      <c r="H18" s="152"/>
      <c r="I18" s="150">
        <v>-3000</v>
      </c>
      <c r="J18" s="149"/>
      <c r="K18" s="246"/>
      <c r="L18" s="150">
        <v>-3000</v>
      </c>
      <c r="M18" s="150"/>
      <c r="N18" s="150"/>
      <c r="O18" s="151"/>
      <c r="P18" s="151"/>
      <c r="Q18" s="152"/>
      <c r="R18" s="152"/>
    </row>
    <row r="19" spans="1:18" ht="21.75" customHeight="1">
      <c r="A19" s="77"/>
      <c r="B19" s="77"/>
      <c r="C19" s="160"/>
      <c r="D19" s="247"/>
      <c r="E19" s="247"/>
      <c r="F19" s="148" t="s">
        <v>217</v>
      </c>
      <c r="G19" s="152">
        <v>-600</v>
      </c>
      <c r="H19" s="152">
        <v>-2600</v>
      </c>
      <c r="I19" s="152">
        <v>-600</v>
      </c>
      <c r="J19" s="152">
        <v>-600</v>
      </c>
      <c r="K19" s="152">
        <v>-600</v>
      </c>
      <c r="L19" s="152">
        <v>-600</v>
      </c>
      <c r="M19" s="152">
        <v>-600</v>
      </c>
      <c r="N19" s="152">
        <v>-600</v>
      </c>
      <c r="O19" s="152">
        <v>-600</v>
      </c>
      <c r="P19" s="152">
        <v>-600</v>
      </c>
      <c r="Q19" s="152">
        <v>-600</v>
      </c>
      <c r="R19" s="152">
        <v>-600</v>
      </c>
    </row>
    <row r="20" spans="1:18" ht="21.75" customHeight="1">
      <c r="A20" s="77"/>
      <c r="B20" s="77"/>
      <c r="C20" s="160"/>
      <c r="D20" s="247"/>
      <c r="E20" s="247"/>
      <c r="F20" s="148" t="s">
        <v>118</v>
      </c>
      <c r="G20" s="152">
        <f t="shared" ref="G20:R20" si="1">SUM(G15:G19)</f>
        <v>-2850</v>
      </c>
      <c r="H20" s="152">
        <f t="shared" si="1"/>
        <v>-10398</v>
      </c>
      <c r="I20" s="152">
        <f t="shared" si="1"/>
        <v>-3600</v>
      </c>
      <c r="J20" s="152">
        <f t="shared" si="1"/>
        <v>-7366</v>
      </c>
      <c r="K20" s="152">
        <f t="shared" si="1"/>
        <v>-600</v>
      </c>
      <c r="L20" s="152">
        <f t="shared" si="1"/>
        <v>-7877</v>
      </c>
      <c r="M20" s="152">
        <f t="shared" si="1"/>
        <v>-2850</v>
      </c>
      <c r="N20" s="152">
        <f t="shared" si="1"/>
        <v>-600</v>
      </c>
      <c r="O20" s="152">
        <f t="shared" si="1"/>
        <v>-600</v>
      </c>
      <c r="P20" s="152">
        <f t="shared" si="1"/>
        <v>-600</v>
      </c>
      <c r="Q20" s="152">
        <f t="shared" si="1"/>
        <v>-600</v>
      </c>
      <c r="R20" s="152">
        <f t="shared" si="1"/>
        <v>-600</v>
      </c>
    </row>
    <row r="21" spans="1:18" ht="21.75" customHeight="1">
      <c r="A21" s="77"/>
      <c r="B21" s="77"/>
      <c r="C21" s="77"/>
      <c r="D21" s="77"/>
      <c r="E21" s="157"/>
      <c r="F21" s="158"/>
      <c r="G21" s="159" t="s">
        <v>2</v>
      </c>
      <c r="H21" s="159" t="s">
        <v>3</v>
      </c>
      <c r="I21" s="159" t="s">
        <v>4</v>
      </c>
      <c r="J21" s="159" t="s">
        <v>5</v>
      </c>
      <c r="K21" s="159" t="s">
        <v>6</v>
      </c>
      <c r="L21" s="159" t="s">
        <v>7</v>
      </c>
      <c r="M21" s="159" t="s">
        <v>8</v>
      </c>
      <c r="N21" s="159" t="s">
        <v>9</v>
      </c>
      <c r="O21" s="159" t="s">
        <v>10</v>
      </c>
      <c r="P21" s="159" t="s">
        <v>11</v>
      </c>
      <c r="Q21" s="159" t="s">
        <v>12</v>
      </c>
      <c r="R21" s="159" t="s">
        <v>16</v>
      </c>
    </row>
    <row r="22" spans="1:18" ht="21.75" customHeight="1">
      <c r="A22" s="77"/>
      <c r="B22" s="77"/>
      <c r="C22" s="160"/>
      <c r="D22" s="78"/>
      <c r="E22" s="161" t="s">
        <v>79</v>
      </c>
      <c r="F22" s="162" t="s">
        <v>119</v>
      </c>
      <c r="G22" s="163">
        <v>5900</v>
      </c>
      <c r="H22" s="163">
        <v>6020</v>
      </c>
      <c r="I22" s="163">
        <v>6134</v>
      </c>
      <c r="J22" s="163">
        <v>6238</v>
      </c>
      <c r="K22" s="163">
        <v>6324</v>
      </c>
      <c r="L22" s="163">
        <v>6444</v>
      </c>
      <c r="M22" s="163">
        <v>6588</v>
      </c>
      <c r="N22" s="163">
        <v>6766</v>
      </c>
      <c r="O22" s="163">
        <v>6898</v>
      </c>
      <c r="P22" s="163">
        <v>7002</v>
      </c>
      <c r="Q22" s="163">
        <v>7188</v>
      </c>
      <c r="R22" s="163"/>
    </row>
    <row r="23" spans="1:18" ht="21.75" customHeight="1">
      <c r="A23" s="77"/>
      <c r="B23" s="77"/>
      <c r="C23" s="160"/>
      <c r="D23" s="78"/>
      <c r="E23" s="165"/>
      <c r="F23" s="166" t="s">
        <v>121</v>
      </c>
      <c r="G23" s="167"/>
      <c r="H23" s="242">
        <f t="shared" ref="H23:R23" si="2">IF((H22-G22)*5.5&gt;0,(H22-G22)*5.5,0)</f>
        <v>660</v>
      </c>
      <c r="I23" s="242">
        <f t="shared" si="2"/>
        <v>627</v>
      </c>
      <c r="J23" s="243">
        <f t="shared" si="2"/>
        <v>572</v>
      </c>
      <c r="K23" s="243">
        <f t="shared" si="2"/>
        <v>473</v>
      </c>
      <c r="L23" s="242">
        <f t="shared" si="2"/>
        <v>660</v>
      </c>
      <c r="M23" s="242">
        <f t="shared" si="2"/>
        <v>792</v>
      </c>
      <c r="N23" s="242">
        <f t="shared" si="2"/>
        <v>979</v>
      </c>
      <c r="O23" s="242">
        <f t="shared" si="2"/>
        <v>726</v>
      </c>
      <c r="P23" s="242">
        <f t="shared" si="2"/>
        <v>572</v>
      </c>
      <c r="Q23" s="243">
        <f t="shared" si="2"/>
        <v>1023</v>
      </c>
      <c r="R23" s="243">
        <f t="shared" si="2"/>
        <v>0</v>
      </c>
    </row>
    <row r="24" spans="1:18" ht="21.75" customHeight="1">
      <c r="A24" s="77"/>
      <c r="B24" s="77"/>
      <c r="C24" s="160"/>
      <c r="D24" s="78"/>
      <c r="E24" s="161" t="s">
        <v>85</v>
      </c>
      <c r="F24" s="162" t="s">
        <v>119</v>
      </c>
      <c r="G24" s="163">
        <v>5188</v>
      </c>
      <c r="H24" s="163">
        <v>5364</v>
      </c>
      <c r="I24" s="163">
        <v>5532</v>
      </c>
      <c r="J24" s="163"/>
      <c r="K24" s="163"/>
      <c r="L24" s="163">
        <v>6020</v>
      </c>
      <c r="M24" s="163">
        <v>6124</v>
      </c>
      <c r="N24" s="163">
        <v>6426</v>
      </c>
      <c r="O24" s="163">
        <v>6714</v>
      </c>
      <c r="P24" s="163">
        <v>6978</v>
      </c>
      <c r="Q24" s="163"/>
      <c r="R24" s="163"/>
    </row>
    <row r="25" spans="1:18" ht="21.75" customHeight="1">
      <c r="A25" s="77"/>
      <c r="B25" s="77"/>
      <c r="C25" s="160"/>
      <c r="D25" s="78"/>
      <c r="E25" s="165"/>
      <c r="F25" s="166" t="s">
        <v>121</v>
      </c>
      <c r="G25" s="167"/>
      <c r="H25" s="242">
        <f t="shared" ref="H25:K25" si="3">IF((H24-G24)*5.5&gt;0,(H24-G24)*5.5,0)</f>
        <v>968</v>
      </c>
      <c r="I25" s="242">
        <f t="shared" si="3"/>
        <v>924</v>
      </c>
      <c r="J25" s="243">
        <f t="shared" si="3"/>
        <v>0</v>
      </c>
      <c r="K25" s="243">
        <f t="shared" si="3"/>
        <v>0</v>
      </c>
      <c r="L25" s="243"/>
      <c r="M25" s="242">
        <f t="shared" ref="M25:R25" si="4">IF((M24-L24)*5.5&gt;0,(M24-L24)*5.5,0)</f>
        <v>572</v>
      </c>
      <c r="N25" s="242">
        <f t="shared" si="4"/>
        <v>1661</v>
      </c>
      <c r="O25" s="242">
        <f t="shared" si="4"/>
        <v>1584</v>
      </c>
      <c r="P25" s="242">
        <f t="shared" si="4"/>
        <v>1452</v>
      </c>
      <c r="Q25" s="243">
        <f t="shared" si="4"/>
        <v>0</v>
      </c>
      <c r="R25" s="243">
        <f t="shared" si="4"/>
        <v>0</v>
      </c>
    </row>
    <row r="26" spans="1:18" ht="21.75" customHeight="1">
      <c r="A26" s="77"/>
      <c r="B26" s="77"/>
      <c r="C26" s="160"/>
      <c r="D26" s="78"/>
      <c r="E26" s="169" t="s">
        <v>90</v>
      </c>
      <c r="F26" s="162" t="s">
        <v>119</v>
      </c>
      <c r="G26" s="170">
        <v>6022</v>
      </c>
      <c r="H26" s="170">
        <v>6256</v>
      </c>
      <c r="I26" s="170">
        <v>6285</v>
      </c>
      <c r="J26" s="170"/>
      <c r="K26" s="170"/>
      <c r="L26" s="170">
        <v>6563</v>
      </c>
      <c r="M26" s="170">
        <v>6659</v>
      </c>
      <c r="N26" s="170">
        <v>6771</v>
      </c>
      <c r="O26" s="248"/>
      <c r="P26" s="170"/>
      <c r="Q26" s="170"/>
      <c r="R26" s="171"/>
    </row>
    <row r="27" spans="1:18" ht="21.75" customHeight="1">
      <c r="A27" s="77"/>
      <c r="B27" s="77"/>
      <c r="C27" s="160"/>
      <c r="D27" s="78"/>
      <c r="E27" s="165"/>
      <c r="F27" s="166" t="s">
        <v>121</v>
      </c>
      <c r="G27" s="172"/>
      <c r="H27" s="242">
        <f>IF((H26-G26)*5.5&gt;0,(H26-G26)*5.5,0)</f>
        <v>1287</v>
      </c>
      <c r="I27" s="243"/>
      <c r="J27" s="243">
        <f t="shared" ref="J27:K27" si="5">IF((J26-I26)*5.5&gt;0,(J26-I26)*5.5,0)</f>
        <v>0</v>
      </c>
      <c r="K27" s="243">
        <f t="shared" si="5"/>
        <v>0</v>
      </c>
      <c r="L27" s="242">
        <v>1529</v>
      </c>
      <c r="M27" s="242">
        <f t="shared" ref="M27:R27" si="6">IF((M26-L26)*5.5&gt;0,(M26-L26)*5.5,0)</f>
        <v>528</v>
      </c>
      <c r="N27" s="242">
        <f t="shared" si="6"/>
        <v>616</v>
      </c>
      <c r="O27" s="243">
        <f t="shared" si="6"/>
        <v>0</v>
      </c>
      <c r="P27" s="243">
        <f t="shared" si="6"/>
        <v>0</v>
      </c>
      <c r="Q27" s="243">
        <f t="shared" si="6"/>
        <v>0</v>
      </c>
      <c r="R27" s="243">
        <f t="shared" si="6"/>
        <v>0</v>
      </c>
    </row>
    <row r="28" spans="1:18" ht="21.75" customHeight="1">
      <c r="A28" s="77"/>
      <c r="B28" s="77"/>
      <c r="C28" s="160"/>
      <c r="D28" s="78"/>
      <c r="E28" s="169" t="s">
        <v>97</v>
      </c>
      <c r="F28" s="162" t="s">
        <v>119</v>
      </c>
      <c r="G28" s="170">
        <v>8700</v>
      </c>
      <c r="H28" s="170">
        <v>8914</v>
      </c>
      <c r="I28" s="170">
        <v>9096</v>
      </c>
      <c r="J28" s="170">
        <v>9274</v>
      </c>
      <c r="K28" s="170">
        <v>9424</v>
      </c>
      <c r="L28" s="170">
        <v>9702</v>
      </c>
      <c r="M28" s="170">
        <v>10002</v>
      </c>
      <c r="N28" s="170">
        <v>10154</v>
      </c>
      <c r="O28" s="174">
        <v>10494</v>
      </c>
      <c r="P28" s="170">
        <v>10844</v>
      </c>
      <c r="Q28" s="170">
        <v>11164</v>
      </c>
      <c r="R28" s="171"/>
    </row>
    <row r="29" spans="1:18" ht="21.75" customHeight="1">
      <c r="A29" s="77"/>
      <c r="B29" s="77"/>
      <c r="C29" s="160"/>
      <c r="D29" s="78"/>
      <c r="E29" s="173"/>
      <c r="F29" s="166" t="s">
        <v>121</v>
      </c>
      <c r="G29" s="172"/>
      <c r="H29" s="242">
        <f t="shared" ref="H29:L29" si="7">IF((H28-G28)*5.5&gt;0,(H28-G28)*5.5,0)</f>
        <v>1177</v>
      </c>
      <c r="I29" s="242">
        <f t="shared" si="7"/>
        <v>1001</v>
      </c>
      <c r="J29" s="242">
        <f t="shared" si="7"/>
        <v>979</v>
      </c>
      <c r="K29" s="242">
        <f t="shared" si="7"/>
        <v>825</v>
      </c>
      <c r="L29" s="243">
        <f t="shared" si="7"/>
        <v>1529</v>
      </c>
      <c r="M29" s="243"/>
      <c r="N29" s="242">
        <f t="shared" ref="N29:R29" si="8">IF((N28-M28)*5.5&gt;0,(N28-M28)*5.5,0)</f>
        <v>836</v>
      </c>
      <c r="O29" s="242">
        <f t="shared" si="8"/>
        <v>1870</v>
      </c>
      <c r="P29" s="242">
        <f t="shared" si="8"/>
        <v>1925</v>
      </c>
      <c r="Q29" s="243">
        <f t="shared" si="8"/>
        <v>1760</v>
      </c>
      <c r="R29" s="243">
        <f t="shared" si="8"/>
        <v>0</v>
      </c>
    </row>
    <row r="30" spans="1:18" ht="21.75" customHeight="1">
      <c r="A30" s="77"/>
      <c r="B30" s="77"/>
      <c r="C30" s="160"/>
      <c r="D30" s="78"/>
      <c r="E30" s="173" t="s">
        <v>104</v>
      </c>
      <c r="F30" s="162" t="s">
        <v>119</v>
      </c>
      <c r="G30" s="174">
        <v>5022</v>
      </c>
      <c r="H30" s="174">
        <v>5144</v>
      </c>
      <c r="I30" s="174">
        <v>5168</v>
      </c>
      <c r="J30" s="174">
        <v>5192</v>
      </c>
      <c r="K30" s="174">
        <v>5220</v>
      </c>
      <c r="L30" s="174">
        <v>5300</v>
      </c>
      <c r="M30" s="174">
        <v>5408</v>
      </c>
      <c r="N30" s="174">
        <v>5562</v>
      </c>
      <c r="O30" s="174">
        <v>5696</v>
      </c>
      <c r="P30" s="174">
        <v>5854</v>
      </c>
      <c r="Q30" s="174">
        <v>5912</v>
      </c>
      <c r="R30" s="174"/>
    </row>
    <row r="31" spans="1:18" ht="21.75" customHeight="1">
      <c r="A31" s="77"/>
      <c r="B31" s="77"/>
      <c r="C31" s="160"/>
      <c r="D31" s="78"/>
      <c r="E31" s="173"/>
      <c r="F31" s="166" t="s">
        <v>121</v>
      </c>
      <c r="G31" s="167"/>
      <c r="H31" s="242">
        <f t="shared" ref="H31:R31" si="9">IF((H30-G30)*5.5&gt;0,(H30-G30)*5.5,0)</f>
        <v>671</v>
      </c>
      <c r="I31" s="242">
        <f t="shared" si="9"/>
        <v>132</v>
      </c>
      <c r="J31" s="242">
        <f t="shared" si="9"/>
        <v>132</v>
      </c>
      <c r="K31" s="242">
        <f t="shared" si="9"/>
        <v>154</v>
      </c>
      <c r="L31" s="242">
        <f t="shared" si="9"/>
        <v>440</v>
      </c>
      <c r="M31" s="242">
        <f t="shared" si="9"/>
        <v>594</v>
      </c>
      <c r="N31" s="242">
        <f t="shared" si="9"/>
        <v>847</v>
      </c>
      <c r="O31" s="242">
        <f t="shared" si="9"/>
        <v>737</v>
      </c>
      <c r="P31" s="242">
        <f t="shared" si="9"/>
        <v>869</v>
      </c>
      <c r="Q31" s="242">
        <f t="shared" si="9"/>
        <v>319</v>
      </c>
      <c r="R31" s="243">
        <f t="shared" si="9"/>
        <v>0</v>
      </c>
    </row>
    <row r="32" spans="1:18" ht="21.75" customHeight="1">
      <c r="A32" s="77"/>
      <c r="B32" s="77"/>
      <c r="C32" s="160"/>
      <c r="D32" s="78"/>
      <c r="E32" s="173" t="s">
        <v>108</v>
      </c>
      <c r="F32" s="162" t="s">
        <v>119</v>
      </c>
      <c r="G32" s="163">
        <v>8445</v>
      </c>
      <c r="H32" s="163">
        <v>8645</v>
      </c>
      <c r="I32" s="163">
        <v>8839</v>
      </c>
      <c r="J32" s="163">
        <v>8997</v>
      </c>
      <c r="K32" s="163">
        <v>9111</v>
      </c>
      <c r="L32" s="163">
        <v>9211</v>
      </c>
      <c r="M32" s="163">
        <v>9303</v>
      </c>
      <c r="N32" s="163"/>
      <c r="O32" s="163"/>
      <c r="P32" s="163"/>
      <c r="Q32" s="163"/>
      <c r="R32" s="163"/>
    </row>
    <row r="33" spans="1:18" ht="21.75" customHeight="1">
      <c r="A33" s="77"/>
      <c r="B33" s="77"/>
      <c r="C33" s="160"/>
      <c r="D33" s="78"/>
      <c r="E33" s="165"/>
      <c r="F33" s="166" t="s">
        <v>121</v>
      </c>
      <c r="G33" s="167"/>
      <c r="H33" s="242">
        <f t="shared" ref="H33:R33" si="10">IF((H32-G32)*5.5&gt;0,(H32-G32)*5.5,0)</f>
        <v>1100</v>
      </c>
      <c r="I33" s="242">
        <f t="shared" si="10"/>
        <v>1067</v>
      </c>
      <c r="J33" s="242">
        <f t="shared" si="10"/>
        <v>869</v>
      </c>
      <c r="K33" s="242">
        <f t="shared" si="10"/>
        <v>627</v>
      </c>
      <c r="L33" s="242">
        <f t="shared" si="10"/>
        <v>550</v>
      </c>
      <c r="M33" s="242">
        <f t="shared" si="10"/>
        <v>506</v>
      </c>
      <c r="N33" s="243">
        <f t="shared" si="10"/>
        <v>0</v>
      </c>
      <c r="O33" s="243">
        <f t="shared" si="10"/>
        <v>0</v>
      </c>
      <c r="P33" s="243">
        <f t="shared" si="10"/>
        <v>0</v>
      </c>
      <c r="Q33" s="243">
        <f t="shared" si="10"/>
        <v>0</v>
      </c>
      <c r="R33" s="243">
        <f t="shared" si="10"/>
        <v>0</v>
      </c>
    </row>
    <row r="34" spans="1:18" ht="21.75" customHeight="1">
      <c r="A34" s="77"/>
      <c r="B34" s="77"/>
      <c r="C34" s="160"/>
      <c r="D34" s="78"/>
      <c r="E34" s="176"/>
      <c r="F34" s="177" t="s">
        <v>122</v>
      </c>
      <c r="G34" s="168">
        <f t="shared" ref="G34:R34" si="11">G23+G25+G27+G29+G31+G33</f>
        <v>0</v>
      </c>
      <c r="H34" s="168">
        <f t="shared" si="11"/>
        <v>5863</v>
      </c>
      <c r="I34" s="168">
        <f t="shared" si="11"/>
        <v>3751</v>
      </c>
      <c r="J34" s="168">
        <f t="shared" si="11"/>
        <v>2552</v>
      </c>
      <c r="K34" s="168">
        <f t="shared" si="11"/>
        <v>2079</v>
      </c>
      <c r="L34" s="168">
        <f t="shared" si="11"/>
        <v>4708</v>
      </c>
      <c r="M34" s="168">
        <f t="shared" si="11"/>
        <v>2992</v>
      </c>
      <c r="N34" s="168">
        <f t="shared" si="11"/>
        <v>4939</v>
      </c>
      <c r="O34" s="168">
        <f t="shared" si="11"/>
        <v>4917</v>
      </c>
      <c r="P34" s="168">
        <f t="shared" si="11"/>
        <v>4818</v>
      </c>
      <c r="Q34" s="168">
        <f t="shared" si="11"/>
        <v>3102</v>
      </c>
      <c r="R34" s="168">
        <f t="shared" si="11"/>
        <v>0</v>
      </c>
    </row>
    <row r="35" spans="1:18" ht="21.75" customHeight="1">
      <c r="A35" s="77"/>
      <c r="B35" s="77"/>
      <c r="C35" s="160"/>
      <c r="D35" s="78"/>
      <c r="E35" s="178" t="s">
        <v>123</v>
      </c>
      <c r="F35" s="179"/>
      <c r="G35" s="180">
        <f>'10-景新'!$G$14+G20+'10-景新'!$G$34</f>
        <v>87650</v>
      </c>
      <c r="H35" s="180">
        <f>'10-景新'!$H$14+H20+'10-景新'!$H$34</f>
        <v>78465</v>
      </c>
      <c r="I35" s="180">
        <f>'10-景新'!$H$14+I20+'10-景新'!$H$34</f>
        <v>85263</v>
      </c>
      <c r="J35" s="180">
        <f>'10-景新'!$I$14+J20+'10-景新'!$I$34</f>
        <v>71885</v>
      </c>
      <c r="K35" s="180">
        <f>'10-景新'!$I$14+K20+'10-景新'!$I$34</f>
        <v>78651</v>
      </c>
      <c r="L35" s="180">
        <f>'10-景新'!$J$14+L20+'10-景新'!$J$34</f>
        <v>83675</v>
      </c>
      <c r="M35" s="180">
        <f>'10-景新'!$J$14+M20+'10-景新'!$J$34</f>
        <v>88702</v>
      </c>
      <c r="N35" s="180">
        <f>'10-景新'!$K$14+N20+'10-景新'!$K$34</f>
        <v>90479</v>
      </c>
      <c r="O35" s="180">
        <f>'10-景新'!$K$14+O20+'10-景新'!$K$34</f>
        <v>90479</v>
      </c>
      <c r="P35" s="180">
        <f>'10-景新'!$L$14+P20+'10-景新'!$L$34</f>
        <v>78608</v>
      </c>
      <c r="Q35" s="180">
        <f>'10-景新'!$L$14+Q20+'10-景新'!$L$34</f>
        <v>78608</v>
      </c>
      <c r="R35" s="180">
        <f>'10-景新'!$M$14+R20+'10-景新'!$M$34</f>
        <v>84392</v>
      </c>
    </row>
    <row r="36" spans="1:18" ht="21.75" customHeight="1">
      <c r="A36" s="77"/>
      <c r="B36" s="77"/>
      <c r="C36" s="160"/>
      <c r="D36" s="78"/>
      <c r="E36" s="77"/>
      <c r="F36" s="132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</row>
    <row r="37" spans="1:18" ht="21.75" customHeight="1">
      <c r="A37" s="77"/>
      <c r="B37" s="77"/>
      <c r="C37" s="160"/>
      <c r="D37" s="78"/>
      <c r="E37" s="77"/>
      <c r="F37" s="132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</row>
    <row r="38" spans="1:18" ht="21.75" customHeight="1">
      <c r="A38" s="77"/>
      <c r="B38" s="77"/>
      <c r="C38" s="160"/>
      <c r="D38" s="78"/>
      <c r="E38" s="77"/>
      <c r="F38" s="132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</row>
    <row r="39" spans="1:18" ht="21.75" customHeight="1">
      <c r="A39" s="77"/>
      <c r="B39" s="77"/>
      <c r="C39" s="160"/>
      <c r="D39" s="78"/>
      <c r="E39" s="77"/>
      <c r="F39" s="132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</row>
    <row r="40" spans="1:18" ht="21.75" customHeight="1">
      <c r="A40" s="77"/>
      <c r="B40" s="77"/>
      <c r="C40" s="160"/>
      <c r="D40" s="78"/>
      <c r="E40" s="77"/>
      <c r="F40" s="132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</row>
    <row r="41" spans="1:18" ht="21.75" customHeight="1">
      <c r="A41" s="77"/>
      <c r="B41" s="77"/>
      <c r="C41" s="160"/>
      <c r="D41" s="78"/>
      <c r="E41" s="77"/>
      <c r="F41" s="132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</row>
    <row r="42" spans="1:18" ht="21.75" customHeight="1">
      <c r="A42" s="77"/>
      <c r="B42" s="77"/>
      <c r="C42" s="160"/>
      <c r="D42" s="78"/>
      <c r="E42" s="77"/>
      <c r="F42" s="132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</row>
    <row r="43" spans="1:18" ht="21.75" customHeight="1">
      <c r="A43" s="77"/>
      <c r="B43" s="77"/>
      <c r="C43" s="160"/>
      <c r="D43" s="78"/>
      <c r="E43" s="77"/>
      <c r="F43" s="132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</row>
    <row r="44" spans="1:18" ht="21.75" customHeight="1">
      <c r="A44" s="77"/>
      <c r="B44" s="77"/>
      <c r="C44" s="160"/>
      <c r="D44" s="78"/>
      <c r="E44" s="77"/>
      <c r="F44" s="132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</row>
    <row r="45" spans="1:18" ht="21.75" customHeight="1">
      <c r="A45" s="77"/>
      <c r="B45" s="77"/>
      <c r="C45" s="160"/>
      <c r="D45" s="78"/>
      <c r="E45" s="77"/>
      <c r="F45" s="132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</row>
    <row r="46" spans="1:18" ht="21.75" customHeight="1">
      <c r="A46" s="77"/>
      <c r="B46" s="77"/>
      <c r="C46" s="160"/>
      <c r="D46" s="78"/>
      <c r="E46" s="77"/>
      <c r="F46" s="132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</row>
    <row r="47" spans="1:18" ht="21.75" customHeight="1">
      <c r="A47" s="77"/>
      <c r="B47" s="77"/>
      <c r="C47" s="160"/>
      <c r="D47" s="78"/>
      <c r="E47" s="77"/>
      <c r="F47" s="132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</row>
    <row r="48" spans="1:18" ht="21.75" customHeight="1">
      <c r="A48" s="77"/>
      <c r="B48" s="77"/>
      <c r="C48" s="160"/>
      <c r="D48" s="78"/>
      <c r="E48" s="77"/>
      <c r="F48" s="132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</row>
    <row r="49" spans="1:18" ht="21.75" customHeight="1">
      <c r="A49" s="77"/>
      <c r="B49" s="77"/>
      <c r="C49" s="160"/>
      <c r="D49" s="78"/>
      <c r="E49" s="77"/>
      <c r="F49" s="132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</row>
    <row r="50" spans="1:18" ht="21.75" customHeight="1">
      <c r="A50" s="77"/>
      <c r="B50" s="77"/>
      <c r="C50" s="160"/>
      <c r="D50" s="78"/>
      <c r="E50" s="77"/>
      <c r="F50" s="132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</row>
    <row r="51" spans="1:18" ht="21.75" customHeight="1">
      <c r="A51" s="77"/>
      <c r="B51" s="77"/>
      <c r="C51" s="160"/>
      <c r="D51" s="78"/>
      <c r="E51" s="77"/>
      <c r="F51" s="132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</row>
    <row r="52" spans="1:18" ht="21.75" customHeight="1">
      <c r="A52" s="77"/>
      <c r="B52" s="77"/>
      <c r="C52" s="160"/>
      <c r="D52" s="78"/>
      <c r="E52" s="77"/>
      <c r="F52" s="132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</row>
    <row r="53" spans="1:18" ht="21.75" customHeight="1">
      <c r="A53" s="77"/>
      <c r="B53" s="77"/>
      <c r="C53" s="160"/>
      <c r="D53" s="78"/>
      <c r="E53" s="77"/>
      <c r="F53" s="132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</row>
    <row r="54" spans="1:18" ht="21.75" customHeight="1">
      <c r="A54" s="77"/>
      <c r="B54" s="77"/>
      <c r="C54" s="160"/>
      <c r="D54" s="78"/>
      <c r="E54" s="77"/>
      <c r="F54" s="132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</row>
    <row r="55" spans="1:18" ht="21.75" customHeight="1">
      <c r="A55" s="77"/>
      <c r="B55" s="77"/>
      <c r="C55" s="160"/>
      <c r="D55" s="78"/>
      <c r="E55" s="77"/>
      <c r="F55" s="132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</row>
    <row r="56" spans="1:18" ht="21.75" customHeight="1">
      <c r="A56" s="77"/>
      <c r="B56" s="77"/>
      <c r="C56" s="160"/>
      <c r="D56" s="78"/>
      <c r="E56" s="77"/>
      <c r="F56" s="132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</row>
    <row r="57" spans="1:18" ht="21.75" customHeight="1">
      <c r="A57" s="77"/>
      <c r="B57" s="77"/>
      <c r="C57" s="160"/>
      <c r="D57" s="78"/>
      <c r="E57" s="77"/>
      <c r="F57" s="132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</row>
    <row r="58" spans="1:18" ht="21.75" customHeight="1">
      <c r="A58" s="77"/>
      <c r="B58" s="77"/>
      <c r="C58" s="160"/>
      <c r="D58" s="78"/>
      <c r="E58" s="77"/>
      <c r="F58" s="132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</row>
    <row r="59" spans="1:18" ht="21.75" customHeight="1">
      <c r="A59" s="77"/>
      <c r="B59" s="77"/>
      <c r="C59" s="160"/>
      <c r="D59" s="78"/>
      <c r="E59" s="77"/>
      <c r="F59" s="132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</row>
    <row r="60" spans="1:18" ht="21.75" customHeight="1">
      <c r="A60" s="77"/>
      <c r="B60" s="77"/>
      <c r="C60" s="160"/>
      <c r="D60" s="78"/>
      <c r="E60" s="77"/>
      <c r="F60" s="132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</row>
    <row r="61" spans="1:18" ht="21.75" customHeight="1">
      <c r="A61" s="77"/>
      <c r="B61" s="77"/>
      <c r="C61" s="160"/>
      <c r="D61" s="78"/>
      <c r="E61" s="77"/>
      <c r="F61" s="132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</row>
    <row r="62" spans="1:18" ht="21.75" customHeight="1">
      <c r="A62" s="77"/>
      <c r="B62" s="77"/>
      <c r="C62" s="160"/>
      <c r="D62" s="78"/>
      <c r="E62" s="77"/>
      <c r="F62" s="132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</row>
    <row r="63" spans="1:18" ht="21.75" customHeight="1">
      <c r="A63" s="77"/>
      <c r="B63" s="77"/>
      <c r="C63" s="160"/>
      <c r="D63" s="78"/>
      <c r="E63" s="77"/>
      <c r="F63" s="132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</row>
    <row r="64" spans="1:18" ht="21.75" customHeight="1">
      <c r="A64" s="77"/>
      <c r="B64" s="77"/>
      <c r="C64" s="160"/>
      <c r="D64" s="78"/>
      <c r="E64" s="77"/>
      <c r="F64" s="132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</row>
    <row r="65" spans="1:18" ht="21.75" customHeight="1">
      <c r="A65" s="77"/>
      <c r="B65" s="77"/>
      <c r="C65" s="160"/>
      <c r="D65" s="78"/>
      <c r="E65" s="77"/>
      <c r="F65" s="132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</row>
    <row r="66" spans="1:18" ht="21.75" customHeight="1">
      <c r="A66" s="77"/>
      <c r="B66" s="77"/>
      <c r="C66" s="160"/>
      <c r="D66" s="78"/>
      <c r="E66" s="77"/>
      <c r="F66" s="132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</row>
    <row r="67" spans="1:18" ht="21.75" customHeight="1">
      <c r="A67" s="77"/>
      <c r="B67" s="77"/>
      <c r="C67" s="160"/>
      <c r="D67" s="78"/>
      <c r="E67" s="77"/>
      <c r="F67" s="132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</row>
    <row r="68" spans="1:18" ht="21.75" customHeight="1">
      <c r="A68" s="77"/>
      <c r="B68" s="77"/>
      <c r="C68" s="160"/>
      <c r="D68" s="78"/>
      <c r="E68" s="77"/>
      <c r="F68" s="132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</row>
    <row r="69" spans="1:18" ht="21.75" customHeight="1">
      <c r="A69" s="77"/>
      <c r="B69" s="77"/>
      <c r="C69" s="160"/>
      <c r="D69" s="78"/>
      <c r="E69" s="77"/>
      <c r="F69" s="132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</row>
    <row r="70" spans="1:18" ht="21.75" customHeight="1">
      <c r="A70" s="77"/>
      <c r="B70" s="77"/>
      <c r="C70" s="160"/>
      <c r="D70" s="78"/>
      <c r="E70" s="77"/>
      <c r="F70" s="132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</row>
    <row r="71" spans="1:18" ht="21.75" customHeight="1">
      <c r="A71" s="77"/>
      <c r="B71" s="77"/>
      <c r="C71" s="160"/>
      <c r="D71" s="78"/>
      <c r="E71" s="77"/>
      <c r="F71" s="132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</row>
    <row r="72" spans="1:18" ht="21.75" customHeight="1">
      <c r="A72" s="77"/>
      <c r="B72" s="77"/>
      <c r="C72" s="160"/>
      <c r="D72" s="78"/>
      <c r="E72" s="77"/>
      <c r="F72" s="132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</row>
    <row r="73" spans="1:18" ht="21.75" customHeight="1">
      <c r="A73" s="77"/>
      <c r="B73" s="77"/>
      <c r="C73" s="160"/>
      <c r="D73" s="78"/>
      <c r="E73" s="77"/>
      <c r="F73" s="132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</row>
    <row r="74" spans="1:18" ht="21.75" customHeight="1">
      <c r="A74" s="77"/>
      <c r="B74" s="77"/>
      <c r="C74" s="160"/>
      <c r="D74" s="78"/>
      <c r="E74" s="77"/>
      <c r="F74" s="132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</row>
    <row r="75" spans="1:18" ht="21.75" customHeight="1">
      <c r="A75" s="77"/>
      <c r="B75" s="77"/>
      <c r="C75" s="160"/>
      <c r="D75" s="78"/>
      <c r="E75" s="77"/>
      <c r="F75" s="132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</row>
    <row r="76" spans="1:18" ht="21.75" customHeight="1">
      <c r="A76" s="77"/>
      <c r="B76" s="77"/>
      <c r="C76" s="160"/>
      <c r="D76" s="78"/>
      <c r="E76" s="77"/>
      <c r="F76" s="132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</row>
    <row r="77" spans="1:18" ht="21.75" customHeight="1">
      <c r="A77" s="77"/>
      <c r="B77" s="77"/>
      <c r="C77" s="160"/>
      <c r="D77" s="78"/>
      <c r="E77" s="77"/>
      <c r="F77" s="132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</row>
    <row r="78" spans="1:18" ht="21.75" customHeight="1">
      <c r="A78" s="77"/>
      <c r="B78" s="77"/>
      <c r="C78" s="160"/>
      <c r="D78" s="78"/>
      <c r="E78" s="77"/>
      <c r="F78" s="132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</row>
    <row r="79" spans="1:18" ht="21.75" customHeight="1">
      <c r="A79" s="77"/>
      <c r="B79" s="77"/>
      <c r="C79" s="160"/>
      <c r="D79" s="78"/>
      <c r="E79" s="77"/>
      <c r="F79" s="132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</row>
    <row r="80" spans="1:18" ht="21.75" customHeight="1">
      <c r="A80" s="77"/>
      <c r="B80" s="77"/>
      <c r="C80" s="160"/>
      <c r="D80" s="78"/>
      <c r="E80" s="77"/>
      <c r="F80" s="132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</row>
    <row r="81" spans="1:18" ht="21.75" customHeight="1">
      <c r="A81" s="77"/>
      <c r="B81" s="77"/>
      <c r="C81" s="160"/>
      <c r="D81" s="78"/>
      <c r="E81" s="77"/>
      <c r="F81" s="132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</row>
    <row r="82" spans="1:18" ht="21.75" customHeight="1">
      <c r="A82" s="77"/>
      <c r="B82" s="77"/>
      <c r="C82" s="160"/>
      <c r="D82" s="78"/>
      <c r="E82" s="77"/>
      <c r="F82" s="132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</row>
    <row r="83" spans="1:18" ht="21.75" customHeight="1">
      <c r="A83" s="77"/>
      <c r="B83" s="77"/>
      <c r="C83" s="160"/>
      <c r="D83" s="78"/>
      <c r="E83" s="77"/>
      <c r="F83" s="132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</row>
    <row r="84" spans="1:18" ht="21.75" customHeight="1">
      <c r="A84" s="77"/>
      <c r="B84" s="77"/>
      <c r="C84" s="160"/>
      <c r="D84" s="78"/>
      <c r="E84" s="77"/>
      <c r="F84" s="132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</row>
    <row r="85" spans="1:18" ht="21.75" customHeight="1">
      <c r="A85" s="77"/>
      <c r="B85" s="77"/>
      <c r="C85" s="160"/>
      <c r="D85" s="78"/>
      <c r="E85" s="77"/>
      <c r="F85" s="132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</row>
    <row r="86" spans="1:18" ht="21.75" customHeight="1">
      <c r="A86" s="77"/>
      <c r="B86" s="77"/>
      <c r="C86" s="160"/>
      <c r="D86" s="78"/>
      <c r="E86" s="77"/>
      <c r="F86" s="132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</row>
    <row r="87" spans="1:18" ht="21.75" customHeight="1">
      <c r="A87" s="77"/>
      <c r="B87" s="77"/>
      <c r="C87" s="160"/>
      <c r="D87" s="78"/>
      <c r="E87" s="77"/>
      <c r="F87" s="132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</row>
    <row r="88" spans="1:18" ht="21.75" customHeight="1">
      <c r="A88" s="77"/>
      <c r="B88" s="77"/>
      <c r="C88" s="160"/>
      <c r="D88" s="78"/>
      <c r="E88" s="77"/>
      <c r="F88" s="132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</row>
    <row r="89" spans="1:18" ht="21.75" customHeight="1">
      <c r="A89" s="77"/>
      <c r="B89" s="77"/>
      <c r="C89" s="160"/>
      <c r="D89" s="78"/>
      <c r="E89" s="77"/>
      <c r="F89" s="132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</row>
    <row r="90" spans="1:18" ht="21.75" customHeight="1">
      <c r="A90" s="77"/>
      <c r="B90" s="77"/>
      <c r="C90" s="160"/>
      <c r="D90" s="78"/>
      <c r="E90" s="77"/>
      <c r="F90" s="132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</row>
    <row r="91" spans="1:18" ht="21.75" customHeight="1">
      <c r="A91" s="77"/>
      <c r="B91" s="77"/>
      <c r="C91" s="160"/>
      <c r="D91" s="78"/>
      <c r="E91" s="77"/>
      <c r="F91" s="132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</row>
    <row r="92" spans="1:18" ht="21.75" customHeight="1">
      <c r="A92" s="77"/>
      <c r="B92" s="77"/>
      <c r="C92" s="160"/>
      <c r="D92" s="78"/>
      <c r="E92" s="77"/>
      <c r="F92" s="132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</row>
    <row r="93" spans="1:18" ht="21.75" customHeight="1">
      <c r="A93" s="77"/>
      <c r="B93" s="77"/>
      <c r="C93" s="160"/>
      <c r="D93" s="78"/>
      <c r="E93" s="77"/>
      <c r="F93" s="132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</row>
    <row r="94" spans="1:18" ht="21.75" customHeight="1">
      <c r="A94" s="77"/>
      <c r="B94" s="77"/>
      <c r="C94" s="160"/>
      <c r="D94" s="78"/>
      <c r="E94" s="77"/>
      <c r="F94" s="132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</row>
    <row r="95" spans="1:18" ht="21.75" customHeight="1">
      <c r="A95" s="77"/>
      <c r="B95" s="77"/>
      <c r="C95" s="160"/>
      <c r="D95" s="78"/>
      <c r="E95" s="77"/>
      <c r="F95" s="132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</row>
    <row r="96" spans="1:18" ht="21.75" customHeight="1">
      <c r="A96" s="77"/>
      <c r="B96" s="77"/>
      <c r="C96" s="160"/>
      <c r="D96" s="78"/>
      <c r="E96" s="77"/>
      <c r="F96" s="132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</row>
    <row r="97" spans="1:18" ht="21.75" customHeight="1">
      <c r="A97" s="77"/>
      <c r="B97" s="77"/>
      <c r="C97" s="160"/>
      <c r="D97" s="78"/>
      <c r="E97" s="77"/>
      <c r="F97" s="132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</row>
    <row r="98" spans="1:18" ht="21.75" customHeight="1">
      <c r="A98" s="77"/>
      <c r="B98" s="77"/>
      <c r="C98" s="160"/>
      <c r="D98" s="78"/>
      <c r="E98" s="77"/>
      <c r="F98" s="132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</row>
    <row r="99" spans="1:18" ht="21.75" customHeight="1">
      <c r="A99" s="77"/>
      <c r="B99" s="77"/>
      <c r="C99" s="160"/>
      <c r="D99" s="78"/>
      <c r="E99" s="77"/>
      <c r="F99" s="132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</row>
    <row r="100" spans="1:18" ht="21.75" customHeight="1">
      <c r="A100" s="77"/>
      <c r="B100" s="77"/>
      <c r="C100" s="160"/>
      <c r="D100" s="78"/>
      <c r="E100" s="77"/>
      <c r="F100" s="132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</row>
  </sheetData>
  <phoneticPr fontId="27" type="noConversion"/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2473A-B1EF-4111-B586-6E4D288E24D4}">
  <dimension ref="A1:Z16"/>
  <sheetViews>
    <sheetView tabSelected="1" zoomScale="130" zoomScaleNormal="130" workbookViewId="0">
      <selection activeCell="C14" sqref="C14"/>
    </sheetView>
  </sheetViews>
  <sheetFormatPr defaultRowHeight="14.25"/>
  <cols>
    <col min="1" max="1" width="10.125" style="381" bestFit="1" customWidth="1"/>
    <col min="2" max="2" width="12.875" style="381" bestFit="1" customWidth="1"/>
    <col min="3" max="24" width="15.25" style="381" bestFit="1" customWidth="1"/>
    <col min="25" max="25" width="20.75" style="381" bestFit="1" customWidth="1"/>
    <col min="26" max="26" width="23.125" style="381" bestFit="1" customWidth="1"/>
    <col min="27" max="27" width="20.625" style="381" bestFit="1" customWidth="1"/>
    <col min="28" max="16384" width="9" style="381"/>
  </cols>
  <sheetData>
    <row r="1" spans="1:26">
      <c r="A1" s="380" t="s">
        <v>236</v>
      </c>
      <c r="B1" s="381" t="s">
        <v>17</v>
      </c>
    </row>
    <row r="3" spans="1:26" ht="16.5">
      <c r="A3" s="380" t="s">
        <v>255</v>
      </c>
      <c r="B3" s="381" t="s">
        <v>254</v>
      </c>
      <c r="C3" s="381" t="s">
        <v>259</v>
      </c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</row>
    <row r="4" spans="1:26" ht="16.5">
      <c r="A4" s="382" t="s">
        <v>2</v>
      </c>
      <c r="B4" s="383">
        <v>46514</v>
      </c>
      <c r="C4" s="383">
        <v>30000</v>
      </c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</row>
    <row r="5" spans="1:26" ht="16.5">
      <c r="A5" s="382" t="s">
        <v>3</v>
      </c>
      <c r="B5" s="383">
        <v>31836</v>
      </c>
      <c r="C5" s="383">
        <v>30000</v>
      </c>
      <c r="D5"/>
      <c r="E5"/>
      <c r="F5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</row>
    <row r="6" spans="1:26" ht="16.5">
      <c r="A6" s="382" t="s">
        <v>4</v>
      </c>
      <c r="B6" s="383">
        <v>37688</v>
      </c>
      <c r="C6" s="383">
        <v>30000</v>
      </c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</row>
    <row r="7" spans="1:26">
      <c r="A7" s="382" t="s">
        <v>5</v>
      </c>
      <c r="B7" s="383">
        <v>37327</v>
      </c>
      <c r="C7" s="383">
        <v>30000</v>
      </c>
    </row>
    <row r="8" spans="1:26">
      <c r="A8" s="382" t="s">
        <v>6</v>
      </c>
      <c r="B8" s="383">
        <v>41031</v>
      </c>
      <c r="C8" s="383">
        <v>30000</v>
      </c>
    </row>
    <row r="9" spans="1:26">
      <c r="A9" s="382" t="s">
        <v>7</v>
      </c>
      <c r="B9" s="383">
        <v>48438</v>
      </c>
      <c r="C9" s="383">
        <v>30000</v>
      </c>
    </row>
    <row r="10" spans="1:26">
      <c r="A10" s="382" t="s">
        <v>8</v>
      </c>
      <c r="B10" s="383">
        <v>46097</v>
      </c>
      <c r="C10" s="383">
        <v>30000</v>
      </c>
    </row>
    <row r="11" spans="1:26">
      <c r="A11" s="382" t="s">
        <v>9</v>
      </c>
      <c r="B11" s="383">
        <v>21877</v>
      </c>
      <c r="C11" s="383">
        <v>30000</v>
      </c>
    </row>
    <row r="12" spans="1:26">
      <c r="A12" s="382" t="s">
        <v>10</v>
      </c>
      <c r="B12" s="383"/>
      <c r="C12" s="383">
        <v>30000</v>
      </c>
    </row>
    <row r="13" spans="1:26">
      <c r="A13" s="382" t="s">
        <v>11</v>
      </c>
      <c r="B13" s="383"/>
      <c r="C13" s="383">
        <v>30000</v>
      </c>
    </row>
    <row r="14" spans="1:26">
      <c r="A14" s="382" t="s">
        <v>12</v>
      </c>
      <c r="B14" s="383">
        <v>35163</v>
      </c>
      <c r="C14" s="383">
        <v>30000</v>
      </c>
    </row>
    <row r="15" spans="1:26">
      <c r="A15" s="382" t="s">
        <v>16</v>
      </c>
      <c r="B15" s="383">
        <v>56157</v>
      </c>
      <c r="C15" s="383">
        <v>30000</v>
      </c>
    </row>
    <row r="16" spans="1:26">
      <c r="A16" s="382" t="s">
        <v>256</v>
      </c>
      <c r="B16" s="383">
        <v>402128</v>
      </c>
      <c r="C16" s="383">
        <v>360000</v>
      </c>
    </row>
  </sheetData>
  <phoneticPr fontId="27" type="noConversion"/>
  <conditionalFormatting pivot="1" sqref="C4:C15">
    <cfRule type="cellIs" dxfId="2" priority="2" operator="lessThan">
      <formula>30000</formula>
    </cfRule>
  </conditionalFormatting>
  <conditionalFormatting pivot="1" sqref="B4:B15">
    <cfRule type="cellIs" dxfId="0" priority="1" operator="lessThan">
      <formula>30000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13B6ED-F0DF-4433-ABAF-E610B22B3F4F}">
  <dimension ref="A1:L133"/>
  <sheetViews>
    <sheetView zoomScale="145" zoomScaleNormal="145" workbookViewId="0">
      <pane ySplit="1" topLeftCell="A2" activePane="bottomLeft" state="frozen"/>
      <selection pane="bottomLeft" activeCell="G14" sqref="G14"/>
    </sheetView>
  </sheetViews>
  <sheetFormatPr defaultRowHeight="14.25"/>
  <cols>
    <col min="1" max="1" width="9.125" style="325" customWidth="1"/>
    <col min="2" max="2" width="4.75" style="331" customWidth="1"/>
    <col min="3" max="3" width="9" style="331"/>
    <col min="4" max="4" width="16.375" style="325" customWidth="1"/>
    <col min="5" max="5" width="12.375" style="328" customWidth="1"/>
    <col min="6" max="6" width="19" style="326" customWidth="1"/>
    <col min="7" max="7" width="9.875" style="327" customWidth="1"/>
    <col min="8" max="8" width="10.5" style="329" customWidth="1"/>
    <col min="9" max="9" width="8.5" style="329" customWidth="1"/>
    <col min="10" max="10" width="9" style="326"/>
    <col min="11" max="11" width="9.125" style="329" customWidth="1"/>
    <col min="12" max="12" width="26.5" style="289" customWidth="1"/>
    <col min="13" max="16384" width="9" style="326"/>
  </cols>
  <sheetData>
    <row r="1" spans="1:12">
      <c r="A1" s="349" t="s">
        <v>249</v>
      </c>
      <c r="B1" s="350" t="s">
        <v>124</v>
      </c>
      <c r="C1" s="350" t="s">
        <v>258</v>
      </c>
      <c r="D1" s="349" t="s">
        <v>74</v>
      </c>
      <c r="E1" s="351" t="s">
        <v>75</v>
      </c>
      <c r="F1" s="351" t="s">
        <v>245</v>
      </c>
      <c r="G1" s="352" t="s">
        <v>242</v>
      </c>
      <c r="H1" s="353" t="s">
        <v>76</v>
      </c>
      <c r="I1" s="353" t="s">
        <v>77</v>
      </c>
      <c r="J1" s="351" t="s">
        <v>260</v>
      </c>
      <c r="K1" s="353" t="s">
        <v>239</v>
      </c>
      <c r="L1" s="354" t="s">
        <v>243</v>
      </c>
    </row>
    <row r="2" spans="1:12" ht="16.5" customHeight="1">
      <c r="A2" s="333" t="s">
        <v>237</v>
      </c>
      <c r="B2" s="334" t="s">
        <v>261</v>
      </c>
      <c r="C2" s="335" t="s">
        <v>10</v>
      </c>
      <c r="D2" s="336" t="s">
        <v>125</v>
      </c>
      <c r="E2" s="337"/>
      <c r="F2" s="337" t="s">
        <v>369</v>
      </c>
      <c r="G2" s="338" t="s">
        <v>268</v>
      </c>
      <c r="H2" s="339">
        <v>33000</v>
      </c>
      <c r="I2" s="339">
        <v>33000</v>
      </c>
      <c r="J2" s="340"/>
      <c r="K2" s="339"/>
      <c r="L2" s="294"/>
    </row>
    <row r="3" spans="1:12" ht="16.5" customHeight="1">
      <c r="A3" s="333" t="s">
        <v>237</v>
      </c>
      <c r="B3" s="334" t="s">
        <v>261</v>
      </c>
      <c r="C3" s="335" t="s">
        <v>11</v>
      </c>
      <c r="D3" s="336" t="s">
        <v>125</v>
      </c>
      <c r="E3" s="337"/>
      <c r="F3" s="337" t="s">
        <v>369</v>
      </c>
      <c r="G3" s="338" t="s">
        <v>269</v>
      </c>
      <c r="H3" s="339">
        <v>33000</v>
      </c>
      <c r="I3" s="339"/>
      <c r="J3" s="340"/>
      <c r="K3" s="339"/>
      <c r="L3" s="294"/>
    </row>
    <row r="4" spans="1:12">
      <c r="A4" s="341">
        <v>141</v>
      </c>
      <c r="B4" s="342" t="s">
        <v>238</v>
      </c>
      <c r="C4" s="343" t="s">
        <v>10</v>
      </c>
      <c r="D4" s="344" t="s">
        <v>130</v>
      </c>
      <c r="E4" s="345"/>
      <c r="F4" s="345" t="s">
        <v>367</v>
      </c>
      <c r="G4" s="346" t="s">
        <v>270</v>
      </c>
      <c r="H4" s="347">
        <v>28000</v>
      </c>
      <c r="I4" s="347">
        <v>28000</v>
      </c>
      <c r="J4" s="348">
        <v>6059</v>
      </c>
      <c r="K4" s="347"/>
      <c r="L4" s="295" t="s">
        <v>246</v>
      </c>
    </row>
    <row r="5" spans="1:12">
      <c r="A5" s="341">
        <v>141</v>
      </c>
      <c r="B5" s="342" t="s">
        <v>238</v>
      </c>
      <c r="C5" s="343" t="s">
        <v>11</v>
      </c>
      <c r="D5" s="344" t="s">
        <v>130</v>
      </c>
      <c r="E5" s="345"/>
      <c r="F5" s="345" t="s">
        <v>367</v>
      </c>
      <c r="G5" s="346" t="s">
        <v>270</v>
      </c>
      <c r="H5" s="347">
        <v>28000</v>
      </c>
      <c r="I5" s="347"/>
      <c r="J5" s="348">
        <v>6299</v>
      </c>
      <c r="K5" s="347">
        <v>1320</v>
      </c>
      <c r="L5" s="295"/>
    </row>
    <row r="6" spans="1:12">
      <c r="A6" s="341">
        <v>141</v>
      </c>
      <c r="B6" s="342" t="s">
        <v>238</v>
      </c>
      <c r="C6" s="343" t="s">
        <v>12</v>
      </c>
      <c r="D6" s="344" t="s">
        <v>130</v>
      </c>
      <c r="E6" s="345"/>
      <c r="F6" s="345" t="s">
        <v>367</v>
      </c>
      <c r="G6" s="346" t="s">
        <v>270</v>
      </c>
      <c r="H6" s="347">
        <v>28000</v>
      </c>
      <c r="I6" s="347"/>
      <c r="J6" s="348"/>
      <c r="K6" s="347"/>
      <c r="L6" s="295"/>
    </row>
    <row r="7" spans="1:12">
      <c r="A7" s="341">
        <v>141</v>
      </c>
      <c r="B7" s="342" t="s">
        <v>238</v>
      </c>
      <c r="C7" s="343" t="s">
        <v>16</v>
      </c>
      <c r="D7" s="344" t="s">
        <v>130</v>
      </c>
      <c r="E7" s="345"/>
      <c r="F7" s="345" t="s">
        <v>367</v>
      </c>
      <c r="G7" s="346" t="s">
        <v>270</v>
      </c>
      <c r="H7" s="347">
        <v>28000</v>
      </c>
      <c r="I7" s="347"/>
      <c r="J7" s="348"/>
      <c r="K7" s="347"/>
      <c r="L7" s="295"/>
    </row>
    <row r="8" spans="1:12">
      <c r="A8" s="341">
        <v>141</v>
      </c>
      <c r="B8" s="342" t="s">
        <v>244</v>
      </c>
      <c r="C8" s="343" t="s">
        <v>8</v>
      </c>
      <c r="D8" s="344" t="s">
        <v>134</v>
      </c>
      <c r="E8" s="345" t="s">
        <v>135</v>
      </c>
      <c r="F8" s="345" t="s">
        <v>368</v>
      </c>
      <c r="G8" s="346" t="s">
        <v>271</v>
      </c>
      <c r="H8" s="347">
        <f>12873+(27000/31*13)</f>
        <v>24195.580645161292</v>
      </c>
      <c r="I8" s="347"/>
      <c r="J8" s="348">
        <v>5799</v>
      </c>
      <c r="K8" s="347"/>
      <c r="L8" s="355" t="s">
        <v>247</v>
      </c>
    </row>
    <row r="9" spans="1:12">
      <c r="A9" s="341">
        <v>141</v>
      </c>
      <c r="B9" s="342" t="s">
        <v>244</v>
      </c>
      <c r="C9" s="343" t="s">
        <v>9</v>
      </c>
      <c r="D9" s="344" t="s">
        <v>134</v>
      </c>
      <c r="E9" s="345" t="s">
        <v>135</v>
      </c>
      <c r="F9" s="345" t="s">
        <v>368</v>
      </c>
      <c r="G9" s="346" t="s">
        <v>271</v>
      </c>
      <c r="H9" s="347">
        <v>27000</v>
      </c>
      <c r="I9" s="347"/>
      <c r="J9" s="348">
        <v>5827</v>
      </c>
      <c r="K9" s="347">
        <f>IF((J9-J8)*5.5&gt;0,(J9-J8)*5.5,0)</f>
        <v>154</v>
      </c>
      <c r="L9" s="295"/>
    </row>
    <row r="10" spans="1:12">
      <c r="A10" s="341">
        <v>141</v>
      </c>
      <c r="B10" s="342" t="s">
        <v>244</v>
      </c>
      <c r="C10" s="343" t="s">
        <v>10</v>
      </c>
      <c r="D10" s="344" t="s">
        <v>134</v>
      </c>
      <c r="E10" s="345" t="s">
        <v>135</v>
      </c>
      <c r="F10" s="345" t="s">
        <v>368</v>
      </c>
      <c r="G10" s="346" t="s">
        <v>272</v>
      </c>
      <c r="H10" s="347">
        <v>27000</v>
      </c>
      <c r="I10" s="347"/>
      <c r="J10" s="348">
        <v>5931</v>
      </c>
      <c r="K10" s="347">
        <f>IF((J10-J9)*5.5&gt;0,(J10-J9)*5.5,0)</f>
        <v>572</v>
      </c>
      <c r="L10" s="295"/>
    </row>
    <row r="11" spans="1:12">
      <c r="A11" s="341">
        <v>141</v>
      </c>
      <c r="B11" s="342" t="s">
        <v>244</v>
      </c>
      <c r="C11" s="343" t="s">
        <v>11</v>
      </c>
      <c r="D11" s="344" t="s">
        <v>134</v>
      </c>
      <c r="E11" s="345" t="s">
        <v>135</v>
      </c>
      <c r="F11" s="345" t="s">
        <v>368</v>
      </c>
      <c r="G11" s="346" t="s">
        <v>272</v>
      </c>
      <c r="H11" s="347">
        <f>27000/31*(31-13)</f>
        <v>15677.41935483871</v>
      </c>
      <c r="I11" s="347"/>
      <c r="J11" s="348"/>
      <c r="K11" s="347"/>
      <c r="L11" s="295"/>
    </row>
    <row r="12" spans="1:12">
      <c r="A12" s="333" t="s">
        <v>262</v>
      </c>
      <c r="B12" s="334" t="s">
        <v>238</v>
      </c>
      <c r="C12" s="335" t="s">
        <v>7</v>
      </c>
      <c r="D12" s="336" t="s">
        <v>80</v>
      </c>
      <c r="E12" s="337" t="s">
        <v>336</v>
      </c>
      <c r="F12" s="337" t="s">
        <v>337</v>
      </c>
      <c r="G12" s="338" t="s">
        <v>273</v>
      </c>
      <c r="H12" s="339">
        <v>20000</v>
      </c>
      <c r="I12" s="339">
        <v>40000</v>
      </c>
      <c r="J12" s="340" t="s">
        <v>120</v>
      </c>
      <c r="K12" s="339">
        <f>IF((6511-6369)*5.5&gt;0,(6511-6369)*5.5,0)</f>
        <v>781</v>
      </c>
      <c r="L12" s="294"/>
    </row>
    <row r="13" spans="1:12">
      <c r="A13" s="333" t="s">
        <v>262</v>
      </c>
      <c r="B13" s="334" t="s">
        <v>238</v>
      </c>
      <c r="C13" s="335" t="s">
        <v>8</v>
      </c>
      <c r="D13" s="336" t="s">
        <v>80</v>
      </c>
      <c r="E13" s="337" t="s">
        <v>338</v>
      </c>
      <c r="F13" s="337" t="s">
        <v>337</v>
      </c>
      <c r="G13" s="338" t="s">
        <v>274</v>
      </c>
      <c r="H13" s="339">
        <v>20000</v>
      </c>
      <c r="I13" s="339"/>
      <c r="J13" s="340"/>
      <c r="K13" s="339"/>
      <c r="L13" s="294"/>
    </row>
    <row r="14" spans="1:12">
      <c r="A14" s="333" t="s">
        <v>262</v>
      </c>
      <c r="B14" s="334" t="s">
        <v>238</v>
      </c>
      <c r="C14" s="335" t="s">
        <v>9</v>
      </c>
      <c r="D14" s="336" t="s">
        <v>80</v>
      </c>
      <c r="E14" s="337" t="s">
        <v>339</v>
      </c>
      <c r="F14" s="337" t="s">
        <v>337</v>
      </c>
      <c r="G14" s="338" t="s">
        <v>274</v>
      </c>
      <c r="H14" s="339">
        <v>20000</v>
      </c>
      <c r="I14" s="339"/>
      <c r="J14" s="340">
        <v>6647</v>
      </c>
      <c r="K14" s="339">
        <f>IF((J14-6511)*5.5&gt;0,(J14-6511)*5.5,0)</f>
        <v>748</v>
      </c>
      <c r="L14" s="294"/>
    </row>
    <row r="15" spans="1:12">
      <c r="A15" s="333" t="s">
        <v>262</v>
      </c>
      <c r="B15" s="334" t="s">
        <v>238</v>
      </c>
      <c r="C15" s="335" t="s">
        <v>10</v>
      </c>
      <c r="D15" s="336" t="s">
        <v>80</v>
      </c>
      <c r="E15" s="337" t="s">
        <v>340</v>
      </c>
      <c r="F15" s="337" t="s">
        <v>337</v>
      </c>
      <c r="G15" s="338" t="s">
        <v>275</v>
      </c>
      <c r="H15" s="339">
        <v>20000</v>
      </c>
      <c r="I15" s="339"/>
      <c r="J15" s="340">
        <v>6817</v>
      </c>
      <c r="K15" s="339">
        <f>IF((J15-J14)*5.5&gt;0,(J15-J14)*5.5,0)</f>
        <v>935</v>
      </c>
      <c r="L15" s="294"/>
    </row>
    <row r="16" spans="1:12">
      <c r="A16" s="333" t="s">
        <v>262</v>
      </c>
      <c r="B16" s="334" t="s">
        <v>238</v>
      </c>
      <c r="C16" s="335" t="s">
        <v>11</v>
      </c>
      <c r="D16" s="336" t="s">
        <v>80</v>
      </c>
      <c r="E16" s="337" t="s">
        <v>341</v>
      </c>
      <c r="F16" s="337" t="s">
        <v>337</v>
      </c>
      <c r="G16" s="338" t="s">
        <v>276</v>
      </c>
      <c r="H16" s="339">
        <v>20000</v>
      </c>
      <c r="I16" s="339"/>
      <c r="J16" s="340">
        <v>7021</v>
      </c>
      <c r="K16" s="339">
        <f>IF((J16-J15)*5.5&gt;0,(J16-J15)*5.5,0)</f>
        <v>1122</v>
      </c>
      <c r="L16" s="294"/>
    </row>
    <row r="17" spans="1:12">
      <c r="A17" s="333" t="s">
        <v>262</v>
      </c>
      <c r="B17" s="334" t="s">
        <v>238</v>
      </c>
      <c r="C17" s="335" t="s">
        <v>12</v>
      </c>
      <c r="D17" s="336" t="s">
        <v>80</v>
      </c>
      <c r="E17" s="337" t="s">
        <v>342</v>
      </c>
      <c r="F17" s="337" t="s">
        <v>337</v>
      </c>
      <c r="G17" s="338" t="s">
        <v>277</v>
      </c>
      <c r="H17" s="339">
        <v>20000</v>
      </c>
      <c r="I17" s="339"/>
      <c r="J17" s="340">
        <v>7131</v>
      </c>
      <c r="K17" s="339">
        <f>IF((J17-J16)*5.5&gt;0,(J17-J16)*5.5,0)</f>
        <v>605</v>
      </c>
      <c r="L17" s="294"/>
    </row>
    <row r="18" spans="1:12">
      <c r="A18" s="333" t="s">
        <v>262</v>
      </c>
      <c r="B18" s="334" t="s">
        <v>238</v>
      </c>
      <c r="C18" s="335" t="s">
        <v>16</v>
      </c>
      <c r="D18" s="336" t="s">
        <v>80</v>
      </c>
      <c r="E18" s="337" t="s">
        <v>343</v>
      </c>
      <c r="F18" s="337" t="s">
        <v>337</v>
      </c>
      <c r="G18" s="338" t="s">
        <v>278</v>
      </c>
      <c r="H18" s="339">
        <v>20000</v>
      </c>
      <c r="I18" s="339"/>
      <c r="J18" s="340"/>
      <c r="K18" s="339"/>
      <c r="L18" s="294"/>
    </row>
    <row r="19" spans="1:12">
      <c r="A19" s="333" t="s">
        <v>262</v>
      </c>
      <c r="B19" s="334" t="s">
        <v>261</v>
      </c>
      <c r="C19" s="335" t="s">
        <v>9</v>
      </c>
      <c r="D19" s="336" t="s">
        <v>86</v>
      </c>
      <c r="E19" s="337"/>
      <c r="F19" s="337" t="s">
        <v>263</v>
      </c>
      <c r="G19" s="338" t="s">
        <v>279</v>
      </c>
      <c r="H19" s="339">
        <f>6556+3000+25000</f>
        <v>34556</v>
      </c>
      <c r="I19" s="339">
        <v>34000</v>
      </c>
      <c r="J19" s="340">
        <v>7324</v>
      </c>
      <c r="K19" s="339">
        <v>1892</v>
      </c>
      <c r="L19" s="294" t="s">
        <v>291</v>
      </c>
    </row>
    <row r="20" spans="1:12">
      <c r="A20" s="333" t="s">
        <v>262</v>
      </c>
      <c r="B20" s="334" t="s">
        <v>261</v>
      </c>
      <c r="C20" s="335" t="s">
        <v>10</v>
      </c>
      <c r="D20" s="336" t="s">
        <v>86</v>
      </c>
      <c r="E20" s="337"/>
      <c r="F20" s="337" t="s">
        <v>263</v>
      </c>
      <c r="G20" s="338" t="s">
        <v>280</v>
      </c>
      <c r="H20" s="339">
        <v>25000</v>
      </c>
      <c r="I20" s="339"/>
      <c r="J20" s="340">
        <v>7858</v>
      </c>
      <c r="K20" s="339">
        <v>2937</v>
      </c>
      <c r="L20" s="294"/>
    </row>
    <row r="21" spans="1:12">
      <c r="A21" s="333" t="s">
        <v>262</v>
      </c>
      <c r="B21" s="334" t="s">
        <v>261</v>
      </c>
      <c r="C21" s="335" t="s">
        <v>11</v>
      </c>
      <c r="D21" s="336" t="s">
        <v>86</v>
      </c>
      <c r="E21" s="337"/>
      <c r="F21" s="337" t="s">
        <v>263</v>
      </c>
      <c r="G21" s="338" t="s">
        <v>281</v>
      </c>
      <c r="H21" s="339">
        <v>25000</v>
      </c>
      <c r="I21" s="339"/>
      <c r="J21" s="340">
        <v>8302</v>
      </c>
      <c r="K21" s="339">
        <v>2442</v>
      </c>
      <c r="L21" s="294"/>
    </row>
    <row r="22" spans="1:12">
      <c r="A22" s="333" t="s">
        <v>262</v>
      </c>
      <c r="B22" s="334" t="s">
        <v>261</v>
      </c>
      <c r="C22" s="335" t="s">
        <v>12</v>
      </c>
      <c r="D22" s="336" t="s">
        <v>86</v>
      </c>
      <c r="E22" s="337"/>
      <c r="F22" s="337" t="s">
        <v>263</v>
      </c>
      <c r="G22" s="338" t="s">
        <v>281</v>
      </c>
      <c r="H22" s="339">
        <v>22000</v>
      </c>
      <c r="I22" s="339"/>
      <c r="J22" s="340">
        <v>8556</v>
      </c>
      <c r="K22" s="339">
        <v>1397</v>
      </c>
      <c r="L22" s="294"/>
    </row>
    <row r="23" spans="1:12">
      <c r="A23" s="333" t="s">
        <v>262</v>
      </c>
      <c r="B23" s="334" t="s">
        <v>261</v>
      </c>
      <c r="C23" s="335" t="s">
        <v>16</v>
      </c>
      <c r="D23" s="336" t="s">
        <v>86</v>
      </c>
      <c r="E23" s="337"/>
      <c r="F23" s="337" t="s">
        <v>263</v>
      </c>
      <c r="G23" s="338" t="s">
        <v>282</v>
      </c>
      <c r="H23" s="339">
        <v>22000</v>
      </c>
      <c r="I23" s="339"/>
      <c r="J23" s="340"/>
      <c r="K23" s="339"/>
      <c r="L23" s="294"/>
    </row>
    <row r="24" spans="1:12">
      <c r="A24" s="333" t="s">
        <v>262</v>
      </c>
      <c r="B24" s="334" t="s">
        <v>244</v>
      </c>
      <c r="C24" s="335" t="s">
        <v>10</v>
      </c>
      <c r="D24" s="336" t="s">
        <v>91</v>
      </c>
      <c r="E24" s="337"/>
      <c r="F24" s="337" t="s">
        <v>264</v>
      </c>
      <c r="G24" s="338" t="s">
        <v>283</v>
      </c>
      <c r="H24" s="339">
        <f>3292+1000+3874+22000</f>
        <v>30166</v>
      </c>
      <c r="I24" s="339">
        <v>10000</v>
      </c>
      <c r="J24" s="340">
        <v>9599</v>
      </c>
      <c r="K24" s="339">
        <v>484</v>
      </c>
      <c r="L24" s="294"/>
    </row>
    <row r="25" spans="1:12">
      <c r="A25" s="333" t="s">
        <v>262</v>
      </c>
      <c r="B25" s="334" t="s">
        <v>244</v>
      </c>
      <c r="C25" s="335" t="s">
        <v>11</v>
      </c>
      <c r="D25" s="336" t="s">
        <v>91</v>
      </c>
      <c r="E25" s="337"/>
      <c r="F25" s="337" t="s">
        <v>265</v>
      </c>
      <c r="G25" s="338" t="s">
        <v>283</v>
      </c>
      <c r="H25" s="339">
        <v>22000</v>
      </c>
      <c r="I25" s="339"/>
      <c r="J25" s="340">
        <v>9773</v>
      </c>
      <c r="K25" s="339">
        <v>957</v>
      </c>
      <c r="L25" s="294"/>
    </row>
    <row r="26" spans="1:12">
      <c r="A26" s="333" t="s">
        <v>262</v>
      </c>
      <c r="B26" s="334" t="s">
        <v>244</v>
      </c>
      <c r="C26" s="335" t="s">
        <v>12</v>
      </c>
      <c r="D26" s="336" t="s">
        <v>91</v>
      </c>
      <c r="E26" s="337"/>
      <c r="F26" s="337" t="s">
        <v>266</v>
      </c>
      <c r="G26" s="338" t="s">
        <v>283</v>
      </c>
      <c r="H26" s="339">
        <v>22000</v>
      </c>
      <c r="I26" s="339"/>
      <c r="J26" s="340">
        <v>9979</v>
      </c>
      <c r="K26" s="339">
        <v>1133</v>
      </c>
      <c r="L26" s="294"/>
    </row>
    <row r="27" spans="1:12">
      <c r="A27" s="333" t="s">
        <v>262</v>
      </c>
      <c r="B27" s="334" t="s">
        <v>244</v>
      </c>
      <c r="C27" s="335" t="s">
        <v>16</v>
      </c>
      <c r="D27" s="336" t="s">
        <v>91</v>
      </c>
      <c r="E27" s="337"/>
      <c r="F27" s="337" t="s">
        <v>267</v>
      </c>
      <c r="G27" s="338" t="s">
        <v>283</v>
      </c>
      <c r="H27" s="339">
        <v>22000</v>
      </c>
      <c r="I27" s="339"/>
      <c r="J27" s="340"/>
      <c r="K27" s="339"/>
      <c r="L27" s="294"/>
    </row>
    <row r="28" spans="1:12">
      <c r="A28" s="333" t="s">
        <v>262</v>
      </c>
      <c r="B28" s="334" t="s">
        <v>317</v>
      </c>
      <c r="C28" s="335" t="s">
        <v>9</v>
      </c>
      <c r="D28" s="336" t="s">
        <v>98</v>
      </c>
      <c r="E28" s="337"/>
      <c r="F28" s="337" t="s">
        <v>344</v>
      </c>
      <c r="G28" s="338" t="s">
        <v>284</v>
      </c>
      <c r="H28" s="339">
        <v>14903</v>
      </c>
      <c r="I28" s="339">
        <v>10000</v>
      </c>
      <c r="J28" s="340">
        <v>7005</v>
      </c>
      <c r="K28" s="339">
        <v>286</v>
      </c>
      <c r="L28" s="294"/>
    </row>
    <row r="29" spans="1:12">
      <c r="A29" s="333" t="s">
        <v>262</v>
      </c>
      <c r="B29" s="334" t="s">
        <v>317</v>
      </c>
      <c r="C29" s="335" t="s">
        <v>10</v>
      </c>
      <c r="D29" s="336" t="s">
        <v>98</v>
      </c>
      <c r="E29" s="337"/>
      <c r="F29" s="337" t="s">
        <v>345</v>
      </c>
      <c r="G29" s="338" t="s">
        <v>285</v>
      </c>
      <c r="H29" s="339">
        <v>22000</v>
      </c>
      <c r="I29" s="339"/>
      <c r="J29" s="340">
        <v>7163</v>
      </c>
      <c r="K29" s="339">
        <v>869</v>
      </c>
      <c r="L29" s="294"/>
    </row>
    <row r="30" spans="1:12">
      <c r="A30" s="333" t="s">
        <v>262</v>
      </c>
      <c r="B30" s="334" t="s">
        <v>317</v>
      </c>
      <c r="C30" s="335" t="s">
        <v>11</v>
      </c>
      <c r="D30" s="336" t="s">
        <v>98</v>
      </c>
      <c r="E30" s="337"/>
      <c r="F30" s="337" t="s">
        <v>346</v>
      </c>
      <c r="G30" s="338" t="s">
        <v>286</v>
      </c>
      <c r="H30" s="339">
        <v>22000</v>
      </c>
      <c r="I30" s="339"/>
      <c r="J30" s="340">
        <v>7365</v>
      </c>
      <c r="K30" s="339">
        <v>1111</v>
      </c>
      <c r="L30" s="294"/>
    </row>
    <row r="31" spans="1:12">
      <c r="A31" s="333" t="s">
        <v>262</v>
      </c>
      <c r="B31" s="334" t="s">
        <v>317</v>
      </c>
      <c r="C31" s="335" t="s">
        <v>12</v>
      </c>
      <c r="D31" s="336" t="s">
        <v>98</v>
      </c>
      <c r="E31" s="337"/>
      <c r="F31" s="337" t="s">
        <v>347</v>
      </c>
      <c r="G31" s="338" t="s">
        <v>287</v>
      </c>
      <c r="H31" s="339">
        <v>22000</v>
      </c>
      <c r="I31" s="339"/>
      <c r="J31" s="340">
        <v>7505</v>
      </c>
      <c r="K31" s="339">
        <v>770</v>
      </c>
      <c r="L31" s="294"/>
    </row>
    <row r="32" spans="1:12">
      <c r="A32" s="333" t="s">
        <v>262</v>
      </c>
      <c r="B32" s="334" t="s">
        <v>317</v>
      </c>
      <c r="C32" s="335" t="s">
        <v>16</v>
      </c>
      <c r="D32" s="336" t="s">
        <v>98</v>
      </c>
      <c r="E32" s="337"/>
      <c r="F32" s="337" t="s">
        <v>348</v>
      </c>
      <c r="G32" s="338" t="s">
        <v>282</v>
      </c>
      <c r="H32" s="339">
        <v>22000</v>
      </c>
      <c r="I32" s="339"/>
      <c r="J32" s="340">
        <v>7717</v>
      </c>
      <c r="K32" s="339">
        <v>1166</v>
      </c>
      <c r="L32" s="294"/>
    </row>
    <row r="33" spans="1:12">
      <c r="A33" s="333" t="s">
        <v>262</v>
      </c>
      <c r="B33" s="334" t="s">
        <v>325</v>
      </c>
      <c r="C33" s="335" t="s">
        <v>7</v>
      </c>
      <c r="D33" s="336" t="s">
        <v>105</v>
      </c>
      <c r="E33" s="337" t="s">
        <v>349</v>
      </c>
      <c r="F33" s="337" t="s">
        <v>288</v>
      </c>
      <c r="G33" s="338" t="s">
        <v>102</v>
      </c>
      <c r="H33" s="339">
        <v>22000</v>
      </c>
      <c r="I33" s="339">
        <v>40000</v>
      </c>
      <c r="J33" s="340">
        <v>7660</v>
      </c>
      <c r="K33" s="339">
        <v>803</v>
      </c>
      <c r="L33" s="294" t="s">
        <v>291</v>
      </c>
    </row>
    <row r="34" spans="1:12">
      <c r="A34" s="333" t="s">
        <v>262</v>
      </c>
      <c r="B34" s="334" t="s">
        <v>325</v>
      </c>
      <c r="C34" s="335" t="s">
        <v>8</v>
      </c>
      <c r="D34" s="336" t="s">
        <v>105</v>
      </c>
      <c r="E34" s="337" t="s">
        <v>350</v>
      </c>
      <c r="F34" s="337" t="s">
        <v>351</v>
      </c>
      <c r="G34" s="338" t="s">
        <v>103</v>
      </c>
      <c r="H34" s="339">
        <v>22000</v>
      </c>
      <c r="I34" s="339"/>
      <c r="J34" s="340">
        <v>7832</v>
      </c>
      <c r="K34" s="339">
        <v>946</v>
      </c>
      <c r="L34" s="294"/>
    </row>
    <row r="35" spans="1:12">
      <c r="A35" s="333" t="s">
        <v>262</v>
      </c>
      <c r="B35" s="334" t="s">
        <v>325</v>
      </c>
      <c r="C35" s="335" t="s">
        <v>9</v>
      </c>
      <c r="D35" s="336" t="s">
        <v>105</v>
      </c>
      <c r="E35" s="337" t="s">
        <v>352</v>
      </c>
      <c r="F35" s="337" t="s">
        <v>353</v>
      </c>
      <c r="G35" s="338" t="s">
        <v>284</v>
      </c>
      <c r="H35" s="339">
        <v>22000</v>
      </c>
      <c r="I35" s="339"/>
      <c r="J35" s="340">
        <v>7986</v>
      </c>
      <c r="K35" s="339">
        <v>847</v>
      </c>
      <c r="L35" s="294"/>
    </row>
    <row r="36" spans="1:12">
      <c r="A36" s="333" t="s">
        <v>262</v>
      </c>
      <c r="B36" s="334" t="s">
        <v>325</v>
      </c>
      <c r="C36" s="335" t="s">
        <v>10</v>
      </c>
      <c r="D36" s="336" t="s">
        <v>105</v>
      </c>
      <c r="E36" s="337" t="s">
        <v>354</v>
      </c>
      <c r="F36" s="337" t="s">
        <v>355</v>
      </c>
      <c r="G36" s="338" t="s">
        <v>285</v>
      </c>
      <c r="H36" s="339">
        <v>22000</v>
      </c>
      <c r="I36" s="339"/>
      <c r="J36" s="340">
        <v>8146</v>
      </c>
      <c r="K36" s="339">
        <v>880</v>
      </c>
      <c r="L36" s="294"/>
    </row>
    <row r="37" spans="1:12">
      <c r="A37" s="333" t="s">
        <v>262</v>
      </c>
      <c r="B37" s="334" t="s">
        <v>325</v>
      </c>
      <c r="C37" s="335" t="s">
        <v>11</v>
      </c>
      <c r="D37" s="336" t="s">
        <v>105</v>
      </c>
      <c r="E37" s="337" t="s">
        <v>356</v>
      </c>
      <c r="F37" s="337" t="s">
        <v>357</v>
      </c>
      <c r="G37" s="338" t="s">
        <v>286</v>
      </c>
      <c r="H37" s="339">
        <v>22000</v>
      </c>
      <c r="I37" s="339"/>
      <c r="J37" s="340">
        <v>8302</v>
      </c>
      <c r="K37" s="339">
        <v>858</v>
      </c>
      <c r="L37" s="294"/>
    </row>
    <row r="38" spans="1:12">
      <c r="A38" s="333" t="s">
        <v>262</v>
      </c>
      <c r="B38" s="334" t="s">
        <v>325</v>
      </c>
      <c r="C38" s="335" t="s">
        <v>12</v>
      </c>
      <c r="D38" s="336" t="s">
        <v>105</v>
      </c>
      <c r="E38" s="337" t="s">
        <v>358</v>
      </c>
      <c r="F38" s="337" t="s">
        <v>359</v>
      </c>
      <c r="G38" s="338" t="s">
        <v>287</v>
      </c>
      <c r="H38" s="339">
        <v>22000</v>
      </c>
      <c r="I38" s="339"/>
      <c r="J38" s="340">
        <v>8458</v>
      </c>
      <c r="K38" s="339">
        <v>858</v>
      </c>
      <c r="L38" s="294"/>
    </row>
    <row r="39" spans="1:12">
      <c r="A39" s="333" t="s">
        <v>262</v>
      </c>
      <c r="B39" s="334" t="s">
        <v>325</v>
      </c>
      <c r="C39" s="335" t="s">
        <v>16</v>
      </c>
      <c r="D39" s="336" t="s">
        <v>105</v>
      </c>
      <c r="E39" s="337" t="s">
        <v>360</v>
      </c>
      <c r="F39" s="337" t="s">
        <v>361</v>
      </c>
      <c r="G39" s="338" t="s">
        <v>282</v>
      </c>
      <c r="H39" s="339">
        <v>22000</v>
      </c>
      <c r="I39" s="339"/>
      <c r="J39" s="340"/>
      <c r="K39" s="339"/>
      <c r="L39" s="294"/>
    </row>
    <row r="40" spans="1:12">
      <c r="A40" s="333" t="s">
        <v>262</v>
      </c>
      <c r="B40" s="334" t="s">
        <v>289</v>
      </c>
      <c r="C40" s="335" t="s">
        <v>9</v>
      </c>
      <c r="D40" s="336" t="s">
        <v>109</v>
      </c>
      <c r="E40" s="337"/>
      <c r="F40" s="337" t="s">
        <v>362</v>
      </c>
      <c r="G40" s="338">
        <v>42958</v>
      </c>
      <c r="H40" s="339">
        <v>22000</v>
      </c>
      <c r="I40" s="339">
        <v>44000</v>
      </c>
      <c r="J40" s="340">
        <v>7689</v>
      </c>
      <c r="K40" s="339">
        <v>385</v>
      </c>
      <c r="L40" s="294" t="s">
        <v>291</v>
      </c>
    </row>
    <row r="41" spans="1:12">
      <c r="A41" s="333" t="s">
        <v>262</v>
      </c>
      <c r="B41" s="334" t="s">
        <v>289</v>
      </c>
      <c r="C41" s="335" t="s">
        <v>10</v>
      </c>
      <c r="D41" s="336" t="s">
        <v>109</v>
      </c>
      <c r="E41" s="337"/>
      <c r="F41" s="337" t="s">
        <v>363</v>
      </c>
      <c r="G41" s="338">
        <v>42985</v>
      </c>
      <c r="H41" s="339">
        <v>22000</v>
      </c>
      <c r="I41" s="339"/>
      <c r="J41" s="340">
        <v>7921</v>
      </c>
      <c r="K41" s="339">
        <v>1276</v>
      </c>
      <c r="L41" s="294"/>
    </row>
    <row r="42" spans="1:12">
      <c r="A42" s="333" t="s">
        <v>262</v>
      </c>
      <c r="B42" s="334" t="s">
        <v>289</v>
      </c>
      <c r="C42" s="335" t="s">
        <v>11</v>
      </c>
      <c r="D42" s="336" t="s">
        <v>109</v>
      </c>
      <c r="E42" s="337"/>
      <c r="F42" s="337" t="s">
        <v>364</v>
      </c>
      <c r="G42" s="338">
        <v>43013</v>
      </c>
      <c r="H42" s="339">
        <v>22000</v>
      </c>
      <c r="I42" s="339"/>
      <c r="J42" s="340">
        <v>8109</v>
      </c>
      <c r="K42" s="339">
        <v>121</v>
      </c>
      <c r="L42" s="294"/>
    </row>
    <row r="43" spans="1:12">
      <c r="A43" s="333" t="s">
        <v>262</v>
      </c>
      <c r="B43" s="334" t="s">
        <v>289</v>
      </c>
      <c r="C43" s="335" t="s">
        <v>12</v>
      </c>
      <c r="D43" s="336" t="s">
        <v>109</v>
      </c>
      <c r="E43" s="337"/>
      <c r="F43" s="337" t="s">
        <v>365</v>
      </c>
      <c r="G43" s="338">
        <v>43041</v>
      </c>
      <c r="H43" s="339">
        <v>22000</v>
      </c>
      <c r="I43" s="339"/>
      <c r="J43" s="340">
        <v>8209</v>
      </c>
      <c r="K43" s="339">
        <v>550</v>
      </c>
      <c r="L43" s="294"/>
    </row>
    <row r="44" spans="1:12">
      <c r="A44" s="333" t="s">
        <v>262</v>
      </c>
      <c r="B44" s="334" t="s">
        <v>289</v>
      </c>
      <c r="C44" s="335" t="s">
        <v>16</v>
      </c>
      <c r="D44" s="336" t="s">
        <v>109</v>
      </c>
      <c r="E44" s="337"/>
      <c r="F44" s="337" t="s">
        <v>366</v>
      </c>
      <c r="G44" s="338">
        <v>43067</v>
      </c>
      <c r="H44" s="339">
        <v>22000</v>
      </c>
      <c r="I44" s="339"/>
      <c r="J44" s="340"/>
      <c r="K44" s="339"/>
      <c r="L44" s="294"/>
    </row>
    <row r="45" spans="1:12">
      <c r="A45" s="341" t="s">
        <v>290</v>
      </c>
      <c r="B45" s="342" t="s">
        <v>238</v>
      </c>
      <c r="C45" s="343" t="s">
        <v>8</v>
      </c>
      <c r="D45" s="344" t="s">
        <v>138</v>
      </c>
      <c r="E45" s="345"/>
      <c r="F45" s="345" t="s">
        <v>328</v>
      </c>
      <c r="G45" s="346">
        <v>42914</v>
      </c>
      <c r="H45" s="347">
        <v>31000</v>
      </c>
      <c r="I45" s="347">
        <v>56000</v>
      </c>
      <c r="J45" s="348">
        <v>6889</v>
      </c>
      <c r="K45" s="347">
        <v>363</v>
      </c>
      <c r="L45" s="295" t="s">
        <v>292</v>
      </c>
    </row>
    <row r="46" spans="1:12">
      <c r="A46" s="341" t="s">
        <v>290</v>
      </c>
      <c r="B46" s="342" t="s">
        <v>238</v>
      </c>
      <c r="C46" s="343" t="s">
        <v>9</v>
      </c>
      <c r="D46" s="344" t="s">
        <v>138</v>
      </c>
      <c r="E46" s="345"/>
      <c r="F46" s="345" t="s">
        <v>328</v>
      </c>
      <c r="G46" s="346">
        <v>42937</v>
      </c>
      <c r="H46" s="347">
        <v>28000</v>
      </c>
      <c r="I46" s="347"/>
      <c r="J46" s="348">
        <v>7225</v>
      </c>
      <c r="K46" s="347">
        <v>1848</v>
      </c>
      <c r="L46" s="295"/>
    </row>
    <row r="47" spans="1:12">
      <c r="A47" s="341" t="s">
        <v>290</v>
      </c>
      <c r="B47" s="342" t="s">
        <v>238</v>
      </c>
      <c r="C47" s="343" t="s">
        <v>10</v>
      </c>
      <c r="D47" s="344" t="s">
        <v>138</v>
      </c>
      <c r="E47" s="345"/>
      <c r="F47" s="345" t="s">
        <v>328</v>
      </c>
      <c r="G47" s="346">
        <v>42968</v>
      </c>
      <c r="H47" s="347">
        <f>8000+20000</f>
        <v>28000</v>
      </c>
      <c r="I47" s="347"/>
      <c r="J47" s="348">
        <v>7485</v>
      </c>
      <c r="K47" s="347">
        <v>1430</v>
      </c>
      <c r="L47" s="295"/>
    </row>
    <row r="48" spans="1:12">
      <c r="A48" s="341" t="s">
        <v>290</v>
      </c>
      <c r="B48" s="342" t="s">
        <v>238</v>
      </c>
      <c r="C48" s="343" t="s">
        <v>11</v>
      </c>
      <c r="D48" s="344" t="s">
        <v>138</v>
      </c>
      <c r="E48" s="345"/>
      <c r="F48" s="345" t="s">
        <v>328</v>
      </c>
      <c r="G48" s="346">
        <v>43067</v>
      </c>
      <c r="H48" s="347">
        <v>28000</v>
      </c>
      <c r="I48" s="347"/>
      <c r="J48" s="348">
        <v>7691</v>
      </c>
      <c r="K48" s="347">
        <v>1133</v>
      </c>
      <c r="L48" s="295"/>
    </row>
    <row r="49" spans="1:12">
      <c r="A49" s="341" t="s">
        <v>290</v>
      </c>
      <c r="B49" s="342" t="s">
        <v>238</v>
      </c>
      <c r="C49" s="343" t="s">
        <v>12</v>
      </c>
      <c r="D49" s="344" t="s">
        <v>138</v>
      </c>
      <c r="E49" s="345"/>
      <c r="F49" s="345" t="s">
        <v>328</v>
      </c>
      <c r="G49" s="346"/>
      <c r="H49" s="347">
        <v>28000</v>
      </c>
      <c r="I49" s="347"/>
      <c r="J49" s="348">
        <v>7787</v>
      </c>
      <c r="K49" s="347">
        <v>528</v>
      </c>
      <c r="L49" s="295"/>
    </row>
    <row r="50" spans="1:12">
      <c r="A50" s="341" t="s">
        <v>290</v>
      </c>
      <c r="B50" s="342" t="s">
        <v>238</v>
      </c>
      <c r="C50" s="343" t="s">
        <v>16</v>
      </c>
      <c r="D50" s="344" t="s">
        <v>138</v>
      </c>
      <c r="E50" s="345"/>
      <c r="F50" s="345" t="s">
        <v>328</v>
      </c>
      <c r="G50" s="346"/>
      <c r="H50" s="347">
        <v>28000</v>
      </c>
      <c r="I50" s="347"/>
      <c r="J50" s="348"/>
      <c r="K50" s="347"/>
      <c r="L50" s="295"/>
    </row>
    <row r="51" spans="1:12">
      <c r="A51" s="341" t="s">
        <v>290</v>
      </c>
      <c r="B51" s="342" t="s">
        <v>261</v>
      </c>
      <c r="C51" s="343" t="s">
        <v>5</v>
      </c>
      <c r="D51" s="344" t="s">
        <v>141</v>
      </c>
      <c r="E51" s="345" t="s">
        <v>293</v>
      </c>
      <c r="F51" s="345" t="s">
        <v>329</v>
      </c>
      <c r="G51" s="346"/>
      <c r="H51" s="347">
        <f>10000+12500</f>
        <v>22500</v>
      </c>
      <c r="I51" s="347">
        <v>50000</v>
      </c>
      <c r="J51" s="348" t="s">
        <v>145</v>
      </c>
      <c r="K51" s="347">
        <v>297</v>
      </c>
      <c r="L51" s="295" t="s">
        <v>292</v>
      </c>
    </row>
    <row r="52" spans="1:12">
      <c r="A52" s="341" t="s">
        <v>290</v>
      </c>
      <c r="B52" s="342" t="s">
        <v>261</v>
      </c>
      <c r="C52" s="343" t="s">
        <v>6</v>
      </c>
      <c r="D52" s="344" t="s">
        <v>141</v>
      </c>
      <c r="E52" s="345" t="s">
        <v>293</v>
      </c>
      <c r="F52" s="345" t="s">
        <v>330</v>
      </c>
      <c r="G52" s="346"/>
      <c r="H52" s="347">
        <v>25000</v>
      </c>
      <c r="I52" s="347"/>
      <c r="J52" s="348">
        <v>7198</v>
      </c>
      <c r="K52" s="347">
        <v>445.5</v>
      </c>
      <c r="L52" s="295"/>
    </row>
    <row r="53" spans="1:12">
      <c r="A53" s="341" t="s">
        <v>290</v>
      </c>
      <c r="B53" s="342" t="s">
        <v>261</v>
      </c>
      <c r="C53" s="343" t="s">
        <v>7</v>
      </c>
      <c r="D53" s="344" t="s">
        <v>141</v>
      </c>
      <c r="E53" s="345" t="s">
        <v>293</v>
      </c>
      <c r="F53" s="345" t="s">
        <v>331</v>
      </c>
      <c r="G53" s="346">
        <v>42887</v>
      </c>
      <c r="H53" s="347">
        <v>25000</v>
      </c>
      <c r="I53" s="347"/>
      <c r="J53" s="348">
        <v>7354</v>
      </c>
      <c r="K53" s="347">
        <v>858</v>
      </c>
      <c r="L53" s="295"/>
    </row>
    <row r="54" spans="1:12">
      <c r="A54" s="341" t="s">
        <v>290</v>
      </c>
      <c r="B54" s="342" t="s">
        <v>261</v>
      </c>
      <c r="C54" s="343" t="s">
        <v>8</v>
      </c>
      <c r="D54" s="344" t="s">
        <v>141</v>
      </c>
      <c r="E54" s="345" t="s">
        <v>293</v>
      </c>
      <c r="F54" s="345" t="s">
        <v>332</v>
      </c>
      <c r="G54" s="346">
        <v>42919</v>
      </c>
      <c r="H54" s="347">
        <v>25000</v>
      </c>
      <c r="I54" s="347"/>
      <c r="J54" s="348">
        <v>7514</v>
      </c>
      <c r="K54" s="347">
        <v>880</v>
      </c>
      <c r="L54" s="295"/>
    </row>
    <row r="55" spans="1:12">
      <c r="A55" s="341" t="s">
        <v>290</v>
      </c>
      <c r="B55" s="342" t="s">
        <v>261</v>
      </c>
      <c r="C55" s="343" t="s">
        <v>9</v>
      </c>
      <c r="D55" s="344" t="s">
        <v>141</v>
      </c>
      <c r="E55" s="345" t="s">
        <v>293</v>
      </c>
      <c r="F55" s="345" t="s">
        <v>333</v>
      </c>
      <c r="G55" s="346">
        <v>42948</v>
      </c>
      <c r="H55" s="347">
        <v>25000</v>
      </c>
      <c r="I55" s="347"/>
      <c r="J55" s="348">
        <v>7674</v>
      </c>
      <c r="K55" s="347">
        <v>880</v>
      </c>
      <c r="L55" s="295"/>
    </row>
    <row r="56" spans="1:12">
      <c r="A56" s="341" t="s">
        <v>290</v>
      </c>
      <c r="B56" s="342" t="s">
        <v>261</v>
      </c>
      <c r="C56" s="343" t="s">
        <v>10</v>
      </c>
      <c r="D56" s="344" t="s">
        <v>141</v>
      </c>
      <c r="E56" s="345" t="s">
        <v>293</v>
      </c>
      <c r="F56" s="345" t="s">
        <v>334</v>
      </c>
      <c r="G56" s="346">
        <v>42979</v>
      </c>
      <c r="H56" s="347">
        <v>25000</v>
      </c>
      <c r="I56" s="347"/>
      <c r="J56" s="348">
        <v>7742</v>
      </c>
      <c r="K56" s="347">
        <v>374</v>
      </c>
      <c r="L56" s="295"/>
    </row>
    <row r="57" spans="1:12">
      <c r="A57" s="341" t="s">
        <v>290</v>
      </c>
      <c r="B57" s="342" t="s">
        <v>261</v>
      </c>
      <c r="C57" s="343" t="s">
        <v>11</v>
      </c>
      <c r="D57" s="344" t="s">
        <v>141</v>
      </c>
      <c r="E57" s="345" t="s">
        <v>293</v>
      </c>
      <c r="F57" s="345" t="s">
        <v>335</v>
      </c>
      <c r="G57" s="346">
        <v>43010</v>
      </c>
      <c r="H57" s="347">
        <v>25000</v>
      </c>
      <c r="I57" s="347"/>
      <c r="J57" s="348">
        <v>7820</v>
      </c>
      <c r="K57" s="347">
        <v>429</v>
      </c>
      <c r="L57" s="295"/>
    </row>
    <row r="58" spans="1:12">
      <c r="A58" s="333" t="s">
        <v>296</v>
      </c>
      <c r="B58" s="334" t="s">
        <v>238</v>
      </c>
      <c r="C58" s="335" t="s">
        <v>5</v>
      </c>
      <c r="D58" s="336" t="s">
        <v>147</v>
      </c>
      <c r="E58" s="337" t="s">
        <v>297</v>
      </c>
      <c r="F58" s="337" t="s">
        <v>294</v>
      </c>
      <c r="G58" s="338"/>
      <c r="H58" s="339">
        <v>28000</v>
      </c>
      <c r="I58" s="339">
        <v>56000</v>
      </c>
      <c r="J58" s="340">
        <v>6725</v>
      </c>
      <c r="K58" s="339">
        <f>IF((J58-J57)*5.5&gt;0,(J58-J57)*5.5,0)</f>
        <v>0</v>
      </c>
      <c r="L58" s="294" t="s">
        <v>292</v>
      </c>
    </row>
    <row r="59" spans="1:12">
      <c r="A59" s="333" t="s">
        <v>296</v>
      </c>
      <c r="B59" s="334" t="s">
        <v>238</v>
      </c>
      <c r="C59" s="335" t="s">
        <v>6</v>
      </c>
      <c r="D59" s="336" t="s">
        <v>147</v>
      </c>
      <c r="E59" s="337" t="s">
        <v>297</v>
      </c>
      <c r="F59" s="337" t="s">
        <v>294</v>
      </c>
      <c r="G59" s="338">
        <v>42857</v>
      </c>
      <c r="H59" s="339">
        <v>28000</v>
      </c>
      <c r="I59" s="339"/>
      <c r="J59" s="340">
        <v>6933</v>
      </c>
      <c r="K59" s="339">
        <f>IF((J59-J58)*5.5&gt;0,(J59-J58)*5.5,0)</f>
        <v>1144</v>
      </c>
      <c r="L59" s="294"/>
    </row>
    <row r="60" spans="1:12">
      <c r="A60" s="333" t="s">
        <v>296</v>
      </c>
      <c r="B60" s="334" t="s">
        <v>238</v>
      </c>
      <c r="C60" s="335" t="s">
        <v>7</v>
      </c>
      <c r="D60" s="336" t="s">
        <v>147</v>
      </c>
      <c r="E60" s="337" t="s">
        <v>297</v>
      </c>
      <c r="F60" s="337" t="s">
        <v>294</v>
      </c>
      <c r="G60" s="338">
        <v>42887</v>
      </c>
      <c r="H60" s="339">
        <v>28000</v>
      </c>
      <c r="I60" s="339"/>
      <c r="J60" s="340">
        <v>7239</v>
      </c>
      <c r="K60" s="339">
        <f>IF((J60-J59)*5.5&gt;0,(J60-J59)*5.5,0)</f>
        <v>1683</v>
      </c>
      <c r="L60" s="294"/>
    </row>
    <row r="61" spans="1:12">
      <c r="A61" s="333" t="s">
        <v>296</v>
      </c>
      <c r="B61" s="334" t="s">
        <v>238</v>
      </c>
      <c r="C61" s="335" t="s">
        <v>8</v>
      </c>
      <c r="D61" s="336" t="s">
        <v>147</v>
      </c>
      <c r="E61" s="337" t="s">
        <v>297</v>
      </c>
      <c r="F61" s="337" t="s">
        <v>294</v>
      </c>
      <c r="G61" s="338">
        <v>42919</v>
      </c>
      <c r="H61" s="339">
        <v>28000</v>
      </c>
      <c r="I61" s="339"/>
      <c r="J61" s="340">
        <v>7523</v>
      </c>
      <c r="K61" s="339">
        <f>IF((J61-J60)*5.5&gt;0,(J61-J60)*5.5,0)</f>
        <v>1562</v>
      </c>
      <c r="L61" s="294"/>
    </row>
    <row r="62" spans="1:12">
      <c r="A62" s="333" t="s">
        <v>296</v>
      </c>
      <c r="B62" s="334" t="s">
        <v>238</v>
      </c>
      <c r="C62" s="335" t="s">
        <v>9</v>
      </c>
      <c r="D62" s="336" t="s">
        <v>147</v>
      </c>
      <c r="E62" s="337" t="s">
        <v>297</v>
      </c>
      <c r="F62" s="337" t="s">
        <v>294</v>
      </c>
      <c r="G62" s="338">
        <v>42948</v>
      </c>
      <c r="H62" s="339">
        <v>28000</v>
      </c>
      <c r="I62" s="339"/>
      <c r="J62" s="340"/>
      <c r="K62" s="339">
        <f>IF((J62-J61)*5.5&gt;0,(J62-J61)*5.5,0)</f>
        <v>0</v>
      </c>
      <c r="L62" s="294"/>
    </row>
    <row r="63" spans="1:12">
      <c r="A63" s="333" t="s">
        <v>296</v>
      </c>
      <c r="B63" s="334" t="s">
        <v>238</v>
      </c>
      <c r="C63" s="335" t="s">
        <v>10</v>
      </c>
      <c r="D63" s="336" t="s">
        <v>147</v>
      </c>
      <c r="E63" s="337" t="s">
        <v>297</v>
      </c>
      <c r="F63" s="337" t="s">
        <v>294</v>
      </c>
      <c r="G63" s="338">
        <v>42979</v>
      </c>
      <c r="H63" s="339">
        <v>28000</v>
      </c>
      <c r="I63" s="339"/>
      <c r="J63" s="340">
        <v>8051</v>
      </c>
      <c r="K63" s="339">
        <v>2904</v>
      </c>
      <c r="L63" s="294"/>
    </row>
    <row r="64" spans="1:12">
      <c r="A64" s="333" t="s">
        <v>296</v>
      </c>
      <c r="B64" s="334" t="s">
        <v>238</v>
      </c>
      <c r="C64" s="335" t="s">
        <v>11</v>
      </c>
      <c r="D64" s="336" t="s">
        <v>147</v>
      </c>
      <c r="E64" s="337" t="s">
        <v>297</v>
      </c>
      <c r="F64" s="337" t="s">
        <v>294</v>
      </c>
      <c r="G64" s="338">
        <v>43010</v>
      </c>
      <c r="H64" s="339">
        <v>28000</v>
      </c>
      <c r="I64" s="339"/>
      <c r="J64" s="340"/>
      <c r="K64" s="339">
        <f>IF((J64-J63)*5.5&gt;0,(J64-J63)*5.5,0)</f>
        <v>0</v>
      </c>
      <c r="L64" s="294"/>
    </row>
    <row r="65" spans="1:12">
      <c r="A65" s="333" t="s">
        <v>296</v>
      </c>
      <c r="B65" s="334" t="s">
        <v>238</v>
      </c>
      <c r="C65" s="335" t="s">
        <v>12</v>
      </c>
      <c r="D65" s="336" t="s">
        <v>147</v>
      </c>
      <c r="E65" s="337" t="s">
        <v>297</v>
      </c>
      <c r="F65" s="337" t="s">
        <v>294</v>
      </c>
      <c r="G65" s="338">
        <v>43041</v>
      </c>
      <c r="H65" s="339">
        <v>28000</v>
      </c>
      <c r="I65" s="339"/>
      <c r="J65" s="340">
        <v>8681</v>
      </c>
      <c r="K65" s="339">
        <v>3465</v>
      </c>
      <c r="L65" s="294"/>
    </row>
    <row r="66" spans="1:12">
      <c r="A66" s="333" t="s">
        <v>296</v>
      </c>
      <c r="B66" s="334" t="s">
        <v>238</v>
      </c>
      <c r="C66" s="335" t="s">
        <v>16</v>
      </c>
      <c r="D66" s="336" t="s">
        <v>147</v>
      </c>
      <c r="E66" s="337" t="s">
        <v>297</v>
      </c>
      <c r="F66" s="337" t="s">
        <v>294</v>
      </c>
      <c r="G66" s="338">
        <v>43073</v>
      </c>
      <c r="H66" s="339">
        <v>28000</v>
      </c>
      <c r="I66" s="339"/>
      <c r="J66" s="340"/>
      <c r="K66" s="339">
        <f>IF((J66-J65)*5.5&gt;0,(J66-J65)*5.5,0)</f>
        <v>0</v>
      </c>
      <c r="L66" s="294"/>
    </row>
    <row r="67" spans="1:12">
      <c r="A67" s="333" t="s">
        <v>296</v>
      </c>
      <c r="B67" s="334" t="s">
        <v>261</v>
      </c>
      <c r="C67" s="335" t="s">
        <v>2</v>
      </c>
      <c r="D67" s="336" t="s">
        <v>150</v>
      </c>
      <c r="E67" s="337" t="s">
        <v>298</v>
      </c>
      <c r="F67" s="337" t="s">
        <v>299</v>
      </c>
      <c r="G67" s="338"/>
      <c r="H67" s="339">
        <v>35000</v>
      </c>
      <c r="I67" s="339">
        <v>70000</v>
      </c>
      <c r="J67" s="340">
        <v>82244</v>
      </c>
      <c r="K67" s="339"/>
      <c r="L67" s="294" t="s">
        <v>295</v>
      </c>
    </row>
    <row r="68" spans="1:12">
      <c r="A68" s="333" t="s">
        <v>296</v>
      </c>
      <c r="B68" s="334" t="s">
        <v>261</v>
      </c>
      <c r="C68" s="335" t="s">
        <v>3</v>
      </c>
      <c r="D68" s="336" t="s">
        <v>150</v>
      </c>
      <c r="E68" s="337" t="s">
        <v>298</v>
      </c>
      <c r="F68" s="337" t="s">
        <v>299</v>
      </c>
      <c r="G68" s="338"/>
      <c r="H68" s="339">
        <v>35000</v>
      </c>
      <c r="I68" s="339"/>
      <c r="J68" s="340">
        <v>82244</v>
      </c>
      <c r="K68" s="339">
        <f>IF((J68-J67)*5.5&gt;0,(J68-J67)*5.5,0)</f>
        <v>0</v>
      </c>
      <c r="L68" s="294"/>
    </row>
    <row r="69" spans="1:12">
      <c r="A69" s="333" t="s">
        <v>296</v>
      </c>
      <c r="B69" s="334" t="s">
        <v>261</v>
      </c>
      <c r="C69" s="335" t="s">
        <v>4</v>
      </c>
      <c r="D69" s="336" t="s">
        <v>150</v>
      </c>
      <c r="E69" s="337" t="s">
        <v>298</v>
      </c>
      <c r="F69" s="337" t="s">
        <v>299</v>
      </c>
      <c r="G69" s="338"/>
      <c r="H69" s="339">
        <v>35000</v>
      </c>
      <c r="I69" s="339"/>
      <c r="J69" s="340"/>
      <c r="K69" s="339">
        <f>IF((J69-J68)*5.5&gt;0,(J69-J68)*5.5,0)</f>
        <v>0</v>
      </c>
      <c r="L69" s="294"/>
    </row>
    <row r="70" spans="1:12">
      <c r="A70" s="333" t="s">
        <v>296</v>
      </c>
      <c r="B70" s="334" t="s">
        <v>261</v>
      </c>
      <c r="C70" s="335" t="s">
        <v>5</v>
      </c>
      <c r="D70" s="336" t="s">
        <v>150</v>
      </c>
      <c r="E70" s="337" t="s">
        <v>298</v>
      </c>
      <c r="F70" s="337" t="s">
        <v>299</v>
      </c>
      <c r="G70" s="338"/>
      <c r="H70" s="339">
        <v>35000</v>
      </c>
      <c r="I70" s="339"/>
      <c r="J70" s="340">
        <v>82770</v>
      </c>
      <c r="K70" s="339">
        <f>IF((J70-J68)*5.5&gt;0,(J70-J68)*5.5,0)-I70</f>
        <v>2893</v>
      </c>
      <c r="L70" s="294"/>
    </row>
    <row r="71" spans="1:12">
      <c r="A71" s="333" t="s">
        <v>296</v>
      </c>
      <c r="B71" s="334" t="s">
        <v>261</v>
      </c>
      <c r="C71" s="335" t="s">
        <v>6</v>
      </c>
      <c r="D71" s="336" t="s">
        <v>150</v>
      </c>
      <c r="E71" s="337" t="s">
        <v>298</v>
      </c>
      <c r="F71" s="337" t="s">
        <v>299</v>
      </c>
      <c r="G71" s="338">
        <v>42853</v>
      </c>
      <c r="H71" s="339">
        <v>35000</v>
      </c>
      <c r="I71" s="339"/>
      <c r="J71" s="340">
        <v>83136</v>
      </c>
      <c r="K71" s="339">
        <f>IF((J71-J70)*5.5&gt;0,(J71-J70)*5.5,0)-I71</f>
        <v>2013</v>
      </c>
      <c r="L71" s="294"/>
    </row>
    <row r="72" spans="1:12">
      <c r="A72" s="333" t="s">
        <v>296</v>
      </c>
      <c r="B72" s="334" t="s">
        <v>261</v>
      </c>
      <c r="C72" s="335" t="s">
        <v>7</v>
      </c>
      <c r="D72" s="336" t="s">
        <v>150</v>
      </c>
      <c r="E72" s="337" t="s">
        <v>298</v>
      </c>
      <c r="F72" s="337" t="s">
        <v>299</v>
      </c>
      <c r="G72" s="338">
        <v>42886</v>
      </c>
      <c r="H72" s="339">
        <v>35000</v>
      </c>
      <c r="I72" s="339"/>
      <c r="J72" s="340">
        <v>83504</v>
      </c>
      <c r="K72" s="339">
        <f>IF((J72-J71)*5.5&gt;0,(J72-J71)*5.5,0)-I72</f>
        <v>2024</v>
      </c>
      <c r="L72" s="294"/>
    </row>
    <row r="73" spans="1:12">
      <c r="A73" s="333" t="s">
        <v>296</v>
      </c>
      <c r="B73" s="334" t="s">
        <v>261</v>
      </c>
      <c r="C73" s="335" t="s">
        <v>8</v>
      </c>
      <c r="D73" s="336" t="s">
        <v>150</v>
      </c>
      <c r="E73" s="337" t="s">
        <v>298</v>
      </c>
      <c r="F73" s="337" t="s">
        <v>299</v>
      </c>
      <c r="G73" s="338">
        <v>42916</v>
      </c>
      <c r="H73" s="339">
        <v>35000</v>
      </c>
      <c r="I73" s="339"/>
      <c r="J73" s="340">
        <v>84190</v>
      </c>
      <c r="K73" s="339">
        <f>IF((J73-J72)*5.5&gt;0,(J73-J72)*5.5,0)-I73</f>
        <v>3773</v>
      </c>
      <c r="L73" s="294"/>
    </row>
    <row r="74" spans="1:12">
      <c r="A74" s="333" t="s">
        <v>296</v>
      </c>
      <c r="B74" s="334" t="s">
        <v>261</v>
      </c>
      <c r="C74" s="335" t="s">
        <v>9</v>
      </c>
      <c r="D74" s="336" t="s">
        <v>150</v>
      </c>
      <c r="E74" s="337" t="s">
        <v>298</v>
      </c>
      <c r="F74" s="337" t="s">
        <v>299</v>
      </c>
      <c r="G74" s="338">
        <v>42947</v>
      </c>
      <c r="H74" s="339">
        <v>35000</v>
      </c>
      <c r="I74" s="339"/>
      <c r="J74" s="340"/>
      <c r="K74" s="339">
        <f>IF((J74-J73)*5.5&gt;0,(J74-J73)*5.5,0)-I74</f>
        <v>0</v>
      </c>
      <c r="L74" s="294"/>
    </row>
    <row r="75" spans="1:12">
      <c r="A75" s="333" t="s">
        <v>296</v>
      </c>
      <c r="B75" s="334" t="s">
        <v>261</v>
      </c>
      <c r="C75" s="335" t="s">
        <v>10</v>
      </c>
      <c r="D75" s="336" t="s">
        <v>150</v>
      </c>
      <c r="E75" s="337" t="s">
        <v>298</v>
      </c>
      <c r="F75" s="337" t="s">
        <v>299</v>
      </c>
      <c r="G75" s="338">
        <v>42978</v>
      </c>
      <c r="H75" s="339">
        <v>35000</v>
      </c>
      <c r="I75" s="339"/>
      <c r="J75" s="340">
        <v>84882</v>
      </c>
      <c r="K75" s="339">
        <f>IF((J75-J73)*5.5&gt;0,(J75-J73)*5.5,0)-I75</f>
        <v>3806</v>
      </c>
      <c r="L75" s="294"/>
    </row>
    <row r="76" spans="1:12">
      <c r="A76" s="341" t="s">
        <v>300</v>
      </c>
      <c r="B76" s="342" t="s">
        <v>238</v>
      </c>
      <c r="C76" s="343" t="s">
        <v>8</v>
      </c>
      <c r="D76" s="344" t="s">
        <v>168</v>
      </c>
      <c r="E76" s="345" t="s">
        <v>293</v>
      </c>
      <c r="F76" s="345" t="s">
        <v>301</v>
      </c>
      <c r="G76" s="346">
        <v>42908</v>
      </c>
      <c r="H76" s="347">
        <v>30000</v>
      </c>
      <c r="I76" s="347">
        <v>60000</v>
      </c>
      <c r="J76" s="348">
        <v>8048</v>
      </c>
      <c r="K76" s="347">
        <v>2838</v>
      </c>
      <c r="L76" s="295"/>
    </row>
    <row r="77" spans="1:12">
      <c r="A77" s="341" t="s">
        <v>300</v>
      </c>
      <c r="B77" s="342" t="s">
        <v>238</v>
      </c>
      <c r="C77" s="343" t="s">
        <v>9</v>
      </c>
      <c r="D77" s="344" t="s">
        <v>168</v>
      </c>
      <c r="E77" s="345" t="s">
        <v>293</v>
      </c>
      <c r="F77" s="345" t="s">
        <v>301</v>
      </c>
      <c r="G77" s="346">
        <v>42947</v>
      </c>
      <c r="H77" s="347">
        <v>30000</v>
      </c>
      <c r="I77" s="347"/>
      <c r="J77" s="348">
        <v>8584</v>
      </c>
      <c r="K77" s="347">
        <v>2948</v>
      </c>
      <c r="L77" s="295"/>
    </row>
    <row r="78" spans="1:12">
      <c r="A78" s="341" t="s">
        <v>300</v>
      </c>
      <c r="B78" s="342" t="s">
        <v>238</v>
      </c>
      <c r="C78" s="343" t="s">
        <v>10</v>
      </c>
      <c r="D78" s="344" t="s">
        <v>168</v>
      </c>
      <c r="E78" s="345" t="s">
        <v>293</v>
      </c>
      <c r="F78" s="345" t="s">
        <v>301</v>
      </c>
      <c r="G78" s="346">
        <v>42982</v>
      </c>
      <c r="H78" s="347">
        <v>30000</v>
      </c>
      <c r="I78" s="347"/>
      <c r="J78" s="348">
        <v>9016</v>
      </c>
      <c r="K78" s="347">
        <v>2376</v>
      </c>
      <c r="L78" s="295"/>
    </row>
    <row r="79" spans="1:12">
      <c r="A79" s="341" t="s">
        <v>300</v>
      </c>
      <c r="B79" s="342" t="s">
        <v>238</v>
      </c>
      <c r="C79" s="343" t="s">
        <v>11</v>
      </c>
      <c r="D79" s="344" t="s">
        <v>168</v>
      </c>
      <c r="E79" s="345" t="s">
        <v>293</v>
      </c>
      <c r="F79" s="345" t="s">
        <v>301</v>
      </c>
      <c r="G79" s="346">
        <v>43011</v>
      </c>
      <c r="H79" s="347">
        <v>30000</v>
      </c>
      <c r="I79" s="347"/>
      <c r="J79" s="348">
        <v>9364</v>
      </c>
      <c r="K79" s="347">
        <v>1914</v>
      </c>
      <c r="L79" s="295"/>
    </row>
    <row r="80" spans="1:12">
      <c r="A80" s="341" t="s">
        <v>300</v>
      </c>
      <c r="B80" s="342" t="s">
        <v>238</v>
      </c>
      <c r="C80" s="343" t="s">
        <v>12</v>
      </c>
      <c r="D80" s="344" t="s">
        <v>168</v>
      </c>
      <c r="E80" s="345" t="s">
        <v>293</v>
      </c>
      <c r="F80" s="345" t="s">
        <v>301</v>
      </c>
      <c r="G80" s="346">
        <v>43045</v>
      </c>
      <c r="H80" s="347">
        <v>30000</v>
      </c>
      <c r="I80" s="347"/>
      <c r="J80" s="348">
        <v>9580</v>
      </c>
      <c r="K80" s="347">
        <v>1188</v>
      </c>
      <c r="L80" s="295"/>
    </row>
    <row r="81" spans="1:12">
      <c r="A81" s="341" t="s">
        <v>300</v>
      </c>
      <c r="B81" s="342" t="s">
        <v>238</v>
      </c>
      <c r="C81" s="343" t="s">
        <v>16</v>
      </c>
      <c r="D81" s="344" t="s">
        <v>168</v>
      </c>
      <c r="E81" s="345" t="s">
        <v>293</v>
      </c>
      <c r="F81" s="345" t="s">
        <v>301</v>
      </c>
      <c r="G81" s="346">
        <v>43074</v>
      </c>
      <c r="H81" s="347">
        <v>30000</v>
      </c>
      <c r="I81" s="347"/>
      <c r="J81" s="348"/>
      <c r="K81" s="347">
        <v>0</v>
      </c>
      <c r="L81" s="295"/>
    </row>
    <row r="82" spans="1:12">
      <c r="A82" s="333" t="s">
        <v>304</v>
      </c>
      <c r="B82" s="334" t="s">
        <v>238</v>
      </c>
      <c r="C82" s="335" t="s">
        <v>16</v>
      </c>
      <c r="D82" s="336" t="s">
        <v>175</v>
      </c>
      <c r="E82" s="337"/>
      <c r="F82" s="337" t="s">
        <v>302</v>
      </c>
      <c r="G82" s="338">
        <v>43085</v>
      </c>
      <c r="H82" s="339">
        <v>12000</v>
      </c>
      <c r="I82" s="339">
        <v>48000</v>
      </c>
      <c r="J82" s="340"/>
      <c r="K82" s="339"/>
      <c r="L82" s="294"/>
    </row>
    <row r="83" spans="1:12">
      <c r="A83" s="333" t="s">
        <v>304</v>
      </c>
      <c r="B83" s="334" t="s">
        <v>261</v>
      </c>
      <c r="C83" s="335" t="s">
        <v>8</v>
      </c>
      <c r="D83" s="336" t="s">
        <v>177</v>
      </c>
      <c r="E83" s="337"/>
      <c r="F83" s="337" t="s">
        <v>301</v>
      </c>
      <c r="G83" s="338">
        <v>42918</v>
      </c>
      <c r="H83" s="339">
        <v>30000</v>
      </c>
      <c r="I83" s="339">
        <v>60000</v>
      </c>
      <c r="J83" s="340">
        <v>8245</v>
      </c>
      <c r="K83" s="339">
        <v>1947</v>
      </c>
      <c r="L83" s="294" t="s">
        <v>303</v>
      </c>
    </row>
    <row r="84" spans="1:12">
      <c r="A84" s="333" t="s">
        <v>304</v>
      </c>
      <c r="B84" s="334" t="s">
        <v>261</v>
      </c>
      <c r="C84" s="335" t="s">
        <v>9</v>
      </c>
      <c r="D84" s="336" t="s">
        <v>177</v>
      </c>
      <c r="E84" s="337"/>
      <c r="F84" s="337" t="s">
        <v>305</v>
      </c>
      <c r="G84" s="338">
        <v>42948</v>
      </c>
      <c r="H84" s="339">
        <v>30000</v>
      </c>
      <c r="I84" s="339"/>
      <c r="J84" s="340">
        <v>8707</v>
      </c>
      <c r="K84" s="339">
        <v>2541</v>
      </c>
      <c r="L84" s="294"/>
    </row>
    <row r="85" spans="1:12">
      <c r="A85" s="333" t="s">
        <v>304</v>
      </c>
      <c r="B85" s="334" t="s">
        <v>261</v>
      </c>
      <c r="C85" s="335" t="s">
        <v>10</v>
      </c>
      <c r="D85" s="336" t="s">
        <v>177</v>
      </c>
      <c r="E85" s="337"/>
      <c r="F85" s="337" t="s">
        <v>306</v>
      </c>
      <c r="G85" s="338">
        <v>42978</v>
      </c>
      <c r="H85" s="339">
        <v>30000</v>
      </c>
      <c r="I85" s="339"/>
      <c r="J85" s="340">
        <v>9031</v>
      </c>
      <c r="K85" s="339">
        <v>1782</v>
      </c>
      <c r="L85" s="294"/>
    </row>
    <row r="86" spans="1:12">
      <c r="A86" s="333" t="s">
        <v>304</v>
      </c>
      <c r="B86" s="334" t="s">
        <v>261</v>
      </c>
      <c r="C86" s="335" t="s">
        <v>11</v>
      </c>
      <c r="D86" s="336" t="s">
        <v>177</v>
      </c>
      <c r="E86" s="337"/>
      <c r="F86" s="337" t="s">
        <v>307</v>
      </c>
      <c r="G86" s="338">
        <v>43010</v>
      </c>
      <c r="H86" s="339">
        <v>30000</v>
      </c>
      <c r="I86" s="339"/>
      <c r="J86" s="340">
        <v>9211</v>
      </c>
      <c r="K86" s="339">
        <v>990</v>
      </c>
      <c r="L86" s="294"/>
    </row>
    <row r="87" spans="1:12">
      <c r="A87" s="333" t="s">
        <v>304</v>
      </c>
      <c r="B87" s="334" t="s">
        <v>261</v>
      </c>
      <c r="C87" s="335" t="s">
        <v>12</v>
      </c>
      <c r="D87" s="336" t="s">
        <v>177</v>
      </c>
      <c r="E87" s="337"/>
      <c r="F87" s="337" t="s">
        <v>308</v>
      </c>
      <c r="G87" s="338">
        <v>43042</v>
      </c>
      <c r="H87" s="339">
        <v>30000</v>
      </c>
      <c r="I87" s="339"/>
      <c r="J87" s="340">
        <v>9349</v>
      </c>
      <c r="K87" s="339">
        <v>759</v>
      </c>
      <c r="L87" s="294"/>
    </row>
    <row r="88" spans="1:12">
      <c r="A88" s="333" t="s">
        <v>304</v>
      </c>
      <c r="B88" s="334" t="s">
        <v>261</v>
      </c>
      <c r="C88" s="335" t="s">
        <v>16</v>
      </c>
      <c r="D88" s="336" t="s">
        <v>177</v>
      </c>
      <c r="E88" s="337"/>
      <c r="F88" s="337" t="s">
        <v>309</v>
      </c>
      <c r="G88" s="338">
        <v>43071</v>
      </c>
      <c r="H88" s="339">
        <v>30000</v>
      </c>
      <c r="I88" s="339"/>
      <c r="J88" s="340"/>
      <c r="K88" s="339">
        <f>IF((J88-J87)*5.5&gt;0,(J88-J87)*5.5,0)</f>
        <v>0</v>
      </c>
      <c r="L88" s="294"/>
    </row>
    <row r="89" spans="1:12">
      <c r="A89" s="341" t="s">
        <v>310</v>
      </c>
      <c r="B89" s="342" t="s">
        <v>238</v>
      </c>
      <c r="C89" s="343" t="s">
        <v>10</v>
      </c>
      <c r="D89" s="344" t="s">
        <v>183</v>
      </c>
      <c r="E89" s="345" t="s">
        <v>184</v>
      </c>
      <c r="F89" s="345" t="s">
        <v>311</v>
      </c>
      <c r="G89" s="346">
        <v>42990</v>
      </c>
      <c r="H89" s="347">
        <f>2800+2800</f>
        <v>5600</v>
      </c>
      <c r="I89" s="347"/>
      <c r="J89" s="348">
        <v>168</v>
      </c>
      <c r="K89" s="347">
        <v>418</v>
      </c>
      <c r="L89" s="295"/>
    </row>
    <row r="90" spans="1:12">
      <c r="A90" s="341" t="s">
        <v>310</v>
      </c>
      <c r="B90" s="342" t="s">
        <v>238</v>
      </c>
      <c r="C90" s="343" t="s">
        <v>11</v>
      </c>
      <c r="D90" s="344" t="s">
        <v>183</v>
      </c>
      <c r="E90" s="345" t="s">
        <v>184</v>
      </c>
      <c r="F90" s="345" t="s">
        <v>311</v>
      </c>
      <c r="G90" s="346">
        <v>43008</v>
      </c>
      <c r="H90" s="347">
        <v>12000</v>
      </c>
      <c r="I90" s="347"/>
      <c r="J90" s="348">
        <v>264</v>
      </c>
      <c r="K90" s="347">
        <v>528</v>
      </c>
      <c r="L90" s="295"/>
    </row>
    <row r="91" spans="1:12">
      <c r="A91" s="341" t="s">
        <v>310</v>
      </c>
      <c r="B91" s="342" t="s">
        <v>238</v>
      </c>
      <c r="C91" s="343" t="s">
        <v>12</v>
      </c>
      <c r="D91" s="344" t="s">
        <v>183</v>
      </c>
      <c r="E91" s="345" t="s">
        <v>184</v>
      </c>
      <c r="F91" s="345" t="s">
        <v>311</v>
      </c>
      <c r="G91" s="346">
        <v>43039</v>
      </c>
      <c r="H91" s="347">
        <v>12000</v>
      </c>
      <c r="I91" s="347"/>
      <c r="J91" s="348"/>
      <c r="K91" s="347">
        <v>0</v>
      </c>
      <c r="L91" s="295"/>
    </row>
    <row r="92" spans="1:12">
      <c r="A92" s="341" t="s">
        <v>310</v>
      </c>
      <c r="B92" s="342" t="s">
        <v>238</v>
      </c>
      <c r="C92" s="343" t="s">
        <v>16</v>
      </c>
      <c r="D92" s="344" t="s">
        <v>183</v>
      </c>
      <c r="E92" s="345" t="s">
        <v>184</v>
      </c>
      <c r="F92" s="345" t="s">
        <v>311</v>
      </c>
      <c r="G92" s="346"/>
      <c r="H92" s="347">
        <f>774+12000</f>
        <v>12774</v>
      </c>
      <c r="I92" s="347"/>
      <c r="J92" s="348"/>
      <c r="K92" s="347">
        <v>0</v>
      </c>
      <c r="L92" s="295"/>
    </row>
    <row r="93" spans="1:12">
      <c r="A93" s="341" t="s">
        <v>310</v>
      </c>
      <c r="B93" s="342" t="s">
        <v>261</v>
      </c>
      <c r="C93" s="343" t="s">
        <v>10</v>
      </c>
      <c r="D93" s="344" t="s">
        <v>187</v>
      </c>
      <c r="E93" s="345"/>
      <c r="F93" s="345" t="s">
        <v>312</v>
      </c>
      <c r="G93" s="346">
        <v>42983</v>
      </c>
      <c r="H93" s="347">
        <f>12000+12000</f>
        <v>24000</v>
      </c>
      <c r="I93" s="347">
        <v>24000</v>
      </c>
      <c r="J93" s="348" t="s">
        <v>197</v>
      </c>
      <c r="K93" s="347">
        <v>517</v>
      </c>
      <c r="L93" s="295"/>
    </row>
    <row r="94" spans="1:12">
      <c r="A94" s="341" t="s">
        <v>310</v>
      </c>
      <c r="B94" s="342" t="s">
        <v>261</v>
      </c>
      <c r="C94" s="343" t="s">
        <v>11</v>
      </c>
      <c r="D94" s="344" t="s">
        <v>187</v>
      </c>
      <c r="E94" s="345"/>
      <c r="F94" s="345" t="s">
        <v>313</v>
      </c>
      <c r="G94" s="346">
        <v>43010</v>
      </c>
      <c r="H94" s="347">
        <v>12000</v>
      </c>
      <c r="I94" s="347"/>
      <c r="J94" s="348">
        <v>402</v>
      </c>
      <c r="K94" s="347">
        <v>473</v>
      </c>
      <c r="L94" s="295"/>
    </row>
    <row r="95" spans="1:12">
      <c r="A95" s="341" t="s">
        <v>310</v>
      </c>
      <c r="B95" s="342" t="s">
        <v>261</v>
      </c>
      <c r="C95" s="343" t="s">
        <v>12</v>
      </c>
      <c r="D95" s="344" t="s">
        <v>187</v>
      </c>
      <c r="E95" s="345"/>
      <c r="F95" s="345" t="s">
        <v>314</v>
      </c>
      <c r="G95" s="346">
        <v>43045</v>
      </c>
      <c r="H95" s="347">
        <v>12000</v>
      </c>
      <c r="I95" s="347"/>
      <c r="J95" s="348">
        <v>450</v>
      </c>
      <c r="K95" s="347">
        <v>264</v>
      </c>
      <c r="L95" s="295"/>
    </row>
    <row r="96" spans="1:12">
      <c r="A96" s="341" t="s">
        <v>310</v>
      </c>
      <c r="B96" s="342" t="s">
        <v>261</v>
      </c>
      <c r="C96" s="343" t="s">
        <v>16</v>
      </c>
      <c r="D96" s="344" t="s">
        <v>187</v>
      </c>
      <c r="E96" s="345"/>
      <c r="F96" s="345" t="s">
        <v>315</v>
      </c>
      <c r="G96" s="346">
        <v>43076</v>
      </c>
      <c r="H96" s="347">
        <v>12000</v>
      </c>
      <c r="I96" s="347"/>
      <c r="J96" s="348"/>
      <c r="K96" s="347">
        <v>0</v>
      </c>
      <c r="L96" s="295"/>
    </row>
    <row r="97" spans="1:12">
      <c r="A97" s="341" t="s">
        <v>310</v>
      </c>
      <c r="B97" s="342" t="s">
        <v>244</v>
      </c>
      <c r="C97" s="343" t="s">
        <v>11</v>
      </c>
      <c r="D97" s="344" t="s">
        <v>189</v>
      </c>
      <c r="E97" s="345"/>
      <c r="F97" s="345" t="s">
        <v>316</v>
      </c>
      <c r="G97" s="346">
        <v>43025</v>
      </c>
      <c r="H97" s="347">
        <v>5870</v>
      </c>
      <c r="I97" s="347">
        <v>22000</v>
      </c>
      <c r="J97" s="348">
        <v>235</v>
      </c>
      <c r="K97" s="347">
        <v>132</v>
      </c>
      <c r="L97" s="295"/>
    </row>
    <row r="98" spans="1:12">
      <c r="A98" s="341" t="s">
        <v>310</v>
      </c>
      <c r="B98" s="342" t="s">
        <v>244</v>
      </c>
      <c r="C98" s="343" t="s">
        <v>12</v>
      </c>
      <c r="D98" s="344" t="s">
        <v>189</v>
      </c>
      <c r="E98" s="345"/>
      <c r="F98" s="345" t="s">
        <v>316</v>
      </c>
      <c r="G98" s="346">
        <v>43041</v>
      </c>
      <c r="H98" s="347">
        <v>11000</v>
      </c>
      <c r="I98" s="347"/>
      <c r="J98" s="348">
        <v>291</v>
      </c>
      <c r="K98" s="347">
        <v>308</v>
      </c>
      <c r="L98" s="295"/>
    </row>
    <row r="99" spans="1:12">
      <c r="A99" s="341" t="s">
        <v>310</v>
      </c>
      <c r="B99" s="342" t="s">
        <v>244</v>
      </c>
      <c r="C99" s="343" t="s">
        <v>16</v>
      </c>
      <c r="D99" s="344" t="s">
        <v>189</v>
      </c>
      <c r="E99" s="345"/>
      <c r="F99" s="345" t="s">
        <v>316</v>
      </c>
      <c r="G99" s="346">
        <v>43072</v>
      </c>
      <c r="H99" s="347">
        <v>11000</v>
      </c>
      <c r="I99" s="347"/>
      <c r="J99" s="348"/>
      <c r="K99" s="347">
        <v>0</v>
      </c>
      <c r="L99" s="295"/>
    </row>
    <row r="100" spans="1:12">
      <c r="A100" s="341" t="s">
        <v>310</v>
      </c>
      <c r="B100" s="342" t="s">
        <v>317</v>
      </c>
      <c r="C100" s="343" t="s">
        <v>9</v>
      </c>
      <c r="D100" s="344" t="s">
        <v>191</v>
      </c>
      <c r="E100" s="345"/>
      <c r="F100" s="345" t="s">
        <v>318</v>
      </c>
      <c r="G100" s="346">
        <v>42926</v>
      </c>
      <c r="H100" s="347">
        <v>18000</v>
      </c>
      <c r="I100" s="347"/>
      <c r="J100" s="348">
        <v>406</v>
      </c>
      <c r="K100" s="347">
        <v>1056</v>
      </c>
      <c r="L100" s="295"/>
    </row>
    <row r="101" spans="1:12">
      <c r="A101" s="341" t="s">
        <v>310</v>
      </c>
      <c r="B101" s="342" t="s">
        <v>317</v>
      </c>
      <c r="C101" s="343" t="s">
        <v>10</v>
      </c>
      <c r="D101" s="344" t="s">
        <v>191</v>
      </c>
      <c r="E101" s="345"/>
      <c r="F101" s="345" t="s">
        <v>318</v>
      </c>
      <c r="G101" s="346">
        <v>42963</v>
      </c>
      <c r="H101" s="347">
        <v>7742</v>
      </c>
      <c r="I101" s="347"/>
      <c r="J101" s="348">
        <v>814</v>
      </c>
      <c r="K101" s="347">
        <v>2244</v>
      </c>
      <c r="L101" s="295"/>
    </row>
    <row r="102" spans="1:12">
      <c r="A102" s="341" t="s">
        <v>310</v>
      </c>
      <c r="B102" s="342" t="s">
        <v>317</v>
      </c>
      <c r="C102" s="343" t="s">
        <v>11</v>
      </c>
      <c r="D102" s="344" t="s">
        <v>191</v>
      </c>
      <c r="E102" s="345"/>
      <c r="F102" s="345" t="s">
        <v>318</v>
      </c>
      <c r="G102" s="346">
        <v>42977</v>
      </c>
      <c r="H102" s="347">
        <v>16000</v>
      </c>
      <c r="I102" s="347"/>
      <c r="J102" s="348"/>
      <c r="K102" s="347"/>
      <c r="L102" s="295"/>
    </row>
    <row r="103" spans="1:12">
      <c r="A103" s="341" t="s">
        <v>310</v>
      </c>
      <c r="B103" s="342" t="s">
        <v>317</v>
      </c>
      <c r="C103" s="343" t="s">
        <v>12</v>
      </c>
      <c r="D103" s="344" t="s">
        <v>191</v>
      </c>
      <c r="E103" s="345"/>
      <c r="F103" s="345" t="s">
        <v>318</v>
      </c>
      <c r="G103" s="346">
        <v>43011</v>
      </c>
      <c r="H103" s="347">
        <v>16000</v>
      </c>
      <c r="I103" s="347"/>
      <c r="J103" s="348"/>
      <c r="K103" s="347"/>
      <c r="L103" s="295"/>
    </row>
    <row r="104" spans="1:12">
      <c r="A104" s="333" t="s">
        <v>320</v>
      </c>
      <c r="B104" s="334" t="s">
        <v>238</v>
      </c>
      <c r="C104" s="335" t="s">
        <v>2</v>
      </c>
      <c r="D104" s="336" t="s">
        <v>198</v>
      </c>
      <c r="E104" s="337" t="s">
        <v>199</v>
      </c>
      <c r="F104" s="337" t="s">
        <v>322</v>
      </c>
      <c r="G104" s="338">
        <v>42742</v>
      </c>
      <c r="H104" s="339">
        <v>13000</v>
      </c>
      <c r="I104" s="339">
        <v>26000</v>
      </c>
      <c r="J104" s="340">
        <v>5900</v>
      </c>
      <c r="K104" s="339"/>
      <c r="L104" s="294" t="s">
        <v>321</v>
      </c>
    </row>
    <row r="105" spans="1:12">
      <c r="A105" s="333" t="s">
        <v>320</v>
      </c>
      <c r="B105" s="334" t="s">
        <v>238</v>
      </c>
      <c r="C105" s="335" t="s">
        <v>3</v>
      </c>
      <c r="D105" s="336" t="s">
        <v>198</v>
      </c>
      <c r="E105" s="337" t="s">
        <v>199</v>
      </c>
      <c r="F105" s="337" t="s">
        <v>322</v>
      </c>
      <c r="G105" s="338">
        <v>42773</v>
      </c>
      <c r="H105" s="339">
        <v>13000</v>
      </c>
      <c r="I105" s="339"/>
      <c r="J105" s="340">
        <v>6020</v>
      </c>
      <c r="K105" s="339">
        <v>660</v>
      </c>
      <c r="L105" s="294"/>
    </row>
    <row r="106" spans="1:12">
      <c r="A106" s="333" t="s">
        <v>320</v>
      </c>
      <c r="B106" s="334" t="s">
        <v>238</v>
      </c>
      <c r="C106" s="335" t="s">
        <v>4</v>
      </c>
      <c r="D106" s="336" t="s">
        <v>198</v>
      </c>
      <c r="E106" s="337" t="s">
        <v>199</v>
      </c>
      <c r="F106" s="337" t="s">
        <v>322</v>
      </c>
      <c r="G106" s="338">
        <v>42798</v>
      </c>
      <c r="H106" s="339">
        <v>13000</v>
      </c>
      <c r="I106" s="339"/>
      <c r="J106" s="340">
        <v>6134</v>
      </c>
      <c r="K106" s="339">
        <v>627</v>
      </c>
      <c r="L106" s="294"/>
    </row>
    <row r="107" spans="1:12">
      <c r="A107" s="333" t="s">
        <v>320</v>
      </c>
      <c r="B107" s="334" t="s">
        <v>238</v>
      </c>
      <c r="C107" s="335" t="s">
        <v>5</v>
      </c>
      <c r="D107" s="336" t="s">
        <v>198</v>
      </c>
      <c r="E107" s="337" t="s">
        <v>199</v>
      </c>
      <c r="F107" s="337" t="s">
        <v>322</v>
      </c>
      <c r="G107" s="338"/>
      <c r="H107" s="339">
        <v>13000</v>
      </c>
      <c r="I107" s="339"/>
      <c r="J107" s="340">
        <v>6238</v>
      </c>
      <c r="K107" s="339">
        <v>572</v>
      </c>
      <c r="L107" s="294"/>
    </row>
    <row r="108" spans="1:12">
      <c r="A108" s="333" t="s">
        <v>320</v>
      </c>
      <c r="B108" s="334" t="s">
        <v>238</v>
      </c>
      <c r="C108" s="335" t="s">
        <v>6</v>
      </c>
      <c r="D108" s="336" t="s">
        <v>198</v>
      </c>
      <c r="E108" s="337" t="s">
        <v>199</v>
      </c>
      <c r="F108" s="337" t="s">
        <v>322</v>
      </c>
      <c r="G108" s="338"/>
      <c r="H108" s="339">
        <v>13000</v>
      </c>
      <c r="I108" s="339"/>
      <c r="J108" s="340">
        <v>6324</v>
      </c>
      <c r="K108" s="339">
        <v>473</v>
      </c>
      <c r="L108" s="294"/>
    </row>
    <row r="109" spans="1:12">
      <c r="A109" s="333" t="s">
        <v>320</v>
      </c>
      <c r="B109" s="334" t="s">
        <v>238</v>
      </c>
      <c r="C109" s="335" t="s">
        <v>7</v>
      </c>
      <c r="D109" s="336" t="s">
        <v>198</v>
      </c>
      <c r="E109" s="337" t="s">
        <v>199</v>
      </c>
      <c r="F109" s="337" t="s">
        <v>322</v>
      </c>
      <c r="G109" s="338">
        <v>42893</v>
      </c>
      <c r="H109" s="339">
        <v>13000</v>
      </c>
      <c r="I109" s="339"/>
      <c r="J109" s="340">
        <v>6444</v>
      </c>
      <c r="K109" s="339">
        <v>660</v>
      </c>
      <c r="L109" s="294"/>
    </row>
    <row r="110" spans="1:12">
      <c r="A110" s="333" t="s">
        <v>320</v>
      </c>
      <c r="B110" s="334" t="s">
        <v>261</v>
      </c>
      <c r="C110" s="335" t="s">
        <v>8</v>
      </c>
      <c r="D110" s="336" t="s">
        <v>203</v>
      </c>
      <c r="E110" s="337"/>
      <c r="F110" s="337" t="s">
        <v>326</v>
      </c>
      <c r="G110" s="338">
        <v>42930</v>
      </c>
      <c r="H110" s="339">
        <v>7500</v>
      </c>
      <c r="I110" s="339"/>
      <c r="J110" s="340">
        <v>6124</v>
      </c>
      <c r="K110" s="339">
        <v>572</v>
      </c>
      <c r="L110" s="294" t="s">
        <v>321</v>
      </c>
    </row>
    <row r="111" spans="1:12">
      <c r="A111" s="333" t="s">
        <v>320</v>
      </c>
      <c r="B111" s="334" t="s">
        <v>261</v>
      </c>
      <c r="C111" s="335" t="s">
        <v>9</v>
      </c>
      <c r="D111" s="336" t="s">
        <v>203</v>
      </c>
      <c r="E111" s="337"/>
      <c r="F111" s="337" t="s">
        <v>326</v>
      </c>
      <c r="G111" s="338">
        <v>42947</v>
      </c>
      <c r="H111" s="339">
        <v>15000</v>
      </c>
      <c r="I111" s="339"/>
      <c r="J111" s="340">
        <v>6426</v>
      </c>
      <c r="K111" s="339">
        <v>1661</v>
      </c>
      <c r="L111" s="294"/>
    </row>
    <row r="112" spans="1:12">
      <c r="A112" s="333" t="s">
        <v>320</v>
      </c>
      <c r="B112" s="334" t="s">
        <v>261</v>
      </c>
      <c r="C112" s="335" t="s">
        <v>10</v>
      </c>
      <c r="D112" s="336" t="s">
        <v>203</v>
      </c>
      <c r="E112" s="337"/>
      <c r="F112" s="337" t="s">
        <v>326</v>
      </c>
      <c r="G112" s="338">
        <v>42977</v>
      </c>
      <c r="H112" s="339">
        <v>15000</v>
      </c>
      <c r="I112" s="339"/>
      <c r="J112" s="340">
        <v>6714</v>
      </c>
      <c r="K112" s="339">
        <v>1584</v>
      </c>
      <c r="L112" s="294"/>
    </row>
    <row r="113" spans="1:12">
      <c r="A113" s="333" t="s">
        <v>320</v>
      </c>
      <c r="B113" s="334" t="s">
        <v>261</v>
      </c>
      <c r="C113" s="335" t="s">
        <v>11</v>
      </c>
      <c r="D113" s="336" t="s">
        <v>203</v>
      </c>
      <c r="E113" s="337"/>
      <c r="F113" s="337" t="s">
        <v>326</v>
      </c>
      <c r="G113" s="338">
        <v>43006</v>
      </c>
      <c r="H113" s="339">
        <v>15000</v>
      </c>
      <c r="I113" s="339"/>
      <c r="J113" s="340">
        <v>6978</v>
      </c>
      <c r="K113" s="339">
        <v>1452</v>
      </c>
      <c r="L113" s="294"/>
    </row>
    <row r="114" spans="1:12">
      <c r="A114" s="333" t="s">
        <v>320</v>
      </c>
      <c r="B114" s="334" t="s">
        <v>261</v>
      </c>
      <c r="C114" s="335" t="s">
        <v>12</v>
      </c>
      <c r="D114" s="336" t="s">
        <v>203</v>
      </c>
      <c r="E114" s="337"/>
      <c r="F114" s="337" t="s">
        <v>326</v>
      </c>
      <c r="G114" s="338">
        <v>43035</v>
      </c>
      <c r="H114" s="339">
        <v>15000</v>
      </c>
      <c r="I114" s="339"/>
      <c r="J114" s="340"/>
      <c r="K114" s="339">
        <v>0</v>
      </c>
      <c r="L114" s="294"/>
    </row>
    <row r="115" spans="1:12">
      <c r="A115" s="333" t="s">
        <v>320</v>
      </c>
      <c r="B115" s="334" t="s">
        <v>261</v>
      </c>
      <c r="C115" s="335" t="s">
        <v>16</v>
      </c>
      <c r="D115" s="336" t="s">
        <v>203</v>
      </c>
      <c r="E115" s="337"/>
      <c r="F115" s="337" t="s">
        <v>326</v>
      </c>
      <c r="G115" s="338"/>
      <c r="H115" s="339">
        <f>15000+7441</f>
        <v>22441</v>
      </c>
      <c r="I115" s="339"/>
      <c r="J115" s="340"/>
      <c r="K115" s="339">
        <v>0</v>
      </c>
      <c r="L115" s="294"/>
    </row>
    <row r="116" spans="1:12">
      <c r="A116" s="333" t="s">
        <v>320</v>
      </c>
      <c r="B116" s="334" t="s">
        <v>244</v>
      </c>
      <c r="C116" s="335" t="s">
        <v>5</v>
      </c>
      <c r="D116" s="336" t="s">
        <v>205</v>
      </c>
      <c r="E116" s="337" t="s">
        <v>206</v>
      </c>
      <c r="F116" s="337" t="s">
        <v>327</v>
      </c>
      <c r="G116" s="338" t="s">
        <v>207</v>
      </c>
      <c r="H116" s="339">
        <v>13500</v>
      </c>
      <c r="I116" s="339">
        <v>27000</v>
      </c>
      <c r="J116" s="340"/>
      <c r="K116" s="339">
        <v>0</v>
      </c>
      <c r="L116" s="294"/>
    </row>
    <row r="117" spans="1:12">
      <c r="A117" s="333" t="s">
        <v>320</v>
      </c>
      <c r="B117" s="334" t="s">
        <v>244</v>
      </c>
      <c r="C117" s="335" t="s">
        <v>6</v>
      </c>
      <c r="D117" s="336" t="s">
        <v>205</v>
      </c>
      <c r="E117" s="337" t="s">
        <v>206</v>
      </c>
      <c r="F117" s="337" t="s">
        <v>327</v>
      </c>
      <c r="G117" s="338"/>
      <c r="H117" s="339">
        <v>13500</v>
      </c>
      <c r="I117" s="339"/>
      <c r="J117" s="340"/>
      <c r="K117" s="339">
        <v>0</v>
      </c>
      <c r="L117" s="294"/>
    </row>
    <row r="118" spans="1:12">
      <c r="A118" s="333" t="s">
        <v>320</v>
      </c>
      <c r="B118" s="334" t="s">
        <v>244</v>
      </c>
      <c r="C118" s="335" t="s">
        <v>7</v>
      </c>
      <c r="D118" s="336" t="s">
        <v>205</v>
      </c>
      <c r="E118" s="337" t="s">
        <v>206</v>
      </c>
      <c r="F118" s="337" t="s">
        <v>327</v>
      </c>
      <c r="G118" s="338"/>
      <c r="H118" s="339">
        <v>13500</v>
      </c>
      <c r="I118" s="339"/>
      <c r="J118" s="340">
        <v>6563</v>
      </c>
      <c r="K118" s="339">
        <v>1529</v>
      </c>
      <c r="L118" s="294"/>
    </row>
    <row r="119" spans="1:12">
      <c r="A119" s="333" t="s">
        <v>320</v>
      </c>
      <c r="B119" s="334" t="s">
        <v>244</v>
      </c>
      <c r="C119" s="335" t="s">
        <v>8</v>
      </c>
      <c r="D119" s="336" t="s">
        <v>205</v>
      </c>
      <c r="E119" s="337" t="s">
        <v>206</v>
      </c>
      <c r="F119" s="337" t="s">
        <v>327</v>
      </c>
      <c r="G119" s="338">
        <v>42917</v>
      </c>
      <c r="H119" s="339">
        <v>13500</v>
      </c>
      <c r="I119" s="339"/>
      <c r="J119" s="340">
        <v>6659</v>
      </c>
      <c r="K119" s="339">
        <v>528</v>
      </c>
      <c r="L119" s="294"/>
    </row>
    <row r="120" spans="1:12">
      <c r="A120" s="333" t="s">
        <v>320</v>
      </c>
      <c r="B120" s="334" t="s">
        <v>244</v>
      </c>
      <c r="C120" s="335" t="s">
        <v>9</v>
      </c>
      <c r="D120" s="336" t="s">
        <v>205</v>
      </c>
      <c r="E120" s="337" t="s">
        <v>206</v>
      </c>
      <c r="F120" s="337" t="s">
        <v>327</v>
      </c>
      <c r="G120" s="338">
        <v>42946</v>
      </c>
      <c r="H120" s="339">
        <v>13500</v>
      </c>
      <c r="I120" s="339"/>
      <c r="J120" s="340">
        <v>6771</v>
      </c>
      <c r="K120" s="339">
        <v>616</v>
      </c>
      <c r="L120" s="294"/>
    </row>
    <row r="121" spans="1:12">
      <c r="A121" s="333" t="s">
        <v>320</v>
      </c>
      <c r="B121" s="334" t="s">
        <v>244</v>
      </c>
      <c r="C121" s="335" t="s">
        <v>10</v>
      </c>
      <c r="D121" s="336" t="s">
        <v>205</v>
      </c>
      <c r="E121" s="337" t="s">
        <v>206</v>
      </c>
      <c r="F121" s="337" t="s">
        <v>327</v>
      </c>
      <c r="G121" s="338">
        <v>42979</v>
      </c>
      <c r="H121" s="339">
        <v>13500</v>
      </c>
      <c r="I121" s="339"/>
      <c r="J121" s="340"/>
      <c r="K121" s="339">
        <v>0</v>
      </c>
      <c r="L121" s="294"/>
    </row>
    <row r="122" spans="1:12">
      <c r="A122" s="333" t="s">
        <v>320</v>
      </c>
      <c r="B122" s="334" t="s">
        <v>317</v>
      </c>
      <c r="C122" s="335" t="s">
        <v>9</v>
      </c>
      <c r="D122" s="336" t="s">
        <v>209</v>
      </c>
      <c r="E122" s="337"/>
      <c r="F122" s="337" t="s">
        <v>324</v>
      </c>
      <c r="G122" s="338">
        <v>42958</v>
      </c>
      <c r="H122" s="339">
        <v>16500</v>
      </c>
      <c r="I122" s="339">
        <v>24000</v>
      </c>
      <c r="J122" s="340">
        <v>10154</v>
      </c>
      <c r="K122" s="339">
        <v>836</v>
      </c>
      <c r="L122" s="294" t="s">
        <v>323</v>
      </c>
    </row>
    <row r="123" spans="1:12">
      <c r="A123" s="333" t="s">
        <v>320</v>
      </c>
      <c r="B123" s="334" t="s">
        <v>317</v>
      </c>
      <c r="C123" s="335" t="s">
        <v>10</v>
      </c>
      <c r="D123" s="336" t="s">
        <v>209</v>
      </c>
      <c r="E123" s="337"/>
      <c r="F123" s="337" t="s">
        <v>324</v>
      </c>
      <c r="G123" s="338">
        <v>42991</v>
      </c>
      <c r="H123" s="339">
        <v>16500</v>
      </c>
      <c r="I123" s="339"/>
      <c r="J123" s="340">
        <v>10494</v>
      </c>
      <c r="K123" s="339">
        <v>1870</v>
      </c>
      <c r="L123" s="294"/>
    </row>
    <row r="124" spans="1:12">
      <c r="A124" s="333" t="s">
        <v>320</v>
      </c>
      <c r="B124" s="334" t="s">
        <v>317</v>
      </c>
      <c r="C124" s="335" t="s">
        <v>11</v>
      </c>
      <c r="D124" s="336" t="s">
        <v>209</v>
      </c>
      <c r="E124" s="337"/>
      <c r="F124" s="337" t="s">
        <v>324</v>
      </c>
      <c r="G124" s="338">
        <v>43020</v>
      </c>
      <c r="H124" s="339">
        <v>16500</v>
      </c>
      <c r="I124" s="339"/>
      <c r="J124" s="340">
        <v>10844</v>
      </c>
      <c r="K124" s="339">
        <v>1925</v>
      </c>
      <c r="L124" s="294"/>
    </row>
    <row r="125" spans="1:12">
      <c r="A125" s="333" t="s">
        <v>320</v>
      </c>
      <c r="B125" s="334" t="s">
        <v>317</v>
      </c>
      <c r="C125" s="335" t="s">
        <v>12</v>
      </c>
      <c r="D125" s="336" t="s">
        <v>209</v>
      </c>
      <c r="E125" s="337"/>
      <c r="F125" s="337" t="s">
        <v>324</v>
      </c>
      <c r="G125" s="338">
        <v>43049</v>
      </c>
      <c r="H125" s="339">
        <v>16500</v>
      </c>
      <c r="I125" s="339"/>
      <c r="J125" s="340">
        <v>11164</v>
      </c>
      <c r="K125" s="339">
        <v>1760</v>
      </c>
      <c r="L125" s="294"/>
    </row>
    <row r="126" spans="1:12">
      <c r="A126" s="333" t="s">
        <v>320</v>
      </c>
      <c r="B126" s="334" t="s">
        <v>317</v>
      </c>
      <c r="C126" s="335" t="s">
        <v>16</v>
      </c>
      <c r="D126" s="336" t="s">
        <v>209</v>
      </c>
      <c r="E126" s="337"/>
      <c r="F126" s="337" t="s">
        <v>324</v>
      </c>
      <c r="G126" s="338"/>
      <c r="H126" s="339"/>
      <c r="I126" s="339"/>
      <c r="J126" s="340"/>
      <c r="K126" s="339">
        <v>0</v>
      </c>
      <c r="L126" s="294"/>
    </row>
    <row r="127" spans="1:12">
      <c r="A127" s="333" t="s">
        <v>320</v>
      </c>
      <c r="B127" s="334" t="s">
        <v>325</v>
      </c>
      <c r="C127" s="335" t="s">
        <v>2</v>
      </c>
      <c r="D127" s="336" t="s">
        <v>211</v>
      </c>
      <c r="E127" s="337" t="s">
        <v>212</v>
      </c>
      <c r="F127" s="337" t="s">
        <v>218</v>
      </c>
      <c r="G127" s="338">
        <v>42742</v>
      </c>
      <c r="H127" s="339">
        <v>15500</v>
      </c>
      <c r="I127" s="339">
        <v>31000</v>
      </c>
      <c r="J127" s="340">
        <v>5022</v>
      </c>
      <c r="K127" s="339"/>
      <c r="L127" s="294"/>
    </row>
    <row r="128" spans="1:12">
      <c r="A128" s="333" t="s">
        <v>320</v>
      </c>
      <c r="B128" s="334" t="s">
        <v>325</v>
      </c>
      <c r="C128" s="335" t="s">
        <v>3</v>
      </c>
      <c r="D128" s="336" t="s">
        <v>211</v>
      </c>
      <c r="E128" s="337" t="s">
        <v>212</v>
      </c>
      <c r="F128" s="337" t="s">
        <v>218</v>
      </c>
      <c r="G128" s="338">
        <v>42768</v>
      </c>
      <c r="H128" s="339">
        <v>15500</v>
      </c>
      <c r="I128" s="339"/>
      <c r="J128" s="340">
        <v>5144</v>
      </c>
      <c r="K128" s="339">
        <v>671</v>
      </c>
      <c r="L128" s="294"/>
    </row>
    <row r="129" spans="1:12">
      <c r="A129" s="333" t="s">
        <v>320</v>
      </c>
      <c r="B129" s="334" t="s">
        <v>325</v>
      </c>
      <c r="C129" s="335" t="s">
        <v>4</v>
      </c>
      <c r="D129" s="336" t="s">
        <v>211</v>
      </c>
      <c r="E129" s="337" t="s">
        <v>212</v>
      </c>
      <c r="F129" s="337" t="s">
        <v>218</v>
      </c>
      <c r="G129" s="338">
        <v>42795</v>
      </c>
      <c r="H129" s="339">
        <v>15500</v>
      </c>
      <c r="I129" s="339"/>
      <c r="J129" s="340">
        <v>5266</v>
      </c>
      <c r="K129" s="339">
        <v>132</v>
      </c>
      <c r="L129" s="294"/>
    </row>
    <row r="130" spans="1:12">
      <c r="A130" s="333" t="s">
        <v>320</v>
      </c>
      <c r="B130" s="334" t="s">
        <v>325</v>
      </c>
      <c r="C130" s="335" t="s">
        <v>5</v>
      </c>
      <c r="D130" s="336" t="s">
        <v>211</v>
      </c>
      <c r="E130" s="337" t="s">
        <v>212</v>
      </c>
      <c r="F130" s="337" t="s">
        <v>218</v>
      </c>
      <c r="G130" s="338"/>
      <c r="H130" s="339">
        <v>15500</v>
      </c>
      <c r="I130" s="339"/>
      <c r="J130" s="340">
        <v>5388</v>
      </c>
      <c r="K130" s="339">
        <v>132</v>
      </c>
      <c r="L130" s="294"/>
    </row>
    <row r="131" spans="1:12">
      <c r="A131" s="333" t="s">
        <v>320</v>
      </c>
      <c r="B131" s="334" t="s">
        <v>325</v>
      </c>
      <c r="C131" s="335" t="s">
        <v>6</v>
      </c>
      <c r="D131" s="336" t="s">
        <v>211</v>
      </c>
      <c r="E131" s="337" t="s">
        <v>212</v>
      </c>
      <c r="F131" s="337" t="s">
        <v>218</v>
      </c>
      <c r="G131" s="338">
        <v>42854</v>
      </c>
      <c r="H131" s="339">
        <v>15500</v>
      </c>
      <c r="I131" s="339"/>
      <c r="J131" s="340">
        <v>5510</v>
      </c>
      <c r="K131" s="339">
        <v>154</v>
      </c>
      <c r="L131" s="294"/>
    </row>
    <row r="132" spans="1:12">
      <c r="A132" s="333" t="s">
        <v>320</v>
      </c>
      <c r="B132" s="334" t="s">
        <v>325</v>
      </c>
      <c r="C132" s="335" t="s">
        <v>7</v>
      </c>
      <c r="D132" s="336" t="s">
        <v>211</v>
      </c>
      <c r="E132" s="337" t="s">
        <v>212</v>
      </c>
      <c r="F132" s="337" t="s">
        <v>218</v>
      </c>
      <c r="G132" s="338">
        <v>42882</v>
      </c>
      <c r="H132" s="339">
        <v>15500</v>
      </c>
      <c r="I132" s="339"/>
      <c r="J132" s="340">
        <v>5632</v>
      </c>
      <c r="K132" s="339">
        <v>440</v>
      </c>
      <c r="L132" s="294"/>
    </row>
    <row r="133" spans="1:12" ht="16.5">
      <c r="A133" s="290"/>
      <c r="C133" s="330"/>
      <c r="D133" s="332"/>
      <c r="F133" s="136"/>
    </row>
  </sheetData>
  <phoneticPr fontId="27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AA6986-B2A0-4F74-BBB0-4482DB56D166}">
  <dimension ref="A1:N40"/>
  <sheetViews>
    <sheetView workbookViewId="0">
      <selection activeCell="B8" sqref="B8"/>
    </sheetView>
  </sheetViews>
  <sheetFormatPr defaultRowHeight="14.25"/>
  <cols>
    <col min="1" max="1" width="12.875" style="326" bestFit="1" customWidth="1"/>
    <col min="2" max="2" width="18.875" style="326" bestFit="1" customWidth="1"/>
    <col min="3" max="3" width="8.625" style="326" bestFit="1" customWidth="1"/>
    <col min="4" max="4" width="10" style="326" bestFit="1" customWidth="1"/>
    <col min="5" max="6" width="8.625" style="326" bestFit="1" customWidth="1"/>
    <col min="7" max="7" width="10" style="326" bestFit="1" customWidth="1"/>
    <col min="8" max="13" width="9.625" style="326" bestFit="1" customWidth="1"/>
    <col min="14" max="14" width="10" style="326" bestFit="1" customWidth="1"/>
    <col min="15" max="15" width="10.25" style="326" bestFit="1" customWidth="1"/>
    <col min="16" max="16" width="6.25" style="326" bestFit="1" customWidth="1"/>
    <col min="17" max="17" width="7.375" style="326" bestFit="1" customWidth="1"/>
    <col min="18" max="18" width="10.25" style="326" bestFit="1" customWidth="1"/>
    <col min="19" max="19" width="7.375" style="326" bestFit="1" customWidth="1"/>
    <col min="20" max="21" width="20.25" style="326" bestFit="1" customWidth="1"/>
    <col min="22" max="22" width="13.125" style="326" bestFit="1" customWidth="1"/>
    <col min="23" max="29" width="12.75" style="326" bestFit="1" customWidth="1"/>
    <col min="30" max="30" width="13.125" style="326" bestFit="1" customWidth="1"/>
    <col min="31" max="38" width="10.25" style="326" bestFit="1" customWidth="1"/>
    <col min="39" max="39" width="13.125" style="326" bestFit="1" customWidth="1"/>
    <col min="40" max="48" width="10.25" style="326" bestFit="1" customWidth="1"/>
    <col min="49" max="49" width="13.125" style="326" bestFit="1" customWidth="1"/>
    <col min="50" max="58" width="12.75" style="326" bestFit="1" customWidth="1"/>
    <col min="59" max="59" width="13.125" style="326" bestFit="1" customWidth="1"/>
    <col min="60" max="67" width="10.25" style="326" bestFit="1" customWidth="1"/>
    <col min="68" max="68" width="13.125" style="326" bestFit="1" customWidth="1"/>
    <col min="69" max="76" width="10.25" style="326" bestFit="1" customWidth="1"/>
    <col min="77" max="77" width="13.125" style="326" bestFit="1" customWidth="1"/>
    <col min="78" max="79" width="12.5" style="326" bestFit="1" customWidth="1"/>
    <col min="80" max="80" width="13.125" style="326" bestFit="1" customWidth="1"/>
    <col min="81" max="82" width="10.25" style="326" bestFit="1" customWidth="1"/>
    <col min="83" max="83" width="13.125" style="326" bestFit="1" customWidth="1"/>
    <col min="84" max="85" width="10.25" style="326" bestFit="1" customWidth="1"/>
    <col min="86" max="86" width="13.125" style="326" bestFit="1" customWidth="1"/>
    <col min="87" max="89" width="10.25" style="326" bestFit="1" customWidth="1"/>
    <col min="90" max="90" width="13.125" style="326" bestFit="1" customWidth="1"/>
    <col min="91" max="93" width="10.25" style="326" bestFit="1" customWidth="1"/>
    <col min="94" max="94" width="13.125" style="326" bestFit="1" customWidth="1"/>
    <col min="95" max="98" width="10.25" style="326" bestFit="1" customWidth="1"/>
    <col min="99" max="99" width="13.125" style="326" bestFit="1" customWidth="1"/>
    <col min="100" max="106" width="10.25" style="326" bestFit="1" customWidth="1"/>
    <col min="107" max="107" width="13.125" style="326" bestFit="1" customWidth="1"/>
    <col min="108" max="115" width="10.25" style="326" bestFit="1" customWidth="1"/>
    <col min="116" max="116" width="13.125" style="326" bestFit="1" customWidth="1"/>
    <col min="117" max="125" width="10.25" style="326" bestFit="1" customWidth="1"/>
    <col min="126" max="126" width="13.125" style="326" bestFit="1" customWidth="1"/>
    <col min="127" max="135" width="10.25" style="326" bestFit="1" customWidth="1"/>
    <col min="136" max="136" width="13.125" style="326" bestFit="1" customWidth="1"/>
    <col min="137" max="144" width="10.25" style="326" bestFit="1" customWidth="1"/>
    <col min="145" max="145" width="13.125" style="326" bestFit="1" customWidth="1"/>
    <col min="146" max="153" width="10.25" style="326" bestFit="1" customWidth="1"/>
    <col min="154" max="154" width="13.125" style="326" bestFit="1" customWidth="1"/>
    <col min="155" max="156" width="20.25" style="326" bestFit="1" customWidth="1"/>
    <col min="157" max="16384" width="9" style="326"/>
  </cols>
  <sheetData>
    <row r="1" spans="1:14" ht="16.5">
      <c r="A1"/>
      <c r="B1"/>
    </row>
    <row r="2" spans="1:14">
      <c r="A2" s="356" t="s">
        <v>236</v>
      </c>
      <c r="B2" s="326" t="s">
        <v>319</v>
      </c>
    </row>
    <row r="3" spans="1:14" ht="16.5">
      <c r="A3" s="356" t="s">
        <v>124</v>
      </c>
      <c r="B3" s="326" t="s">
        <v>97</v>
      </c>
      <c r="C3"/>
      <c r="D3"/>
      <c r="E3"/>
      <c r="F3"/>
      <c r="G3"/>
      <c r="H3"/>
      <c r="I3"/>
      <c r="J3"/>
      <c r="K3"/>
    </row>
    <row r="4" spans="1:14" ht="16.5">
      <c r="A4"/>
      <c r="B4"/>
      <c r="C4"/>
      <c r="D4"/>
      <c r="E4"/>
      <c r="F4"/>
      <c r="G4"/>
      <c r="H4"/>
      <c r="I4"/>
      <c r="J4"/>
      <c r="K4"/>
    </row>
    <row r="5" spans="1:14" ht="16.5">
      <c r="A5" s="356" t="s">
        <v>254</v>
      </c>
      <c r="B5" s="356" t="s">
        <v>257</v>
      </c>
      <c r="D5"/>
      <c r="E5"/>
      <c r="F5"/>
      <c r="G5"/>
      <c r="H5"/>
      <c r="I5"/>
      <c r="J5"/>
      <c r="K5"/>
      <c r="L5"/>
      <c r="M5"/>
      <c r="N5"/>
    </row>
    <row r="6" spans="1:14" ht="16.5">
      <c r="A6" s="356" t="s">
        <v>255</v>
      </c>
      <c r="B6" s="326" t="s">
        <v>209</v>
      </c>
      <c r="C6" s="326" t="s">
        <v>256</v>
      </c>
      <c r="D6"/>
      <c r="E6"/>
      <c r="F6"/>
      <c r="G6"/>
      <c r="H6"/>
      <c r="I6"/>
      <c r="J6"/>
      <c r="K6"/>
      <c r="L6"/>
      <c r="M6"/>
      <c r="N6"/>
    </row>
    <row r="7" spans="1:14" ht="16.5">
      <c r="A7" s="325" t="s">
        <v>9</v>
      </c>
      <c r="B7" s="379">
        <v>16500</v>
      </c>
      <c r="C7" s="379">
        <v>16500</v>
      </c>
      <c r="D7"/>
      <c r="E7"/>
      <c r="F7"/>
      <c r="G7"/>
      <c r="H7"/>
      <c r="I7"/>
      <c r="J7"/>
      <c r="K7"/>
      <c r="L7"/>
      <c r="M7"/>
      <c r="N7"/>
    </row>
    <row r="8" spans="1:14" ht="16.5">
      <c r="A8" s="325" t="s">
        <v>10</v>
      </c>
      <c r="B8" s="379">
        <v>16500</v>
      </c>
      <c r="C8" s="379">
        <v>16500</v>
      </c>
      <c r="D8"/>
      <c r="E8"/>
      <c r="F8"/>
      <c r="G8"/>
      <c r="H8"/>
      <c r="I8"/>
      <c r="J8"/>
      <c r="K8"/>
      <c r="L8"/>
      <c r="M8"/>
      <c r="N8"/>
    </row>
    <row r="9" spans="1:14" ht="16.5">
      <c r="A9" s="325" t="s">
        <v>11</v>
      </c>
      <c r="B9" s="379">
        <v>16500</v>
      </c>
      <c r="C9" s="379">
        <v>16500</v>
      </c>
      <c r="D9"/>
      <c r="E9"/>
      <c r="F9"/>
      <c r="G9"/>
      <c r="H9"/>
      <c r="I9"/>
      <c r="J9"/>
      <c r="K9"/>
      <c r="L9"/>
      <c r="M9"/>
      <c r="N9"/>
    </row>
    <row r="10" spans="1:14" ht="16.5">
      <c r="A10" s="325" t="s">
        <v>12</v>
      </c>
      <c r="B10" s="379">
        <v>16500</v>
      </c>
      <c r="C10" s="379">
        <v>16500</v>
      </c>
      <c r="D10"/>
      <c r="E10"/>
      <c r="F10"/>
      <c r="G10"/>
      <c r="H10"/>
      <c r="I10"/>
      <c r="J10"/>
      <c r="K10"/>
      <c r="L10"/>
      <c r="M10"/>
      <c r="N10"/>
    </row>
    <row r="11" spans="1:14" ht="16.5">
      <c r="A11" s="325" t="s">
        <v>16</v>
      </c>
      <c r="B11" s="379"/>
      <c r="C11" s="379"/>
      <c r="D11"/>
      <c r="E11"/>
      <c r="F11"/>
      <c r="G11"/>
      <c r="H11"/>
      <c r="I11"/>
      <c r="J11"/>
      <c r="K11"/>
      <c r="L11"/>
      <c r="M11"/>
      <c r="N11"/>
    </row>
    <row r="12" spans="1:14" ht="16.5">
      <c r="A12" s="325" t="s">
        <v>256</v>
      </c>
      <c r="B12" s="379">
        <v>66000</v>
      </c>
      <c r="C12" s="379">
        <v>66000</v>
      </c>
      <c r="D12"/>
      <c r="E12"/>
      <c r="F12"/>
      <c r="G12"/>
      <c r="H12"/>
      <c r="I12"/>
      <c r="J12"/>
      <c r="K12"/>
      <c r="L12"/>
      <c r="M12"/>
      <c r="N12"/>
    </row>
    <row r="13" spans="1:14" ht="16.5">
      <c r="A13"/>
      <c r="B13"/>
      <c r="C13"/>
      <c r="D13"/>
      <c r="E13"/>
      <c r="F13"/>
      <c r="G13"/>
      <c r="H13"/>
      <c r="I13"/>
      <c r="J13"/>
      <c r="K13"/>
      <c r="L13"/>
      <c r="M13"/>
      <c r="N13"/>
    </row>
    <row r="14" spans="1:14" ht="16.5">
      <c r="A14"/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4" ht="16.5">
      <c r="A15"/>
      <c r="B15"/>
      <c r="C15"/>
      <c r="D15"/>
      <c r="E15"/>
      <c r="F15"/>
      <c r="G15"/>
      <c r="H15"/>
      <c r="I15"/>
      <c r="J15"/>
      <c r="K15"/>
      <c r="L15"/>
      <c r="M15"/>
      <c r="N15"/>
    </row>
    <row r="16" spans="1:14" ht="16.5">
      <c r="A16"/>
      <c r="B16"/>
      <c r="C16"/>
      <c r="D16"/>
      <c r="E16"/>
      <c r="F16"/>
      <c r="G16"/>
      <c r="H16"/>
      <c r="I16"/>
      <c r="J16"/>
      <c r="K16"/>
      <c r="L16"/>
      <c r="M16"/>
      <c r="N16"/>
    </row>
    <row r="17" spans="1:14" ht="16.5">
      <c r="A17"/>
      <c r="B17"/>
      <c r="C17"/>
      <c r="D17"/>
      <c r="E17"/>
      <c r="F17"/>
      <c r="G17"/>
      <c r="H17"/>
      <c r="I17"/>
      <c r="J17"/>
      <c r="K17"/>
      <c r="L17"/>
      <c r="M17"/>
      <c r="N17"/>
    </row>
    <row r="18" spans="1:14" ht="16.5">
      <c r="A18"/>
      <c r="B18"/>
      <c r="C18"/>
      <c r="D18"/>
      <c r="E18"/>
      <c r="F18"/>
      <c r="G18"/>
      <c r="H18"/>
      <c r="I18"/>
      <c r="J18"/>
      <c r="K18"/>
      <c r="L18"/>
      <c r="M18"/>
      <c r="N18"/>
    </row>
    <row r="19" spans="1:14" ht="16.5">
      <c r="A19"/>
      <c r="B19"/>
      <c r="C19"/>
      <c r="D19"/>
      <c r="E19"/>
      <c r="F19"/>
      <c r="G19"/>
      <c r="H19"/>
      <c r="I19"/>
      <c r="J19"/>
      <c r="K19"/>
      <c r="L19"/>
      <c r="M19"/>
      <c r="N19"/>
    </row>
    <row r="20" spans="1:14" ht="16.5">
      <c r="A20"/>
      <c r="B20"/>
      <c r="C20"/>
      <c r="D20"/>
      <c r="E20"/>
      <c r="F20"/>
      <c r="G20"/>
      <c r="H20"/>
      <c r="I20"/>
      <c r="J20"/>
      <c r="K20"/>
      <c r="L20"/>
      <c r="M20"/>
      <c r="N20"/>
    </row>
    <row r="21" spans="1:14" ht="16.5">
      <c r="A21"/>
      <c r="B21"/>
      <c r="C21"/>
      <c r="D21"/>
      <c r="E21"/>
      <c r="F21"/>
      <c r="G21"/>
      <c r="H21"/>
      <c r="I21"/>
      <c r="J21"/>
      <c r="K21"/>
      <c r="L21"/>
      <c r="M21"/>
      <c r="N21"/>
    </row>
    <row r="22" spans="1:14" ht="16.5">
      <c r="A22"/>
      <c r="B22"/>
      <c r="C22"/>
      <c r="D22"/>
      <c r="E22"/>
      <c r="F22"/>
      <c r="G22"/>
      <c r="H22"/>
      <c r="I22"/>
      <c r="J22"/>
      <c r="K22"/>
      <c r="L22"/>
      <c r="M22"/>
      <c r="N22"/>
    </row>
    <row r="23" spans="1:14" ht="16.5">
      <c r="A23"/>
      <c r="B23"/>
      <c r="C23"/>
      <c r="D23"/>
      <c r="E23"/>
      <c r="F23"/>
      <c r="G23"/>
      <c r="H23"/>
      <c r="I23"/>
      <c r="J23"/>
      <c r="K23"/>
      <c r="L23"/>
      <c r="M23"/>
      <c r="N23"/>
    </row>
    <row r="24" spans="1:14" ht="16.5">
      <c r="A24"/>
      <c r="B24"/>
      <c r="C24"/>
      <c r="D24"/>
      <c r="E24"/>
      <c r="F24"/>
      <c r="G24"/>
      <c r="H24"/>
      <c r="I24"/>
      <c r="J24"/>
      <c r="K24"/>
      <c r="L24"/>
      <c r="M24"/>
      <c r="N24"/>
    </row>
    <row r="25" spans="1:14" ht="16.5">
      <c r="A25"/>
      <c r="B25"/>
      <c r="C25"/>
      <c r="D25"/>
      <c r="E25"/>
      <c r="F25"/>
      <c r="G25"/>
      <c r="H25"/>
      <c r="I25"/>
      <c r="J25"/>
      <c r="K25"/>
      <c r="L25"/>
      <c r="M25"/>
      <c r="N25"/>
    </row>
    <row r="26" spans="1:14" ht="16.5">
      <c r="A26"/>
      <c r="B26"/>
      <c r="C26"/>
      <c r="D26"/>
      <c r="E26"/>
      <c r="F26"/>
      <c r="G26"/>
      <c r="H26"/>
      <c r="I26"/>
      <c r="J26"/>
      <c r="K26"/>
      <c r="L26"/>
      <c r="M26"/>
      <c r="N26"/>
    </row>
    <row r="27" spans="1:14" ht="16.5">
      <c r="A27"/>
      <c r="B27"/>
      <c r="C27"/>
      <c r="D27"/>
      <c r="E27"/>
      <c r="F27"/>
      <c r="G27"/>
      <c r="H27"/>
      <c r="I27"/>
      <c r="J27"/>
      <c r="K27"/>
      <c r="L27"/>
      <c r="M27"/>
      <c r="N27"/>
    </row>
    <row r="28" spans="1:14" ht="16.5">
      <c r="A28"/>
      <c r="B28"/>
      <c r="C28"/>
      <c r="D28"/>
      <c r="E28"/>
      <c r="F28"/>
      <c r="G28"/>
      <c r="H28"/>
      <c r="I28"/>
      <c r="J28"/>
      <c r="K28"/>
      <c r="L28"/>
      <c r="M28"/>
      <c r="N28"/>
    </row>
    <row r="29" spans="1:14" ht="16.5">
      <c r="A29"/>
      <c r="B29"/>
      <c r="C29"/>
      <c r="D29"/>
      <c r="E29"/>
      <c r="F29"/>
      <c r="G29"/>
      <c r="H29"/>
      <c r="I29"/>
      <c r="J29"/>
      <c r="K29"/>
      <c r="L29"/>
      <c r="M29"/>
      <c r="N29"/>
    </row>
    <row r="30" spans="1:14" ht="16.5">
      <c r="A30"/>
      <c r="B30"/>
      <c r="C30"/>
      <c r="D30"/>
      <c r="E30"/>
      <c r="F30"/>
      <c r="G30"/>
      <c r="H30"/>
      <c r="I30"/>
      <c r="J30"/>
      <c r="K30"/>
      <c r="L30"/>
      <c r="M30"/>
      <c r="N30"/>
    </row>
    <row r="31" spans="1:14" ht="16.5">
      <c r="A31"/>
      <c r="B31"/>
      <c r="C31"/>
      <c r="D31"/>
      <c r="E31"/>
      <c r="F31"/>
      <c r="G31"/>
      <c r="H31"/>
      <c r="I31"/>
      <c r="J31"/>
      <c r="K31"/>
      <c r="L31"/>
      <c r="M31"/>
      <c r="N31"/>
    </row>
    <row r="32" spans="1:14" ht="16.5">
      <c r="A32"/>
      <c r="B32"/>
      <c r="C32"/>
      <c r="D32"/>
      <c r="E32"/>
      <c r="F32"/>
      <c r="G32"/>
      <c r="H32"/>
      <c r="I32"/>
      <c r="J32"/>
      <c r="K32"/>
      <c r="L32"/>
      <c r="M32"/>
      <c r="N32"/>
    </row>
    <row r="33" spans="1:2" ht="16.5">
      <c r="A33"/>
      <c r="B33"/>
    </row>
    <row r="34" spans="1:2" ht="16.5">
      <c r="A34"/>
      <c r="B34"/>
    </row>
    <row r="35" spans="1:2" ht="16.5">
      <c r="A35"/>
      <c r="B35"/>
    </row>
    <row r="36" spans="1:2" ht="16.5">
      <c r="A36"/>
      <c r="B36"/>
    </row>
    <row r="37" spans="1:2" ht="16.5">
      <c r="A37"/>
      <c r="B37"/>
    </row>
    <row r="38" spans="1:2" ht="16.5">
      <c r="A38"/>
      <c r="B38"/>
    </row>
    <row r="39" spans="1:2" ht="16.5">
      <c r="A39"/>
      <c r="B39"/>
    </row>
    <row r="40" spans="1:2" ht="16.5">
      <c r="A40"/>
      <c r="B40"/>
    </row>
  </sheetData>
  <phoneticPr fontId="27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100"/>
  <sheetViews>
    <sheetView topLeftCell="A3" workbookViewId="0">
      <selection activeCell="N22" sqref="N22"/>
    </sheetView>
  </sheetViews>
  <sheetFormatPr defaultColWidth="12.625" defaultRowHeight="15" customHeight="1"/>
  <cols>
    <col min="1" max="1" width="11.75" customWidth="1"/>
    <col min="2" max="2" width="10" customWidth="1"/>
    <col min="3" max="17" width="10.125" customWidth="1"/>
    <col min="18" max="18" width="9.125" customWidth="1"/>
    <col min="19" max="19" width="9.5" customWidth="1"/>
    <col min="20" max="20" width="9.125" customWidth="1"/>
  </cols>
  <sheetData>
    <row r="1" spans="1:20" ht="20.25" customHeigh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16</v>
      </c>
      <c r="O1" s="4"/>
      <c r="P1" s="4"/>
      <c r="Q1" s="4"/>
      <c r="R1" s="4"/>
      <c r="S1" s="4"/>
      <c r="T1" s="4"/>
    </row>
    <row r="2" spans="1:20" ht="20.25" customHeight="1">
      <c r="A2" s="1" t="s">
        <v>13</v>
      </c>
      <c r="B2" s="5">
        <v>26000</v>
      </c>
      <c r="C2" s="7"/>
      <c r="D2" s="7"/>
      <c r="E2" s="7"/>
      <c r="F2" s="7"/>
      <c r="G2" s="7"/>
      <c r="H2" s="7"/>
      <c r="I2" s="8">
        <v>24195.580645161292</v>
      </c>
      <c r="J2" s="8">
        <v>27000</v>
      </c>
      <c r="K2" s="8">
        <v>27000</v>
      </c>
      <c r="L2" s="8">
        <v>15677.41935483871</v>
      </c>
      <c r="M2" s="7">
        <v>0</v>
      </c>
      <c r="O2" s="9" t="s">
        <v>14</v>
      </c>
      <c r="P2" s="10" t="s">
        <v>15</v>
      </c>
      <c r="Q2" s="4"/>
      <c r="R2" s="4"/>
      <c r="S2" s="4"/>
      <c r="T2" s="4"/>
    </row>
    <row r="3" spans="1:20" ht="20.25" customHeight="1">
      <c r="A3" s="1" t="s">
        <v>17</v>
      </c>
      <c r="B3" s="6">
        <v>28000</v>
      </c>
      <c r="C3" s="7"/>
      <c r="D3" s="7"/>
      <c r="E3" s="7"/>
      <c r="F3" s="7"/>
      <c r="G3" s="7"/>
      <c r="H3" s="7"/>
      <c r="I3" s="7"/>
      <c r="J3" s="7"/>
      <c r="K3" s="8">
        <v>28000</v>
      </c>
      <c r="L3" s="8">
        <v>28000</v>
      </c>
      <c r="M3" s="8">
        <v>28000</v>
      </c>
      <c r="N3" s="8">
        <v>28000</v>
      </c>
      <c r="O3" s="7" t="s">
        <v>18</v>
      </c>
      <c r="P3" s="11">
        <v>28000</v>
      </c>
      <c r="Q3" s="4"/>
      <c r="R3" s="4"/>
      <c r="S3" s="4"/>
      <c r="T3" s="4"/>
    </row>
    <row r="4" spans="1:20" ht="20.25" customHeight="1">
      <c r="A4" s="1" t="s">
        <v>19</v>
      </c>
      <c r="B4" s="5">
        <f>20000+22000+22000+22000+22000+22000</f>
        <v>130000</v>
      </c>
      <c r="C4" s="7">
        <v>139000</v>
      </c>
      <c r="D4" s="7">
        <v>119000</v>
      </c>
      <c r="E4" s="7">
        <v>78880</v>
      </c>
      <c r="F4" s="7">
        <v>111800</v>
      </c>
      <c r="G4" s="8">
        <v>109398</v>
      </c>
      <c r="H4" s="8">
        <v>115000</v>
      </c>
      <c r="I4" s="8">
        <v>115000</v>
      </c>
      <c r="J4" s="8">
        <v>139203</v>
      </c>
      <c r="K4" s="7">
        <v>141166</v>
      </c>
      <c r="L4" s="7">
        <v>133000</v>
      </c>
      <c r="M4" s="7">
        <v>130000</v>
      </c>
      <c r="N4" s="7">
        <v>130000</v>
      </c>
      <c r="O4" s="7" t="s">
        <v>20</v>
      </c>
      <c r="P4" s="12">
        <f>20000+22000+22000+22000+22000+22000</f>
        <v>130000</v>
      </c>
      <c r="Q4" s="4"/>
      <c r="R4" s="4"/>
      <c r="S4" s="4"/>
      <c r="T4" s="4"/>
    </row>
    <row r="5" spans="1:20" ht="20.25" customHeight="1">
      <c r="A5" s="1" t="s">
        <v>21</v>
      </c>
      <c r="B5" s="5">
        <v>77000</v>
      </c>
      <c r="C5" s="7">
        <v>78000</v>
      </c>
      <c r="D5" s="7">
        <v>78000</v>
      </c>
      <c r="E5" s="7">
        <v>50000</v>
      </c>
      <c r="F5" s="7">
        <v>74500</v>
      </c>
      <c r="G5" s="8">
        <v>77000</v>
      </c>
      <c r="H5" s="8">
        <v>77000</v>
      </c>
      <c r="I5" s="8">
        <v>81000</v>
      </c>
      <c r="J5" s="8">
        <v>78000</v>
      </c>
      <c r="K5" s="7">
        <v>78000</v>
      </c>
      <c r="L5" s="7">
        <v>81000</v>
      </c>
      <c r="M5" s="7">
        <v>81000</v>
      </c>
      <c r="N5" s="7">
        <v>53000</v>
      </c>
      <c r="O5" s="7" t="s">
        <v>22</v>
      </c>
      <c r="P5" s="12">
        <f>28000+25000+23000</f>
        <v>76000</v>
      </c>
      <c r="Q5" s="4"/>
      <c r="R5" s="4"/>
      <c r="S5" s="4"/>
      <c r="T5" s="4"/>
    </row>
    <row r="6" spans="1:20" ht="20.25" customHeight="1">
      <c r="A6" s="1" t="s">
        <v>23</v>
      </c>
      <c r="B6" s="5">
        <v>63000</v>
      </c>
      <c r="C6" s="7">
        <v>63000</v>
      </c>
      <c r="D6" s="7">
        <v>63000</v>
      </c>
      <c r="E6" s="7">
        <v>63000</v>
      </c>
      <c r="F6" s="7">
        <v>63000</v>
      </c>
      <c r="G6" s="8">
        <v>63000</v>
      </c>
      <c r="H6" s="8">
        <v>63000</v>
      </c>
      <c r="I6" s="8">
        <v>63000</v>
      </c>
      <c r="J6" s="8">
        <v>63000</v>
      </c>
      <c r="K6" s="7">
        <v>63000</v>
      </c>
      <c r="L6" s="7">
        <v>63000</v>
      </c>
      <c r="M6" s="7">
        <v>63000</v>
      </c>
      <c r="N6" s="8">
        <v>63000</v>
      </c>
      <c r="O6" s="7" t="s">
        <v>24</v>
      </c>
      <c r="P6" s="12">
        <v>63000</v>
      </c>
      <c r="Q6" s="4"/>
      <c r="R6" s="4"/>
      <c r="S6" s="4"/>
      <c r="T6" s="4"/>
    </row>
    <row r="7" spans="1:20" ht="20.25" customHeight="1">
      <c r="A7" s="1" t="s">
        <v>25</v>
      </c>
      <c r="B7" s="5">
        <v>30000</v>
      </c>
      <c r="C7" s="7">
        <v>30000</v>
      </c>
      <c r="D7" s="7">
        <v>30000</v>
      </c>
      <c r="E7" s="7">
        <v>30000</v>
      </c>
      <c r="F7" s="7">
        <v>30000</v>
      </c>
      <c r="G7" s="8">
        <v>30000</v>
      </c>
      <c r="H7" s="8">
        <v>3000</v>
      </c>
      <c r="I7" s="8">
        <v>30000</v>
      </c>
      <c r="J7" s="8">
        <v>30000</v>
      </c>
      <c r="K7" s="7">
        <v>30000</v>
      </c>
      <c r="L7" s="7">
        <v>30000</v>
      </c>
      <c r="M7" s="7">
        <v>30000</v>
      </c>
      <c r="N7" s="8">
        <v>30000</v>
      </c>
      <c r="O7" s="7" t="s">
        <v>26</v>
      </c>
      <c r="P7" s="12">
        <v>30000</v>
      </c>
      <c r="Q7" s="4"/>
      <c r="R7" s="4"/>
      <c r="S7" s="4"/>
      <c r="T7" s="4"/>
    </row>
    <row r="8" spans="1:20" ht="20.25" customHeight="1">
      <c r="A8" s="1" t="s">
        <v>27</v>
      </c>
      <c r="B8" s="5">
        <v>56000</v>
      </c>
      <c r="C8" s="7">
        <v>56000</v>
      </c>
      <c r="D8" s="7">
        <v>56000</v>
      </c>
      <c r="E8" s="7">
        <v>56000</v>
      </c>
      <c r="F8" s="7">
        <v>56000</v>
      </c>
      <c r="G8" s="8">
        <v>56000</v>
      </c>
      <c r="H8" s="8">
        <v>41000</v>
      </c>
      <c r="I8" s="8">
        <v>56000</v>
      </c>
      <c r="J8" s="8">
        <v>56000</v>
      </c>
      <c r="K8" s="7">
        <v>56000</v>
      </c>
      <c r="L8" s="7">
        <v>56000</v>
      </c>
      <c r="M8" s="7">
        <v>50000</v>
      </c>
      <c r="N8" s="8">
        <v>42000</v>
      </c>
      <c r="O8" s="7" t="s">
        <v>28</v>
      </c>
      <c r="P8" s="12">
        <f>24000+30000</f>
        <v>54000</v>
      </c>
      <c r="Q8" s="4"/>
      <c r="R8" s="4"/>
      <c r="S8" s="4"/>
      <c r="T8" s="4"/>
    </row>
    <row r="9" spans="1:20" ht="20.25" customHeight="1">
      <c r="A9" s="1" t="s">
        <v>29</v>
      </c>
      <c r="B9" s="5">
        <v>59000</v>
      </c>
      <c r="C9" s="7">
        <v>85000</v>
      </c>
      <c r="D9" s="7">
        <v>85000</v>
      </c>
      <c r="E9" s="7">
        <v>85000</v>
      </c>
      <c r="F9" s="7">
        <v>85000</v>
      </c>
      <c r="G9" s="8">
        <v>85000</v>
      </c>
      <c r="H9" s="8">
        <v>28333</v>
      </c>
      <c r="I9" s="13">
        <v>18000</v>
      </c>
      <c r="J9" s="13">
        <v>18935</v>
      </c>
      <c r="K9" s="7">
        <v>63600</v>
      </c>
      <c r="L9" s="7">
        <v>45870</v>
      </c>
      <c r="M9" s="7">
        <v>35000</v>
      </c>
      <c r="N9" s="7">
        <v>35774</v>
      </c>
      <c r="O9" s="7" t="s">
        <v>30</v>
      </c>
      <c r="P9" s="12">
        <v>59000</v>
      </c>
      <c r="Q9" s="4"/>
      <c r="R9" s="4"/>
      <c r="S9" s="4"/>
      <c r="T9" s="4"/>
    </row>
    <row r="10" spans="1:20" ht="20.25" customHeight="1">
      <c r="A10" s="1" t="s">
        <v>31</v>
      </c>
      <c r="B10" s="5">
        <v>89000</v>
      </c>
      <c r="C10" s="7">
        <v>90500</v>
      </c>
      <c r="D10" s="7">
        <v>83000</v>
      </c>
      <c r="E10" s="7">
        <v>75500</v>
      </c>
      <c r="F10" s="7">
        <v>89000</v>
      </c>
      <c r="G10" s="8">
        <v>89000</v>
      </c>
      <c r="H10" s="8">
        <v>74500</v>
      </c>
      <c r="I10" s="8">
        <v>82000</v>
      </c>
      <c r="J10" s="8">
        <v>89500</v>
      </c>
      <c r="K10" s="7">
        <v>73500</v>
      </c>
      <c r="L10" s="7">
        <v>73500</v>
      </c>
      <c r="M10" s="7">
        <v>60000</v>
      </c>
      <c r="N10" s="7">
        <v>50941</v>
      </c>
      <c r="O10" s="7" t="s">
        <v>32</v>
      </c>
      <c r="P10" s="12">
        <f>13000+15000+12000+15500+15500</f>
        <v>71000</v>
      </c>
      <c r="Q10" s="4"/>
      <c r="R10" s="4"/>
      <c r="S10" s="4"/>
      <c r="T10" s="4"/>
    </row>
    <row r="11" spans="1:20" ht="20.25" customHeight="1">
      <c r="A11" s="1" t="s">
        <v>33</v>
      </c>
      <c r="B11" s="14"/>
      <c r="C11" s="7">
        <v>541500</v>
      </c>
      <c r="D11" s="7">
        <v>514000</v>
      </c>
      <c r="E11" s="7">
        <v>438380</v>
      </c>
      <c r="F11" s="7">
        <v>509300</v>
      </c>
      <c r="G11" s="7">
        <v>509398</v>
      </c>
      <c r="H11" s="7">
        <v>401833</v>
      </c>
      <c r="I11" s="7">
        <v>469195.58064516133</v>
      </c>
      <c r="J11" s="7">
        <v>501638</v>
      </c>
      <c r="K11" s="7">
        <v>560266</v>
      </c>
      <c r="L11" s="7">
        <v>526047.41935483878</v>
      </c>
      <c r="M11" s="7">
        <v>477000</v>
      </c>
      <c r="N11" s="7">
        <v>432715</v>
      </c>
      <c r="O11" s="7" t="s">
        <v>34</v>
      </c>
      <c r="P11" s="11">
        <f>SUM(P3:P10)</f>
        <v>511000</v>
      </c>
      <c r="Q11" s="4"/>
      <c r="R11" s="4"/>
      <c r="S11" s="4"/>
      <c r="T11" s="4"/>
    </row>
    <row r="12" spans="1:20" ht="20.25" customHeight="1">
      <c r="A12" s="1" t="s">
        <v>35</v>
      </c>
      <c r="B12" s="16">
        <f>SUM(B2:B10)</f>
        <v>558000</v>
      </c>
      <c r="C12" s="11">
        <v>504000</v>
      </c>
      <c r="D12" s="11">
        <v>580000</v>
      </c>
      <c r="E12" s="11">
        <v>558000</v>
      </c>
      <c r="F12" s="11">
        <v>558000</v>
      </c>
      <c r="G12" s="11">
        <v>558000</v>
      </c>
      <c r="H12" s="11">
        <v>558000</v>
      </c>
      <c r="I12" s="11">
        <v>558000</v>
      </c>
      <c r="J12" s="11">
        <v>558000</v>
      </c>
      <c r="K12" s="11">
        <v>558000</v>
      </c>
      <c r="L12" s="11">
        <v>558000</v>
      </c>
      <c r="M12" s="11">
        <v>558000</v>
      </c>
      <c r="N12" s="4"/>
      <c r="O12" s="17"/>
      <c r="P12" s="17"/>
      <c r="Q12" s="4"/>
      <c r="R12" s="4"/>
      <c r="S12" s="4"/>
      <c r="T12" s="4"/>
    </row>
    <row r="13" spans="1:20" ht="20.25" customHeight="1">
      <c r="A13" s="4"/>
      <c r="B13" s="15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</row>
    <row r="14" spans="1:20" ht="20.25" customHeight="1">
      <c r="A14" s="18" t="s">
        <v>36</v>
      </c>
      <c r="B14" s="19" t="s">
        <v>37</v>
      </c>
      <c r="C14" s="3" t="s">
        <v>2</v>
      </c>
      <c r="D14" s="3" t="s">
        <v>3</v>
      </c>
      <c r="E14" s="3" t="s">
        <v>4</v>
      </c>
      <c r="F14" s="3" t="s">
        <v>5</v>
      </c>
      <c r="G14" s="3" t="s">
        <v>6</v>
      </c>
      <c r="H14" s="3" t="s">
        <v>7</v>
      </c>
      <c r="I14" s="3" t="s">
        <v>8</v>
      </c>
      <c r="J14" s="3" t="s">
        <v>9</v>
      </c>
      <c r="K14" s="3" t="s">
        <v>10</v>
      </c>
      <c r="L14" s="3" t="s">
        <v>11</v>
      </c>
      <c r="M14" s="3" t="s">
        <v>12</v>
      </c>
      <c r="N14" s="3" t="s">
        <v>16</v>
      </c>
      <c r="O14" s="18" t="s">
        <v>36</v>
      </c>
      <c r="P14" s="10" t="s">
        <v>38</v>
      </c>
      <c r="Q14" s="4"/>
      <c r="R14" s="4"/>
      <c r="S14" s="4"/>
      <c r="T14" s="4"/>
    </row>
    <row r="15" spans="1:20" ht="20.25" customHeight="1">
      <c r="A15" s="18" t="s">
        <v>39</v>
      </c>
      <c r="B15" s="11">
        <v>30000</v>
      </c>
      <c r="C15" s="7">
        <v>30000</v>
      </c>
      <c r="D15" s="7">
        <v>30000</v>
      </c>
      <c r="E15" s="7">
        <v>30000</v>
      </c>
      <c r="F15" s="7">
        <v>6484</v>
      </c>
      <c r="G15" s="7">
        <v>41431</v>
      </c>
      <c r="H15" s="7">
        <v>31734</v>
      </c>
      <c r="I15" s="7">
        <v>46963</v>
      </c>
      <c r="J15" s="7">
        <v>34574</v>
      </c>
      <c r="K15" s="7">
        <v>26944</v>
      </c>
      <c r="L15" s="7">
        <v>40620</v>
      </c>
      <c r="M15" s="7">
        <v>44065</v>
      </c>
      <c r="N15" s="7">
        <v>65414</v>
      </c>
      <c r="O15" s="18" t="s">
        <v>39</v>
      </c>
      <c r="P15" s="11">
        <v>30000</v>
      </c>
      <c r="Q15" s="4"/>
      <c r="R15" s="4"/>
      <c r="S15" s="20"/>
      <c r="T15" s="4"/>
    </row>
    <row r="16" spans="1:20" ht="20.25" customHeight="1">
      <c r="A16" s="18" t="s">
        <v>40</v>
      </c>
      <c r="B16" s="11">
        <v>30000</v>
      </c>
      <c r="C16" s="7">
        <v>57641</v>
      </c>
      <c r="D16" s="7">
        <v>33705</v>
      </c>
      <c r="E16" s="7">
        <v>41854</v>
      </c>
      <c r="F16" s="7">
        <v>42952</v>
      </c>
      <c r="G16" s="7">
        <v>38772</v>
      </c>
      <c r="H16" s="7">
        <v>36786</v>
      </c>
      <c r="I16" s="7">
        <v>34549</v>
      </c>
      <c r="J16" s="7">
        <v>34802</v>
      </c>
      <c r="K16" s="8">
        <v>33000</v>
      </c>
      <c r="L16" s="7">
        <v>33000</v>
      </c>
      <c r="M16" s="7">
        <v>24086</v>
      </c>
      <c r="N16" s="7">
        <v>57251</v>
      </c>
      <c r="O16" s="18" t="s">
        <v>40</v>
      </c>
      <c r="P16" s="11">
        <v>30000</v>
      </c>
      <c r="Q16" s="4"/>
      <c r="R16" s="4"/>
      <c r="S16" s="20"/>
      <c r="T16" s="4"/>
    </row>
    <row r="17" spans="1:20" ht="20.25" customHeight="1">
      <c r="A17" s="18" t="s">
        <v>41</v>
      </c>
      <c r="B17" s="11">
        <v>32000</v>
      </c>
      <c r="C17" s="7">
        <v>59736</v>
      </c>
      <c r="D17" s="7">
        <v>54940</v>
      </c>
      <c r="E17" s="7">
        <v>46602</v>
      </c>
      <c r="F17" s="7">
        <v>60810</v>
      </c>
      <c r="G17" s="7">
        <v>61282</v>
      </c>
      <c r="H17" s="7">
        <v>59205</v>
      </c>
      <c r="I17" s="7">
        <v>64156</v>
      </c>
      <c r="J17" s="7">
        <v>50101</v>
      </c>
      <c r="K17" s="8">
        <v>59280</v>
      </c>
      <c r="L17" s="7">
        <v>57039</v>
      </c>
      <c r="M17" s="7">
        <v>55868</v>
      </c>
      <c r="N17" s="7">
        <v>67106</v>
      </c>
      <c r="O17" s="18" t="s">
        <v>41</v>
      </c>
      <c r="P17" s="11">
        <v>32000</v>
      </c>
      <c r="Q17" s="4"/>
      <c r="R17" s="4"/>
      <c r="S17" s="20"/>
      <c r="T17" s="4"/>
    </row>
    <row r="18" spans="1:20" ht="20.25" customHeight="1">
      <c r="A18" s="18" t="s">
        <v>17</v>
      </c>
      <c r="B18" s="11">
        <v>30000</v>
      </c>
      <c r="C18" s="7">
        <v>46514</v>
      </c>
      <c r="D18" s="7">
        <v>31836</v>
      </c>
      <c r="E18" s="7">
        <v>37688</v>
      </c>
      <c r="F18" s="7">
        <v>37327</v>
      </c>
      <c r="G18" s="7">
        <v>41031</v>
      </c>
      <c r="H18" s="7">
        <v>48438</v>
      </c>
      <c r="I18" s="7">
        <v>46097</v>
      </c>
      <c r="J18" s="7">
        <v>21877</v>
      </c>
      <c r="K18" s="11"/>
      <c r="L18" s="11"/>
      <c r="M18" s="11">
        <v>35163</v>
      </c>
      <c r="N18" s="11">
        <v>56157</v>
      </c>
      <c r="O18" s="18" t="s">
        <v>17</v>
      </c>
      <c r="P18" s="11">
        <v>30000</v>
      </c>
      <c r="Q18" s="4"/>
      <c r="R18" s="4"/>
      <c r="S18" s="20"/>
      <c r="T18" s="4"/>
    </row>
    <row r="19" spans="1:20" ht="20.25" customHeight="1">
      <c r="A19" s="18" t="s">
        <v>18</v>
      </c>
      <c r="B19" s="11">
        <v>28000</v>
      </c>
      <c r="C19" s="7">
        <v>38870</v>
      </c>
      <c r="D19" s="7">
        <v>29271</v>
      </c>
      <c r="E19" s="7">
        <v>26800</v>
      </c>
      <c r="F19" s="7">
        <v>35803</v>
      </c>
      <c r="G19" s="7">
        <v>36598</v>
      </c>
      <c r="H19" s="7">
        <v>36079</v>
      </c>
      <c r="I19" s="7">
        <v>40191</v>
      </c>
      <c r="J19" s="7">
        <v>33531</v>
      </c>
      <c r="K19" s="7">
        <v>32493</v>
      </c>
      <c r="L19" s="7">
        <v>23083</v>
      </c>
      <c r="M19" s="7"/>
      <c r="N19" s="11">
        <v>41988</v>
      </c>
      <c r="O19" s="18" t="s">
        <v>13</v>
      </c>
      <c r="P19" s="11">
        <v>26000</v>
      </c>
      <c r="Q19" s="4"/>
      <c r="R19" s="4"/>
      <c r="S19" s="20"/>
      <c r="T19" s="4"/>
    </row>
    <row r="20" spans="1:20" ht="20.25" customHeight="1">
      <c r="A20" s="18" t="s">
        <v>13</v>
      </c>
      <c r="B20" s="11">
        <v>26000</v>
      </c>
      <c r="C20" s="7">
        <v>25139</v>
      </c>
      <c r="D20" s="7">
        <v>23046</v>
      </c>
      <c r="E20" s="7">
        <v>31557</v>
      </c>
      <c r="F20" s="7">
        <v>30854</v>
      </c>
      <c r="G20" s="7">
        <v>36190</v>
      </c>
      <c r="H20" s="7">
        <v>33041</v>
      </c>
      <c r="I20" s="21">
        <v>0</v>
      </c>
      <c r="J20" s="21">
        <v>0</v>
      </c>
      <c r="K20" s="21">
        <v>0</v>
      </c>
      <c r="L20" s="21">
        <v>0</v>
      </c>
      <c r="M20" s="11"/>
      <c r="N20" s="7">
        <v>58953</v>
      </c>
      <c r="O20" s="18" t="s">
        <v>42</v>
      </c>
      <c r="P20" s="11">
        <v>35000</v>
      </c>
      <c r="Q20" s="4"/>
      <c r="R20" s="4"/>
      <c r="S20" s="20"/>
      <c r="T20" s="4"/>
    </row>
    <row r="21" spans="1:20" ht="20.25" customHeight="1">
      <c r="A21" s="18" t="s">
        <v>42</v>
      </c>
      <c r="B21" s="11">
        <v>35000</v>
      </c>
      <c r="C21" s="7">
        <v>54569</v>
      </c>
      <c r="D21" s="7">
        <v>40441</v>
      </c>
      <c r="E21" s="7">
        <v>37574</v>
      </c>
      <c r="F21" s="7">
        <v>47130</v>
      </c>
      <c r="G21" s="7">
        <v>40302</v>
      </c>
      <c r="H21" s="7">
        <v>40830</v>
      </c>
      <c r="I21" s="7">
        <v>45205</v>
      </c>
      <c r="J21" s="7">
        <v>45205</v>
      </c>
      <c r="K21" s="7">
        <v>24319</v>
      </c>
      <c r="L21" s="7">
        <v>35226</v>
      </c>
      <c r="M21" s="7">
        <v>31465</v>
      </c>
      <c r="N21" s="7"/>
      <c r="O21" s="22"/>
      <c r="P21" s="7"/>
      <c r="Q21" s="4"/>
      <c r="R21" s="4"/>
      <c r="S21" s="4"/>
      <c r="T21" s="4"/>
    </row>
    <row r="22" spans="1:20" ht="20.25" customHeight="1">
      <c r="A22" s="18" t="s">
        <v>43</v>
      </c>
      <c r="B22" s="11">
        <v>22000</v>
      </c>
      <c r="C22" s="7"/>
      <c r="D22" s="7">
        <v>23148</v>
      </c>
      <c r="E22" s="7">
        <v>19906</v>
      </c>
      <c r="F22" s="7"/>
      <c r="G22" s="7"/>
      <c r="H22" s="7"/>
      <c r="I22" s="7"/>
      <c r="J22" s="21"/>
      <c r="K22" s="21"/>
      <c r="L22" s="21"/>
      <c r="M22" s="21"/>
      <c r="N22" s="17"/>
      <c r="O22" s="4"/>
      <c r="P22" s="23"/>
      <c r="Q22" s="4"/>
      <c r="R22" s="4"/>
      <c r="S22" s="4"/>
      <c r="T22" s="4"/>
    </row>
    <row r="23" spans="1:20" ht="20.25" customHeight="1">
      <c r="A23" s="18"/>
      <c r="B23" s="11"/>
      <c r="C23" s="7"/>
      <c r="D23" s="7"/>
      <c r="E23" s="7"/>
      <c r="F23" s="3"/>
      <c r="G23" s="3"/>
      <c r="H23" s="7"/>
      <c r="I23" s="7"/>
      <c r="J23" s="7"/>
      <c r="K23" s="7"/>
      <c r="L23" s="7"/>
      <c r="M23" s="7"/>
      <c r="N23" s="17"/>
      <c r="O23" s="17"/>
      <c r="P23" s="17"/>
      <c r="Q23" s="4"/>
      <c r="R23" s="4"/>
      <c r="S23" s="4"/>
      <c r="T23" s="4"/>
    </row>
    <row r="24" spans="1:20" ht="20.25" customHeight="1">
      <c r="A24" s="24" t="s">
        <v>44</v>
      </c>
      <c r="B24" s="11">
        <f>SUM(B15:B22)</f>
        <v>233000</v>
      </c>
      <c r="C24" s="7">
        <f>SUM(C15:C22)</f>
        <v>312469</v>
      </c>
      <c r="D24" s="7">
        <f t="shared" ref="D24:E24" si="0">SUM(D15:D22)</f>
        <v>266387</v>
      </c>
      <c r="E24" s="7">
        <f t="shared" si="0"/>
        <v>271981</v>
      </c>
      <c r="F24" s="7">
        <f>日租滿房率!B10</f>
        <v>287730</v>
      </c>
      <c r="G24" s="7">
        <f>日租滿房率!F10</f>
        <v>295606</v>
      </c>
      <c r="H24" s="7">
        <f>日租滿房率!J10</f>
        <v>286113</v>
      </c>
      <c r="I24" s="7">
        <f>日租滿房率!N10-I20</f>
        <v>277161</v>
      </c>
      <c r="J24" s="7">
        <f>日租滿房率!R10</f>
        <v>220090</v>
      </c>
      <c r="K24" s="7">
        <f>日租滿房率!V10</f>
        <v>143036</v>
      </c>
      <c r="L24" s="7">
        <f>日租滿房率!Z10</f>
        <v>155968</v>
      </c>
      <c r="M24" s="7">
        <f>日租滿房率!AD10</f>
        <v>221944</v>
      </c>
      <c r="N24" s="25"/>
      <c r="O24" s="25"/>
      <c r="P24" s="25"/>
      <c r="Q24" s="4"/>
      <c r="R24" s="4"/>
      <c r="S24" s="4"/>
      <c r="T24" s="4"/>
    </row>
    <row r="25" spans="1:20" ht="20.25" customHeight="1">
      <c r="A25" s="3"/>
      <c r="B25" s="11" t="s">
        <v>45</v>
      </c>
      <c r="C25" s="11">
        <f>SUM(B15:B22)</f>
        <v>233000</v>
      </c>
      <c r="D25" s="11">
        <f>SUM(B15:B22)</f>
        <v>233000</v>
      </c>
      <c r="E25" s="11">
        <f t="shared" ref="E25:H25" si="1">$B$24</f>
        <v>233000</v>
      </c>
      <c r="F25" s="11">
        <f t="shared" si="1"/>
        <v>233000</v>
      </c>
      <c r="G25" s="11">
        <f t="shared" si="1"/>
        <v>233000</v>
      </c>
      <c r="H25" s="11">
        <f t="shared" si="1"/>
        <v>233000</v>
      </c>
      <c r="I25" s="11">
        <f>$B$24-$B$20</f>
        <v>207000</v>
      </c>
      <c r="J25" s="11">
        <f t="shared" ref="J25:L25" si="2">$B$24-$B$20-$B$22</f>
        <v>185000</v>
      </c>
      <c r="K25" s="11">
        <f t="shared" si="2"/>
        <v>185000</v>
      </c>
      <c r="L25" s="11">
        <f t="shared" si="2"/>
        <v>185000</v>
      </c>
      <c r="M25" s="11">
        <f>$B$24-$B$22-$B$19</f>
        <v>183000</v>
      </c>
      <c r="N25" s="4"/>
      <c r="O25" s="4"/>
      <c r="P25" s="4"/>
      <c r="Q25" s="4"/>
      <c r="R25" s="4"/>
      <c r="S25" s="4"/>
      <c r="T25" s="4"/>
    </row>
    <row r="26" spans="1:20" ht="20.25" customHeight="1">
      <c r="A26" s="3"/>
      <c r="B26" s="3" t="s">
        <v>46</v>
      </c>
      <c r="C26" s="7">
        <f t="shared" ref="C26:K26" si="3">C24-C25</f>
        <v>79469</v>
      </c>
      <c r="D26" s="7">
        <f t="shared" si="3"/>
        <v>33387</v>
      </c>
      <c r="E26" s="7">
        <f t="shared" si="3"/>
        <v>38981</v>
      </c>
      <c r="F26" s="7">
        <f t="shared" si="3"/>
        <v>54730</v>
      </c>
      <c r="G26" s="7">
        <f t="shared" si="3"/>
        <v>62606</v>
      </c>
      <c r="H26" s="7">
        <f t="shared" si="3"/>
        <v>53113</v>
      </c>
      <c r="I26" s="7">
        <f t="shared" si="3"/>
        <v>70161</v>
      </c>
      <c r="J26" s="7">
        <f t="shared" si="3"/>
        <v>35090</v>
      </c>
      <c r="K26" s="7">
        <f t="shared" si="3"/>
        <v>-41964</v>
      </c>
      <c r="L26" s="7"/>
      <c r="M26" s="7"/>
      <c r="N26" s="4"/>
      <c r="O26" s="4"/>
      <c r="P26" s="4"/>
      <c r="Q26" s="4"/>
      <c r="R26" s="4"/>
      <c r="S26" s="4"/>
      <c r="T26" s="4"/>
    </row>
    <row r="27" spans="1:20" ht="20.25" customHeight="1">
      <c r="A27" s="4"/>
      <c r="B27" s="15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</row>
    <row r="28" spans="1:20" ht="20.25" customHeight="1">
      <c r="A28" s="4"/>
      <c r="B28" s="15" t="s">
        <v>47</v>
      </c>
      <c r="C28" s="17">
        <f t="shared" ref="C28:M28" si="4">C11+C24</f>
        <v>853969</v>
      </c>
      <c r="D28" s="17">
        <f t="shared" si="4"/>
        <v>780387</v>
      </c>
      <c r="E28" s="17">
        <f t="shared" si="4"/>
        <v>710361</v>
      </c>
      <c r="F28" s="17">
        <f t="shared" si="4"/>
        <v>797030</v>
      </c>
      <c r="G28" s="17">
        <f t="shared" si="4"/>
        <v>805004</v>
      </c>
      <c r="H28" s="17">
        <f t="shared" si="4"/>
        <v>687946</v>
      </c>
      <c r="I28" s="17">
        <f t="shared" si="4"/>
        <v>746356.58064516133</v>
      </c>
      <c r="J28" s="17">
        <f t="shared" si="4"/>
        <v>721728</v>
      </c>
      <c r="K28" s="17">
        <f t="shared" si="4"/>
        <v>703302</v>
      </c>
      <c r="L28" s="17">
        <f t="shared" si="4"/>
        <v>682015.41935483878</v>
      </c>
      <c r="M28" s="17">
        <f t="shared" si="4"/>
        <v>698944</v>
      </c>
      <c r="N28" s="17">
        <f>N11+N21</f>
        <v>432715</v>
      </c>
      <c r="O28" s="4"/>
      <c r="P28" s="4"/>
      <c r="Q28" s="4"/>
      <c r="R28" s="4"/>
      <c r="S28" s="4"/>
      <c r="T28" s="4"/>
    </row>
    <row r="29" spans="1:20" ht="20.25" customHeight="1">
      <c r="A29" s="4"/>
      <c r="B29" s="15" t="s">
        <v>48</v>
      </c>
      <c r="C29" s="25">
        <f t="shared" ref="C29:M29" si="5">C12+C25</f>
        <v>737000</v>
      </c>
      <c r="D29" s="25">
        <f t="shared" si="5"/>
        <v>813000</v>
      </c>
      <c r="E29" s="25">
        <f t="shared" si="5"/>
        <v>791000</v>
      </c>
      <c r="F29" s="25">
        <f t="shared" si="5"/>
        <v>791000</v>
      </c>
      <c r="G29" s="25">
        <f t="shared" si="5"/>
        <v>791000</v>
      </c>
      <c r="H29" s="25">
        <f t="shared" si="5"/>
        <v>791000</v>
      </c>
      <c r="I29" s="25">
        <f t="shared" si="5"/>
        <v>765000</v>
      </c>
      <c r="J29" s="25">
        <f t="shared" si="5"/>
        <v>743000</v>
      </c>
      <c r="K29" s="25">
        <f t="shared" si="5"/>
        <v>743000</v>
      </c>
      <c r="L29" s="25">
        <f t="shared" si="5"/>
        <v>743000</v>
      </c>
      <c r="M29" s="25">
        <f t="shared" si="5"/>
        <v>741000</v>
      </c>
      <c r="N29" s="25">
        <f>P11+P21</f>
        <v>511000</v>
      </c>
      <c r="O29" s="4"/>
      <c r="P29" s="4"/>
      <c r="Q29" s="4"/>
      <c r="R29" s="4"/>
      <c r="S29" s="4"/>
      <c r="T29" s="4"/>
    </row>
    <row r="30" spans="1:20" ht="20.25" customHeight="1">
      <c r="A30" s="4"/>
      <c r="B30" s="15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</row>
    <row r="31" spans="1:20" ht="20.25" customHeight="1">
      <c r="A31" s="4"/>
      <c r="B31" s="15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</row>
    <row r="32" spans="1:20" ht="20.25" customHeight="1">
      <c r="A32" s="4"/>
      <c r="B32" s="15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</row>
    <row r="33" spans="1:20" ht="20.25" customHeight="1">
      <c r="A33" s="4"/>
      <c r="B33" s="15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</row>
    <row r="34" spans="1:20" ht="20.25" customHeight="1">
      <c r="A34" s="4"/>
      <c r="B34" s="15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</row>
    <row r="35" spans="1:20" ht="20.25" customHeight="1">
      <c r="A35" s="4"/>
      <c r="B35" s="15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1:20" ht="20.25" customHeight="1">
      <c r="A36" s="4"/>
      <c r="B36" s="15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</row>
    <row r="37" spans="1:20" ht="20.25" customHeight="1">
      <c r="A37" s="4"/>
      <c r="B37" s="15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</row>
    <row r="38" spans="1:20" ht="20.25" customHeight="1">
      <c r="A38" s="4"/>
      <c r="B38" s="15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</row>
    <row r="39" spans="1:20" ht="20.25" customHeight="1">
      <c r="A39" s="4"/>
      <c r="B39" s="15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</row>
    <row r="40" spans="1:20" ht="20.25" customHeight="1">
      <c r="A40" s="4"/>
      <c r="B40" s="15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1:20" ht="20.25" customHeight="1">
      <c r="A41" s="4"/>
      <c r="B41" s="15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</row>
    <row r="42" spans="1:20" ht="20.25" customHeight="1">
      <c r="A42" s="4"/>
      <c r="B42" s="15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</row>
    <row r="43" spans="1:20" ht="20.25" customHeight="1">
      <c r="A43" s="4"/>
      <c r="B43" s="15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</row>
    <row r="44" spans="1:20" ht="20.25" customHeight="1">
      <c r="A44" s="4"/>
      <c r="B44" s="15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</row>
    <row r="45" spans="1:20" ht="20.25" customHeight="1">
      <c r="A45" s="4"/>
      <c r="B45" s="15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1:20" ht="20.25" customHeight="1">
      <c r="A46" s="4"/>
      <c r="B46" s="15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</row>
    <row r="47" spans="1:20" ht="20.25" customHeight="1">
      <c r="A47" s="4"/>
      <c r="B47" s="15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</row>
    <row r="48" spans="1:20" ht="20.25" customHeight="1">
      <c r="A48" s="4"/>
      <c r="B48" s="15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</row>
    <row r="49" spans="1:20" ht="20.25" customHeight="1">
      <c r="A49" s="4"/>
      <c r="B49" s="15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</row>
    <row r="50" spans="1:20" ht="20.25" customHeight="1">
      <c r="A50" s="4"/>
      <c r="B50" s="15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</row>
    <row r="51" spans="1:20" ht="20.25" customHeight="1">
      <c r="A51" s="4"/>
      <c r="B51" s="15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</row>
    <row r="52" spans="1:20" ht="20.25" customHeight="1">
      <c r="A52" s="4"/>
      <c r="B52" s="15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</row>
    <row r="53" spans="1:20" ht="20.25" customHeight="1">
      <c r="A53" s="4"/>
      <c r="B53" s="15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</row>
    <row r="54" spans="1:20" ht="20.25" customHeight="1">
      <c r="A54" s="4"/>
      <c r="B54" s="15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</row>
    <row r="55" spans="1:20" ht="20.25" customHeight="1">
      <c r="A55" s="4"/>
      <c r="B55" s="15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</row>
    <row r="56" spans="1:20" ht="20.25" customHeight="1">
      <c r="A56" s="4"/>
      <c r="B56" s="15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20.25" customHeight="1">
      <c r="A57" s="4"/>
      <c r="B57" s="15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</row>
    <row r="58" spans="1:20" ht="20.25" customHeight="1">
      <c r="A58" s="4"/>
      <c r="B58" s="15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</row>
    <row r="59" spans="1:20" ht="20.25" customHeight="1">
      <c r="A59" s="4"/>
      <c r="B59" s="15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</row>
    <row r="60" spans="1:20" ht="20.25" customHeight="1">
      <c r="A60" s="4"/>
      <c r="B60" s="15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</row>
    <row r="61" spans="1:20" ht="20.25" customHeight="1">
      <c r="A61" s="4"/>
      <c r="B61" s="15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</row>
    <row r="62" spans="1:20" ht="20.25" customHeight="1">
      <c r="A62" s="4"/>
      <c r="B62" s="15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</row>
    <row r="63" spans="1:20" ht="20.25" customHeight="1">
      <c r="A63" s="4"/>
      <c r="B63" s="15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</row>
    <row r="64" spans="1:20" ht="20.25" customHeight="1">
      <c r="A64" s="4"/>
      <c r="B64" s="15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</row>
    <row r="65" spans="1:20" ht="20.25" customHeight="1">
      <c r="A65" s="4"/>
      <c r="B65" s="15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</row>
    <row r="66" spans="1:20" ht="20.25" customHeight="1">
      <c r="A66" s="4"/>
      <c r="B66" s="15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</row>
    <row r="67" spans="1:20" ht="20.25" customHeight="1">
      <c r="A67" s="4"/>
      <c r="B67" s="15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</row>
    <row r="68" spans="1:20" ht="20.25" customHeight="1">
      <c r="A68" s="4"/>
      <c r="B68" s="15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1:20" ht="20.25" customHeight="1">
      <c r="A69" s="4"/>
      <c r="B69" s="15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</row>
    <row r="70" spans="1:20" ht="20.25" customHeight="1">
      <c r="A70" s="4"/>
      <c r="B70" s="15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</row>
    <row r="71" spans="1:20" ht="20.25" customHeight="1">
      <c r="A71" s="4"/>
      <c r="B71" s="15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</row>
    <row r="72" spans="1:20" ht="20.25" customHeight="1">
      <c r="A72" s="4"/>
      <c r="B72" s="15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</row>
    <row r="73" spans="1:20" ht="20.25" customHeight="1">
      <c r="A73" s="4"/>
      <c r="B73" s="15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</row>
    <row r="74" spans="1:20" ht="20.25" customHeight="1">
      <c r="A74" s="4"/>
      <c r="B74" s="15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</row>
    <row r="75" spans="1:20" ht="20.25" customHeight="1">
      <c r="A75" s="4"/>
      <c r="B75" s="15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1:20" ht="20.25" customHeight="1">
      <c r="A76" s="4"/>
      <c r="B76" s="15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</row>
    <row r="77" spans="1:20" ht="20.25" customHeight="1">
      <c r="A77" s="4"/>
      <c r="B77" s="15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</row>
    <row r="78" spans="1:20" ht="20.25" customHeight="1">
      <c r="A78" s="4"/>
      <c r="B78" s="15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</row>
    <row r="79" spans="1:20" ht="20.25" customHeight="1">
      <c r="A79" s="4"/>
      <c r="B79" s="15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</row>
    <row r="80" spans="1:20" ht="20.25" customHeight="1">
      <c r="A80" s="4"/>
      <c r="B80" s="15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</row>
    <row r="81" spans="1:20" ht="20.25" customHeight="1">
      <c r="A81" s="4"/>
      <c r="B81" s="15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</row>
    <row r="82" spans="1:20" ht="20.25" customHeight="1">
      <c r="A82" s="4"/>
      <c r="B82" s="15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</row>
    <row r="83" spans="1:20" ht="20.25" customHeight="1">
      <c r="A83" s="4"/>
      <c r="B83" s="15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</row>
    <row r="84" spans="1:20" ht="20.25" customHeight="1">
      <c r="A84" s="4"/>
      <c r="B84" s="15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</row>
    <row r="85" spans="1:20" ht="20.25" customHeight="1">
      <c r="A85" s="4"/>
      <c r="B85" s="15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</row>
    <row r="86" spans="1:20" ht="20.25" customHeight="1">
      <c r="A86" s="4"/>
      <c r="B86" s="15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</row>
    <row r="87" spans="1:20" ht="20.25" customHeight="1">
      <c r="A87" s="4"/>
      <c r="B87" s="15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</row>
    <row r="88" spans="1:20" ht="20.25" customHeight="1">
      <c r="A88" s="4"/>
      <c r="B88" s="15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</row>
    <row r="89" spans="1:20" ht="20.25" customHeight="1">
      <c r="A89" s="4"/>
      <c r="B89" s="15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</row>
    <row r="90" spans="1:20" ht="20.25" customHeight="1">
      <c r="A90" s="4"/>
      <c r="B90" s="15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</row>
    <row r="91" spans="1:20" ht="20.25" customHeight="1">
      <c r="A91" s="4"/>
      <c r="B91" s="15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</row>
    <row r="92" spans="1:20" ht="20.25" customHeight="1">
      <c r="A92" s="4"/>
      <c r="B92" s="15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</row>
    <row r="93" spans="1:20" ht="20.25" customHeight="1">
      <c r="A93" s="4"/>
      <c r="B93" s="15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</row>
    <row r="94" spans="1:20" ht="20.25" customHeight="1">
      <c r="A94" s="4"/>
      <c r="B94" s="15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</row>
    <row r="95" spans="1:20" ht="20.25" customHeight="1">
      <c r="A95" s="4"/>
      <c r="B95" s="15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</row>
    <row r="96" spans="1:20" ht="20.25" customHeight="1">
      <c r="A96" s="4"/>
      <c r="B96" s="15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</row>
    <row r="97" spans="1:20" ht="20.25" customHeight="1">
      <c r="A97" s="4"/>
      <c r="B97" s="15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</row>
    <row r="98" spans="1:20" ht="20.25" customHeight="1">
      <c r="A98" s="4"/>
      <c r="B98" s="15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</row>
    <row r="99" spans="1:20" ht="20.25" customHeight="1">
      <c r="A99" s="4"/>
      <c r="B99" s="15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</row>
    <row r="100" spans="1:20" ht="20.25" customHeight="1">
      <c r="A100" s="4"/>
      <c r="B100" s="15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</row>
  </sheetData>
  <phoneticPr fontId="27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100"/>
  <sheetViews>
    <sheetView workbookViewId="0">
      <pane xSplit="1" topLeftCell="B1" activePane="topRight" state="frozen"/>
      <selection pane="topRight" activeCell="E19" sqref="E19"/>
    </sheetView>
  </sheetViews>
  <sheetFormatPr defaultColWidth="12.625" defaultRowHeight="15" customHeight="1"/>
  <cols>
    <col min="1" max="4" width="8" customWidth="1"/>
    <col min="5" max="5" width="8.75" customWidth="1"/>
    <col min="6" max="7" width="8.25" customWidth="1"/>
    <col min="8" max="12" width="8" customWidth="1"/>
    <col min="13" max="13" width="8.375" customWidth="1"/>
    <col min="14" max="14" width="9.625" customWidth="1"/>
    <col min="15" max="45" width="8" customWidth="1"/>
  </cols>
  <sheetData>
    <row r="1" spans="1:45" ht="16.5" customHeight="1">
      <c r="A1" s="26" t="s">
        <v>49</v>
      </c>
      <c r="B1" s="360" t="s">
        <v>50</v>
      </c>
      <c r="C1" s="361"/>
      <c r="D1" s="361"/>
      <c r="E1" s="362"/>
      <c r="F1" s="363" t="s">
        <v>51</v>
      </c>
      <c r="G1" s="361"/>
      <c r="H1" s="361"/>
      <c r="I1" s="362"/>
      <c r="J1" s="360" t="s">
        <v>52</v>
      </c>
      <c r="K1" s="361"/>
      <c r="L1" s="361"/>
      <c r="M1" s="362"/>
      <c r="N1" s="363" t="s">
        <v>53</v>
      </c>
      <c r="O1" s="361"/>
      <c r="P1" s="361"/>
      <c r="Q1" s="362"/>
      <c r="R1" s="360" t="s">
        <v>54</v>
      </c>
      <c r="S1" s="361"/>
      <c r="T1" s="361"/>
      <c r="U1" s="362"/>
      <c r="V1" s="363" t="s">
        <v>55</v>
      </c>
      <c r="W1" s="361"/>
      <c r="X1" s="361"/>
      <c r="Y1" s="362"/>
      <c r="Z1" s="360" t="s">
        <v>56</v>
      </c>
      <c r="AA1" s="361"/>
      <c r="AB1" s="361"/>
      <c r="AC1" s="362"/>
      <c r="AD1" s="363" t="s">
        <v>57</v>
      </c>
      <c r="AE1" s="361"/>
      <c r="AF1" s="361"/>
      <c r="AG1" s="362"/>
      <c r="AH1" s="360" t="s">
        <v>58</v>
      </c>
      <c r="AI1" s="361"/>
      <c r="AJ1" s="361"/>
      <c r="AK1" s="362"/>
      <c r="AL1" s="357"/>
      <c r="AM1" s="358"/>
      <c r="AN1" s="358"/>
      <c r="AO1" s="358"/>
      <c r="AP1" s="359"/>
      <c r="AQ1" s="358"/>
      <c r="AR1" s="358"/>
      <c r="AS1" s="358"/>
    </row>
    <row r="2" spans="1:45" ht="16.5" customHeight="1">
      <c r="A2" s="27"/>
      <c r="B2" s="28" t="s">
        <v>59</v>
      </c>
      <c r="C2" s="29" t="s">
        <v>60</v>
      </c>
      <c r="D2" s="29" t="s">
        <v>61</v>
      </c>
      <c r="E2" s="28" t="s">
        <v>62</v>
      </c>
      <c r="F2" s="28" t="s">
        <v>59</v>
      </c>
      <c r="G2" s="28" t="s">
        <v>63</v>
      </c>
      <c r="H2" s="28" t="s">
        <v>64</v>
      </c>
      <c r="I2" s="28" t="s">
        <v>62</v>
      </c>
      <c r="J2" s="28" t="s">
        <v>59</v>
      </c>
      <c r="K2" s="28" t="s">
        <v>63</v>
      </c>
      <c r="L2" s="28" t="s">
        <v>64</v>
      </c>
      <c r="M2" s="28" t="s">
        <v>62</v>
      </c>
      <c r="N2" s="28" t="s">
        <v>59</v>
      </c>
      <c r="O2" s="28" t="s">
        <v>63</v>
      </c>
      <c r="P2" s="28" t="s">
        <v>64</v>
      </c>
      <c r="Q2" s="28" t="s">
        <v>62</v>
      </c>
      <c r="R2" s="28" t="s">
        <v>59</v>
      </c>
      <c r="S2" s="28" t="s">
        <v>63</v>
      </c>
      <c r="T2" s="28" t="s">
        <v>64</v>
      </c>
      <c r="U2" s="28" t="s">
        <v>62</v>
      </c>
      <c r="V2" s="28" t="s">
        <v>59</v>
      </c>
      <c r="W2" s="28" t="s">
        <v>63</v>
      </c>
      <c r="X2" s="28" t="s">
        <v>64</v>
      </c>
      <c r="Y2" s="28" t="s">
        <v>62</v>
      </c>
      <c r="Z2" s="28" t="s">
        <v>59</v>
      </c>
      <c r="AA2" s="28" t="s">
        <v>63</v>
      </c>
      <c r="AB2" s="28" t="s">
        <v>64</v>
      </c>
      <c r="AC2" s="28" t="s">
        <v>62</v>
      </c>
      <c r="AD2" s="28" t="s">
        <v>59</v>
      </c>
      <c r="AE2" s="28" t="s">
        <v>63</v>
      </c>
      <c r="AF2" s="28" t="s">
        <v>64</v>
      </c>
      <c r="AG2" s="28" t="s">
        <v>62</v>
      </c>
      <c r="AH2" s="28" t="s">
        <v>59</v>
      </c>
      <c r="AI2" s="28" t="s">
        <v>63</v>
      </c>
      <c r="AJ2" s="28" t="s">
        <v>64</v>
      </c>
      <c r="AK2" s="28" t="s">
        <v>62</v>
      </c>
      <c r="AL2" s="30"/>
      <c r="AM2" s="30"/>
      <c r="AN2" s="30"/>
      <c r="AO2" s="30"/>
      <c r="AP2" s="30"/>
      <c r="AQ2" s="30"/>
      <c r="AR2" s="30"/>
      <c r="AS2" s="30"/>
    </row>
    <row r="3" spans="1:45" ht="16.5" customHeight="1">
      <c r="A3" s="26" t="s">
        <v>39</v>
      </c>
      <c r="B3" s="31">
        <v>6484</v>
      </c>
      <c r="C3" s="32"/>
      <c r="D3" s="32"/>
      <c r="E3" s="32"/>
      <c r="F3" s="33">
        <v>41431</v>
      </c>
      <c r="G3" s="34">
        <v>31</v>
      </c>
      <c r="H3" s="34">
        <v>4</v>
      </c>
      <c r="I3" s="35">
        <v>0.871</v>
      </c>
      <c r="J3" s="36">
        <v>31734</v>
      </c>
      <c r="K3" s="32">
        <v>30</v>
      </c>
      <c r="L3" s="32">
        <v>12</v>
      </c>
      <c r="M3" s="37">
        <f t="shared" ref="M3:M9" si="0">1-L3/K3</f>
        <v>0.6</v>
      </c>
      <c r="N3" s="38">
        <f>3704+10194+5142+5539+5913+6786+5134+4551</f>
        <v>46963</v>
      </c>
      <c r="O3" s="39">
        <v>31</v>
      </c>
      <c r="P3" s="39">
        <v>5</v>
      </c>
      <c r="Q3" s="40">
        <f t="shared" ref="Q3:Q7" si="1">1-P3/O3</f>
        <v>0.83870967741935487</v>
      </c>
      <c r="R3" s="36">
        <f>6068+5142+5560+5562+7099+5143</f>
        <v>34574</v>
      </c>
      <c r="S3" s="32">
        <v>31</v>
      </c>
      <c r="T3" s="32">
        <v>11</v>
      </c>
      <c r="U3" s="37">
        <f t="shared" ref="U3:U7" si="2">1-T3/S3</f>
        <v>0.64516129032258063</v>
      </c>
      <c r="V3" s="38">
        <f>5563+4842+10860+5679</f>
        <v>26944</v>
      </c>
      <c r="W3" s="39">
        <v>30</v>
      </c>
      <c r="X3" s="39">
        <v>16</v>
      </c>
      <c r="Y3" s="40">
        <f>1-X3/W3</f>
        <v>0.46666666666666667</v>
      </c>
      <c r="Z3" s="36">
        <f>2839+4358+10219+9103+6101+8000</f>
        <v>40620</v>
      </c>
      <c r="AA3" s="32">
        <v>31</v>
      </c>
      <c r="AB3" s="32">
        <v>9</v>
      </c>
      <c r="AC3" s="37">
        <f>1-AB3/AA3</f>
        <v>0.70967741935483875</v>
      </c>
      <c r="AD3" s="38">
        <f>5907+23147+7360+7651</f>
        <v>44065</v>
      </c>
      <c r="AE3" s="39">
        <v>30</v>
      </c>
      <c r="AF3" s="39">
        <v>6</v>
      </c>
      <c r="AG3" s="40">
        <f t="shared" ref="AG3:AG6" si="3">1-AF3/AE3</f>
        <v>0.8</v>
      </c>
      <c r="AH3" s="20">
        <f>9394+5714+12900+14333+19563+3510</f>
        <v>65414</v>
      </c>
      <c r="AI3" s="41">
        <v>31</v>
      </c>
      <c r="AJ3" s="41">
        <v>5</v>
      </c>
      <c r="AK3" s="42">
        <f t="shared" ref="AK3:AK6" si="4">1-AJ3/AI3</f>
        <v>0.83870967741935487</v>
      </c>
      <c r="AL3" s="20"/>
      <c r="AM3" s="41"/>
      <c r="AN3" s="41"/>
      <c r="AO3" s="42"/>
      <c r="AP3" s="20"/>
      <c r="AQ3" s="41"/>
      <c r="AR3" s="41"/>
      <c r="AS3" s="42"/>
    </row>
    <row r="4" spans="1:45" ht="16.5" customHeight="1">
      <c r="A4" s="26" t="s">
        <v>40</v>
      </c>
      <c r="B4" s="31">
        <v>42952</v>
      </c>
      <c r="C4" s="43">
        <v>30</v>
      </c>
      <c r="D4" s="43">
        <v>7</v>
      </c>
      <c r="E4" s="44">
        <v>0.76670000000000005</v>
      </c>
      <c r="F4" s="33">
        <v>38772</v>
      </c>
      <c r="G4" s="34">
        <v>31</v>
      </c>
      <c r="H4" s="34">
        <v>9</v>
      </c>
      <c r="I4" s="35">
        <v>0.7097</v>
      </c>
      <c r="J4" s="36">
        <v>36786</v>
      </c>
      <c r="K4" s="32">
        <v>30</v>
      </c>
      <c r="L4" s="32">
        <v>7</v>
      </c>
      <c r="M4" s="37">
        <f t="shared" si="0"/>
        <v>0.76666666666666661</v>
      </c>
      <c r="N4" s="38">
        <f>5779+7500+6318+7089+7863</f>
        <v>34549</v>
      </c>
      <c r="O4" s="39">
        <v>31</v>
      </c>
      <c r="P4" s="39">
        <v>9</v>
      </c>
      <c r="Q4" s="40">
        <f t="shared" si="1"/>
        <v>0.70967741935483875</v>
      </c>
      <c r="R4" s="36">
        <f>19096+10606+5100</f>
        <v>34802</v>
      </c>
      <c r="S4" s="32">
        <v>31</v>
      </c>
      <c r="T4" s="32">
        <v>7</v>
      </c>
      <c r="U4" s="37">
        <f t="shared" si="2"/>
        <v>0.77419354838709675</v>
      </c>
      <c r="V4" s="45"/>
      <c r="W4" s="46"/>
      <c r="X4" s="46"/>
      <c r="Y4" s="47"/>
      <c r="Z4" s="45"/>
      <c r="AA4" s="46"/>
      <c r="AB4" s="46"/>
      <c r="AC4" s="47"/>
      <c r="AD4" s="38">
        <f>7651+16435</f>
        <v>24086</v>
      </c>
      <c r="AE4" s="39">
        <v>25</v>
      </c>
      <c r="AF4" s="39">
        <v>10</v>
      </c>
      <c r="AG4" s="40">
        <f t="shared" si="3"/>
        <v>0.6</v>
      </c>
      <c r="AH4" s="36">
        <f>8958+4261+13036+7457+4358+19181</f>
        <v>57251</v>
      </c>
      <c r="AI4" s="32">
        <v>31</v>
      </c>
      <c r="AJ4" s="32">
        <v>3</v>
      </c>
      <c r="AK4" s="37">
        <f t="shared" si="4"/>
        <v>0.90322580645161288</v>
      </c>
      <c r="AL4" s="20"/>
      <c r="AM4" s="41"/>
      <c r="AN4" s="41"/>
      <c r="AO4" s="42"/>
      <c r="AP4" s="20"/>
      <c r="AQ4" s="41"/>
      <c r="AR4" s="41"/>
      <c r="AS4" s="42"/>
    </row>
    <row r="5" spans="1:45" ht="16.5" customHeight="1">
      <c r="A5" s="26" t="s">
        <v>41</v>
      </c>
      <c r="B5" s="31">
        <v>60810</v>
      </c>
      <c r="C5" s="43">
        <v>30</v>
      </c>
      <c r="D5" s="43">
        <v>1</v>
      </c>
      <c r="E5" s="44">
        <v>0.9667</v>
      </c>
      <c r="F5" s="33">
        <v>61282</v>
      </c>
      <c r="G5" s="34">
        <v>31</v>
      </c>
      <c r="H5" s="34">
        <v>1</v>
      </c>
      <c r="I5" s="35">
        <v>0.9677</v>
      </c>
      <c r="J5" s="36">
        <v>59205</v>
      </c>
      <c r="K5" s="32">
        <v>30</v>
      </c>
      <c r="L5" s="32">
        <v>3</v>
      </c>
      <c r="M5" s="37">
        <f t="shared" si="0"/>
        <v>0.9</v>
      </c>
      <c r="N5" s="38">
        <f>8737+9986+6891+8750+9028+9231+6786+4747</f>
        <v>64156</v>
      </c>
      <c r="O5" s="39">
        <v>31</v>
      </c>
      <c r="P5" s="39">
        <v>3</v>
      </c>
      <c r="Q5" s="40">
        <f t="shared" si="1"/>
        <v>0.90322580645161288</v>
      </c>
      <c r="R5" s="36">
        <f>9490+9489+10002+4614+16506</f>
        <v>50101</v>
      </c>
      <c r="S5" s="32">
        <v>31</v>
      </c>
      <c r="T5" s="32">
        <v>8</v>
      </c>
      <c r="U5" s="37">
        <f t="shared" si="2"/>
        <v>0.74193548387096775</v>
      </c>
      <c r="V5" s="38">
        <f>6922+11149+6197+8545+8247+9224+4388+4608</f>
        <v>59280</v>
      </c>
      <c r="W5" s="39">
        <v>30</v>
      </c>
      <c r="X5" s="39">
        <v>3</v>
      </c>
      <c r="Y5" s="40">
        <f>1-X5/W5</f>
        <v>0.9</v>
      </c>
      <c r="Z5" s="36">
        <f>4608+9215+6295+7263+8232+10653+4842+5931</f>
        <v>57039</v>
      </c>
      <c r="AA5" s="32">
        <v>31</v>
      </c>
      <c r="AB5" s="32">
        <v>5</v>
      </c>
      <c r="AC5" s="37">
        <f>1-AB5/AA5</f>
        <v>0.83870967741935487</v>
      </c>
      <c r="AD5" s="38">
        <f>3954+7263+11137+14285+6295+2425+2892+2892+2425+2300</f>
        <v>55868</v>
      </c>
      <c r="AE5" s="39">
        <v>30</v>
      </c>
      <c r="AF5" s="39">
        <v>5</v>
      </c>
      <c r="AG5" s="40">
        <f t="shared" si="3"/>
        <v>0.83333333333333337</v>
      </c>
      <c r="AH5" s="36">
        <f>6900+13074+11137+11622+6295+18078</f>
        <v>67106</v>
      </c>
      <c r="AI5" s="32">
        <v>31</v>
      </c>
      <c r="AJ5" s="32">
        <v>6</v>
      </c>
      <c r="AK5" s="37">
        <f t="shared" si="4"/>
        <v>0.80645161290322576</v>
      </c>
      <c r="AL5" s="20"/>
      <c r="AM5" s="41"/>
      <c r="AN5" s="41"/>
      <c r="AO5" s="42"/>
      <c r="AP5" s="20"/>
      <c r="AQ5" s="41"/>
      <c r="AR5" s="41"/>
      <c r="AS5" s="42"/>
    </row>
    <row r="6" spans="1:45" ht="16.5" customHeight="1">
      <c r="A6" s="26" t="s">
        <v>17</v>
      </c>
      <c r="B6" s="31">
        <v>37327</v>
      </c>
      <c r="C6" s="43">
        <v>30</v>
      </c>
      <c r="D6" s="43">
        <v>2</v>
      </c>
      <c r="E6" s="44">
        <v>0.93330000000000002</v>
      </c>
      <c r="F6" s="33">
        <v>41031</v>
      </c>
      <c r="G6" s="34">
        <v>31</v>
      </c>
      <c r="H6" s="34">
        <v>6</v>
      </c>
      <c r="I6" s="35">
        <v>0.80649999999999999</v>
      </c>
      <c r="J6" s="36">
        <v>48438</v>
      </c>
      <c r="K6" s="32">
        <v>30</v>
      </c>
      <c r="L6" s="32">
        <v>0</v>
      </c>
      <c r="M6" s="37">
        <f t="shared" si="0"/>
        <v>1</v>
      </c>
      <c r="N6" s="38">
        <f>9996+7091+27610+1400</f>
        <v>46097</v>
      </c>
      <c r="O6" s="39">
        <v>31</v>
      </c>
      <c r="P6" s="39">
        <v>3</v>
      </c>
      <c r="Q6" s="40">
        <f t="shared" si="1"/>
        <v>0.90322580645161288</v>
      </c>
      <c r="R6" s="36">
        <f>3600+11923+1200+5154</f>
        <v>21877</v>
      </c>
      <c r="S6" s="32">
        <v>31</v>
      </c>
      <c r="T6" s="32">
        <v>15</v>
      </c>
      <c r="U6" s="37">
        <f t="shared" si="2"/>
        <v>0.5161290322580645</v>
      </c>
      <c r="V6" s="45"/>
      <c r="W6" s="46"/>
      <c r="X6" s="46"/>
      <c r="Y6" s="47"/>
      <c r="Z6" s="45"/>
      <c r="AA6" s="46"/>
      <c r="AB6" s="46"/>
      <c r="AC6" s="47"/>
      <c r="AD6" s="38">
        <v>35163</v>
      </c>
      <c r="AE6" s="39">
        <v>30</v>
      </c>
      <c r="AF6" s="39">
        <v>3</v>
      </c>
      <c r="AG6" s="40">
        <f t="shared" si="3"/>
        <v>0.9</v>
      </c>
      <c r="AH6" s="36">
        <f>13384+3906+10169+14779+13919</f>
        <v>56157</v>
      </c>
      <c r="AI6" s="32">
        <v>31</v>
      </c>
      <c r="AJ6" s="32">
        <v>1</v>
      </c>
      <c r="AK6" s="37">
        <f t="shared" si="4"/>
        <v>0.967741935483871</v>
      </c>
      <c r="AL6" s="20"/>
      <c r="AM6" s="41"/>
      <c r="AN6" s="41"/>
      <c r="AO6" s="42"/>
      <c r="AP6" s="20"/>
      <c r="AQ6" s="41"/>
      <c r="AR6" s="41"/>
      <c r="AS6" s="42"/>
    </row>
    <row r="7" spans="1:45" ht="16.5" customHeight="1">
      <c r="A7" s="48" t="s">
        <v>18</v>
      </c>
      <c r="B7" s="31">
        <v>35803</v>
      </c>
      <c r="C7" s="43">
        <v>30</v>
      </c>
      <c r="D7" s="43">
        <v>2</v>
      </c>
      <c r="E7" s="44">
        <v>0.93330000000000002</v>
      </c>
      <c r="F7" s="33">
        <v>36598</v>
      </c>
      <c r="G7" s="34">
        <v>31</v>
      </c>
      <c r="H7" s="34">
        <v>5</v>
      </c>
      <c r="I7" s="35">
        <v>0.8387</v>
      </c>
      <c r="J7" s="36">
        <v>36079</v>
      </c>
      <c r="K7" s="32">
        <v>30</v>
      </c>
      <c r="L7" s="32">
        <v>4</v>
      </c>
      <c r="M7" s="37">
        <f t="shared" si="0"/>
        <v>0.8666666666666667</v>
      </c>
      <c r="N7" s="38">
        <f>6400+8628+9888+8399+6876</f>
        <v>40191</v>
      </c>
      <c r="O7" s="39">
        <v>31</v>
      </c>
      <c r="P7" s="39">
        <v>7</v>
      </c>
      <c r="Q7" s="40">
        <f t="shared" si="1"/>
        <v>0.77419354838709675</v>
      </c>
      <c r="R7" s="36">
        <f>7097+12020+2400+12014</f>
        <v>33531</v>
      </c>
      <c r="S7" s="32">
        <v>31</v>
      </c>
      <c r="T7" s="32">
        <v>3</v>
      </c>
      <c r="U7" s="37">
        <f t="shared" si="2"/>
        <v>0.90322580645161288</v>
      </c>
      <c r="V7" s="38">
        <f>6901+10615+4200+7748+1500+1529</f>
        <v>32493</v>
      </c>
      <c r="W7" s="39">
        <v>30</v>
      </c>
      <c r="X7" s="39">
        <v>9</v>
      </c>
      <c r="Y7" s="40">
        <f>1-X7/W7</f>
        <v>0.7</v>
      </c>
      <c r="Z7" s="36">
        <f>6118+3389+6130+7446</f>
        <v>23083</v>
      </c>
      <c r="AA7" s="32">
        <v>31</v>
      </c>
      <c r="AB7" s="32">
        <v>16</v>
      </c>
      <c r="AC7" s="37">
        <f>1-AB7/AA7</f>
        <v>0.4838709677419355</v>
      </c>
      <c r="AD7" s="49"/>
      <c r="AE7" s="50"/>
      <c r="AF7" s="50"/>
      <c r="AG7" s="51"/>
      <c r="AH7" s="49"/>
      <c r="AI7" s="52"/>
      <c r="AJ7" s="50"/>
      <c r="AK7" s="51"/>
      <c r="AL7" s="20"/>
      <c r="AM7" s="41"/>
      <c r="AN7" s="41"/>
      <c r="AO7" s="42"/>
      <c r="AP7" s="20"/>
      <c r="AQ7" s="41"/>
      <c r="AR7" s="41"/>
      <c r="AS7" s="42"/>
    </row>
    <row r="8" spans="1:45" ht="16.5" customHeight="1">
      <c r="A8" s="26" t="s">
        <v>13</v>
      </c>
      <c r="B8" s="31">
        <v>30854</v>
      </c>
      <c r="C8" s="43">
        <v>30</v>
      </c>
      <c r="D8" s="43">
        <v>5</v>
      </c>
      <c r="E8" s="44">
        <v>0.83330000000000004</v>
      </c>
      <c r="F8" s="33">
        <v>36190</v>
      </c>
      <c r="G8" s="34">
        <v>31</v>
      </c>
      <c r="H8" s="34">
        <v>1</v>
      </c>
      <c r="I8" s="35">
        <v>0.9677</v>
      </c>
      <c r="J8" s="36">
        <v>33041</v>
      </c>
      <c r="K8" s="32">
        <v>30</v>
      </c>
      <c r="L8" s="32">
        <v>4</v>
      </c>
      <c r="M8" s="37">
        <f t="shared" si="0"/>
        <v>0.8666666666666667</v>
      </c>
      <c r="N8" s="45"/>
      <c r="O8" s="53"/>
      <c r="P8" s="53"/>
      <c r="Q8" s="47"/>
      <c r="R8" s="45"/>
      <c r="S8" s="53"/>
      <c r="T8" s="53"/>
      <c r="U8" s="47"/>
      <c r="V8" s="45"/>
      <c r="W8" s="53"/>
      <c r="X8" s="53"/>
      <c r="Y8" s="47"/>
      <c r="Z8" s="45"/>
      <c r="AA8" s="46"/>
      <c r="AB8" s="46"/>
      <c r="AC8" s="47"/>
      <c r="AD8" s="38">
        <f>19633+6101+2400+3163</f>
        <v>31297</v>
      </c>
      <c r="AE8" s="39">
        <v>12</v>
      </c>
      <c r="AF8" s="39">
        <v>4</v>
      </c>
      <c r="AG8" s="40">
        <f t="shared" ref="AG8:AG9" si="5">1-AF8/AE8</f>
        <v>0.66666666666666674</v>
      </c>
      <c r="AH8" s="36">
        <f>1582+6000+7000+4551+5907+9781+7167</f>
        <v>41988</v>
      </c>
      <c r="AI8" s="32">
        <v>31</v>
      </c>
      <c r="AJ8" s="32">
        <v>2</v>
      </c>
      <c r="AK8" s="37">
        <f t="shared" ref="AK8:AK9" si="6">1-AJ8/AI8</f>
        <v>0.93548387096774199</v>
      </c>
      <c r="AL8" s="20"/>
      <c r="AM8" s="41"/>
      <c r="AN8" s="41"/>
      <c r="AO8" s="42"/>
      <c r="AP8" s="20"/>
      <c r="AQ8" s="41"/>
      <c r="AR8" s="41"/>
      <c r="AS8" s="42"/>
    </row>
    <row r="9" spans="1:45" ht="16.5" customHeight="1">
      <c r="A9" s="26" t="s">
        <v>42</v>
      </c>
      <c r="B9" s="31">
        <v>47130</v>
      </c>
      <c r="C9" s="43">
        <v>30</v>
      </c>
      <c r="D9" s="43">
        <v>6</v>
      </c>
      <c r="E9" s="44">
        <v>0.8</v>
      </c>
      <c r="F9" s="33">
        <v>40302</v>
      </c>
      <c r="G9" s="34">
        <v>31</v>
      </c>
      <c r="H9" s="34">
        <v>10</v>
      </c>
      <c r="I9" s="35">
        <v>0.6774</v>
      </c>
      <c r="J9" s="36">
        <v>40830</v>
      </c>
      <c r="K9" s="32">
        <v>30</v>
      </c>
      <c r="L9" s="32">
        <v>2</v>
      </c>
      <c r="M9" s="37">
        <f t="shared" si="0"/>
        <v>0.93333333333333335</v>
      </c>
      <c r="N9" s="33">
        <v>45205</v>
      </c>
      <c r="O9" s="34">
        <v>31</v>
      </c>
      <c r="P9" s="34">
        <v>0</v>
      </c>
      <c r="Q9" s="35">
        <f>1-P9/O9</f>
        <v>1</v>
      </c>
      <c r="R9" s="36">
        <v>45205</v>
      </c>
      <c r="S9" s="32">
        <v>31</v>
      </c>
      <c r="T9" s="32">
        <v>0</v>
      </c>
      <c r="U9" s="37">
        <f>1-T9/S9</f>
        <v>1</v>
      </c>
      <c r="V9" s="38">
        <f>1460+6682+6682+6295+3200</f>
        <v>24319</v>
      </c>
      <c r="W9" s="39">
        <v>30</v>
      </c>
      <c r="X9" s="39">
        <v>17</v>
      </c>
      <c r="Y9" s="40">
        <f>1-X9/W9</f>
        <v>0.43333333333333335</v>
      </c>
      <c r="Z9" s="36">
        <v>35226</v>
      </c>
      <c r="AA9" s="32">
        <v>31</v>
      </c>
      <c r="AB9" s="32">
        <v>0</v>
      </c>
      <c r="AC9" s="37">
        <f>1-AB9/AA9</f>
        <v>1</v>
      </c>
      <c r="AD9" s="38">
        <f>16500+14965</f>
        <v>31465</v>
      </c>
      <c r="AE9" s="39">
        <f>30-6</f>
        <v>24</v>
      </c>
      <c r="AF9" s="39">
        <v>10</v>
      </c>
      <c r="AG9" s="40">
        <f t="shared" si="5"/>
        <v>0.58333333333333326</v>
      </c>
      <c r="AH9" s="20">
        <f>13559+13413+12590+19391</f>
        <v>58953</v>
      </c>
      <c r="AI9" s="41">
        <v>31</v>
      </c>
      <c r="AJ9" s="41">
        <v>9</v>
      </c>
      <c r="AK9" s="42">
        <f t="shared" si="6"/>
        <v>0.70967741935483875</v>
      </c>
      <c r="AL9" s="20"/>
      <c r="AM9" s="41"/>
      <c r="AN9" s="41"/>
      <c r="AO9" s="42"/>
      <c r="AP9" s="20"/>
      <c r="AQ9" s="41"/>
      <c r="AR9" s="41"/>
      <c r="AS9" s="54"/>
    </row>
    <row r="10" spans="1:45" ht="16.5" customHeight="1">
      <c r="A10" s="55" t="s">
        <v>65</v>
      </c>
      <c r="B10" s="56">
        <v>287730</v>
      </c>
      <c r="C10" s="57"/>
      <c r="D10" s="58">
        <f t="shared" ref="D10:E10" si="7">AVERAGE(D3:D9)</f>
        <v>3.8333333333333335</v>
      </c>
      <c r="E10" s="59">
        <f t="shared" si="7"/>
        <v>0.87221666666666664</v>
      </c>
      <c r="F10" s="60">
        <f>SUM(F3:F9)</f>
        <v>295606</v>
      </c>
      <c r="G10" s="61"/>
      <c r="H10" s="62">
        <f t="shared" ref="H10:I10" si="8">AVERAGE(H3:H9)</f>
        <v>5.1428571428571432</v>
      </c>
      <c r="I10" s="63">
        <f t="shared" si="8"/>
        <v>0.83409999999999995</v>
      </c>
      <c r="J10" s="56">
        <f>SUM(J3:J9)</f>
        <v>286113</v>
      </c>
      <c r="K10" s="57"/>
      <c r="L10" s="58">
        <f t="shared" ref="L10:M10" si="9">AVERAGE(L3:L9)</f>
        <v>4.5714285714285712</v>
      </c>
      <c r="M10" s="59">
        <f t="shared" si="9"/>
        <v>0.84761904761904761</v>
      </c>
      <c r="N10" s="60">
        <f>SUM(N3:N9)</f>
        <v>277161</v>
      </c>
      <c r="O10" s="64"/>
      <c r="P10" s="62">
        <f t="shared" ref="P10:Q10" si="10">AVERAGE(P3:P9)</f>
        <v>4.5</v>
      </c>
      <c r="Q10" s="63">
        <f t="shared" si="10"/>
        <v>0.85483870967741937</v>
      </c>
      <c r="R10" s="56">
        <f>SUM(R3:R9)</f>
        <v>220090</v>
      </c>
      <c r="S10" s="57"/>
      <c r="T10" s="58">
        <f t="shared" ref="T10:U10" si="11">AVERAGE(T3:T9)</f>
        <v>7.333333333333333</v>
      </c>
      <c r="U10" s="59">
        <f t="shared" si="11"/>
        <v>0.76344086021505364</v>
      </c>
      <c r="V10" s="60">
        <f>SUM(V3:V9)</f>
        <v>143036</v>
      </c>
      <c r="W10" s="64"/>
      <c r="X10" s="62">
        <f t="shared" ref="X10:Y10" si="12">AVERAGE(X3:X9)</f>
        <v>11.25</v>
      </c>
      <c r="Y10" s="63">
        <f t="shared" si="12"/>
        <v>0.625</v>
      </c>
      <c r="Z10" s="56">
        <f>SUM(Z3:Z9)</f>
        <v>155968</v>
      </c>
      <c r="AA10" s="57"/>
      <c r="AB10" s="58">
        <f t="shared" ref="AB10:AC10" si="13">AVERAGE(AB3:AB9)</f>
        <v>7.5</v>
      </c>
      <c r="AC10" s="59">
        <f t="shared" si="13"/>
        <v>0.75806451612903225</v>
      </c>
      <c r="AD10" s="60">
        <f>SUM(AD3:AD9)</f>
        <v>221944</v>
      </c>
      <c r="AE10" s="64">
        <f t="shared" ref="AE10:AG10" si="14">AVERAGE(AE3:AE9)</f>
        <v>25.166666666666668</v>
      </c>
      <c r="AF10" s="62">
        <f t="shared" si="14"/>
        <v>6.333333333333333</v>
      </c>
      <c r="AG10" s="63">
        <f t="shared" si="14"/>
        <v>0.73055555555555551</v>
      </c>
      <c r="AH10" s="65">
        <f>SUM(AH3:AH9)</f>
        <v>346869</v>
      </c>
      <c r="AI10" s="66"/>
      <c r="AJ10" s="67">
        <f t="shared" ref="AJ10:AK10" si="15">AVERAGE(AJ3:AJ9)</f>
        <v>4.333333333333333</v>
      </c>
      <c r="AK10" s="68">
        <f t="shared" si="15"/>
        <v>0.86021505376344087</v>
      </c>
      <c r="AL10" s="69"/>
      <c r="AM10" s="70"/>
      <c r="AN10" s="71"/>
      <c r="AO10" s="72"/>
      <c r="AP10" s="69"/>
      <c r="AQ10" s="70"/>
      <c r="AR10" s="70"/>
      <c r="AS10" s="70"/>
    </row>
    <row r="11" spans="1:45" ht="16.5" customHeight="1">
      <c r="A11" s="73"/>
      <c r="B11" s="73"/>
      <c r="C11" s="73"/>
      <c r="D11" s="73"/>
      <c r="E11" s="73"/>
      <c r="F11" s="73"/>
      <c r="G11" s="73"/>
      <c r="H11" s="73"/>
      <c r="I11" s="73"/>
      <c r="J11" s="73"/>
      <c r="K11" s="73"/>
      <c r="L11" s="73"/>
      <c r="M11" s="73"/>
      <c r="N11" s="73"/>
      <c r="O11" s="73"/>
      <c r="P11" s="73"/>
      <c r="Q11" s="73"/>
      <c r="R11" s="73"/>
      <c r="S11" s="73"/>
      <c r="T11" s="73"/>
      <c r="U11" s="73"/>
      <c r="V11" s="73"/>
      <c r="W11" s="73"/>
      <c r="X11" s="73"/>
      <c r="Y11" s="73"/>
      <c r="Z11" s="73"/>
      <c r="AA11" s="73"/>
      <c r="AB11" s="73"/>
      <c r="AC11" s="73"/>
      <c r="AD11" s="73"/>
      <c r="AE11" s="73"/>
      <c r="AF11" s="73"/>
      <c r="AG11" s="73"/>
      <c r="AH11" s="73"/>
      <c r="AI11" s="73"/>
      <c r="AJ11" s="73"/>
      <c r="AK11" s="73"/>
      <c r="AL11" s="73"/>
      <c r="AM11" s="73"/>
      <c r="AN11" s="73"/>
      <c r="AO11" s="73"/>
      <c r="AP11" s="73"/>
      <c r="AQ11" s="73"/>
      <c r="AR11" s="73"/>
      <c r="AS11" s="73"/>
    </row>
    <row r="12" spans="1:45" ht="16.5" customHeight="1">
      <c r="A12" s="73"/>
      <c r="B12" s="73"/>
      <c r="C12" s="73"/>
      <c r="D12" s="73"/>
      <c r="E12" s="73"/>
      <c r="F12" s="73"/>
      <c r="G12" s="73"/>
      <c r="H12" s="73"/>
      <c r="I12" s="73"/>
      <c r="J12" s="73"/>
      <c r="K12" s="73"/>
      <c r="L12" s="73"/>
      <c r="M12" s="73"/>
      <c r="N12" s="73"/>
      <c r="O12" s="73"/>
      <c r="P12" s="73"/>
      <c r="Q12" s="73"/>
      <c r="R12" s="73"/>
      <c r="S12" s="74"/>
      <c r="T12" s="74"/>
      <c r="U12" s="74"/>
      <c r="V12" s="74"/>
      <c r="W12" s="74"/>
      <c r="X12" s="74"/>
      <c r="Y12" s="74"/>
      <c r="Z12" s="74"/>
      <c r="AA12" s="74"/>
      <c r="AB12" s="74"/>
      <c r="AC12" s="74"/>
      <c r="AD12" s="74"/>
      <c r="AE12" s="74"/>
      <c r="AF12" s="74"/>
      <c r="AG12" s="74"/>
      <c r="AH12" s="74"/>
      <c r="AI12" s="74"/>
      <c r="AJ12" s="74"/>
      <c r="AK12" s="74"/>
      <c r="AL12" s="74"/>
      <c r="AM12" s="74"/>
      <c r="AN12" s="73"/>
      <c r="AO12" s="73"/>
      <c r="AP12" s="73"/>
      <c r="AQ12" s="73"/>
      <c r="AR12" s="73"/>
      <c r="AS12" s="73"/>
    </row>
    <row r="13" spans="1:45" ht="16.5" customHeight="1">
      <c r="A13" s="73"/>
      <c r="B13" s="73"/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  <c r="N13" s="73"/>
      <c r="O13" s="73"/>
      <c r="P13" s="73"/>
      <c r="Q13" s="73"/>
      <c r="R13" s="73"/>
      <c r="S13" s="73"/>
      <c r="T13" s="73"/>
      <c r="U13" s="73"/>
      <c r="V13" s="74"/>
      <c r="W13" s="74"/>
      <c r="X13" s="74"/>
      <c r="Y13" s="74"/>
      <c r="Z13" s="74"/>
      <c r="AA13" s="74"/>
      <c r="AB13" s="74"/>
      <c r="AC13" s="74"/>
      <c r="AD13" s="74"/>
      <c r="AE13" s="74"/>
      <c r="AF13" s="74"/>
      <c r="AG13" s="74"/>
      <c r="AH13" s="74"/>
      <c r="AI13" s="74"/>
      <c r="AJ13" s="74"/>
      <c r="AK13" s="74"/>
      <c r="AL13" s="74"/>
      <c r="AM13" s="74"/>
      <c r="AN13" s="73"/>
      <c r="AO13" s="73"/>
      <c r="AP13" s="73"/>
      <c r="AQ13" s="73"/>
      <c r="AR13" s="73"/>
      <c r="AS13" s="73"/>
    </row>
    <row r="14" spans="1:45" ht="16.5" customHeight="1">
      <c r="A14" s="73"/>
      <c r="B14" s="73"/>
      <c r="C14" s="73"/>
      <c r="D14" s="73"/>
      <c r="E14" s="73"/>
      <c r="F14" s="73"/>
      <c r="G14" s="73"/>
      <c r="H14" s="73"/>
      <c r="I14" s="73"/>
      <c r="J14" s="73"/>
      <c r="K14" s="73"/>
      <c r="L14" s="73"/>
      <c r="M14" s="73"/>
      <c r="N14" s="73"/>
      <c r="O14" s="73"/>
      <c r="P14" s="73"/>
      <c r="Q14" s="73"/>
      <c r="R14" s="73"/>
      <c r="S14" s="73"/>
      <c r="T14" s="73"/>
      <c r="U14" s="73"/>
      <c r="V14" s="74"/>
      <c r="W14" s="74"/>
      <c r="X14" s="74"/>
      <c r="Y14" s="74"/>
      <c r="Z14" s="74"/>
      <c r="AA14" s="74"/>
      <c r="AB14" s="74"/>
      <c r="AC14" s="74"/>
      <c r="AD14" s="74"/>
      <c r="AE14" s="74"/>
      <c r="AF14" s="74"/>
      <c r="AG14" s="74"/>
      <c r="AH14" s="74"/>
      <c r="AI14" s="74"/>
      <c r="AJ14" s="74"/>
      <c r="AK14" s="74"/>
      <c r="AL14" s="74"/>
      <c r="AM14" s="74"/>
      <c r="AN14" s="73"/>
      <c r="AO14" s="73"/>
      <c r="AP14" s="73"/>
      <c r="AQ14" s="73"/>
      <c r="AR14" s="73"/>
      <c r="AS14" s="73"/>
    </row>
    <row r="15" spans="1:45" ht="16.5" customHeight="1">
      <c r="A15" s="73"/>
      <c r="B15" s="73"/>
      <c r="C15" s="73"/>
      <c r="D15" s="73"/>
      <c r="E15" s="73"/>
      <c r="F15" s="73"/>
      <c r="G15" s="73"/>
      <c r="H15" s="73"/>
      <c r="I15" s="73"/>
      <c r="J15" s="73"/>
      <c r="K15" s="73"/>
      <c r="L15" s="73"/>
      <c r="M15" s="73"/>
      <c r="N15" s="73"/>
      <c r="O15" s="73"/>
      <c r="P15" s="73"/>
      <c r="Q15" s="73"/>
      <c r="R15" s="73"/>
      <c r="S15" s="73"/>
      <c r="T15" s="73"/>
      <c r="U15" s="73"/>
      <c r="V15" s="30"/>
      <c r="W15" s="30"/>
      <c r="X15" s="30"/>
      <c r="Y15" s="30"/>
      <c r="Z15" s="30"/>
      <c r="AA15" s="30"/>
      <c r="AB15" s="30"/>
      <c r="AC15" s="30"/>
      <c r="AD15" s="30"/>
      <c r="AE15" s="30"/>
      <c r="AF15" s="30"/>
      <c r="AG15" s="30"/>
      <c r="AH15" s="30"/>
      <c r="AI15" s="30"/>
      <c r="AJ15" s="30"/>
      <c r="AK15" s="30"/>
      <c r="AL15" s="30"/>
      <c r="AM15" s="30"/>
      <c r="AN15" s="73"/>
      <c r="AO15" s="73"/>
      <c r="AP15" s="73"/>
      <c r="AQ15" s="73"/>
      <c r="AR15" s="73"/>
      <c r="AS15" s="73"/>
    </row>
    <row r="16" spans="1:45" ht="16.5" customHeight="1">
      <c r="A16" s="73"/>
      <c r="B16" s="73"/>
      <c r="C16" s="73"/>
      <c r="D16" s="73"/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73"/>
      <c r="Q16" s="73"/>
      <c r="R16" s="73"/>
      <c r="S16" s="73"/>
      <c r="T16" s="73"/>
      <c r="U16" s="73"/>
      <c r="V16" s="75"/>
      <c r="W16" s="75"/>
      <c r="X16" s="75"/>
      <c r="Y16" s="75"/>
      <c r="Z16" s="75"/>
      <c r="AA16" s="75"/>
      <c r="AB16" s="75"/>
      <c r="AC16" s="30"/>
      <c r="AD16" s="30"/>
      <c r="AE16" s="30"/>
      <c r="AF16" s="30"/>
      <c r="AG16" s="30"/>
      <c r="AH16" s="30"/>
      <c r="AI16" s="30"/>
      <c r="AJ16" s="30"/>
      <c r="AK16" s="30"/>
      <c r="AL16" s="30"/>
      <c r="AM16" s="30"/>
      <c r="AN16" s="73"/>
      <c r="AO16" s="73"/>
      <c r="AP16" s="73"/>
      <c r="AQ16" s="73"/>
      <c r="AR16" s="73"/>
      <c r="AS16" s="73"/>
    </row>
    <row r="17" spans="1:45" ht="16.5" customHeight="1">
      <c r="A17" s="73"/>
      <c r="B17" s="73"/>
      <c r="C17" s="73"/>
      <c r="D17" s="73"/>
      <c r="E17" s="73"/>
      <c r="F17" s="73"/>
      <c r="G17" s="73"/>
      <c r="H17" s="73"/>
      <c r="I17" s="73"/>
      <c r="J17" s="73"/>
      <c r="K17" s="73"/>
      <c r="L17" s="73"/>
      <c r="M17" s="73"/>
      <c r="N17" s="73"/>
      <c r="O17" s="73"/>
      <c r="P17" s="73"/>
      <c r="Q17" s="73"/>
      <c r="R17" s="73"/>
      <c r="S17" s="73"/>
      <c r="T17" s="73"/>
      <c r="U17" s="73"/>
      <c r="V17" s="75"/>
      <c r="W17" s="75"/>
      <c r="X17" s="75"/>
      <c r="Y17" s="75"/>
      <c r="Z17" s="75"/>
      <c r="AA17" s="75"/>
      <c r="AB17" s="75"/>
      <c r="AC17" s="30"/>
      <c r="AD17" s="30"/>
      <c r="AE17" s="30"/>
      <c r="AF17" s="30"/>
      <c r="AG17" s="30"/>
      <c r="AH17" s="30"/>
      <c r="AI17" s="30"/>
      <c r="AJ17" s="30"/>
      <c r="AK17" s="30"/>
      <c r="AL17" s="30"/>
      <c r="AM17" s="30"/>
      <c r="AN17" s="73"/>
      <c r="AO17" s="73"/>
      <c r="AP17" s="73"/>
      <c r="AQ17" s="73"/>
      <c r="AR17" s="73"/>
      <c r="AS17" s="73"/>
    </row>
    <row r="18" spans="1:45" ht="16.5" customHeight="1">
      <c r="A18" s="73"/>
      <c r="B18" s="73"/>
      <c r="C18" s="73"/>
      <c r="D18" s="73"/>
      <c r="E18" s="73"/>
      <c r="F18" s="73"/>
      <c r="G18" s="73"/>
      <c r="H18" s="73"/>
      <c r="I18" s="73"/>
      <c r="J18" s="73"/>
      <c r="K18" s="73"/>
      <c r="L18" s="73"/>
      <c r="M18" s="73"/>
      <c r="N18" s="73"/>
      <c r="O18" s="73"/>
      <c r="P18" s="73"/>
      <c r="Q18" s="73"/>
      <c r="R18" s="73"/>
      <c r="S18" s="73"/>
      <c r="T18" s="73"/>
      <c r="U18" s="73"/>
      <c r="V18" s="75"/>
      <c r="W18" s="75"/>
      <c r="X18" s="75"/>
      <c r="Y18" s="75"/>
      <c r="Z18" s="75"/>
      <c r="AA18" s="75"/>
      <c r="AB18" s="75"/>
      <c r="AC18" s="30"/>
      <c r="AD18" s="30"/>
      <c r="AE18" s="30"/>
      <c r="AF18" s="30"/>
      <c r="AG18" s="30"/>
      <c r="AH18" s="30"/>
      <c r="AI18" s="30"/>
      <c r="AJ18" s="30"/>
      <c r="AK18" s="30"/>
      <c r="AL18" s="30"/>
      <c r="AM18" s="30"/>
      <c r="AN18" s="73"/>
      <c r="AO18" s="73"/>
      <c r="AP18" s="73"/>
      <c r="AQ18" s="73"/>
      <c r="AR18" s="73"/>
      <c r="AS18" s="73"/>
    </row>
    <row r="19" spans="1:45" ht="16.5" customHeight="1">
      <c r="A19" s="73"/>
      <c r="B19" s="73"/>
      <c r="C19" s="73"/>
      <c r="D19" s="73"/>
      <c r="E19" s="73"/>
      <c r="F19" s="73"/>
      <c r="G19" s="73"/>
      <c r="H19" s="73"/>
      <c r="I19" s="73"/>
      <c r="J19" s="73"/>
      <c r="K19" s="73"/>
      <c r="L19" s="73"/>
      <c r="M19" s="73"/>
      <c r="N19" s="73"/>
      <c r="O19" s="73"/>
      <c r="P19" s="73"/>
      <c r="Q19" s="73"/>
      <c r="R19" s="73"/>
      <c r="S19" s="73"/>
      <c r="T19" s="73"/>
      <c r="U19" s="73"/>
      <c r="V19" s="75"/>
      <c r="W19" s="75"/>
      <c r="X19" s="75"/>
      <c r="Y19" s="75"/>
      <c r="Z19" s="75"/>
      <c r="AA19" s="75"/>
      <c r="AB19" s="75"/>
      <c r="AC19" s="30"/>
      <c r="AD19" s="30"/>
      <c r="AE19" s="30"/>
      <c r="AF19" s="30"/>
      <c r="AG19" s="30"/>
      <c r="AH19" s="30"/>
      <c r="AI19" s="30"/>
      <c r="AJ19" s="30"/>
      <c r="AK19" s="30"/>
      <c r="AL19" s="30"/>
      <c r="AM19" s="30"/>
      <c r="AN19" s="73"/>
      <c r="AO19" s="73"/>
      <c r="AP19" s="73"/>
      <c r="AQ19" s="73"/>
      <c r="AR19" s="73"/>
      <c r="AS19" s="73"/>
    </row>
    <row r="20" spans="1:45" ht="16.5" customHeight="1">
      <c r="A20" s="73"/>
      <c r="B20" s="73"/>
      <c r="C20" s="73"/>
      <c r="D20" s="73"/>
      <c r="E20" s="73"/>
      <c r="F20" s="73"/>
      <c r="G20" s="73"/>
      <c r="H20" s="73"/>
      <c r="I20" s="73"/>
      <c r="J20" s="73"/>
      <c r="K20" s="73"/>
      <c r="L20" s="73"/>
      <c r="M20" s="73"/>
      <c r="N20" s="73"/>
      <c r="O20" s="73"/>
      <c r="P20" s="73"/>
      <c r="Q20" s="73"/>
      <c r="R20" s="73"/>
      <c r="S20" s="73"/>
      <c r="T20" s="73"/>
      <c r="U20" s="73"/>
      <c r="V20" s="75"/>
      <c r="W20" s="75"/>
      <c r="X20" s="75"/>
      <c r="Y20" s="75"/>
      <c r="Z20" s="75"/>
      <c r="AA20" s="75"/>
      <c r="AB20" s="75"/>
      <c r="AC20" s="30"/>
      <c r="AD20" s="30"/>
      <c r="AE20" s="30"/>
      <c r="AF20" s="30"/>
      <c r="AG20" s="30"/>
      <c r="AH20" s="30"/>
      <c r="AI20" s="30"/>
      <c r="AJ20" s="30"/>
      <c r="AK20" s="30"/>
      <c r="AL20" s="30"/>
      <c r="AM20" s="30"/>
      <c r="AN20" s="73"/>
      <c r="AO20" s="73"/>
      <c r="AP20" s="73"/>
      <c r="AQ20" s="73"/>
      <c r="AR20" s="73"/>
      <c r="AS20" s="73"/>
    </row>
    <row r="21" spans="1:45" ht="16.5" customHeight="1">
      <c r="A21" s="73"/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  <c r="Q21" s="73"/>
      <c r="R21" s="73"/>
      <c r="S21" s="73"/>
      <c r="T21" s="73"/>
      <c r="U21" s="73"/>
      <c r="V21" s="75"/>
      <c r="W21" s="75"/>
      <c r="X21" s="75"/>
      <c r="Y21" s="75"/>
      <c r="Z21" s="75"/>
      <c r="AA21" s="75"/>
      <c r="AB21" s="75"/>
      <c r="AC21" s="30"/>
      <c r="AD21" s="30"/>
      <c r="AE21" s="30"/>
      <c r="AF21" s="30"/>
      <c r="AG21" s="30"/>
      <c r="AH21" s="30"/>
      <c r="AI21" s="30"/>
      <c r="AJ21" s="30"/>
      <c r="AK21" s="30"/>
      <c r="AL21" s="30"/>
      <c r="AM21" s="30"/>
      <c r="AN21" s="73"/>
      <c r="AO21" s="73"/>
      <c r="AP21" s="73"/>
      <c r="AQ21" s="73"/>
      <c r="AR21" s="73"/>
      <c r="AS21" s="73"/>
    </row>
    <row r="22" spans="1:45" ht="16.5" customHeight="1">
      <c r="A22" s="73"/>
      <c r="B22" s="73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3"/>
      <c r="Q22" s="73"/>
      <c r="R22" s="73"/>
      <c r="S22" s="73"/>
      <c r="T22" s="73"/>
      <c r="U22" s="73"/>
      <c r="V22" s="75"/>
      <c r="W22" s="75"/>
      <c r="X22" s="75"/>
      <c r="Y22" s="75"/>
      <c r="Z22" s="75"/>
      <c r="AA22" s="75"/>
      <c r="AB22" s="75"/>
      <c r="AC22" s="30"/>
      <c r="AD22" s="30"/>
      <c r="AE22" s="30"/>
      <c r="AF22" s="30"/>
      <c r="AG22" s="30"/>
      <c r="AH22" s="30"/>
      <c r="AI22" s="30"/>
      <c r="AJ22" s="30"/>
      <c r="AK22" s="30"/>
      <c r="AL22" s="30"/>
      <c r="AM22" s="30"/>
      <c r="AN22" s="73"/>
      <c r="AO22" s="73"/>
      <c r="AP22" s="73"/>
      <c r="AQ22" s="73"/>
      <c r="AR22" s="73"/>
      <c r="AS22" s="73"/>
    </row>
    <row r="23" spans="1:45" ht="16.5" customHeight="1">
      <c r="A23" s="73"/>
      <c r="B23" s="73"/>
      <c r="C23" s="73"/>
      <c r="D23" s="73"/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73"/>
      <c r="Q23" s="73"/>
      <c r="R23" s="73"/>
      <c r="S23" s="73"/>
      <c r="T23" s="73"/>
      <c r="U23" s="73"/>
      <c r="V23" s="75"/>
      <c r="W23" s="75"/>
      <c r="X23" s="75"/>
      <c r="Y23" s="75"/>
      <c r="Z23" s="75"/>
      <c r="AA23" s="75"/>
      <c r="AB23" s="75"/>
      <c r="AC23" s="30"/>
      <c r="AD23" s="30"/>
      <c r="AE23" s="30"/>
      <c r="AF23" s="30"/>
      <c r="AG23" s="30"/>
      <c r="AH23" s="30"/>
      <c r="AI23" s="30"/>
      <c r="AJ23" s="30"/>
      <c r="AK23" s="30"/>
      <c r="AL23" s="30"/>
      <c r="AM23" s="30"/>
      <c r="AN23" s="73"/>
      <c r="AO23" s="73"/>
      <c r="AP23" s="73"/>
      <c r="AQ23" s="73"/>
      <c r="AR23" s="73"/>
      <c r="AS23" s="73"/>
    </row>
    <row r="24" spans="1:45" ht="16.5" customHeight="1">
      <c r="A24" s="73"/>
      <c r="B24" s="73"/>
      <c r="C24" s="73"/>
      <c r="D24" s="73"/>
      <c r="E24" s="73"/>
      <c r="F24" s="73"/>
      <c r="G24" s="73"/>
      <c r="H24" s="73"/>
      <c r="I24" s="73"/>
      <c r="J24" s="73"/>
      <c r="K24" s="73"/>
      <c r="L24" s="73"/>
      <c r="M24" s="73"/>
      <c r="N24" s="73"/>
      <c r="O24" s="73"/>
      <c r="P24" s="73"/>
      <c r="Q24" s="73"/>
      <c r="R24" s="73"/>
      <c r="S24" s="73"/>
      <c r="T24" s="73"/>
      <c r="U24" s="73"/>
      <c r="V24" s="75"/>
      <c r="W24" s="75"/>
      <c r="X24" s="75"/>
      <c r="Y24" s="75"/>
      <c r="Z24" s="75"/>
      <c r="AA24" s="75"/>
      <c r="AB24" s="75"/>
      <c r="AC24" s="30"/>
      <c r="AD24" s="30"/>
      <c r="AE24" s="30"/>
      <c r="AF24" s="30"/>
      <c r="AG24" s="30"/>
      <c r="AH24" s="30"/>
      <c r="AI24" s="30"/>
      <c r="AJ24" s="30"/>
      <c r="AK24" s="30"/>
      <c r="AL24" s="30"/>
      <c r="AM24" s="30"/>
      <c r="AN24" s="73"/>
      <c r="AO24" s="73"/>
      <c r="AP24" s="73"/>
      <c r="AQ24" s="73"/>
      <c r="AR24" s="73"/>
      <c r="AS24" s="73"/>
    </row>
    <row r="25" spans="1:45" ht="16.5" customHeight="1">
      <c r="A25" s="73"/>
      <c r="B25" s="73"/>
      <c r="C25" s="73"/>
      <c r="D25" s="73"/>
      <c r="E25" s="73"/>
      <c r="F25" s="73"/>
      <c r="G25" s="73"/>
      <c r="H25" s="73"/>
      <c r="I25" s="73"/>
      <c r="J25" s="73"/>
      <c r="K25" s="73"/>
      <c r="L25" s="73"/>
      <c r="M25" s="73"/>
      <c r="N25" s="73"/>
      <c r="O25" s="73"/>
      <c r="P25" s="73"/>
      <c r="Q25" s="73"/>
      <c r="R25" s="73"/>
      <c r="S25" s="76"/>
      <c r="T25" s="75"/>
      <c r="U25" s="75"/>
      <c r="V25" s="75"/>
      <c r="W25" s="75"/>
      <c r="X25" s="75"/>
      <c r="Y25" s="75"/>
      <c r="Z25" s="75"/>
      <c r="AA25" s="75"/>
      <c r="AB25" s="75"/>
      <c r="AC25" s="30"/>
      <c r="AD25" s="30"/>
      <c r="AE25" s="30"/>
      <c r="AF25" s="30"/>
      <c r="AG25" s="30"/>
      <c r="AH25" s="30"/>
      <c r="AI25" s="30"/>
      <c r="AJ25" s="30"/>
      <c r="AK25" s="30"/>
      <c r="AL25" s="30"/>
      <c r="AM25" s="30"/>
      <c r="AN25" s="73"/>
      <c r="AO25" s="73"/>
      <c r="AP25" s="73"/>
      <c r="AQ25" s="73"/>
      <c r="AR25" s="73"/>
      <c r="AS25" s="73"/>
    </row>
    <row r="26" spans="1:45" ht="16.5" customHeight="1">
      <c r="A26" s="73"/>
      <c r="B26" s="73"/>
      <c r="C26" s="73"/>
      <c r="D26" s="73"/>
      <c r="E26" s="73"/>
      <c r="F26" s="73"/>
      <c r="G26" s="73"/>
      <c r="H26" s="73"/>
      <c r="I26" s="73"/>
      <c r="J26" s="73"/>
      <c r="K26" s="73"/>
      <c r="L26" s="73"/>
      <c r="M26" s="73"/>
      <c r="N26" s="73"/>
      <c r="O26" s="73"/>
      <c r="P26" s="73"/>
      <c r="Q26" s="73"/>
      <c r="R26" s="73"/>
      <c r="S26" s="30"/>
      <c r="T26" s="75"/>
      <c r="U26" s="75"/>
      <c r="V26" s="75"/>
      <c r="W26" s="75"/>
      <c r="X26" s="75"/>
      <c r="Y26" s="75"/>
      <c r="Z26" s="75"/>
      <c r="AA26" s="75"/>
      <c r="AB26" s="75"/>
      <c r="AC26" s="30"/>
      <c r="AD26" s="30"/>
      <c r="AE26" s="30"/>
      <c r="AF26" s="30"/>
      <c r="AG26" s="30"/>
      <c r="AH26" s="30"/>
      <c r="AI26" s="30"/>
      <c r="AJ26" s="30"/>
      <c r="AK26" s="30"/>
      <c r="AL26" s="30"/>
      <c r="AM26" s="30"/>
      <c r="AN26" s="73"/>
      <c r="AO26" s="73"/>
      <c r="AP26" s="73"/>
      <c r="AQ26" s="73"/>
      <c r="AR26" s="73"/>
      <c r="AS26" s="73"/>
    </row>
    <row r="27" spans="1:45" ht="16.5" customHeight="1">
      <c r="A27" s="73"/>
      <c r="B27" s="73"/>
      <c r="C27" s="73"/>
      <c r="D27" s="73"/>
      <c r="E27" s="73"/>
      <c r="F27" s="73"/>
      <c r="G27" s="73"/>
      <c r="H27" s="73"/>
      <c r="I27" s="73"/>
      <c r="J27" s="73"/>
      <c r="K27" s="73"/>
      <c r="L27" s="73"/>
      <c r="M27" s="73"/>
      <c r="N27" s="73"/>
      <c r="O27" s="73"/>
      <c r="P27" s="73"/>
      <c r="Q27" s="73"/>
      <c r="R27" s="73"/>
      <c r="S27" s="26"/>
      <c r="T27" s="75"/>
      <c r="U27" s="75"/>
      <c r="V27" s="75"/>
      <c r="W27" s="75"/>
      <c r="X27" s="75"/>
      <c r="Y27" s="75"/>
      <c r="Z27" s="75"/>
      <c r="AA27" s="75"/>
      <c r="AB27" s="75"/>
      <c r="AC27" s="75"/>
      <c r="AD27" s="74"/>
      <c r="AE27" s="74"/>
      <c r="AF27" s="74"/>
      <c r="AG27" s="74"/>
      <c r="AH27" s="74"/>
      <c r="AI27" s="74"/>
      <c r="AJ27" s="74"/>
      <c r="AK27" s="74"/>
      <c r="AL27" s="74"/>
      <c r="AM27" s="74"/>
      <c r="AN27" s="73"/>
      <c r="AO27" s="73"/>
      <c r="AP27" s="73"/>
      <c r="AQ27" s="73"/>
      <c r="AR27" s="73"/>
      <c r="AS27" s="73"/>
    </row>
    <row r="28" spans="1:45" ht="16.5" customHeight="1">
      <c r="A28" s="73"/>
      <c r="B28" s="73"/>
      <c r="C28" s="73"/>
      <c r="D28" s="73"/>
      <c r="E28" s="73"/>
      <c r="F28" s="73"/>
      <c r="G28" s="73"/>
      <c r="H28" s="73"/>
      <c r="I28" s="73"/>
      <c r="J28" s="73"/>
      <c r="K28" s="73"/>
      <c r="L28" s="73"/>
      <c r="M28" s="73"/>
      <c r="N28" s="73"/>
      <c r="O28" s="73"/>
      <c r="P28" s="73"/>
      <c r="Q28" s="73"/>
      <c r="R28" s="73"/>
      <c r="S28" s="73"/>
      <c r="T28" s="73"/>
      <c r="U28" s="73"/>
      <c r="V28" s="73"/>
      <c r="W28" s="73"/>
      <c r="X28" s="73"/>
      <c r="Y28" s="73"/>
      <c r="Z28" s="73"/>
      <c r="AA28" s="73"/>
      <c r="AB28" s="73"/>
      <c r="AC28" s="73"/>
      <c r="AD28" s="73"/>
      <c r="AE28" s="73"/>
      <c r="AF28" s="73"/>
      <c r="AG28" s="73"/>
      <c r="AH28" s="73"/>
      <c r="AI28" s="73"/>
      <c r="AJ28" s="73"/>
      <c r="AK28" s="73"/>
      <c r="AL28" s="73"/>
      <c r="AM28" s="73"/>
      <c r="AN28" s="73"/>
      <c r="AO28" s="73"/>
      <c r="AP28" s="73"/>
      <c r="AQ28" s="73"/>
      <c r="AR28" s="73"/>
      <c r="AS28" s="73"/>
    </row>
    <row r="29" spans="1:45" ht="16.5" customHeight="1">
      <c r="A29" s="73"/>
      <c r="B29" s="73"/>
      <c r="C29" s="73"/>
      <c r="D29" s="73"/>
      <c r="E29" s="73"/>
      <c r="F29" s="73"/>
      <c r="G29" s="73"/>
      <c r="H29" s="73"/>
      <c r="I29" s="73"/>
      <c r="J29" s="73"/>
      <c r="K29" s="73"/>
      <c r="L29" s="73"/>
      <c r="M29" s="73"/>
      <c r="N29" s="73"/>
      <c r="O29" s="73"/>
      <c r="P29" s="73"/>
      <c r="Q29" s="73"/>
      <c r="R29" s="73"/>
      <c r="S29" s="73"/>
      <c r="T29" s="73"/>
      <c r="U29" s="73"/>
      <c r="V29" s="73"/>
      <c r="W29" s="73"/>
      <c r="X29" s="73"/>
      <c r="Y29" s="73"/>
      <c r="Z29" s="73"/>
      <c r="AA29" s="73"/>
      <c r="AB29" s="73"/>
      <c r="AC29" s="73"/>
      <c r="AD29" s="73"/>
      <c r="AE29" s="73"/>
      <c r="AF29" s="73"/>
      <c r="AG29" s="73"/>
      <c r="AH29" s="73"/>
      <c r="AI29" s="73"/>
      <c r="AJ29" s="73"/>
      <c r="AK29" s="73"/>
      <c r="AL29" s="73"/>
      <c r="AM29" s="73"/>
      <c r="AN29" s="73"/>
      <c r="AO29" s="73"/>
      <c r="AP29" s="73"/>
      <c r="AQ29" s="73"/>
      <c r="AR29" s="73"/>
      <c r="AS29" s="73"/>
    </row>
    <row r="30" spans="1:45" ht="16.5" customHeight="1">
      <c r="A30" s="73"/>
      <c r="B30" s="73"/>
      <c r="C30" s="73"/>
      <c r="D30" s="73"/>
      <c r="E30" s="73"/>
      <c r="F30" s="73"/>
      <c r="G30" s="73"/>
      <c r="H30" s="73"/>
      <c r="I30" s="73"/>
      <c r="J30" s="73"/>
      <c r="K30" s="73"/>
      <c r="L30" s="73"/>
      <c r="M30" s="73"/>
      <c r="N30" s="73"/>
      <c r="O30" s="73"/>
      <c r="P30" s="73"/>
      <c r="Q30" s="73"/>
      <c r="R30" s="73"/>
      <c r="S30" s="73"/>
      <c r="T30" s="73"/>
      <c r="U30" s="73"/>
      <c r="V30" s="73"/>
      <c r="W30" s="73"/>
      <c r="X30" s="73"/>
      <c r="Y30" s="73"/>
      <c r="Z30" s="73"/>
      <c r="AA30" s="73"/>
      <c r="AB30" s="73"/>
      <c r="AC30" s="73"/>
      <c r="AD30" s="73"/>
      <c r="AE30" s="73"/>
      <c r="AF30" s="73"/>
      <c r="AG30" s="73"/>
      <c r="AH30" s="73"/>
      <c r="AI30" s="73"/>
      <c r="AJ30" s="73"/>
      <c r="AK30" s="73"/>
      <c r="AL30" s="73"/>
      <c r="AM30" s="73"/>
      <c r="AN30" s="73"/>
      <c r="AO30" s="73"/>
      <c r="AP30" s="73"/>
      <c r="AQ30" s="73"/>
      <c r="AR30" s="73"/>
      <c r="AS30" s="73"/>
    </row>
    <row r="31" spans="1:45" ht="16.5" customHeight="1">
      <c r="A31" s="77"/>
      <c r="B31" s="78"/>
      <c r="C31" s="77"/>
      <c r="D31" s="77"/>
      <c r="E31" s="77"/>
      <c r="F31" s="73"/>
      <c r="G31" s="73"/>
      <c r="H31" s="73"/>
      <c r="I31" s="73"/>
      <c r="J31" s="73"/>
      <c r="K31" s="73"/>
      <c r="L31" s="73"/>
      <c r="M31" s="73"/>
      <c r="N31" s="73"/>
      <c r="O31" s="73"/>
      <c r="P31" s="73"/>
      <c r="Q31" s="73"/>
      <c r="R31" s="73"/>
      <c r="S31" s="73"/>
      <c r="T31" s="73"/>
      <c r="U31" s="73"/>
      <c r="V31" s="73"/>
      <c r="W31" s="73"/>
      <c r="X31" s="73"/>
      <c r="Y31" s="73"/>
      <c r="Z31" s="73"/>
      <c r="AA31" s="73"/>
      <c r="AB31" s="73"/>
      <c r="AC31" s="73"/>
      <c r="AD31" s="73"/>
      <c r="AE31" s="73"/>
      <c r="AF31" s="73"/>
      <c r="AG31" s="73"/>
      <c r="AH31" s="73"/>
      <c r="AI31" s="73"/>
      <c r="AJ31" s="73"/>
      <c r="AK31" s="73"/>
      <c r="AL31" s="73"/>
      <c r="AM31" s="73"/>
      <c r="AN31" s="73"/>
      <c r="AO31" s="73"/>
      <c r="AP31" s="73"/>
      <c r="AQ31" s="73"/>
      <c r="AR31" s="73"/>
      <c r="AS31" s="73"/>
    </row>
    <row r="32" spans="1:45" ht="16.5" customHeight="1">
      <c r="A32" s="77"/>
      <c r="B32" s="78"/>
      <c r="C32" s="73"/>
      <c r="D32" s="73"/>
      <c r="E32" s="73"/>
      <c r="F32" s="73"/>
      <c r="G32" s="73"/>
      <c r="H32" s="73"/>
      <c r="I32" s="73"/>
      <c r="J32" s="73"/>
      <c r="K32" s="73"/>
      <c r="L32" s="73"/>
      <c r="M32" s="73"/>
      <c r="N32" s="73"/>
      <c r="O32" s="73"/>
      <c r="P32" s="73"/>
      <c r="Q32" s="73"/>
      <c r="R32" s="73"/>
      <c r="S32" s="73"/>
      <c r="T32" s="73"/>
      <c r="U32" s="73"/>
      <c r="V32" s="73"/>
      <c r="W32" s="73"/>
      <c r="X32" s="73"/>
      <c r="Y32" s="73"/>
      <c r="Z32" s="73"/>
      <c r="AA32" s="73"/>
      <c r="AB32" s="73"/>
      <c r="AC32" s="73"/>
      <c r="AD32" s="73"/>
      <c r="AE32" s="73"/>
      <c r="AF32" s="73"/>
      <c r="AG32" s="73"/>
      <c r="AH32" s="73"/>
      <c r="AI32" s="73"/>
      <c r="AJ32" s="73"/>
      <c r="AK32" s="73"/>
      <c r="AL32" s="73"/>
      <c r="AM32" s="73"/>
      <c r="AN32" s="73"/>
      <c r="AO32" s="73"/>
      <c r="AP32" s="73"/>
      <c r="AQ32" s="73"/>
      <c r="AR32" s="73"/>
      <c r="AS32" s="73"/>
    </row>
    <row r="33" spans="1:45" ht="16.5" customHeight="1">
      <c r="A33" s="77"/>
      <c r="B33" s="79"/>
      <c r="C33" s="73"/>
      <c r="D33" s="73"/>
      <c r="E33" s="73"/>
      <c r="F33" s="73"/>
      <c r="G33" s="73"/>
      <c r="H33" s="73"/>
      <c r="I33" s="73"/>
      <c r="J33" s="73"/>
      <c r="K33" s="73"/>
      <c r="L33" s="73"/>
      <c r="M33" s="73"/>
      <c r="N33" s="73"/>
      <c r="O33" s="73"/>
      <c r="P33" s="73"/>
      <c r="Q33" s="73"/>
      <c r="R33" s="73"/>
      <c r="S33" s="73"/>
      <c r="T33" s="73"/>
      <c r="U33" s="73"/>
      <c r="V33" s="73"/>
      <c r="W33" s="73"/>
      <c r="X33" s="73"/>
      <c r="Y33" s="73"/>
      <c r="Z33" s="73"/>
      <c r="AA33" s="73"/>
      <c r="AB33" s="73"/>
      <c r="AC33" s="73"/>
      <c r="AD33" s="73"/>
      <c r="AE33" s="73"/>
      <c r="AF33" s="73"/>
      <c r="AG33" s="73"/>
      <c r="AH33" s="73"/>
      <c r="AI33" s="73"/>
      <c r="AJ33" s="73"/>
      <c r="AK33" s="73"/>
      <c r="AL33" s="73"/>
      <c r="AM33" s="73"/>
      <c r="AN33" s="73"/>
      <c r="AO33" s="73"/>
      <c r="AP33" s="73"/>
      <c r="AQ33" s="73"/>
      <c r="AR33" s="73"/>
      <c r="AS33" s="73"/>
    </row>
    <row r="34" spans="1:45" ht="16.5" customHeight="1">
      <c r="A34" s="77"/>
      <c r="B34" s="79"/>
      <c r="C34" s="73"/>
      <c r="D34" s="73"/>
      <c r="E34" s="73"/>
      <c r="F34" s="73"/>
      <c r="G34" s="73"/>
      <c r="H34" s="73"/>
      <c r="I34" s="73"/>
      <c r="J34" s="73"/>
      <c r="K34" s="73"/>
      <c r="L34" s="73"/>
      <c r="M34" s="73"/>
      <c r="N34" s="73"/>
      <c r="O34" s="73"/>
      <c r="P34" s="73"/>
      <c r="Q34" s="73"/>
      <c r="R34" s="73"/>
      <c r="S34" s="73"/>
      <c r="T34" s="73"/>
      <c r="U34" s="73"/>
      <c r="V34" s="73"/>
      <c r="W34" s="73"/>
      <c r="X34" s="73"/>
      <c r="Y34" s="73"/>
      <c r="Z34" s="73"/>
      <c r="AA34" s="73"/>
      <c r="AB34" s="73"/>
      <c r="AC34" s="73"/>
      <c r="AD34" s="73"/>
      <c r="AE34" s="73"/>
      <c r="AF34" s="73"/>
      <c r="AG34" s="73"/>
      <c r="AH34" s="73"/>
      <c r="AI34" s="73"/>
      <c r="AJ34" s="73"/>
      <c r="AK34" s="73"/>
      <c r="AL34" s="73"/>
      <c r="AM34" s="73"/>
      <c r="AN34" s="73"/>
      <c r="AO34" s="73"/>
      <c r="AP34" s="73"/>
      <c r="AQ34" s="73"/>
      <c r="AR34" s="73"/>
      <c r="AS34" s="73"/>
    </row>
    <row r="35" spans="1:45" ht="16.5" customHeight="1">
      <c r="A35" s="77"/>
      <c r="B35" s="79"/>
      <c r="C35" s="73"/>
      <c r="D35" s="73"/>
      <c r="E35" s="73"/>
      <c r="F35" s="73"/>
      <c r="G35" s="73"/>
      <c r="H35" s="73"/>
      <c r="I35" s="73"/>
      <c r="J35" s="73"/>
      <c r="K35" s="73"/>
      <c r="L35" s="73"/>
      <c r="M35" s="73"/>
      <c r="N35" s="73"/>
      <c r="O35" s="73"/>
      <c r="P35" s="73"/>
      <c r="Q35" s="73"/>
      <c r="R35" s="73"/>
      <c r="S35" s="73"/>
      <c r="T35" s="73"/>
      <c r="U35" s="73"/>
      <c r="V35" s="73"/>
      <c r="W35" s="73"/>
      <c r="X35" s="73"/>
      <c r="Y35" s="73"/>
      <c r="Z35" s="73"/>
      <c r="AA35" s="73"/>
      <c r="AB35" s="73"/>
      <c r="AC35" s="73"/>
      <c r="AD35" s="73"/>
      <c r="AE35" s="73"/>
      <c r="AF35" s="73"/>
      <c r="AG35" s="73"/>
      <c r="AH35" s="73"/>
      <c r="AI35" s="73"/>
      <c r="AJ35" s="73"/>
      <c r="AK35" s="73"/>
      <c r="AL35" s="73"/>
      <c r="AM35" s="73"/>
      <c r="AN35" s="73"/>
      <c r="AO35" s="73"/>
      <c r="AP35" s="73"/>
      <c r="AQ35" s="73"/>
      <c r="AR35" s="73"/>
      <c r="AS35" s="73"/>
    </row>
    <row r="36" spans="1:45" ht="16.5" customHeight="1">
      <c r="A36" s="77"/>
      <c r="B36" s="79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  <c r="Q36" s="73"/>
      <c r="R36" s="73"/>
      <c r="S36" s="73"/>
      <c r="T36" s="73"/>
      <c r="U36" s="73"/>
      <c r="V36" s="73"/>
      <c r="W36" s="73"/>
      <c r="X36" s="73"/>
      <c r="Y36" s="73"/>
      <c r="Z36" s="73"/>
      <c r="AA36" s="73"/>
      <c r="AB36" s="73"/>
      <c r="AC36" s="73"/>
      <c r="AD36" s="73"/>
      <c r="AE36" s="73"/>
      <c r="AF36" s="73"/>
      <c r="AG36" s="73"/>
      <c r="AH36" s="73"/>
      <c r="AI36" s="73"/>
      <c r="AJ36" s="73"/>
      <c r="AK36" s="73"/>
      <c r="AL36" s="73"/>
      <c r="AM36" s="73"/>
      <c r="AN36" s="73"/>
      <c r="AO36" s="73"/>
      <c r="AP36" s="73"/>
      <c r="AQ36" s="73"/>
      <c r="AR36" s="73"/>
      <c r="AS36" s="73"/>
    </row>
    <row r="37" spans="1:45" ht="16.5" customHeight="1">
      <c r="A37" s="77"/>
      <c r="B37" s="79"/>
      <c r="C37" s="73"/>
      <c r="D37" s="73"/>
      <c r="E37" s="73"/>
      <c r="F37" s="73"/>
      <c r="G37" s="73"/>
      <c r="H37" s="73"/>
      <c r="I37" s="73"/>
      <c r="J37" s="73"/>
      <c r="K37" s="73"/>
      <c r="L37" s="73"/>
      <c r="M37" s="73"/>
      <c r="N37" s="73"/>
      <c r="O37" s="73"/>
      <c r="P37" s="73"/>
      <c r="Q37" s="73"/>
      <c r="R37" s="73"/>
      <c r="S37" s="73"/>
      <c r="T37" s="73"/>
      <c r="U37" s="73"/>
      <c r="V37" s="73"/>
      <c r="W37" s="73"/>
      <c r="X37" s="73"/>
      <c r="Y37" s="73"/>
      <c r="Z37" s="73"/>
      <c r="AA37" s="73"/>
      <c r="AB37" s="73"/>
      <c r="AC37" s="73"/>
      <c r="AD37" s="73"/>
      <c r="AE37" s="73"/>
      <c r="AF37" s="73"/>
      <c r="AG37" s="73"/>
      <c r="AH37" s="73"/>
      <c r="AI37" s="73"/>
      <c r="AJ37" s="73"/>
      <c r="AK37" s="73"/>
      <c r="AL37" s="73"/>
      <c r="AM37" s="73"/>
      <c r="AN37" s="73"/>
      <c r="AO37" s="73"/>
      <c r="AP37" s="73"/>
      <c r="AQ37" s="73"/>
      <c r="AR37" s="73"/>
      <c r="AS37" s="73"/>
    </row>
    <row r="38" spans="1:45" ht="16.5" customHeight="1">
      <c r="A38" s="77"/>
      <c r="B38" s="79"/>
      <c r="C38" s="73"/>
      <c r="D38" s="73"/>
      <c r="E38" s="73"/>
      <c r="F38" s="73"/>
      <c r="G38" s="73"/>
      <c r="H38" s="73"/>
      <c r="I38" s="73"/>
      <c r="J38" s="73"/>
      <c r="K38" s="73"/>
      <c r="L38" s="73"/>
      <c r="M38" s="73"/>
      <c r="N38" s="73"/>
      <c r="O38" s="73"/>
      <c r="P38" s="73"/>
      <c r="Q38" s="73"/>
      <c r="R38" s="73"/>
      <c r="S38" s="73"/>
      <c r="T38" s="73"/>
      <c r="U38" s="73"/>
      <c r="V38" s="73"/>
      <c r="W38" s="73"/>
      <c r="X38" s="73"/>
      <c r="Y38" s="73"/>
      <c r="Z38" s="73"/>
      <c r="AA38" s="73"/>
      <c r="AB38" s="73"/>
      <c r="AC38" s="73"/>
      <c r="AD38" s="73"/>
      <c r="AE38" s="73"/>
      <c r="AF38" s="73"/>
      <c r="AG38" s="73"/>
      <c r="AH38" s="73"/>
      <c r="AI38" s="73"/>
      <c r="AJ38" s="73"/>
      <c r="AK38" s="73"/>
      <c r="AL38" s="73"/>
      <c r="AM38" s="73"/>
      <c r="AN38" s="73"/>
      <c r="AO38" s="73"/>
      <c r="AP38" s="73"/>
      <c r="AQ38" s="73"/>
      <c r="AR38" s="73"/>
      <c r="AS38" s="73"/>
    </row>
    <row r="39" spans="1:45" ht="16.5" customHeight="1">
      <c r="A39" s="77"/>
      <c r="B39" s="79"/>
      <c r="C39" s="73"/>
      <c r="D39" s="73"/>
      <c r="E39" s="73"/>
      <c r="F39" s="73"/>
      <c r="G39" s="73"/>
      <c r="H39" s="73"/>
      <c r="I39" s="73"/>
      <c r="J39" s="73"/>
      <c r="K39" s="73"/>
      <c r="L39" s="73"/>
      <c r="M39" s="73"/>
      <c r="N39" s="73"/>
      <c r="O39" s="73"/>
      <c r="P39" s="73"/>
      <c r="Q39" s="73"/>
      <c r="R39" s="73"/>
      <c r="S39" s="73"/>
      <c r="T39" s="73"/>
      <c r="U39" s="73"/>
      <c r="V39" s="73"/>
      <c r="W39" s="73"/>
      <c r="X39" s="73"/>
      <c r="Y39" s="73"/>
      <c r="Z39" s="73"/>
      <c r="AA39" s="73"/>
      <c r="AB39" s="73"/>
      <c r="AC39" s="73"/>
      <c r="AD39" s="73"/>
      <c r="AE39" s="73"/>
      <c r="AF39" s="73"/>
      <c r="AG39" s="73"/>
      <c r="AH39" s="73"/>
      <c r="AI39" s="73"/>
      <c r="AJ39" s="73"/>
      <c r="AK39" s="73"/>
      <c r="AL39" s="73"/>
      <c r="AM39" s="73"/>
      <c r="AN39" s="73"/>
      <c r="AO39" s="73"/>
      <c r="AP39" s="73"/>
      <c r="AQ39" s="73"/>
      <c r="AR39" s="73"/>
      <c r="AS39" s="73"/>
    </row>
    <row r="40" spans="1:45" ht="16.5" customHeight="1">
      <c r="A40" s="73"/>
      <c r="B40" s="73"/>
      <c r="C40" s="73" t="s">
        <v>66</v>
      </c>
      <c r="D40" s="73" t="s">
        <v>67</v>
      </c>
      <c r="E40" s="73" t="s">
        <v>68</v>
      </c>
      <c r="F40" s="73" t="s">
        <v>50</v>
      </c>
      <c r="G40" s="73" t="s">
        <v>51</v>
      </c>
      <c r="H40" s="73" t="s">
        <v>52</v>
      </c>
      <c r="I40" s="73" t="s">
        <v>53</v>
      </c>
      <c r="J40" s="73" t="s">
        <v>54</v>
      </c>
      <c r="K40" s="73" t="s">
        <v>69</v>
      </c>
      <c r="L40" s="73" t="s">
        <v>70</v>
      </c>
      <c r="M40" s="73" t="s">
        <v>71</v>
      </c>
      <c r="N40" s="73" t="s">
        <v>72</v>
      </c>
      <c r="O40" s="73"/>
      <c r="P40" s="73"/>
      <c r="Q40" s="73"/>
      <c r="R40" s="73"/>
      <c r="S40" s="73"/>
      <c r="T40" s="73"/>
      <c r="U40" s="73"/>
      <c r="V40" s="73"/>
      <c r="W40" s="73"/>
      <c r="X40" s="73"/>
      <c r="Y40" s="73"/>
      <c r="Z40" s="73"/>
      <c r="AA40" s="73"/>
      <c r="AB40" s="73"/>
      <c r="AC40" s="73"/>
      <c r="AD40" s="73"/>
      <c r="AE40" s="73"/>
      <c r="AF40" s="73"/>
      <c r="AG40" s="73"/>
      <c r="AH40" s="73"/>
      <c r="AI40" s="73"/>
      <c r="AJ40" s="73"/>
      <c r="AK40" s="73"/>
      <c r="AL40" s="73"/>
      <c r="AM40" s="73"/>
      <c r="AN40" s="73"/>
      <c r="AO40" s="73"/>
      <c r="AP40" s="73"/>
      <c r="AQ40" s="73"/>
      <c r="AR40" s="73"/>
      <c r="AS40" s="73"/>
    </row>
    <row r="41" spans="1:45" ht="16.5" customHeight="1">
      <c r="A41" s="368" t="s">
        <v>73</v>
      </c>
      <c r="B41" s="80"/>
      <c r="C41" s="81"/>
      <c r="D41" s="81">
        <v>-490</v>
      </c>
      <c r="E41" s="81"/>
      <c r="F41" s="81">
        <v>-543</v>
      </c>
      <c r="G41" s="82"/>
      <c r="H41" s="81">
        <v>-663</v>
      </c>
      <c r="I41" s="83"/>
      <c r="J41" s="83"/>
      <c r="K41" s="83"/>
      <c r="L41" s="84"/>
      <c r="M41" s="84"/>
      <c r="N41" s="85"/>
      <c r="O41" s="73"/>
      <c r="P41" s="73"/>
      <c r="Q41" s="73"/>
      <c r="R41" s="73"/>
      <c r="S41" s="73"/>
      <c r="T41" s="73"/>
      <c r="U41" s="73"/>
      <c r="V41" s="73"/>
      <c r="W41" s="73"/>
      <c r="X41" s="73"/>
      <c r="Y41" s="73"/>
      <c r="Z41" s="73"/>
      <c r="AA41" s="73"/>
      <c r="AB41" s="73"/>
      <c r="AC41" s="73"/>
      <c r="AD41" s="73"/>
      <c r="AE41" s="73"/>
      <c r="AF41" s="73"/>
      <c r="AG41" s="73"/>
      <c r="AH41" s="73"/>
      <c r="AI41" s="73"/>
      <c r="AJ41" s="73"/>
      <c r="AK41" s="73"/>
      <c r="AL41" s="73"/>
      <c r="AM41" s="73"/>
      <c r="AN41" s="73"/>
      <c r="AO41" s="73"/>
      <c r="AP41" s="73"/>
      <c r="AQ41" s="73"/>
      <c r="AR41" s="73"/>
      <c r="AS41" s="73"/>
    </row>
    <row r="42" spans="1:45" ht="16.5" customHeight="1">
      <c r="A42" s="365"/>
      <c r="B42" s="86"/>
      <c r="C42" s="87">
        <v>-2167</v>
      </c>
      <c r="D42" s="88"/>
      <c r="E42" s="88">
        <v>-3309</v>
      </c>
      <c r="F42" s="89"/>
      <c r="G42" s="87">
        <v>-4722</v>
      </c>
      <c r="H42" s="88"/>
      <c r="I42" s="87">
        <v>-8769</v>
      </c>
      <c r="J42" s="90"/>
      <c r="K42" s="90"/>
      <c r="L42" s="90"/>
      <c r="M42" s="91"/>
      <c r="N42" s="92"/>
      <c r="O42" s="73"/>
      <c r="P42" s="73"/>
      <c r="Q42" s="73"/>
      <c r="R42" s="73"/>
      <c r="S42" s="73"/>
      <c r="T42" s="73"/>
      <c r="U42" s="73"/>
      <c r="V42" s="73"/>
      <c r="W42" s="73"/>
      <c r="X42" s="73"/>
      <c r="Y42" s="73"/>
      <c r="Z42" s="73"/>
      <c r="AA42" s="73"/>
      <c r="AB42" s="73"/>
      <c r="AC42" s="73"/>
      <c r="AD42" s="73"/>
      <c r="AE42" s="73"/>
      <c r="AF42" s="73"/>
      <c r="AG42" s="73"/>
      <c r="AH42" s="73"/>
      <c r="AI42" s="73"/>
      <c r="AJ42" s="73"/>
      <c r="AK42" s="73"/>
      <c r="AL42" s="73"/>
      <c r="AM42" s="73"/>
      <c r="AN42" s="73"/>
      <c r="AO42" s="73"/>
      <c r="AP42" s="73"/>
      <c r="AQ42" s="73"/>
      <c r="AR42" s="73"/>
      <c r="AS42" s="73"/>
    </row>
    <row r="43" spans="1:45" ht="16.5" customHeight="1">
      <c r="A43" s="365"/>
      <c r="B43" s="93"/>
      <c r="C43" s="91"/>
      <c r="D43" s="91"/>
      <c r="E43" s="91"/>
      <c r="F43" s="90"/>
      <c r="G43" s="91"/>
      <c r="H43" s="90"/>
      <c r="I43" s="91"/>
      <c r="J43" s="91"/>
      <c r="K43" s="90"/>
      <c r="L43" s="90"/>
      <c r="M43" s="91"/>
      <c r="N43" s="92"/>
      <c r="O43" s="73"/>
      <c r="P43" s="73"/>
      <c r="Q43" s="73"/>
      <c r="R43" s="73"/>
      <c r="S43" s="73"/>
      <c r="T43" s="73"/>
      <c r="U43" s="73"/>
      <c r="V43" s="73"/>
      <c r="W43" s="73"/>
      <c r="X43" s="73"/>
      <c r="Y43" s="73"/>
      <c r="Z43" s="73"/>
      <c r="AA43" s="73"/>
      <c r="AB43" s="73"/>
      <c r="AC43" s="73"/>
      <c r="AD43" s="73"/>
      <c r="AE43" s="73"/>
      <c r="AF43" s="73"/>
      <c r="AG43" s="73"/>
      <c r="AH43" s="73"/>
      <c r="AI43" s="73"/>
      <c r="AJ43" s="73"/>
      <c r="AK43" s="73"/>
      <c r="AL43" s="73"/>
      <c r="AM43" s="73"/>
      <c r="AN43" s="73"/>
      <c r="AO43" s="73"/>
      <c r="AP43" s="73"/>
      <c r="AQ43" s="73"/>
      <c r="AR43" s="73"/>
      <c r="AS43" s="73"/>
    </row>
    <row r="44" spans="1:45" ht="16.5" customHeight="1">
      <c r="A44" s="365"/>
      <c r="B44" s="93"/>
      <c r="C44" s="91"/>
      <c r="D44" s="91"/>
      <c r="E44" s="91"/>
      <c r="F44" s="90"/>
      <c r="G44" s="91"/>
      <c r="H44" s="90"/>
      <c r="I44" s="91"/>
      <c r="J44" s="91"/>
      <c r="K44" s="90"/>
      <c r="L44" s="90"/>
      <c r="M44" s="91"/>
      <c r="N44" s="92"/>
      <c r="O44" s="73"/>
      <c r="P44" s="73"/>
      <c r="Q44" s="73"/>
      <c r="R44" s="73"/>
      <c r="S44" s="73"/>
      <c r="T44" s="73"/>
      <c r="U44" s="73"/>
      <c r="V44" s="73"/>
      <c r="W44" s="73"/>
      <c r="X44" s="73"/>
      <c r="Y44" s="73"/>
      <c r="Z44" s="73"/>
      <c r="AA44" s="73"/>
      <c r="AB44" s="73"/>
      <c r="AC44" s="73"/>
      <c r="AD44" s="73"/>
      <c r="AE44" s="73"/>
      <c r="AF44" s="73"/>
      <c r="AG44" s="73"/>
      <c r="AH44" s="73"/>
      <c r="AI44" s="73"/>
      <c r="AJ44" s="73"/>
      <c r="AK44" s="73"/>
      <c r="AL44" s="73"/>
      <c r="AM44" s="73"/>
      <c r="AN44" s="73"/>
      <c r="AO44" s="73"/>
      <c r="AP44" s="73"/>
      <c r="AQ44" s="73"/>
      <c r="AR44" s="73"/>
      <c r="AS44" s="73"/>
    </row>
    <row r="45" spans="1:45" ht="16.5" customHeight="1">
      <c r="A45" s="366"/>
      <c r="B45" s="94"/>
      <c r="C45" s="95">
        <f t="shared" ref="C45:N45" si="16">SUM(C41:C44)</f>
        <v>-2167</v>
      </c>
      <c r="D45" s="95">
        <f t="shared" si="16"/>
        <v>-490</v>
      </c>
      <c r="E45" s="95">
        <f t="shared" si="16"/>
        <v>-3309</v>
      </c>
      <c r="F45" s="95">
        <f t="shared" si="16"/>
        <v>-543</v>
      </c>
      <c r="G45" s="95">
        <f t="shared" si="16"/>
        <v>-4722</v>
      </c>
      <c r="H45" s="95">
        <f t="shared" si="16"/>
        <v>-663</v>
      </c>
      <c r="I45" s="95">
        <f t="shared" si="16"/>
        <v>-8769</v>
      </c>
      <c r="J45" s="95">
        <f t="shared" si="16"/>
        <v>0</v>
      </c>
      <c r="K45" s="95">
        <f t="shared" si="16"/>
        <v>0</v>
      </c>
      <c r="L45" s="95">
        <f t="shared" si="16"/>
        <v>0</v>
      </c>
      <c r="M45" s="95">
        <f t="shared" si="16"/>
        <v>0</v>
      </c>
      <c r="N45" s="96">
        <f t="shared" si="16"/>
        <v>0</v>
      </c>
      <c r="O45" s="73"/>
      <c r="P45" s="73"/>
      <c r="Q45" s="73"/>
      <c r="R45" s="73"/>
      <c r="S45" s="73"/>
      <c r="T45" s="73"/>
      <c r="U45" s="73"/>
      <c r="V45" s="73"/>
      <c r="W45" s="73"/>
      <c r="X45" s="73"/>
      <c r="Y45" s="73"/>
      <c r="Z45" s="73"/>
      <c r="AA45" s="73"/>
      <c r="AB45" s="73"/>
      <c r="AC45" s="73"/>
      <c r="AD45" s="73"/>
      <c r="AE45" s="73"/>
      <c r="AF45" s="73"/>
      <c r="AG45" s="73"/>
      <c r="AH45" s="73"/>
      <c r="AI45" s="73"/>
      <c r="AJ45" s="73"/>
      <c r="AK45" s="73"/>
      <c r="AL45" s="73"/>
      <c r="AM45" s="73"/>
      <c r="AN45" s="73"/>
      <c r="AO45" s="73"/>
      <c r="AP45" s="73"/>
      <c r="AQ45" s="73"/>
      <c r="AR45" s="73"/>
      <c r="AS45" s="73"/>
    </row>
    <row r="46" spans="1:45" ht="16.5" customHeight="1">
      <c r="A46" s="73"/>
      <c r="B46" s="73"/>
      <c r="C46" s="73"/>
      <c r="D46" s="73"/>
      <c r="E46" s="73"/>
      <c r="F46" s="73"/>
      <c r="G46" s="73"/>
      <c r="H46" s="73"/>
      <c r="I46" s="73"/>
      <c r="J46" s="73"/>
      <c r="K46" s="73"/>
      <c r="L46" s="73"/>
      <c r="M46" s="73"/>
      <c r="N46" s="73"/>
      <c r="O46" s="73"/>
      <c r="P46" s="73"/>
      <c r="Q46" s="73"/>
      <c r="R46" s="73"/>
      <c r="S46" s="73"/>
      <c r="T46" s="73"/>
      <c r="U46" s="73"/>
      <c r="V46" s="73"/>
      <c r="W46" s="73"/>
      <c r="X46" s="73"/>
      <c r="Y46" s="73"/>
      <c r="Z46" s="73"/>
      <c r="AA46" s="73"/>
      <c r="AB46" s="73"/>
      <c r="AC46" s="73"/>
      <c r="AD46" s="73"/>
      <c r="AE46" s="73"/>
      <c r="AF46" s="73"/>
      <c r="AG46" s="73"/>
      <c r="AH46" s="73"/>
      <c r="AI46" s="73"/>
      <c r="AJ46" s="73"/>
      <c r="AK46" s="73"/>
      <c r="AL46" s="73"/>
      <c r="AM46" s="73"/>
      <c r="AN46" s="73"/>
      <c r="AO46" s="73"/>
      <c r="AP46" s="73"/>
      <c r="AQ46" s="73"/>
      <c r="AR46" s="73"/>
      <c r="AS46" s="73"/>
    </row>
    <row r="47" spans="1:45" ht="16.5" customHeight="1">
      <c r="A47" s="367">
        <v>141</v>
      </c>
      <c r="B47" s="97"/>
      <c r="C47" s="81">
        <v>-663</v>
      </c>
      <c r="D47" s="81"/>
      <c r="E47" s="81">
        <v>-663</v>
      </c>
      <c r="F47" s="81"/>
      <c r="G47" s="82">
        <v>-834</v>
      </c>
      <c r="H47" s="98"/>
      <c r="I47" s="98"/>
      <c r="J47" s="98"/>
      <c r="K47" s="99"/>
      <c r="L47" s="100"/>
      <c r="M47" s="100"/>
      <c r="N47" s="101"/>
      <c r="O47" s="73"/>
      <c r="P47" s="73"/>
      <c r="Q47" s="73"/>
      <c r="R47" s="73"/>
      <c r="S47" s="73"/>
      <c r="T47" s="73"/>
      <c r="U47" s="73"/>
      <c r="V47" s="73"/>
      <c r="W47" s="73"/>
      <c r="X47" s="73"/>
      <c r="Y47" s="73"/>
      <c r="Z47" s="73"/>
      <c r="AA47" s="73"/>
      <c r="AB47" s="73"/>
      <c r="AC47" s="73"/>
      <c r="AD47" s="73"/>
      <c r="AE47" s="73"/>
      <c r="AF47" s="73"/>
      <c r="AG47" s="73"/>
      <c r="AH47" s="73"/>
      <c r="AI47" s="73"/>
      <c r="AJ47" s="73"/>
      <c r="AK47" s="73"/>
      <c r="AL47" s="73"/>
      <c r="AM47" s="73"/>
      <c r="AN47" s="73"/>
      <c r="AO47" s="73"/>
      <c r="AP47" s="73"/>
      <c r="AQ47" s="73"/>
      <c r="AR47" s="73"/>
      <c r="AS47" s="73"/>
    </row>
    <row r="48" spans="1:45" ht="16.5" customHeight="1">
      <c r="A48" s="365"/>
      <c r="B48" s="102"/>
      <c r="C48" s="88">
        <v>-1397</v>
      </c>
      <c r="D48" s="87"/>
      <c r="E48" s="88">
        <v>-2859</v>
      </c>
      <c r="F48" s="89"/>
      <c r="G48" s="87">
        <v>-2706</v>
      </c>
      <c r="H48" s="103"/>
      <c r="I48" s="104"/>
      <c r="J48" s="104"/>
      <c r="K48" s="104"/>
      <c r="L48" s="104"/>
      <c r="M48" s="103"/>
      <c r="N48" s="105"/>
      <c r="O48" s="73"/>
      <c r="P48" s="73"/>
      <c r="Q48" s="73"/>
      <c r="R48" s="73"/>
      <c r="S48" s="73"/>
      <c r="T48" s="73"/>
      <c r="U48" s="73"/>
      <c r="V48" s="73"/>
      <c r="W48" s="73"/>
      <c r="X48" s="73"/>
      <c r="Y48" s="73"/>
      <c r="Z48" s="73"/>
      <c r="AA48" s="73"/>
      <c r="AB48" s="73"/>
      <c r="AC48" s="73"/>
      <c r="AD48" s="73"/>
      <c r="AE48" s="73"/>
      <c r="AF48" s="73"/>
      <c r="AG48" s="73"/>
      <c r="AH48" s="73"/>
      <c r="AI48" s="73"/>
      <c r="AJ48" s="73"/>
      <c r="AK48" s="73"/>
      <c r="AL48" s="73"/>
      <c r="AM48" s="73"/>
      <c r="AN48" s="73"/>
      <c r="AO48" s="73"/>
      <c r="AP48" s="73"/>
      <c r="AQ48" s="73"/>
      <c r="AR48" s="73"/>
      <c r="AS48" s="73"/>
    </row>
    <row r="49" spans="1:45" ht="16.5" customHeight="1">
      <c r="A49" s="365"/>
      <c r="B49" s="106"/>
      <c r="C49" s="88">
        <v>-4317</v>
      </c>
      <c r="D49" s="88"/>
      <c r="E49" s="88"/>
      <c r="F49" s="87">
        <v>-4317</v>
      </c>
      <c r="G49" s="88"/>
      <c r="H49" s="87"/>
      <c r="I49" s="88">
        <v>-4317</v>
      </c>
      <c r="J49" s="88"/>
      <c r="K49" s="87"/>
      <c r="L49" s="104"/>
      <c r="M49" s="103"/>
      <c r="N49" s="105"/>
      <c r="O49" s="73"/>
      <c r="P49" s="73"/>
      <c r="Q49" s="73"/>
      <c r="R49" s="73"/>
      <c r="S49" s="73"/>
      <c r="T49" s="73"/>
      <c r="U49" s="73"/>
      <c r="V49" s="73"/>
      <c r="W49" s="73"/>
      <c r="X49" s="73"/>
      <c r="Y49" s="73"/>
      <c r="Z49" s="73"/>
      <c r="AA49" s="73"/>
      <c r="AB49" s="73"/>
      <c r="AC49" s="73"/>
      <c r="AD49" s="73"/>
      <c r="AE49" s="73"/>
      <c r="AF49" s="73"/>
      <c r="AG49" s="73"/>
      <c r="AH49" s="73"/>
      <c r="AI49" s="73"/>
      <c r="AJ49" s="73"/>
      <c r="AK49" s="73"/>
      <c r="AL49" s="73"/>
      <c r="AM49" s="73"/>
      <c r="AN49" s="73"/>
      <c r="AO49" s="73"/>
      <c r="AP49" s="73"/>
      <c r="AQ49" s="73"/>
      <c r="AR49" s="73"/>
      <c r="AS49" s="73"/>
    </row>
    <row r="50" spans="1:45" ht="16.5" customHeight="1">
      <c r="A50" s="365"/>
      <c r="B50" s="106"/>
      <c r="C50" s="88">
        <v>-480</v>
      </c>
      <c r="D50" s="88"/>
      <c r="E50" s="88"/>
      <c r="F50" s="87">
        <v>-480</v>
      </c>
      <c r="G50" s="88"/>
      <c r="H50" s="88"/>
      <c r="I50" s="88">
        <v>-480</v>
      </c>
      <c r="J50" s="88"/>
      <c r="K50" s="87"/>
      <c r="L50" s="104"/>
      <c r="M50" s="103"/>
      <c r="N50" s="105"/>
      <c r="O50" s="73"/>
      <c r="P50" s="73"/>
      <c r="Q50" s="73"/>
      <c r="R50" s="73"/>
      <c r="S50" s="73"/>
      <c r="T50" s="73"/>
      <c r="U50" s="73"/>
      <c r="V50" s="73"/>
      <c r="W50" s="73"/>
      <c r="X50" s="73"/>
      <c r="Y50" s="73"/>
      <c r="Z50" s="73"/>
      <c r="AA50" s="73"/>
      <c r="AB50" s="73"/>
      <c r="AC50" s="73"/>
      <c r="AD50" s="73"/>
      <c r="AE50" s="73"/>
      <c r="AF50" s="73"/>
      <c r="AG50" s="73"/>
      <c r="AH50" s="73"/>
      <c r="AI50" s="73"/>
      <c r="AJ50" s="73"/>
      <c r="AK50" s="73"/>
      <c r="AL50" s="73"/>
      <c r="AM50" s="73"/>
      <c r="AN50" s="73"/>
      <c r="AO50" s="73"/>
      <c r="AP50" s="73"/>
      <c r="AQ50" s="73"/>
      <c r="AR50" s="73"/>
      <c r="AS50" s="73"/>
    </row>
    <row r="51" spans="1:45" ht="16.5" customHeight="1">
      <c r="A51" s="365"/>
      <c r="B51" s="106"/>
      <c r="C51" s="107"/>
      <c r="D51" s="108"/>
      <c r="E51" s="108"/>
      <c r="F51" s="108"/>
      <c r="G51" s="108"/>
      <c r="H51" s="108"/>
      <c r="I51" s="108"/>
      <c r="J51" s="108"/>
      <c r="K51" s="108"/>
      <c r="L51" s="104"/>
      <c r="M51" s="103"/>
      <c r="N51" s="105"/>
      <c r="O51" s="73"/>
      <c r="P51" s="73"/>
      <c r="Q51" s="73"/>
      <c r="R51" s="73"/>
      <c r="S51" s="73"/>
      <c r="T51" s="73"/>
      <c r="U51" s="73"/>
      <c r="V51" s="73"/>
      <c r="W51" s="73"/>
      <c r="X51" s="73"/>
      <c r="Y51" s="73"/>
      <c r="Z51" s="73"/>
      <c r="AA51" s="73"/>
      <c r="AB51" s="73"/>
      <c r="AC51" s="73"/>
      <c r="AD51" s="73"/>
      <c r="AE51" s="73"/>
      <c r="AF51" s="73"/>
      <c r="AG51" s="73"/>
      <c r="AH51" s="73"/>
      <c r="AI51" s="73"/>
      <c r="AJ51" s="73"/>
      <c r="AK51" s="73"/>
      <c r="AL51" s="73"/>
      <c r="AM51" s="73"/>
      <c r="AN51" s="73"/>
      <c r="AO51" s="73"/>
      <c r="AP51" s="73"/>
      <c r="AQ51" s="73"/>
      <c r="AR51" s="73"/>
      <c r="AS51" s="73"/>
    </row>
    <row r="52" spans="1:45" ht="16.5" customHeight="1">
      <c r="A52" s="365"/>
      <c r="B52" s="106"/>
      <c r="C52" s="103"/>
      <c r="D52" s="103"/>
      <c r="E52" s="103"/>
      <c r="F52" s="104"/>
      <c r="G52" s="103"/>
      <c r="H52" s="104"/>
      <c r="I52" s="103"/>
      <c r="J52" s="103"/>
      <c r="K52" s="104"/>
      <c r="L52" s="104"/>
      <c r="M52" s="103"/>
      <c r="N52" s="105"/>
      <c r="O52" s="73"/>
      <c r="P52" s="73"/>
      <c r="Q52" s="73"/>
      <c r="R52" s="73"/>
      <c r="S52" s="73"/>
      <c r="T52" s="73"/>
      <c r="U52" s="73"/>
      <c r="V52" s="73"/>
      <c r="W52" s="73"/>
      <c r="X52" s="73"/>
      <c r="Y52" s="73"/>
      <c r="Z52" s="73"/>
      <c r="AA52" s="73"/>
      <c r="AB52" s="73"/>
      <c r="AC52" s="73"/>
      <c r="AD52" s="73"/>
      <c r="AE52" s="73"/>
      <c r="AF52" s="73"/>
      <c r="AG52" s="73"/>
      <c r="AH52" s="73"/>
      <c r="AI52" s="73"/>
      <c r="AJ52" s="73"/>
      <c r="AK52" s="73"/>
      <c r="AL52" s="73"/>
      <c r="AM52" s="73"/>
      <c r="AN52" s="73"/>
      <c r="AO52" s="73"/>
      <c r="AP52" s="73"/>
      <c r="AQ52" s="73"/>
      <c r="AR52" s="73"/>
      <c r="AS52" s="73"/>
    </row>
    <row r="53" spans="1:45" ht="16.5" customHeight="1">
      <c r="A53" s="366"/>
      <c r="B53" s="109"/>
      <c r="C53" s="110">
        <f t="shared" ref="C53:N53" si="17">SUM(C47:C52)</f>
        <v>-6857</v>
      </c>
      <c r="D53" s="110">
        <f t="shared" si="17"/>
        <v>0</v>
      </c>
      <c r="E53" s="110">
        <f t="shared" si="17"/>
        <v>-3522</v>
      </c>
      <c r="F53" s="110">
        <f t="shared" si="17"/>
        <v>-4797</v>
      </c>
      <c r="G53" s="110">
        <f t="shared" si="17"/>
        <v>-3540</v>
      </c>
      <c r="H53" s="110">
        <f t="shared" si="17"/>
        <v>0</v>
      </c>
      <c r="I53" s="110">
        <f t="shared" si="17"/>
        <v>-4797</v>
      </c>
      <c r="J53" s="110">
        <f t="shared" si="17"/>
        <v>0</v>
      </c>
      <c r="K53" s="110">
        <f t="shared" si="17"/>
        <v>0</v>
      </c>
      <c r="L53" s="110">
        <f t="shared" si="17"/>
        <v>0</v>
      </c>
      <c r="M53" s="110">
        <f t="shared" si="17"/>
        <v>0</v>
      </c>
      <c r="N53" s="111">
        <f t="shared" si="17"/>
        <v>0</v>
      </c>
      <c r="O53" s="73"/>
      <c r="P53" s="73"/>
      <c r="Q53" s="73"/>
      <c r="R53" s="73"/>
      <c r="S53" s="73"/>
      <c r="T53" s="73"/>
      <c r="U53" s="73"/>
      <c r="V53" s="73"/>
      <c r="W53" s="73"/>
      <c r="X53" s="73"/>
      <c r="Y53" s="73"/>
      <c r="Z53" s="73"/>
      <c r="AA53" s="73"/>
      <c r="AB53" s="73"/>
      <c r="AC53" s="73"/>
      <c r="AD53" s="73"/>
      <c r="AE53" s="73"/>
      <c r="AF53" s="73"/>
      <c r="AG53" s="73"/>
      <c r="AH53" s="73"/>
      <c r="AI53" s="73"/>
      <c r="AJ53" s="73"/>
      <c r="AK53" s="73"/>
      <c r="AL53" s="73"/>
      <c r="AM53" s="73"/>
      <c r="AN53" s="73"/>
      <c r="AO53" s="73"/>
      <c r="AP53" s="73"/>
      <c r="AQ53" s="73"/>
      <c r="AR53" s="73"/>
      <c r="AS53" s="73"/>
    </row>
    <row r="54" spans="1:45" ht="16.5" customHeight="1">
      <c r="A54" s="73"/>
      <c r="B54" s="73"/>
      <c r="C54" s="73"/>
      <c r="D54" s="73"/>
      <c r="E54" s="73"/>
      <c r="F54" s="73"/>
      <c r="G54" s="73"/>
      <c r="H54" s="73"/>
      <c r="I54" s="73"/>
      <c r="J54" s="73"/>
      <c r="K54" s="73"/>
      <c r="L54" s="73"/>
      <c r="M54" s="73"/>
      <c r="N54" s="73"/>
      <c r="O54" s="73"/>
      <c r="P54" s="73"/>
      <c r="Q54" s="73"/>
      <c r="R54" s="73"/>
      <c r="S54" s="73"/>
      <c r="T54" s="73"/>
      <c r="U54" s="73"/>
      <c r="V54" s="73"/>
      <c r="W54" s="73"/>
      <c r="X54" s="73"/>
      <c r="Y54" s="73"/>
      <c r="Z54" s="73"/>
      <c r="AA54" s="73"/>
      <c r="AB54" s="73"/>
      <c r="AC54" s="73"/>
      <c r="AD54" s="73"/>
      <c r="AE54" s="73"/>
      <c r="AF54" s="73"/>
      <c r="AG54" s="73"/>
      <c r="AH54" s="73"/>
      <c r="AI54" s="73"/>
      <c r="AJ54" s="73"/>
      <c r="AK54" s="73"/>
      <c r="AL54" s="73"/>
      <c r="AM54" s="73"/>
      <c r="AN54" s="73"/>
      <c r="AO54" s="73"/>
      <c r="AP54" s="73"/>
      <c r="AQ54" s="73"/>
      <c r="AR54" s="73"/>
      <c r="AS54" s="73"/>
    </row>
    <row r="55" spans="1:45" ht="16.5" customHeight="1">
      <c r="A55" s="364" t="s">
        <v>42</v>
      </c>
      <c r="B55" s="112"/>
      <c r="C55" s="82">
        <v>-165</v>
      </c>
      <c r="D55" s="82"/>
      <c r="E55" s="82">
        <v>-291</v>
      </c>
      <c r="F55" s="113"/>
      <c r="G55" s="82">
        <v>-291</v>
      </c>
      <c r="H55" s="82"/>
      <c r="I55" s="81">
        <v>-259</v>
      </c>
      <c r="J55" s="114"/>
      <c r="K55" s="115"/>
      <c r="L55" s="116"/>
      <c r="M55" s="116"/>
      <c r="N55" s="117"/>
      <c r="O55" s="73"/>
      <c r="P55" s="73"/>
      <c r="Q55" s="73"/>
      <c r="R55" s="73"/>
      <c r="S55" s="73"/>
      <c r="T55" s="73"/>
      <c r="U55" s="73"/>
      <c r="V55" s="73"/>
      <c r="W55" s="73"/>
      <c r="X55" s="73"/>
      <c r="Y55" s="73"/>
      <c r="Z55" s="73"/>
      <c r="AA55" s="73"/>
      <c r="AB55" s="73"/>
      <c r="AC55" s="73"/>
      <c r="AD55" s="73"/>
      <c r="AE55" s="73"/>
      <c r="AF55" s="73"/>
      <c r="AG55" s="73"/>
      <c r="AH55" s="73"/>
      <c r="AI55" s="73"/>
      <c r="AJ55" s="73"/>
      <c r="AK55" s="73"/>
      <c r="AL55" s="73"/>
      <c r="AM55" s="73"/>
      <c r="AN55" s="73"/>
      <c r="AO55" s="73"/>
      <c r="AP55" s="73"/>
      <c r="AQ55" s="73"/>
      <c r="AR55" s="73"/>
      <c r="AS55" s="73"/>
    </row>
    <row r="56" spans="1:45" ht="16.5" customHeight="1">
      <c r="A56" s="365"/>
      <c r="B56" s="118"/>
      <c r="C56" s="88"/>
      <c r="D56" s="88">
        <v>-270</v>
      </c>
      <c r="E56" s="88"/>
      <c r="F56" s="88">
        <v>-227</v>
      </c>
      <c r="G56" s="119"/>
      <c r="H56" s="88">
        <v>-997</v>
      </c>
      <c r="I56" s="120"/>
      <c r="J56" s="120"/>
      <c r="K56" s="120"/>
      <c r="L56" s="120"/>
      <c r="M56" s="121"/>
      <c r="N56" s="122"/>
      <c r="O56" s="73"/>
      <c r="P56" s="73"/>
      <c r="Q56" s="73"/>
      <c r="R56" s="73"/>
      <c r="S56" s="73"/>
      <c r="T56" s="73"/>
      <c r="U56" s="73"/>
      <c r="V56" s="73"/>
      <c r="W56" s="73"/>
      <c r="X56" s="73"/>
      <c r="Y56" s="73"/>
      <c r="Z56" s="73"/>
      <c r="AA56" s="73"/>
      <c r="AB56" s="73"/>
      <c r="AC56" s="73"/>
      <c r="AD56" s="73"/>
      <c r="AE56" s="73"/>
      <c r="AF56" s="73"/>
      <c r="AG56" s="73"/>
      <c r="AH56" s="73"/>
      <c r="AI56" s="73"/>
      <c r="AJ56" s="73"/>
      <c r="AK56" s="73"/>
      <c r="AL56" s="73"/>
      <c r="AM56" s="73"/>
      <c r="AN56" s="73"/>
      <c r="AO56" s="73"/>
      <c r="AP56" s="73"/>
      <c r="AQ56" s="73"/>
      <c r="AR56" s="73"/>
      <c r="AS56" s="73"/>
    </row>
    <row r="57" spans="1:45" ht="16.5" customHeight="1">
      <c r="A57" s="365"/>
      <c r="B57" s="123"/>
      <c r="C57" s="88"/>
      <c r="D57" s="88"/>
      <c r="E57" s="88">
        <v>-3720</v>
      </c>
      <c r="F57" s="119"/>
      <c r="G57" s="88"/>
      <c r="H57" s="88">
        <v>-3720</v>
      </c>
      <c r="I57" s="88"/>
      <c r="J57" s="88"/>
      <c r="K57" s="120"/>
      <c r="L57" s="120"/>
      <c r="M57" s="121"/>
      <c r="N57" s="122"/>
      <c r="O57" s="73"/>
      <c r="P57" s="73"/>
      <c r="Q57" s="73"/>
      <c r="R57" s="73"/>
      <c r="S57" s="73"/>
      <c r="T57" s="73"/>
      <c r="U57" s="73"/>
      <c r="V57" s="73"/>
      <c r="W57" s="73"/>
      <c r="X57" s="73"/>
      <c r="Y57" s="73"/>
      <c r="Z57" s="73"/>
      <c r="AA57" s="73"/>
      <c r="AB57" s="73"/>
      <c r="AC57" s="73"/>
      <c r="AD57" s="73"/>
      <c r="AE57" s="73"/>
      <c r="AF57" s="73"/>
      <c r="AG57" s="73"/>
      <c r="AH57" s="73"/>
      <c r="AI57" s="73"/>
      <c r="AJ57" s="73"/>
      <c r="AK57" s="73"/>
      <c r="AL57" s="73"/>
      <c r="AM57" s="73"/>
      <c r="AN57" s="73"/>
      <c r="AO57" s="73"/>
      <c r="AP57" s="73"/>
      <c r="AQ57" s="73"/>
      <c r="AR57" s="73"/>
      <c r="AS57" s="73"/>
    </row>
    <row r="58" spans="1:45" ht="16.5" customHeight="1">
      <c r="A58" s="365"/>
      <c r="B58" s="124"/>
      <c r="C58" s="121"/>
      <c r="D58" s="121"/>
      <c r="E58" s="121"/>
      <c r="F58" s="121"/>
      <c r="G58" s="121"/>
      <c r="H58" s="121"/>
      <c r="I58" s="121"/>
      <c r="J58" s="121"/>
      <c r="K58" s="120"/>
      <c r="L58" s="120"/>
      <c r="M58" s="121"/>
      <c r="N58" s="122"/>
      <c r="O58" s="73"/>
      <c r="P58" s="73"/>
      <c r="Q58" s="73"/>
      <c r="R58" s="73"/>
      <c r="S58" s="73"/>
      <c r="T58" s="73"/>
      <c r="U58" s="73"/>
      <c r="V58" s="73"/>
      <c r="W58" s="73"/>
      <c r="X58" s="73"/>
      <c r="Y58" s="73"/>
      <c r="Z58" s="73"/>
      <c r="AA58" s="73"/>
      <c r="AB58" s="73"/>
      <c r="AC58" s="73"/>
      <c r="AD58" s="73"/>
      <c r="AE58" s="73"/>
      <c r="AF58" s="73"/>
      <c r="AG58" s="73"/>
      <c r="AH58" s="73"/>
      <c r="AI58" s="73"/>
      <c r="AJ58" s="73"/>
      <c r="AK58" s="73"/>
      <c r="AL58" s="73"/>
      <c r="AM58" s="73"/>
      <c r="AN58" s="73"/>
      <c r="AO58" s="73"/>
      <c r="AP58" s="73"/>
      <c r="AQ58" s="73"/>
      <c r="AR58" s="73"/>
      <c r="AS58" s="73"/>
    </row>
    <row r="59" spans="1:45" ht="16.5" customHeight="1">
      <c r="A59" s="365"/>
      <c r="B59" s="123"/>
      <c r="C59" s="121"/>
      <c r="D59" s="121"/>
      <c r="E59" s="121"/>
      <c r="F59" s="120"/>
      <c r="G59" s="121"/>
      <c r="H59" s="120"/>
      <c r="I59" s="121"/>
      <c r="J59" s="121"/>
      <c r="K59" s="120"/>
      <c r="L59" s="120"/>
      <c r="M59" s="121"/>
      <c r="N59" s="122"/>
      <c r="O59" s="73"/>
      <c r="P59" s="73"/>
      <c r="Q59" s="73"/>
      <c r="R59" s="73"/>
      <c r="S59" s="73"/>
      <c r="T59" s="73"/>
      <c r="U59" s="73"/>
      <c r="V59" s="73"/>
      <c r="W59" s="73"/>
      <c r="X59" s="73"/>
      <c r="Y59" s="73"/>
      <c r="Z59" s="73"/>
      <c r="AA59" s="73"/>
      <c r="AB59" s="73"/>
      <c r="AC59" s="73"/>
      <c r="AD59" s="73"/>
      <c r="AE59" s="73"/>
      <c r="AF59" s="73"/>
      <c r="AG59" s="73"/>
      <c r="AH59" s="73"/>
      <c r="AI59" s="73"/>
      <c r="AJ59" s="73"/>
      <c r="AK59" s="73"/>
      <c r="AL59" s="73"/>
      <c r="AM59" s="73"/>
      <c r="AN59" s="73"/>
      <c r="AO59" s="73"/>
      <c r="AP59" s="73"/>
      <c r="AQ59" s="73"/>
      <c r="AR59" s="73"/>
      <c r="AS59" s="73"/>
    </row>
    <row r="60" spans="1:45" ht="16.5" customHeight="1">
      <c r="A60" s="366"/>
      <c r="B60" s="125"/>
      <c r="C60" s="126">
        <f t="shared" ref="C60:N60" si="18">SUM(C55:C59)</f>
        <v>-165</v>
      </c>
      <c r="D60" s="126">
        <f t="shared" si="18"/>
        <v>-270</v>
      </c>
      <c r="E60" s="126">
        <f t="shared" si="18"/>
        <v>-4011</v>
      </c>
      <c r="F60" s="126">
        <f t="shared" si="18"/>
        <v>-227</v>
      </c>
      <c r="G60" s="126">
        <f t="shared" si="18"/>
        <v>-291</v>
      </c>
      <c r="H60" s="126">
        <f t="shared" si="18"/>
        <v>-4717</v>
      </c>
      <c r="I60" s="126">
        <f t="shared" si="18"/>
        <v>-259</v>
      </c>
      <c r="J60" s="126">
        <f t="shared" si="18"/>
        <v>0</v>
      </c>
      <c r="K60" s="126">
        <f t="shared" si="18"/>
        <v>0</v>
      </c>
      <c r="L60" s="126">
        <f t="shared" si="18"/>
        <v>0</v>
      </c>
      <c r="M60" s="126">
        <f t="shared" si="18"/>
        <v>0</v>
      </c>
      <c r="N60" s="127">
        <f t="shared" si="18"/>
        <v>0</v>
      </c>
      <c r="O60" s="73"/>
      <c r="P60" s="73"/>
      <c r="Q60" s="73"/>
      <c r="R60" s="73"/>
      <c r="S60" s="73"/>
      <c r="T60" s="73"/>
      <c r="U60" s="73"/>
      <c r="V60" s="73"/>
      <c r="W60" s="73"/>
      <c r="X60" s="73"/>
      <c r="Y60" s="73"/>
      <c r="Z60" s="73"/>
      <c r="AA60" s="73"/>
      <c r="AB60" s="73"/>
      <c r="AC60" s="73"/>
      <c r="AD60" s="73"/>
      <c r="AE60" s="73"/>
      <c r="AF60" s="73"/>
      <c r="AG60" s="73"/>
      <c r="AH60" s="73"/>
      <c r="AI60" s="73"/>
      <c r="AJ60" s="73"/>
      <c r="AK60" s="73"/>
      <c r="AL60" s="73"/>
      <c r="AM60" s="73"/>
      <c r="AN60" s="73"/>
      <c r="AO60" s="73"/>
      <c r="AP60" s="73"/>
      <c r="AQ60" s="73"/>
      <c r="AR60" s="73"/>
      <c r="AS60" s="73"/>
    </row>
    <row r="61" spans="1:45" ht="16.5" customHeight="1">
      <c r="A61" s="73"/>
      <c r="B61" s="73"/>
      <c r="C61" s="73"/>
      <c r="D61" s="73"/>
      <c r="E61" s="73"/>
      <c r="F61" s="73"/>
      <c r="G61" s="73"/>
      <c r="H61" s="73"/>
      <c r="I61" s="73"/>
      <c r="J61" s="73"/>
      <c r="K61" s="73"/>
      <c r="L61" s="73"/>
      <c r="M61" s="73"/>
      <c r="N61" s="73"/>
      <c r="O61" s="73"/>
      <c r="P61" s="73"/>
      <c r="Q61" s="73"/>
      <c r="R61" s="73"/>
      <c r="S61" s="73"/>
      <c r="T61" s="73"/>
      <c r="U61" s="73"/>
      <c r="V61" s="73"/>
      <c r="W61" s="73"/>
      <c r="X61" s="73"/>
      <c r="Y61" s="73"/>
      <c r="Z61" s="73"/>
      <c r="AA61" s="73"/>
      <c r="AB61" s="73"/>
      <c r="AC61" s="73"/>
      <c r="AD61" s="73"/>
      <c r="AE61" s="73"/>
      <c r="AF61" s="73"/>
      <c r="AG61" s="73"/>
      <c r="AH61" s="73"/>
      <c r="AI61" s="73"/>
      <c r="AJ61" s="73"/>
      <c r="AK61" s="73"/>
      <c r="AL61" s="73"/>
      <c r="AM61" s="73"/>
      <c r="AN61" s="73"/>
      <c r="AO61" s="73"/>
      <c r="AP61" s="73"/>
      <c r="AQ61" s="73"/>
      <c r="AR61" s="73"/>
      <c r="AS61" s="73"/>
    </row>
    <row r="62" spans="1:45" ht="16.5" customHeight="1">
      <c r="A62" s="73"/>
      <c r="B62" s="73"/>
      <c r="C62" s="73"/>
      <c r="D62" s="73"/>
      <c r="E62" s="73"/>
      <c r="F62" s="73"/>
      <c r="G62" s="73"/>
      <c r="H62" s="73"/>
      <c r="I62" s="73"/>
      <c r="J62" s="73"/>
      <c r="K62" s="73"/>
      <c r="L62" s="73"/>
      <c r="M62" s="73"/>
      <c r="N62" s="73"/>
      <c r="O62" s="73"/>
      <c r="P62" s="73"/>
      <c r="Q62" s="73"/>
      <c r="R62" s="73"/>
      <c r="S62" s="73"/>
      <c r="T62" s="73"/>
      <c r="U62" s="73"/>
      <c r="V62" s="73"/>
      <c r="W62" s="73"/>
      <c r="X62" s="73"/>
      <c r="Y62" s="73"/>
      <c r="Z62" s="73"/>
      <c r="AA62" s="73"/>
      <c r="AB62" s="73"/>
      <c r="AC62" s="73"/>
      <c r="AD62" s="73"/>
      <c r="AE62" s="73"/>
      <c r="AF62" s="73"/>
      <c r="AG62" s="73"/>
      <c r="AH62" s="73"/>
      <c r="AI62" s="73"/>
      <c r="AJ62" s="73"/>
      <c r="AK62" s="73"/>
      <c r="AL62" s="73"/>
      <c r="AM62" s="73"/>
      <c r="AN62" s="73"/>
      <c r="AO62" s="73"/>
      <c r="AP62" s="73"/>
      <c r="AQ62" s="73"/>
      <c r="AR62" s="73"/>
      <c r="AS62" s="73"/>
    </row>
    <row r="63" spans="1:45" ht="16.5" customHeight="1">
      <c r="A63" s="73"/>
      <c r="B63" s="73"/>
      <c r="C63" s="73"/>
      <c r="D63" s="73"/>
      <c r="E63" s="73"/>
      <c r="F63" s="73"/>
      <c r="G63" s="73"/>
      <c r="H63" s="73"/>
      <c r="I63" s="73"/>
      <c r="J63" s="73"/>
      <c r="K63" s="73"/>
      <c r="L63" s="73"/>
      <c r="M63" s="73"/>
      <c r="N63" s="73"/>
      <c r="O63" s="73"/>
      <c r="P63" s="73"/>
      <c r="Q63" s="73"/>
      <c r="R63" s="73"/>
      <c r="S63" s="73"/>
      <c r="T63" s="73"/>
      <c r="U63" s="73"/>
      <c r="V63" s="73"/>
      <c r="W63" s="73"/>
      <c r="X63" s="73"/>
      <c r="Y63" s="73"/>
      <c r="Z63" s="73"/>
      <c r="AA63" s="73"/>
      <c r="AB63" s="73"/>
      <c r="AC63" s="73"/>
      <c r="AD63" s="73"/>
      <c r="AE63" s="73"/>
      <c r="AF63" s="73"/>
      <c r="AG63" s="73"/>
      <c r="AH63" s="73"/>
      <c r="AI63" s="73"/>
      <c r="AJ63" s="73"/>
      <c r="AK63" s="73"/>
      <c r="AL63" s="73"/>
      <c r="AM63" s="73"/>
      <c r="AN63" s="73"/>
      <c r="AO63" s="73"/>
      <c r="AP63" s="73"/>
      <c r="AQ63" s="73"/>
      <c r="AR63" s="73"/>
      <c r="AS63" s="73"/>
    </row>
    <row r="64" spans="1:45" ht="16.5" customHeight="1">
      <c r="A64" s="73"/>
      <c r="B64" s="73"/>
      <c r="C64" s="73"/>
      <c r="D64" s="73"/>
      <c r="E64" s="73"/>
      <c r="F64" s="73"/>
      <c r="G64" s="73"/>
      <c r="H64" s="73"/>
      <c r="I64" s="73"/>
      <c r="J64" s="73"/>
      <c r="K64" s="73"/>
      <c r="L64" s="73"/>
      <c r="M64" s="73"/>
      <c r="N64" s="73"/>
      <c r="O64" s="73"/>
      <c r="P64" s="73"/>
      <c r="Q64" s="73"/>
      <c r="R64" s="73"/>
      <c r="S64" s="73"/>
      <c r="T64" s="73"/>
      <c r="U64" s="73"/>
      <c r="V64" s="73"/>
      <c r="W64" s="73"/>
      <c r="X64" s="73"/>
      <c r="Y64" s="73"/>
      <c r="Z64" s="73"/>
      <c r="AA64" s="73"/>
      <c r="AB64" s="73"/>
      <c r="AC64" s="73"/>
      <c r="AD64" s="73"/>
      <c r="AE64" s="73"/>
      <c r="AF64" s="73"/>
      <c r="AG64" s="73"/>
      <c r="AH64" s="73"/>
      <c r="AI64" s="73"/>
      <c r="AJ64" s="73"/>
      <c r="AK64" s="73"/>
      <c r="AL64" s="73"/>
      <c r="AM64" s="73"/>
      <c r="AN64" s="73"/>
      <c r="AO64" s="73"/>
      <c r="AP64" s="73"/>
      <c r="AQ64" s="73"/>
      <c r="AR64" s="73"/>
      <c r="AS64" s="73"/>
    </row>
    <row r="65" spans="1:45" ht="16.5" customHeight="1">
      <c r="A65" s="73"/>
      <c r="B65" s="73"/>
      <c r="C65" s="73"/>
      <c r="D65" s="73"/>
      <c r="E65" s="73"/>
      <c r="F65" s="73"/>
      <c r="G65" s="73"/>
      <c r="H65" s="73"/>
      <c r="I65" s="73"/>
      <c r="J65" s="73"/>
      <c r="K65" s="73"/>
      <c r="L65" s="73"/>
      <c r="M65" s="73"/>
      <c r="N65" s="73"/>
      <c r="O65" s="73"/>
      <c r="P65" s="73"/>
      <c r="Q65" s="73"/>
      <c r="R65" s="73"/>
      <c r="S65" s="73"/>
      <c r="T65" s="73"/>
      <c r="U65" s="73"/>
      <c r="V65" s="73"/>
      <c r="W65" s="73"/>
      <c r="X65" s="73"/>
      <c r="Y65" s="73"/>
      <c r="Z65" s="73"/>
      <c r="AA65" s="73"/>
      <c r="AB65" s="73"/>
      <c r="AC65" s="73"/>
      <c r="AD65" s="73"/>
      <c r="AE65" s="73"/>
      <c r="AF65" s="73"/>
      <c r="AG65" s="73"/>
      <c r="AH65" s="73"/>
      <c r="AI65" s="73"/>
      <c r="AJ65" s="73"/>
      <c r="AK65" s="73"/>
      <c r="AL65" s="73"/>
      <c r="AM65" s="73"/>
      <c r="AN65" s="73"/>
      <c r="AO65" s="73"/>
      <c r="AP65" s="73"/>
      <c r="AQ65" s="73"/>
      <c r="AR65" s="73"/>
      <c r="AS65" s="73"/>
    </row>
    <row r="66" spans="1:45" ht="16.5" customHeight="1">
      <c r="A66" s="73"/>
      <c r="B66" s="73"/>
      <c r="C66" s="73"/>
      <c r="D66" s="73"/>
      <c r="E66" s="73"/>
      <c r="F66" s="73"/>
      <c r="G66" s="73"/>
      <c r="H66" s="73"/>
      <c r="I66" s="73"/>
      <c r="J66" s="73"/>
      <c r="K66" s="73"/>
      <c r="L66" s="73"/>
      <c r="M66" s="73"/>
      <c r="N66" s="73"/>
      <c r="O66" s="73"/>
      <c r="P66" s="73"/>
      <c r="Q66" s="73"/>
      <c r="R66" s="73"/>
      <c r="S66" s="73"/>
      <c r="T66" s="73"/>
      <c r="U66" s="73"/>
      <c r="V66" s="73"/>
      <c r="W66" s="73"/>
      <c r="X66" s="73"/>
      <c r="Y66" s="73"/>
      <c r="Z66" s="73"/>
      <c r="AA66" s="73"/>
      <c r="AB66" s="73"/>
      <c r="AC66" s="73"/>
      <c r="AD66" s="73"/>
      <c r="AE66" s="73"/>
      <c r="AF66" s="73"/>
      <c r="AG66" s="73"/>
      <c r="AH66" s="73"/>
      <c r="AI66" s="73"/>
      <c r="AJ66" s="73"/>
      <c r="AK66" s="73"/>
      <c r="AL66" s="73"/>
      <c r="AM66" s="73"/>
      <c r="AN66" s="73"/>
      <c r="AO66" s="73"/>
      <c r="AP66" s="73"/>
      <c r="AQ66" s="73"/>
      <c r="AR66" s="73"/>
      <c r="AS66" s="73"/>
    </row>
    <row r="67" spans="1:45" ht="16.5" customHeight="1">
      <c r="A67" s="73"/>
      <c r="B67" s="73"/>
      <c r="C67" s="73"/>
      <c r="D67" s="73"/>
      <c r="E67" s="73"/>
      <c r="F67" s="73"/>
      <c r="G67" s="73"/>
      <c r="H67" s="73"/>
      <c r="I67" s="73"/>
      <c r="J67" s="73"/>
      <c r="K67" s="73"/>
      <c r="L67" s="73"/>
      <c r="M67" s="73"/>
      <c r="N67" s="73"/>
      <c r="O67" s="73"/>
      <c r="P67" s="73"/>
      <c r="Q67" s="73"/>
      <c r="R67" s="73"/>
      <c r="S67" s="73"/>
      <c r="T67" s="73"/>
      <c r="U67" s="73"/>
      <c r="V67" s="73"/>
      <c r="W67" s="73"/>
      <c r="X67" s="73"/>
      <c r="Y67" s="73"/>
      <c r="Z67" s="73"/>
      <c r="AA67" s="73"/>
      <c r="AB67" s="73"/>
      <c r="AC67" s="73"/>
      <c r="AD67" s="73"/>
      <c r="AE67" s="73"/>
      <c r="AF67" s="73"/>
      <c r="AG67" s="73"/>
      <c r="AH67" s="73"/>
      <c r="AI67" s="73"/>
      <c r="AJ67" s="73"/>
      <c r="AK67" s="73"/>
      <c r="AL67" s="73"/>
      <c r="AM67" s="73"/>
      <c r="AN67" s="73"/>
      <c r="AO67" s="73"/>
      <c r="AP67" s="73"/>
      <c r="AQ67" s="73"/>
      <c r="AR67" s="73"/>
      <c r="AS67" s="73"/>
    </row>
    <row r="68" spans="1:45" ht="16.5" customHeight="1">
      <c r="A68" s="73"/>
      <c r="B68" s="73"/>
      <c r="C68" s="73"/>
      <c r="D68" s="73"/>
      <c r="E68" s="73"/>
      <c r="F68" s="73"/>
      <c r="G68" s="73"/>
      <c r="H68" s="73"/>
      <c r="I68" s="73"/>
      <c r="J68" s="73"/>
      <c r="K68" s="73"/>
      <c r="L68" s="73"/>
      <c r="M68" s="73"/>
      <c r="N68" s="73"/>
      <c r="O68" s="73"/>
      <c r="P68" s="73"/>
      <c r="Q68" s="73"/>
      <c r="R68" s="73"/>
      <c r="S68" s="73"/>
      <c r="T68" s="73"/>
      <c r="U68" s="73"/>
      <c r="V68" s="73"/>
      <c r="W68" s="73"/>
      <c r="X68" s="73"/>
      <c r="Y68" s="73"/>
      <c r="Z68" s="73"/>
      <c r="AA68" s="73"/>
      <c r="AB68" s="73"/>
      <c r="AC68" s="73"/>
      <c r="AD68" s="73"/>
      <c r="AE68" s="73"/>
      <c r="AF68" s="73"/>
      <c r="AG68" s="73"/>
      <c r="AH68" s="73"/>
      <c r="AI68" s="73"/>
      <c r="AJ68" s="73"/>
      <c r="AK68" s="73"/>
      <c r="AL68" s="73"/>
      <c r="AM68" s="73"/>
      <c r="AN68" s="73"/>
      <c r="AO68" s="73"/>
      <c r="AP68" s="73"/>
      <c r="AQ68" s="73"/>
      <c r="AR68" s="73"/>
      <c r="AS68" s="73"/>
    </row>
    <row r="69" spans="1:45" ht="16.5" customHeight="1">
      <c r="A69" s="73"/>
      <c r="B69" s="73"/>
      <c r="C69" s="73"/>
      <c r="D69" s="73"/>
      <c r="E69" s="73"/>
      <c r="F69" s="73"/>
      <c r="G69" s="73"/>
      <c r="H69" s="73"/>
      <c r="I69" s="73"/>
      <c r="J69" s="73"/>
      <c r="K69" s="73"/>
      <c r="L69" s="73"/>
      <c r="M69" s="73"/>
      <c r="N69" s="73"/>
      <c r="O69" s="73"/>
      <c r="P69" s="73"/>
      <c r="Q69" s="73"/>
      <c r="R69" s="73"/>
      <c r="S69" s="73"/>
      <c r="T69" s="73"/>
      <c r="U69" s="73"/>
      <c r="V69" s="73"/>
      <c r="W69" s="73"/>
      <c r="X69" s="73"/>
      <c r="Y69" s="73"/>
      <c r="Z69" s="73"/>
      <c r="AA69" s="73"/>
      <c r="AB69" s="73"/>
      <c r="AC69" s="73"/>
      <c r="AD69" s="73"/>
      <c r="AE69" s="73"/>
      <c r="AF69" s="73"/>
      <c r="AG69" s="73"/>
      <c r="AH69" s="73"/>
      <c r="AI69" s="73"/>
      <c r="AJ69" s="73"/>
      <c r="AK69" s="73"/>
      <c r="AL69" s="73"/>
      <c r="AM69" s="73"/>
      <c r="AN69" s="73"/>
      <c r="AO69" s="73"/>
      <c r="AP69" s="73"/>
      <c r="AQ69" s="73"/>
      <c r="AR69" s="73"/>
      <c r="AS69" s="73"/>
    </row>
    <row r="70" spans="1:45" ht="16.5" customHeight="1">
      <c r="A70" s="73"/>
      <c r="B70" s="73"/>
      <c r="C70" s="73"/>
      <c r="D70" s="73"/>
      <c r="E70" s="73"/>
      <c r="F70" s="73"/>
      <c r="G70" s="73"/>
      <c r="H70" s="73"/>
      <c r="I70" s="73"/>
      <c r="J70" s="73"/>
      <c r="K70" s="73"/>
      <c r="L70" s="73"/>
      <c r="M70" s="73"/>
      <c r="N70" s="73"/>
      <c r="O70" s="73"/>
      <c r="P70" s="73"/>
      <c r="Q70" s="73"/>
      <c r="R70" s="73"/>
      <c r="S70" s="73"/>
      <c r="T70" s="73"/>
      <c r="U70" s="73"/>
      <c r="V70" s="73"/>
      <c r="W70" s="73"/>
      <c r="X70" s="73"/>
      <c r="Y70" s="73"/>
      <c r="Z70" s="73"/>
      <c r="AA70" s="73"/>
      <c r="AB70" s="73"/>
      <c r="AC70" s="73"/>
      <c r="AD70" s="73"/>
      <c r="AE70" s="73"/>
      <c r="AF70" s="73"/>
      <c r="AG70" s="73"/>
      <c r="AH70" s="73"/>
      <c r="AI70" s="73"/>
      <c r="AJ70" s="73"/>
      <c r="AK70" s="73"/>
      <c r="AL70" s="73"/>
      <c r="AM70" s="73"/>
      <c r="AN70" s="73"/>
      <c r="AO70" s="73"/>
      <c r="AP70" s="73"/>
      <c r="AQ70" s="73"/>
      <c r="AR70" s="73"/>
      <c r="AS70" s="73"/>
    </row>
    <row r="71" spans="1:45" ht="16.5" customHeight="1">
      <c r="A71" s="73"/>
      <c r="B71" s="73"/>
      <c r="C71" s="73"/>
      <c r="D71" s="73"/>
      <c r="E71" s="73"/>
      <c r="F71" s="73"/>
      <c r="G71" s="73"/>
      <c r="H71" s="73"/>
      <c r="I71" s="73"/>
      <c r="J71" s="73"/>
      <c r="K71" s="73"/>
      <c r="L71" s="73"/>
      <c r="M71" s="73"/>
      <c r="N71" s="73"/>
      <c r="O71" s="73"/>
      <c r="P71" s="73"/>
      <c r="Q71" s="73"/>
      <c r="R71" s="73"/>
      <c r="S71" s="73"/>
      <c r="T71" s="73"/>
      <c r="U71" s="73"/>
      <c r="V71" s="73"/>
      <c r="W71" s="73"/>
      <c r="X71" s="73"/>
      <c r="Y71" s="73"/>
      <c r="Z71" s="73"/>
      <c r="AA71" s="73"/>
      <c r="AB71" s="73"/>
      <c r="AC71" s="73"/>
      <c r="AD71" s="73"/>
      <c r="AE71" s="73"/>
      <c r="AF71" s="73"/>
      <c r="AG71" s="73"/>
      <c r="AH71" s="73"/>
      <c r="AI71" s="73"/>
      <c r="AJ71" s="73"/>
      <c r="AK71" s="73"/>
      <c r="AL71" s="73"/>
      <c r="AM71" s="73"/>
      <c r="AN71" s="73"/>
      <c r="AO71" s="73"/>
      <c r="AP71" s="73"/>
      <c r="AQ71" s="73"/>
      <c r="AR71" s="73"/>
      <c r="AS71" s="73"/>
    </row>
    <row r="72" spans="1:45" ht="16.5" customHeight="1">
      <c r="A72" s="73"/>
      <c r="B72" s="73"/>
      <c r="C72" s="73"/>
      <c r="D72" s="73"/>
      <c r="E72" s="73"/>
      <c r="F72" s="73"/>
      <c r="G72" s="73"/>
      <c r="H72" s="73"/>
      <c r="I72" s="73"/>
      <c r="J72" s="73"/>
      <c r="K72" s="73"/>
      <c r="L72" s="73"/>
      <c r="M72" s="73"/>
      <c r="N72" s="73"/>
      <c r="O72" s="73"/>
      <c r="P72" s="73"/>
      <c r="Q72" s="73"/>
      <c r="R72" s="73"/>
      <c r="S72" s="73"/>
      <c r="T72" s="73"/>
      <c r="U72" s="73"/>
      <c r="V72" s="73"/>
      <c r="W72" s="73"/>
      <c r="X72" s="73"/>
      <c r="Y72" s="73"/>
      <c r="Z72" s="73"/>
      <c r="AA72" s="73"/>
      <c r="AB72" s="73"/>
      <c r="AC72" s="73"/>
      <c r="AD72" s="73"/>
      <c r="AE72" s="73"/>
      <c r="AF72" s="73"/>
      <c r="AG72" s="73"/>
      <c r="AH72" s="73"/>
      <c r="AI72" s="73"/>
      <c r="AJ72" s="73"/>
      <c r="AK72" s="73"/>
      <c r="AL72" s="73"/>
      <c r="AM72" s="73"/>
      <c r="AN72" s="73"/>
      <c r="AO72" s="73"/>
      <c r="AP72" s="73"/>
      <c r="AQ72" s="73"/>
      <c r="AR72" s="73"/>
      <c r="AS72" s="73"/>
    </row>
    <row r="73" spans="1:45" ht="16.5" customHeight="1">
      <c r="A73" s="73"/>
      <c r="B73" s="73"/>
      <c r="C73" s="73"/>
      <c r="D73" s="73"/>
      <c r="E73" s="73"/>
      <c r="F73" s="73"/>
      <c r="G73" s="73"/>
      <c r="H73" s="73"/>
      <c r="I73" s="73"/>
      <c r="J73" s="73"/>
      <c r="K73" s="73"/>
      <c r="L73" s="73"/>
      <c r="M73" s="73"/>
      <c r="N73" s="73"/>
      <c r="O73" s="73"/>
      <c r="P73" s="73"/>
      <c r="Q73" s="73"/>
      <c r="R73" s="73"/>
      <c r="S73" s="73"/>
      <c r="T73" s="73"/>
      <c r="U73" s="73"/>
      <c r="V73" s="73"/>
      <c r="W73" s="73"/>
      <c r="X73" s="73"/>
      <c r="Y73" s="73"/>
      <c r="Z73" s="73"/>
      <c r="AA73" s="73"/>
      <c r="AB73" s="73"/>
      <c r="AC73" s="73"/>
      <c r="AD73" s="73"/>
      <c r="AE73" s="73"/>
      <c r="AF73" s="73"/>
      <c r="AG73" s="73"/>
      <c r="AH73" s="73"/>
      <c r="AI73" s="73"/>
      <c r="AJ73" s="73"/>
      <c r="AK73" s="73"/>
      <c r="AL73" s="73"/>
      <c r="AM73" s="73"/>
      <c r="AN73" s="73"/>
      <c r="AO73" s="73"/>
      <c r="AP73" s="73"/>
      <c r="AQ73" s="73"/>
      <c r="AR73" s="73"/>
      <c r="AS73" s="73"/>
    </row>
    <row r="74" spans="1:45" ht="16.5" customHeight="1">
      <c r="A74" s="73"/>
      <c r="B74" s="73"/>
      <c r="C74" s="73"/>
      <c r="D74" s="73"/>
      <c r="E74" s="73"/>
      <c r="F74" s="73"/>
      <c r="G74" s="73"/>
      <c r="H74" s="73"/>
      <c r="I74" s="73"/>
      <c r="J74" s="73"/>
      <c r="K74" s="73"/>
      <c r="L74" s="73"/>
      <c r="M74" s="73"/>
      <c r="N74" s="73"/>
      <c r="O74" s="73"/>
      <c r="P74" s="73"/>
      <c r="Q74" s="73"/>
      <c r="R74" s="73"/>
      <c r="S74" s="73"/>
      <c r="T74" s="73"/>
      <c r="U74" s="73"/>
      <c r="V74" s="73"/>
      <c r="W74" s="73"/>
      <c r="X74" s="73"/>
      <c r="Y74" s="73"/>
      <c r="Z74" s="73"/>
      <c r="AA74" s="73"/>
      <c r="AB74" s="73"/>
      <c r="AC74" s="73"/>
      <c r="AD74" s="73"/>
      <c r="AE74" s="73"/>
      <c r="AF74" s="73"/>
      <c r="AG74" s="73"/>
      <c r="AH74" s="73"/>
      <c r="AI74" s="73"/>
      <c r="AJ74" s="73"/>
      <c r="AK74" s="73"/>
      <c r="AL74" s="73"/>
      <c r="AM74" s="73"/>
      <c r="AN74" s="73"/>
      <c r="AO74" s="73"/>
      <c r="AP74" s="73"/>
      <c r="AQ74" s="73"/>
      <c r="AR74" s="73"/>
      <c r="AS74" s="73"/>
    </row>
    <row r="75" spans="1:45" ht="16.5" customHeight="1">
      <c r="A75" s="73"/>
      <c r="B75" s="73"/>
      <c r="C75" s="73"/>
      <c r="D75" s="73"/>
      <c r="E75" s="73"/>
      <c r="F75" s="73"/>
      <c r="G75" s="73"/>
      <c r="H75" s="73"/>
      <c r="I75" s="73"/>
      <c r="J75" s="73"/>
      <c r="K75" s="73"/>
      <c r="L75" s="73"/>
      <c r="M75" s="73"/>
      <c r="N75" s="73"/>
      <c r="O75" s="73"/>
      <c r="P75" s="73"/>
      <c r="Q75" s="73"/>
      <c r="R75" s="73"/>
      <c r="S75" s="73"/>
      <c r="T75" s="73"/>
      <c r="U75" s="73"/>
      <c r="V75" s="73"/>
      <c r="W75" s="73"/>
      <c r="X75" s="73"/>
      <c r="Y75" s="73"/>
      <c r="Z75" s="73"/>
      <c r="AA75" s="73"/>
      <c r="AB75" s="73"/>
      <c r="AC75" s="73"/>
      <c r="AD75" s="73"/>
      <c r="AE75" s="73"/>
      <c r="AF75" s="73"/>
      <c r="AG75" s="73"/>
      <c r="AH75" s="73"/>
      <c r="AI75" s="73"/>
      <c r="AJ75" s="73"/>
      <c r="AK75" s="73"/>
      <c r="AL75" s="73"/>
      <c r="AM75" s="73"/>
      <c r="AN75" s="73"/>
      <c r="AO75" s="73"/>
      <c r="AP75" s="73"/>
      <c r="AQ75" s="73"/>
      <c r="AR75" s="73"/>
      <c r="AS75" s="73"/>
    </row>
    <row r="76" spans="1:45" ht="16.5" customHeight="1">
      <c r="A76" s="73"/>
      <c r="B76" s="73"/>
      <c r="C76" s="73"/>
      <c r="D76" s="73"/>
      <c r="E76" s="73"/>
      <c r="F76" s="73"/>
      <c r="G76" s="73"/>
      <c r="H76" s="73"/>
      <c r="I76" s="73"/>
      <c r="J76" s="73"/>
      <c r="K76" s="73"/>
      <c r="L76" s="73"/>
      <c r="M76" s="73"/>
      <c r="N76" s="73"/>
      <c r="O76" s="73"/>
      <c r="P76" s="73"/>
      <c r="Q76" s="73"/>
      <c r="R76" s="73"/>
      <c r="S76" s="73"/>
      <c r="T76" s="73"/>
      <c r="U76" s="73"/>
      <c r="V76" s="73"/>
      <c r="W76" s="73"/>
      <c r="X76" s="73"/>
      <c r="Y76" s="73"/>
      <c r="Z76" s="73"/>
      <c r="AA76" s="73"/>
      <c r="AB76" s="73"/>
      <c r="AC76" s="73"/>
      <c r="AD76" s="73"/>
      <c r="AE76" s="73"/>
      <c r="AF76" s="73"/>
      <c r="AG76" s="73"/>
      <c r="AH76" s="73"/>
      <c r="AI76" s="73"/>
      <c r="AJ76" s="73"/>
      <c r="AK76" s="73"/>
      <c r="AL76" s="73"/>
      <c r="AM76" s="73"/>
      <c r="AN76" s="73"/>
      <c r="AO76" s="73"/>
      <c r="AP76" s="73"/>
      <c r="AQ76" s="73"/>
      <c r="AR76" s="73"/>
      <c r="AS76" s="73"/>
    </row>
    <row r="77" spans="1:45" ht="16.5" customHeight="1">
      <c r="A77" s="73"/>
      <c r="B77" s="73"/>
      <c r="C77" s="73"/>
      <c r="D77" s="73"/>
      <c r="E77" s="73"/>
      <c r="F77" s="73"/>
      <c r="G77" s="73"/>
      <c r="H77" s="73"/>
      <c r="I77" s="73"/>
      <c r="J77" s="73"/>
      <c r="K77" s="73"/>
      <c r="L77" s="73"/>
      <c r="M77" s="73"/>
      <c r="N77" s="73"/>
      <c r="O77" s="73"/>
      <c r="P77" s="73"/>
      <c r="Q77" s="73"/>
      <c r="R77" s="73"/>
      <c r="S77" s="73"/>
      <c r="T77" s="73"/>
      <c r="U77" s="73"/>
      <c r="V77" s="73"/>
      <c r="W77" s="73"/>
      <c r="X77" s="73"/>
      <c r="Y77" s="73"/>
      <c r="Z77" s="73"/>
      <c r="AA77" s="73"/>
      <c r="AB77" s="73"/>
      <c r="AC77" s="73"/>
      <c r="AD77" s="73"/>
      <c r="AE77" s="73"/>
      <c r="AF77" s="73"/>
      <c r="AG77" s="73"/>
      <c r="AH77" s="73"/>
      <c r="AI77" s="73"/>
      <c r="AJ77" s="73"/>
      <c r="AK77" s="73"/>
      <c r="AL77" s="73"/>
      <c r="AM77" s="73"/>
      <c r="AN77" s="73"/>
      <c r="AO77" s="73"/>
      <c r="AP77" s="73"/>
      <c r="AQ77" s="73"/>
      <c r="AR77" s="73"/>
      <c r="AS77" s="73"/>
    </row>
    <row r="78" spans="1:45" ht="16.5" customHeight="1">
      <c r="A78" s="73"/>
      <c r="B78" s="73"/>
      <c r="C78" s="73"/>
      <c r="D78" s="73"/>
      <c r="E78" s="73"/>
      <c r="F78" s="73"/>
      <c r="G78" s="73"/>
      <c r="H78" s="73"/>
      <c r="I78" s="73"/>
      <c r="J78" s="73"/>
      <c r="K78" s="73"/>
      <c r="L78" s="73"/>
      <c r="M78" s="73"/>
      <c r="N78" s="73"/>
      <c r="O78" s="73"/>
      <c r="P78" s="73"/>
      <c r="Q78" s="73"/>
      <c r="R78" s="73"/>
      <c r="S78" s="73"/>
      <c r="T78" s="73"/>
      <c r="U78" s="73"/>
      <c r="V78" s="73"/>
      <c r="W78" s="73"/>
      <c r="X78" s="73"/>
      <c r="Y78" s="73"/>
      <c r="Z78" s="73"/>
      <c r="AA78" s="73"/>
      <c r="AB78" s="73"/>
      <c r="AC78" s="73"/>
      <c r="AD78" s="73"/>
      <c r="AE78" s="73"/>
      <c r="AF78" s="73"/>
      <c r="AG78" s="73"/>
      <c r="AH78" s="73"/>
      <c r="AI78" s="73"/>
      <c r="AJ78" s="73"/>
      <c r="AK78" s="73"/>
      <c r="AL78" s="73"/>
      <c r="AM78" s="73"/>
      <c r="AN78" s="73"/>
      <c r="AO78" s="73"/>
      <c r="AP78" s="73"/>
      <c r="AQ78" s="73"/>
      <c r="AR78" s="73"/>
      <c r="AS78" s="73"/>
    </row>
    <row r="79" spans="1:45" ht="16.5" customHeight="1">
      <c r="A79" s="73"/>
      <c r="B79" s="73"/>
      <c r="C79" s="73"/>
      <c r="D79" s="73"/>
      <c r="E79" s="73"/>
      <c r="F79" s="73"/>
      <c r="G79" s="73"/>
      <c r="H79" s="73"/>
      <c r="I79" s="73"/>
      <c r="J79" s="73"/>
      <c r="K79" s="73"/>
      <c r="L79" s="73"/>
      <c r="M79" s="73"/>
      <c r="N79" s="73"/>
      <c r="O79" s="73"/>
      <c r="P79" s="73"/>
      <c r="Q79" s="73"/>
      <c r="R79" s="73"/>
      <c r="S79" s="73"/>
      <c r="T79" s="73"/>
      <c r="U79" s="73"/>
      <c r="V79" s="73"/>
      <c r="W79" s="73"/>
      <c r="X79" s="73"/>
      <c r="Y79" s="73"/>
      <c r="Z79" s="73"/>
      <c r="AA79" s="73"/>
      <c r="AB79" s="73"/>
      <c r="AC79" s="73"/>
      <c r="AD79" s="73"/>
      <c r="AE79" s="73"/>
      <c r="AF79" s="73"/>
      <c r="AG79" s="73"/>
      <c r="AH79" s="73"/>
      <c r="AI79" s="73"/>
      <c r="AJ79" s="73"/>
      <c r="AK79" s="73"/>
      <c r="AL79" s="73"/>
      <c r="AM79" s="73"/>
      <c r="AN79" s="73"/>
      <c r="AO79" s="73"/>
      <c r="AP79" s="73"/>
      <c r="AQ79" s="73"/>
      <c r="AR79" s="73"/>
      <c r="AS79" s="73"/>
    </row>
    <row r="80" spans="1:45" ht="16.5" customHeight="1">
      <c r="A80" s="73"/>
      <c r="B80" s="73"/>
      <c r="C80" s="73"/>
      <c r="D80" s="73"/>
      <c r="E80" s="73"/>
      <c r="F80" s="73"/>
      <c r="G80" s="73"/>
      <c r="H80" s="73"/>
      <c r="I80" s="73"/>
      <c r="J80" s="73"/>
      <c r="K80" s="73"/>
      <c r="L80" s="73"/>
      <c r="M80" s="73"/>
      <c r="N80" s="73"/>
      <c r="O80" s="73"/>
      <c r="P80" s="73"/>
      <c r="Q80" s="73"/>
      <c r="R80" s="73"/>
      <c r="S80" s="73"/>
      <c r="T80" s="73"/>
      <c r="U80" s="73"/>
      <c r="V80" s="73"/>
      <c r="W80" s="73"/>
      <c r="X80" s="73"/>
      <c r="Y80" s="73"/>
      <c r="Z80" s="73"/>
      <c r="AA80" s="73"/>
      <c r="AB80" s="73"/>
      <c r="AC80" s="73"/>
      <c r="AD80" s="73"/>
      <c r="AE80" s="73"/>
      <c r="AF80" s="73"/>
      <c r="AG80" s="73"/>
      <c r="AH80" s="73"/>
      <c r="AI80" s="73"/>
      <c r="AJ80" s="73"/>
      <c r="AK80" s="73"/>
      <c r="AL80" s="73"/>
      <c r="AM80" s="73"/>
      <c r="AN80" s="73"/>
      <c r="AO80" s="73"/>
      <c r="AP80" s="73"/>
      <c r="AQ80" s="73"/>
      <c r="AR80" s="73"/>
      <c r="AS80" s="73"/>
    </row>
    <row r="81" spans="1:45" ht="16.5" customHeight="1">
      <c r="A81" s="73"/>
      <c r="B81" s="73"/>
      <c r="C81" s="73"/>
      <c r="D81" s="73"/>
      <c r="E81" s="73"/>
      <c r="F81" s="73"/>
      <c r="G81" s="73"/>
      <c r="H81" s="73"/>
      <c r="I81" s="73"/>
      <c r="J81" s="73"/>
      <c r="K81" s="73"/>
      <c r="L81" s="73"/>
      <c r="M81" s="73"/>
      <c r="N81" s="73"/>
      <c r="O81" s="73"/>
      <c r="P81" s="73"/>
      <c r="Q81" s="73"/>
      <c r="R81" s="73"/>
      <c r="S81" s="73"/>
      <c r="T81" s="73"/>
      <c r="U81" s="73"/>
      <c r="V81" s="73"/>
      <c r="W81" s="73"/>
      <c r="X81" s="73"/>
      <c r="Y81" s="73"/>
      <c r="Z81" s="73"/>
      <c r="AA81" s="73"/>
      <c r="AB81" s="73"/>
      <c r="AC81" s="73"/>
      <c r="AD81" s="73"/>
      <c r="AE81" s="73"/>
      <c r="AF81" s="73"/>
      <c r="AG81" s="73"/>
      <c r="AH81" s="73"/>
      <c r="AI81" s="73"/>
      <c r="AJ81" s="73"/>
      <c r="AK81" s="73"/>
      <c r="AL81" s="73"/>
      <c r="AM81" s="73"/>
      <c r="AN81" s="73"/>
      <c r="AO81" s="73"/>
      <c r="AP81" s="73"/>
      <c r="AQ81" s="73"/>
      <c r="AR81" s="73"/>
      <c r="AS81" s="73"/>
    </row>
    <row r="82" spans="1:45" ht="16.5" customHeight="1">
      <c r="A82" s="73"/>
      <c r="B82" s="73"/>
      <c r="C82" s="73"/>
      <c r="D82" s="73"/>
      <c r="E82" s="73"/>
      <c r="F82" s="73"/>
      <c r="G82" s="73"/>
      <c r="H82" s="73"/>
      <c r="I82" s="73"/>
      <c r="J82" s="73"/>
      <c r="K82" s="73"/>
      <c r="L82" s="73"/>
      <c r="M82" s="73"/>
      <c r="N82" s="73"/>
      <c r="O82" s="73"/>
      <c r="P82" s="73"/>
      <c r="Q82" s="73"/>
      <c r="R82" s="73"/>
      <c r="S82" s="73"/>
      <c r="T82" s="73"/>
      <c r="U82" s="73"/>
      <c r="V82" s="73"/>
      <c r="W82" s="73"/>
      <c r="X82" s="73"/>
      <c r="Y82" s="73"/>
      <c r="Z82" s="73"/>
      <c r="AA82" s="73"/>
      <c r="AB82" s="73"/>
      <c r="AC82" s="73"/>
      <c r="AD82" s="73"/>
      <c r="AE82" s="73"/>
      <c r="AF82" s="73"/>
      <c r="AG82" s="73"/>
      <c r="AH82" s="73"/>
      <c r="AI82" s="73"/>
      <c r="AJ82" s="73"/>
      <c r="AK82" s="73"/>
      <c r="AL82" s="73"/>
      <c r="AM82" s="73"/>
      <c r="AN82" s="73"/>
      <c r="AO82" s="73"/>
      <c r="AP82" s="73"/>
      <c r="AQ82" s="73"/>
      <c r="AR82" s="73"/>
      <c r="AS82" s="73"/>
    </row>
    <row r="83" spans="1:45" ht="16.5" customHeight="1">
      <c r="A83" s="73"/>
      <c r="B83" s="73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  <c r="Q83" s="73"/>
      <c r="R83" s="73"/>
      <c r="S83" s="73"/>
      <c r="T83" s="73"/>
      <c r="U83" s="73"/>
      <c r="V83" s="73"/>
      <c r="W83" s="73"/>
      <c r="X83" s="73"/>
      <c r="Y83" s="73"/>
      <c r="Z83" s="73"/>
      <c r="AA83" s="73"/>
      <c r="AB83" s="73"/>
      <c r="AC83" s="73"/>
      <c r="AD83" s="73"/>
      <c r="AE83" s="73"/>
      <c r="AF83" s="73"/>
      <c r="AG83" s="73"/>
      <c r="AH83" s="73"/>
      <c r="AI83" s="73"/>
      <c r="AJ83" s="73"/>
      <c r="AK83" s="73"/>
      <c r="AL83" s="73"/>
      <c r="AM83" s="73"/>
      <c r="AN83" s="73"/>
      <c r="AO83" s="73"/>
      <c r="AP83" s="73"/>
      <c r="AQ83" s="73"/>
      <c r="AR83" s="73"/>
      <c r="AS83" s="73"/>
    </row>
    <row r="84" spans="1:45" ht="16.5" customHeight="1">
      <c r="A84" s="73"/>
      <c r="B84" s="73"/>
      <c r="C84" s="73"/>
      <c r="D84" s="73"/>
      <c r="E84" s="73"/>
      <c r="F84" s="73"/>
      <c r="G84" s="73"/>
      <c r="H84" s="73"/>
      <c r="I84" s="73"/>
      <c r="J84" s="73"/>
      <c r="K84" s="73"/>
      <c r="L84" s="73"/>
      <c r="M84" s="73"/>
      <c r="N84" s="73"/>
      <c r="O84" s="73"/>
      <c r="P84" s="73"/>
      <c r="Q84" s="73"/>
      <c r="R84" s="73"/>
      <c r="S84" s="73"/>
      <c r="T84" s="73"/>
      <c r="U84" s="73"/>
      <c r="V84" s="73"/>
      <c r="W84" s="73"/>
      <c r="X84" s="73"/>
      <c r="Y84" s="73"/>
      <c r="Z84" s="73"/>
      <c r="AA84" s="73"/>
      <c r="AB84" s="73"/>
      <c r="AC84" s="73"/>
      <c r="AD84" s="73"/>
      <c r="AE84" s="73"/>
      <c r="AF84" s="73"/>
      <c r="AG84" s="73"/>
      <c r="AH84" s="73"/>
      <c r="AI84" s="73"/>
      <c r="AJ84" s="73"/>
      <c r="AK84" s="73"/>
      <c r="AL84" s="73"/>
      <c r="AM84" s="73"/>
      <c r="AN84" s="73"/>
      <c r="AO84" s="73"/>
      <c r="AP84" s="73"/>
      <c r="AQ84" s="73"/>
      <c r="AR84" s="73"/>
      <c r="AS84" s="73"/>
    </row>
    <row r="85" spans="1:45" ht="16.5" customHeight="1">
      <c r="A85" s="73"/>
      <c r="B85" s="73"/>
      <c r="C85" s="73"/>
      <c r="D85" s="73"/>
      <c r="E85" s="73"/>
      <c r="F85" s="73"/>
      <c r="G85" s="73"/>
      <c r="H85" s="73"/>
      <c r="I85" s="73"/>
      <c r="J85" s="73"/>
      <c r="K85" s="73"/>
      <c r="L85" s="73"/>
      <c r="M85" s="73"/>
      <c r="N85" s="73"/>
      <c r="O85" s="73"/>
      <c r="P85" s="73"/>
      <c r="Q85" s="73"/>
      <c r="R85" s="73"/>
      <c r="S85" s="73"/>
      <c r="T85" s="73"/>
      <c r="U85" s="73"/>
      <c r="V85" s="73"/>
      <c r="W85" s="73"/>
      <c r="X85" s="73"/>
      <c r="Y85" s="73"/>
      <c r="Z85" s="73"/>
      <c r="AA85" s="73"/>
      <c r="AB85" s="73"/>
      <c r="AC85" s="73"/>
      <c r="AD85" s="73"/>
      <c r="AE85" s="73"/>
      <c r="AF85" s="73"/>
      <c r="AG85" s="73"/>
      <c r="AH85" s="73"/>
      <c r="AI85" s="73"/>
      <c r="AJ85" s="73"/>
      <c r="AK85" s="73"/>
      <c r="AL85" s="73"/>
      <c r="AM85" s="73"/>
      <c r="AN85" s="73"/>
      <c r="AO85" s="73"/>
      <c r="AP85" s="73"/>
      <c r="AQ85" s="73"/>
      <c r="AR85" s="73"/>
      <c r="AS85" s="73"/>
    </row>
    <row r="86" spans="1:45" ht="16.5" customHeight="1">
      <c r="A86" s="73"/>
      <c r="B86" s="73"/>
      <c r="C86" s="73"/>
      <c r="D86" s="73"/>
      <c r="E86" s="73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  <c r="U86" s="73"/>
      <c r="V86" s="73"/>
      <c r="W86" s="73"/>
      <c r="X86" s="73"/>
      <c r="Y86" s="73"/>
      <c r="Z86" s="73"/>
      <c r="AA86" s="73"/>
      <c r="AB86" s="73"/>
      <c r="AC86" s="73"/>
      <c r="AD86" s="73"/>
      <c r="AE86" s="73"/>
      <c r="AF86" s="73"/>
      <c r="AG86" s="73"/>
      <c r="AH86" s="73"/>
      <c r="AI86" s="73"/>
      <c r="AJ86" s="73"/>
      <c r="AK86" s="73"/>
      <c r="AL86" s="73"/>
      <c r="AM86" s="73"/>
      <c r="AN86" s="73"/>
      <c r="AO86" s="73"/>
      <c r="AP86" s="73"/>
      <c r="AQ86" s="73"/>
      <c r="AR86" s="73"/>
      <c r="AS86" s="73"/>
    </row>
    <row r="87" spans="1:45" ht="16.5" customHeight="1">
      <c r="A87" s="73"/>
      <c r="B87" s="73"/>
      <c r="C87" s="73"/>
      <c r="D87" s="73"/>
      <c r="E87" s="73"/>
      <c r="F87" s="73"/>
      <c r="G87" s="73"/>
      <c r="H87" s="73"/>
      <c r="I87" s="73"/>
      <c r="J87" s="73"/>
      <c r="K87" s="73"/>
      <c r="L87" s="73"/>
      <c r="M87" s="73"/>
      <c r="N87" s="73"/>
      <c r="O87" s="73"/>
      <c r="P87" s="73"/>
      <c r="Q87" s="73"/>
      <c r="R87" s="73"/>
      <c r="S87" s="73"/>
      <c r="T87" s="73"/>
      <c r="U87" s="73"/>
      <c r="V87" s="73"/>
      <c r="W87" s="73"/>
      <c r="X87" s="73"/>
      <c r="Y87" s="73"/>
      <c r="Z87" s="73"/>
      <c r="AA87" s="73"/>
      <c r="AB87" s="73"/>
      <c r="AC87" s="73"/>
      <c r="AD87" s="73"/>
      <c r="AE87" s="73"/>
      <c r="AF87" s="73"/>
      <c r="AG87" s="73"/>
      <c r="AH87" s="73"/>
      <c r="AI87" s="73"/>
      <c r="AJ87" s="73"/>
      <c r="AK87" s="73"/>
      <c r="AL87" s="73"/>
      <c r="AM87" s="73"/>
      <c r="AN87" s="73"/>
      <c r="AO87" s="73"/>
      <c r="AP87" s="73"/>
      <c r="AQ87" s="73"/>
      <c r="AR87" s="73"/>
      <c r="AS87" s="73"/>
    </row>
    <row r="88" spans="1:45" ht="16.5" customHeight="1">
      <c r="A88" s="73"/>
      <c r="B88" s="73"/>
      <c r="C88" s="73"/>
      <c r="D88" s="73"/>
      <c r="E88" s="73"/>
      <c r="F88" s="73"/>
      <c r="G88" s="73"/>
      <c r="H88" s="73"/>
      <c r="I88" s="73"/>
      <c r="J88" s="73"/>
      <c r="K88" s="73"/>
      <c r="L88" s="73"/>
      <c r="M88" s="73"/>
      <c r="N88" s="73"/>
      <c r="O88" s="73"/>
      <c r="P88" s="73"/>
      <c r="Q88" s="73"/>
      <c r="R88" s="73"/>
      <c r="S88" s="73"/>
      <c r="T88" s="73"/>
      <c r="U88" s="73"/>
      <c r="V88" s="73"/>
      <c r="W88" s="73"/>
      <c r="X88" s="73"/>
      <c r="Y88" s="73"/>
      <c r="Z88" s="73"/>
      <c r="AA88" s="73"/>
      <c r="AB88" s="73"/>
      <c r="AC88" s="73"/>
      <c r="AD88" s="73"/>
      <c r="AE88" s="73"/>
      <c r="AF88" s="73"/>
      <c r="AG88" s="73"/>
      <c r="AH88" s="73"/>
      <c r="AI88" s="73"/>
      <c r="AJ88" s="73"/>
      <c r="AK88" s="73"/>
      <c r="AL88" s="73"/>
      <c r="AM88" s="73"/>
      <c r="AN88" s="73"/>
      <c r="AO88" s="73"/>
      <c r="AP88" s="73"/>
      <c r="AQ88" s="73"/>
      <c r="AR88" s="73"/>
      <c r="AS88" s="73"/>
    </row>
    <row r="89" spans="1:45" ht="16.5" customHeight="1">
      <c r="A89" s="73"/>
      <c r="B89" s="73"/>
      <c r="C89" s="73"/>
      <c r="D89" s="73"/>
      <c r="E89" s="73"/>
      <c r="F89" s="73"/>
      <c r="G89" s="73"/>
      <c r="H89" s="73"/>
      <c r="I89" s="73"/>
      <c r="J89" s="73"/>
      <c r="K89" s="73"/>
      <c r="L89" s="73"/>
      <c r="M89" s="73"/>
      <c r="N89" s="73"/>
      <c r="O89" s="73"/>
      <c r="P89" s="73"/>
      <c r="Q89" s="73"/>
      <c r="R89" s="73"/>
      <c r="S89" s="73"/>
      <c r="T89" s="73"/>
      <c r="U89" s="73"/>
      <c r="V89" s="73"/>
      <c r="W89" s="73"/>
      <c r="X89" s="73"/>
      <c r="Y89" s="73"/>
      <c r="Z89" s="73"/>
      <c r="AA89" s="73"/>
      <c r="AB89" s="73"/>
      <c r="AC89" s="73"/>
      <c r="AD89" s="73"/>
      <c r="AE89" s="73"/>
      <c r="AF89" s="73"/>
      <c r="AG89" s="73"/>
      <c r="AH89" s="73"/>
      <c r="AI89" s="73"/>
      <c r="AJ89" s="73"/>
      <c r="AK89" s="73"/>
      <c r="AL89" s="73"/>
      <c r="AM89" s="73"/>
      <c r="AN89" s="73"/>
      <c r="AO89" s="73"/>
      <c r="AP89" s="73"/>
      <c r="AQ89" s="73"/>
      <c r="AR89" s="73"/>
      <c r="AS89" s="73"/>
    </row>
    <row r="90" spans="1:45" ht="16.5" customHeight="1">
      <c r="A90" s="73"/>
      <c r="B90" s="73"/>
      <c r="C90" s="73"/>
      <c r="D90" s="73"/>
      <c r="E90" s="73"/>
      <c r="F90" s="73"/>
      <c r="G90" s="73"/>
      <c r="H90" s="73"/>
      <c r="I90" s="73"/>
      <c r="J90" s="73"/>
      <c r="K90" s="73"/>
      <c r="L90" s="73"/>
      <c r="M90" s="73"/>
      <c r="N90" s="73"/>
      <c r="O90" s="73"/>
      <c r="P90" s="73"/>
      <c r="Q90" s="73"/>
      <c r="R90" s="73"/>
      <c r="S90" s="73"/>
      <c r="T90" s="73"/>
      <c r="U90" s="73"/>
      <c r="V90" s="73"/>
      <c r="W90" s="73"/>
      <c r="X90" s="73"/>
      <c r="Y90" s="73"/>
      <c r="Z90" s="73"/>
      <c r="AA90" s="73"/>
      <c r="AB90" s="73"/>
      <c r="AC90" s="73"/>
      <c r="AD90" s="73"/>
      <c r="AE90" s="73"/>
      <c r="AF90" s="73"/>
      <c r="AG90" s="73"/>
      <c r="AH90" s="73"/>
      <c r="AI90" s="73"/>
      <c r="AJ90" s="73"/>
      <c r="AK90" s="73"/>
      <c r="AL90" s="73"/>
      <c r="AM90" s="73"/>
      <c r="AN90" s="73"/>
      <c r="AO90" s="73"/>
      <c r="AP90" s="73"/>
      <c r="AQ90" s="73"/>
      <c r="AR90" s="73"/>
      <c r="AS90" s="73"/>
    </row>
    <row r="91" spans="1:45" ht="16.5" customHeight="1">
      <c r="A91" s="73"/>
      <c r="B91" s="73"/>
      <c r="C91" s="73"/>
      <c r="D91" s="73"/>
      <c r="E91" s="73"/>
      <c r="F91" s="73"/>
      <c r="G91" s="73"/>
      <c r="H91" s="73"/>
      <c r="I91" s="73"/>
      <c r="J91" s="73"/>
      <c r="K91" s="73"/>
      <c r="L91" s="73"/>
      <c r="M91" s="73"/>
      <c r="N91" s="73"/>
      <c r="O91" s="73"/>
      <c r="P91" s="73"/>
      <c r="Q91" s="73"/>
      <c r="R91" s="73"/>
      <c r="S91" s="73"/>
      <c r="T91" s="73"/>
      <c r="U91" s="73"/>
      <c r="V91" s="73"/>
      <c r="W91" s="73"/>
      <c r="X91" s="73"/>
      <c r="Y91" s="73"/>
      <c r="Z91" s="73"/>
      <c r="AA91" s="73"/>
      <c r="AB91" s="73"/>
      <c r="AC91" s="73"/>
      <c r="AD91" s="73"/>
      <c r="AE91" s="73"/>
      <c r="AF91" s="73"/>
      <c r="AG91" s="73"/>
      <c r="AH91" s="73"/>
      <c r="AI91" s="73"/>
      <c r="AJ91" s="73"/>
      <c r="AK91" s="73"/>
      <c r="AL91" s="73"/>
      <c r="AM91" s="73"/>
      <c r="AN91" s="73"/>
      <c r="AO91" s="73"/>
      <c r="AP91" s="73"/>
      <c r="AQ91" s="73"/>
      <c r="AR91" s="73"/>
      <c r="AS91" s="73"/>
    </row>
    <row r="92" spans="1:45" ht="16.5" customHeight="1">
      <c r="A92" s="73"/>
      <c r="B92" s="73"/>
      <c r="C92" s="73"/>
      <c r="D92" s="73"/>
      <c r="E92" s="73"/>
      <c r="F92" s="73"/>
      <c r="G92" s="73"/>
      <c r="H92" s="73"/>
      <c r="I92" s="73"/>
      <c r="J92" s="73"/>
      <c r="K92" s="73"/>
      <c r="L92" s="73"/>
      <c r="M92" s="73"/>
      <c r="N92" s="73"/>
      <c r="O92" s="73"/>
      <c r="P92" s="73"/>
      <c r="Q92" s="73"/>
      <c r="R92" s="73"/>
      <c r="S92" s="73"/>
      <c r="T92" s="73"/>
      <c r="U92" s="73"/>
      <c r="V92" s="73"/>
      <c r="W92" s="73"/>
      <c r="X92" s="73"/>
      <c r="Y92" s="73"/>
      <c r="Z92" s="73"/>
      <c r="AA92" s="73"/>
      <c r="AB92" s="73"/>
      <c r="AC92" s="73"/>
      <c r="AD92" s="73"/>
      <c r="AE92" s="73"/>
      <c r="AF92" s="73"/>
      <c r="AG92" s="73"/>
      <c r="AH92" s="73"/>
      <c r="AI92" s="73"/>
      <c r="AJ92" s="73"/>
      <c r="AK92" s="73"/>
      <c r="AL92" s="73"/>
      <c r="AM92" s="73"/>
      <c r="AN92" s="73"/>
      <c r="AO92" s="73"/>
      <c r="AP92" s="73"/>
      <c r="AQ92" s="73"/>
      <c r="AR92" s="73"/>
      <c r="AS92" s="73"/>
    </row>
    <row r="93" spans="1:45" ht="16.5" customHeight="1">
      <c r="A93" s="73"/>
      <c r="B93" s="73"/>
      <c r="C93" s="73"/>
      <c r="D93" s="73"/>
      <c r="E93" s="73"/>
      <c r="F93" s="73"/>
      <c r="G93" s="73"/>
      <c r="H93" s="73"/>
      <c r="I93" s="73"/>
      <c r="J93" s="73"/>
      <c r="K93" s="73"/>
      <c r="L93" s="73"/>
      <c r="M93" s="73"/>
      <c r="N93" s="73"/>
      <c r="O93" s="73"/>
      <c r="P93" s="73"/>
      <c r="Q93" s="73"/>
      <c r="R93" s="73"/>
      <c r="S93" s="73"/>
      <c r="T93" s="73"/>
      <c r="U93" s="73"/>
      <c r="V93" s="73"/>
      <c r="W93" s="73"/>
      <c r="X93" s="73"/>
      <c r="Y93" s="73"/>
      <c r="Z93" s="73"/>
      <c r="AA93" s="73"/>
      <c r="AB93" s="73"/>
      <c r="AC93" s="73"/>
      <c r="AD93" s="73"/>
      <c r="AE93" s="73"/>
      <c r="AF93" s="73"/>
      <c r="AG93" s="73"/>
      <c r="AH93" s="73"/>
      <c r="AI93" s="73"/>
      <c r="AJ93" s="73"/>
      <c r="AK93" s="73"/>
      <c r="AL93" s="73"/>
      <c r="AM93" s="73"/>
      <c r="AN93" s="73"/>
      <c r="AO93" s="73"/>
      <c r="AP93" s="73"/>
      <c r="AQ93" s="73"/>
      <c r="AR93" s="73"/>
      <c r="AS93" s="73"/>
    </row>
    <row r="94" spans="1:45" ht="16.5" customHeight="1">
      <c r="A94" s="73"/>
      <c r="B94" s="73"/>
      <c r="C94" s="73"/>
      <c r="D94" s="73"/>
      <c r="E94" s="73"/>
      <c r="F94" s="73"/>
      <c r="G94" s="73"/>
      <c r="H94" s="73"/>
      <c r="I94" s="73"/>
      <c r="J94" s="73"/>
      <c r="K94" s="73"/>
      <c r="L94" s="73"/>
      <c r="M94" s="73"/>
      <c r="N94" s="73"/>
      <c r="O94" s="73"/>
      <c r="P94" s="73"/>
      <c r="Q94" s="73"/>
      <c r="R94" s="73"/>
      <c r="S94" s="73"/>
      <c r="T94" s="73"/>
      <c r="U94" s="73"/>
      <c r="V94" s="73"/>
      <c r="W94" s="73"/>
      <c r="X94" s="73"/>
      <c r="Y94" s="73"/>
      <c r="Z94" s="73"/>
      <c r="AA94" s="73"/>
      <c r="AB94" s="73"/>
      <c r="AC94" s="73"/>
      <c r="AD94" s="73"/>
      <c r="AE94" s="73"/>
      <c r="AF94" s="73"/>
      <c r="AG94" s="73"/>
      <c r="AH94" s="73"/>
      <c r="AI94" s="73"/>
      <c r="AJ94" s="73"/>
      <c r="AK94" s="73"/>
      <c r="AL94" s="73"/>
      <c r="AM94" s="73"/>
      <c r="AN94" s="73"/>
      <c r="AO94" s="73"/>
      <c r="AP94" s="73"/>
      <c r="AQ94" s="73"/>
      <c r="AR94" s="73"/>
      <c r="AS94" s="73"/>
    </row>
    <row r="95" spans="1:45" ht="16.5" customHeight="1">
      <c r="A95" s="73"/>
      <c r="B95" s="73"/>
      <c r="C95" s="73"/>
      <c r="D95" s="73"/>
      <c r="E95" s="73"/>
      <c r="F95" s="73"/>
      <c r="G95" s="73"/>
      <c r="H95" s="73"/>
      <c r="I95" s="73"/>
      <c r="J95" s="73"/>
      <c r="K95" s="73"/>
      <c r="L95" s="73"/>
      <c r="M95" s="73"/>
      <c r="N95" s="73"/>
      <c r="O95" s="73"/>
      <c r="P95" s="73"/>
      <c r="Q95" s="73"/>
      <c r="R95" s="73"/>
      <c r="S95" s="73"/>
      <c r="T95" s="73"/>
      <c r="U95" s="73"/>
      <c r="V95" s="73"/>
      <c r="W95" s="73"/>
      <c r="X95" s="73"/>
      <c r="Y95" s="73"/>
      <c r="Z95" s="73"/>
      <c r="AA95" s="73"/>
      <c r="AB95" s="73"/>
      <c r="AC95" s="73"/>
      <c r="AD95" s="73"/>
      <c r="AE95" s="73"/>
      <c r="AF95" s="73"/>
      <c r="AG95" s="73"/>
      <c r="AH95" s="73"/>
      <c r="AI95" s="73"/>
      <c r="AJ95" s="73"/>
      <c r="AK95" s="73"/>
      <c r="AL95" s="73"/>
      <c r="AM95" s="73"/>
      <c r="AN95" s="73"/>
      <c r="AO95" s="73"/>
      <c r="AP95" s="73"/>
      <c r="AQ95" s="73"/>
      <c r="AR95" s="73"/>
      <c r="AS95" s="73"/>
    </row>
    <row r="96" spans="1:45" ht="16.5" customHeight="1">
      <c r="A96" s="73"/>
      <c r="B96" s="73"/>
      <c r="C96" s="73"/>
      <c r="D96" s="73"/>
      <c r="E96" s="73"/>
      <c r="F96" s="73"/>
      <c r="G96" s="73"/>
      <c r="H96" s="73"/>
      <c r="I96" s="73"/>
      <c r="J96" s="73"/>
      <c r="K96" s="73"/>
      <c r="L96" s="73"/>
      <c r="M96" s="73"/>
      <c r="N96" s="73"/>
      <c r="O96" s="73"/>
      <c r="P96" s="73"/>
      <c r="Q96" s="73"/>
      <c r="R96" s="73"/>
      <c r="S96" s="73"/>
      <c r="T96" s="73"/>
      <c r="U96" s="73"/>
      <c r="V96" s="73"/>
      <c r="W96" s="73"/>
      <c r="X96" s="73"/>
      <c r="Y96" s="73"/>
      <c r="Z96" s="73"/>
      <c r="AA96" s="73"/>
      <c r="AB96" s="73"/>
      <c r="AC96" s="73"/>
      <c r="AD96" s="73"/>
      <c r="AE96" s="73"/>
      <c r="AF96" s="73"/>
      <c r="AG96" s="73"/>
      <c r="AH96" s="73"/>
      <c r="AI96" s="73"/>
      <c r="AJ96" s="73"/>
      <c r="AK96" s="73"/>
      <c r="AL96" s="73"/>
      <c r="AM96" s="73"/>
      <c r="AN96" s="73"/>
      <c r="AO96" s="73"/>
      <c r="AP96" s="73"/>
      <c r="AQ96" s="73"/>
      <c r="AR96" s="73"/>
      <c r="AS96" s="73"/>
    </row>
    <row r="97" spans="1:45" ht="16.5" customHeight="1">
      <c r="A97" s="73"/>
      <c r="B97" s="73"/>
      <c r="C97" s="73"/>
      <c r="D97" s="73"/>
      <c r="E97" s="73"/>
      <c r="F97" s="73"/>
      <c r="G97" s="73"/>
      <c r="H97" s="73"/>
      <c r="I97" s="73"/>
      <c r="J97" s="73"/>
      <c r="K97" s="73"/>
      <c r="L97" s="73"/>
      <c r="M97" s="73"/>
      <c r="N97" s="73"/>
      <c r="O97" s="73"/>
      <c r="P97" s="73"/>
      <c r="Q97" s="73"/>
      <c r="R97" s="73"/>
      <c r="S97" s="73"/>
      <c r="T97" s="73"/>
      <c r="U97" s="73"/>
      <c r="V97" s="73"/>
      <c r="W97" s="73"/>
      <c r="X97" s="73"/>
      <c r="Y97" s="73"/>
      <c r="Z97" s="73"/>
      <c r="AA97" s="73"/>
      <c r="AB97" s="73"/>
      <c r="AC97" s="73"/>
      <c r="AD97" s="73"/>
      <c r="AE97" s="73"/>
      <c r="AF97" s="73"/>
      <c r="AG97" s="73"/>
      <c r="AH97" s="73"/>
      <c r="AI97" s="73"/>
      <c r="AJ97" s="73"/>
      <c r="AK97" s="73"/>
      <c r="AL97" s="73"/>
      <c r="AM97" s="73"/>
      <c r="AN97" s="73"/>
      <c r="AO97" s="73"/>
      <c r="AP97" s="73"/>
      <c r="AQ97" s="73"/>
      <c r="AR97" s="73"/>
      <c r="AS97" s="73"/>
    </row>
    <row r="98" spans="1:45" ht="16.5" customHeight="1">
      <c r="A98" s="73"/>
      <c r="B98" s="73"/>
      <c r="C98" s="73"/>
      <c r="D98" s="73"/>
      <c r="E98" s="73"/>
      <c r="F98" s="73"/>
      <c r="G98" s="73"/>
      <c r="H98" s="73"/>
      <c r="I98" s="73"/>
      <c r="J98" s="73"/>
      <c r="K98" s="73"/>
      <c r="L98" s="73"/>
      <c r="M98" s="73"/>
      <c r="N98" s="73"/>
      <c r="O98" s="73"/>
      <c r="P98" s="73"/>
      <c r="Q98" s="73"/>
      <c r="R98" s="73"/>
      <c r="S98" s="73"/>
      <c r="T98" s="73"/>
      <c r="U98" s="73"/>
      <c r="V98" s="73"/>
      <c r="W98" s="73"/>
      <c r="X98" s="73"/>
      <c r="Y98" s="73"/>
      <c r="Z98" s="73"/>
      <c r="AA98" s="73"/>
      <c r="AB98" s="73"/>
      <c r="AC98" s="73"/>
      <c r="AD98" s="73"/>
      <c r="AE98" s="73"/>
      <c r="AF98" s="73"/>
      <c r="AG98" s="73"/>
      <c r="AH98" s="73"/>
      <c r="AI98" s="73"/>
      <c r="AJ98" s="73"/>
      <c r="AK98" s="73"/>
      <c r="AL98" s="73"/>
      <c r="AM98" s="73"/>
      <c r="AN98" s="73"/>
      <c r="AO98" s="73"/>
      <c r="AP98" s="73"/>
      <c r="AQ98" s="73"/>
      <c r="AR98" s="73"/>
      <c r="AS98" s="73"/>
    </row>
    <row r="99" spans="1:45" ht="16.5" customHeight="1">
      <c r="A99" s="73"/>
      <c r="B99" s="73"/>
      <c r="C99" s="73"/>
      <c r="D99" s="73"/>
      <c r="E99" s="73"/>
      <c r="F99" s="73"/>
      <c r="G99" s="73"/>
      <c r="H99" s="73"/>
      <c r="I99" s="73"/>
      <c r="J99" s="73"/>
      <c r="K99" s="73"/>
      <c r="L99" s="73"/>
      <c r="M99" s="73"/>
      <c r="N99" s="73"/>
      <c r="O99" s="73"/>
      <c r="P99" s="73"/>
      <c r="Q99" s="73"/>
      <c r="R99" s="73"/>
      <c r="S99" s="73"/>
      <c r="T99" s="73"/>
      <c r="U99" s="73"/>
      <c r="V99" s="73"/>
      <c r="W99" s="73"/>
      <c r="X99" s="73"/>
      <c r="Y99" s="73"/>
      <c r="Z99" s="73"/>
      <c r="AA99" s="73"/>
      <c r="AB99" s="73"/>
      <c r="AC99" s="73"/>
      <c r="AD99" s="73"/>
      <c r="AE99" s="73"/>
      <c r="AF99" s="73"/>
      <c r="AG99" s="73"/>
      <c r="AH99" s="73"/>
      <c r="AI99" s="73"/>
      <c r="AJ99" s="73"/>
      <c r="AK99" s="73"/>
      <c r="AL99" s="73"/>
      <c r="AM99" s="73"/>
      <c r="AN99" s="73"/>
      <c r="AO99" s="73"/>
      <c r="AP99" s="73"/>
      <c r="AQ99" s="73"/>
      <c r="AR99" s="73"/>
      <c r="AS99" s="73"/>
    </row>
    <row r="100" spans="1:45" ht="16.5" customHeight="1">
      <c r="A100" s="73"/>
      <c r="B100" s="73"/>
      <c r="C100" s="73"/>
      <c r="D100" s="73"/>
      <c r="E100" s="73"/>
      <c r="F100" s="73"/>
      <c r="G100" s="73"/>
      <c r="H100" s="73"/>
      <c r="I100" s="73"/>
      <c r="J100" s="73"/>
      <c r="K100" s="73"/>
      <c r="L100" s="73"/>
      <c r="M100" s="73"/>
      <c r="N100" s="73"/>
      <c r="O100" s="73"/>
      <c r="P100" s="73"/>
      <c r="Q100" s="73"/>
      <c r="R100" s="73"/>
      <c r="S100" s="73"/>
      <c r="T100" s="73"/>
      <c r="U100" s="73"/>
      <c r="V100" s="73"/>
      <c r="W100" s="73"/>
      <c r="X100" s="73"/>
      <c r="Y100" s="73"/>
      <c r="Z100" s="73"/>
      <c r="AA100" s="73"/>
      <c r="AB100" s="73"/>
      <c r="AC100" s="73"/>
      <c r="AD100" s="73"/>
      <c r="AE100" s="73"/>
      <c r="AF100" s="73"/>
      <c r="AG100" s="73"/>
      <c r="AH100" s="73"/>
      <c r="AI100" s="73"/>
      <c r="AJ100" s="73"/>
      <c r="AK100" s="73"/>
      <c r="AL100" s="73"/>
      <c r="AM100" s="73"/>
      <c r="AN100" s="73"/>
      <c r="AO100" s="73"/>
      <c r="AP100" s="73"/>
      <c r="AQ100" s="73"/>
      <c r="AR100" s="73"/>
      <c r="AS100" s="73"/>
    </row>
  </sheetData>
  <mergeCells count="14">
    <mergeCell ref="A55:A60"/>
    <mergeCell ref="V1:Y1"/>
    <mergeCell ref="Z1:AC1"/>
    <mergeCell ref="AD1:AG1"/>
    <mergeCell ref="A47:A53"/>
    <mergeCell ref="A41:A45"/>
    <mergeCell ref="B1:E1"/>
    <mergeCell ref="F1:I1"/>
    <mergeCell ref="J1:M1"/>
    <mergeCell ref="AL1:AO1"/>
    <mergeCell ref="AP1:AS1"/>
    <mergeCell ref="AH1:AK1"/>
    <mergeCell ref="R1:U1"/>
    <mergeCell ref="N1:Q1"/>
  </mergeCells>
  <phoneticPr fontId="27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S100"/>
  <sheetViews>
    <sheetView workbookViewId="0">
      <selection activeCell="S15" sqref="S15"/>
    </sheetView>
  </sheetViews>
  <sheetFormatPr defaultColWidth="12.625" defaultRowHeight="15" customHeight="1"/>
  <cols>
    <col min="1" max="1" width="5.25" customWidth="1"/>
    <col min="2" max="2" width="10.75" customWidth="1"/>
    <col min="3" max="3" width="12.375" customWidth="1"/>
    <col min="4" max="4" width="11.875" customWidth="1"/>
    <col min="5" max="5" width="10.625" customWidth="1"/>
    <col min="6" max="6" width="22.875" customWidth="1"/>
    <col min="7" max="10" width="8.25" customWidth="1"/>
    <col min="11" max="18" width="7.875" customWidth="1"/>
  </cols>
  <sheetData>
    <row r="1" spans="1:19" ht="21.75" customHeight="1">
      <c r="A1" s="128" t="s">
        <v>124</v>
      </c>
      <c r="B1" s="77" t="s">
        <v>74</v>
      </c>
      <c r="C1" s="129" t="s">
        <v>75</v>
      </c>
      <c r="D1" s="181" t="s">
        <v>76</v>
      </c>
      <c r="E1" s="131" t="s">
        <v>77</v>
      </c>
      <c r="F1" s="128" t="s">
        <v>78</v>
      </c>
      <c r="G1" s="132" t="s">
        <v>2</v>
      </c>
      <c r="H1" s="132" t="s">
        <v>3</v>
      </c>
      <c r="I1" s="132" t="s">
        <v>4</v>
      </c>
      <c r="J1" s="132" t="s">
        <v>5</v>
      </c>
      <c r="K1" s="132" t="s">
        <v>6</v>
      </c>
      <c r="L1" s="132" t="s">
        <v>7</v>
      </c>
      <c r="M1" s="132" t="s">
        <v>8</v>
      </c>
      <c r="N1" s="132" t="s">
        <v>9</v>
      </c>
      <c r="O1" s="132" t="s">
        <v>10</v>
      </c>
      <c r="P1" s="132" t="s">
        <v>11</v>
      </c>
      <c r="Q1" s="132" t="s">
        <v>12</v>
      </c>
      <c r="R1" s="132" t="s">
        <v>16</v>
      </c>
    </row>
    <row r="2" spans="1:19" ht="21.75" customHeight="1">
      <c r="A2" s="128" t="s">
        <v>79</v>
      </c>
      <c r="B2" s="134" t="s">
        <v>130</v>
      </c>
      <c r="C2" s="129"/>
      <c r="D2" s="135"/>
      <c r="E2" s="135" t="s">
        <v>131</v>
      </c>
      <c r="F2" s="128" t="s">
        <v>132</v>
      </c>
      <c r="G2" s="136"/>
      <c r="H2" s="136"/>
      <c r="I2" s="136"/>
      <c r="J2" s="136"/>
      <c r="K2" s="182"/>
      <c r="L2" s="182"/>
      <c r="M2" s="182"/>
      <c r="N2" s="182"/>
      <c r="O2" s="182">
        <v>42982</v>
      </c>
      <c r="P2" s="182">
        <v>42982</v>
      </c>
      <c r="Q2" s="182">
        <v>42982</v>
      </c>
      <c r="R2" s="182">
        <v>42982</v>
      </c>
    </row>
    <row r="3" spans="1:19" ht="21.75" customHeight="1">
      <c r="A3" s="128"/>
      <c r="B3" s="128"/>
      <c r="C3" s="129"/>
      <c r="D3" s="181">
        <v>28000</v>
      </c>
      <c r="E3" s="207">
        <v>28000</v>
      </c>
      <c r="F3" s="183" t="s">
        <v>133</v>
      </c>
      <c r="G3" s="141"/>
      <c r="H3" s="141"/>
      <c r="I3" s="141"/>
      <c r="J3" s="141"/>
      <c r="K3" s="179"/>
      <c r="L3" s="179"/>
      <c r="M3" s="179"/>
      <c r="N3" s="179"/>
      <c r="O3" s="208">
        <v>28000</v>
      </c>
      <c r="P3" s="208">
        <v>28000</v>
      </c>
      <c r="Q3" s="208">
        <v>28000</v>
      </c>
      <c r="R3" s="208">
        <v>28000</v>
      </c>
    </row>
    <row r="4" spans="1:19" ht="21.75" customHeight="1">
      <c r="A4" s="128" t="s">
        <v>85</v>
      </c>
      <c r="B4" s="134" t="s">
        <v>36</v>
      </c>
      <c r="C4" s="129"/>
      <c r="D4" s="135"/>
      <c r="E4" s="135"/>
      <c r="F4" s="136"/>
      <c r="G4" s="136"/>
      <c r="H4" s="136"/>
      <c r="I4" s="136"/>
      <c r="J4" s="136"/>
      <c r="K4" s="182"/>
      <c r="L4" s="182"/>
      <c r="M4" s="182"/>
      <c r="N4" s="182"/>
      <c r="O4" s="182"/>
      <c r="P4" s="182"/>
      <c r="Q4" s="182"/>
      <c r="R4" s="182"/>
    </row>
    <row r="5" spans="1:19" ht="21.75" customHeight="1">
      <c r="A5" s="128"/>
      <c r="B5" s="128"/>
      <c r="C5" s="129"/>
      <c r="D5" s="181"/>
      <c r="E5" s="131"/>
      <c r="F5" s="141"/>
      <c r="G5" s="141"/>
      <c r="H5" s="141"/>
      <c r="I5" s="141"/>
      <c r="J5" s="141"/>
      <c r="K5" s="141"/>
      <c r="L5" s="141"/>
      <c r="M5" s="141"/>
      <c r="N5" s="141"/>
      <c r="O5" s="141"/>
      <c r="P5" s="141"/>
      <c r="Q5" s="141"/>
      <c r="R5" s="141"/>
    </row>
    <row r="6" spans="1:19" ht="21.75" customHeight="1">
      <c r="A6" s="128" t="s">
        <v>90</v>
      </c>
      <c r="B6" s="128" t="s">
        <v>134</v>
      </c>
      <c r="C6" s="129" t="s">
        <v>135</v>
      </c>
      <c r="D6" s="135"/>
      <c r="E6" s="135"/>
      <c r="F6" s="136" t="s">
        <v>136</v>
      </c>
      <c r="G6" s="136"/>
      <c r="H6" s="136"/>
      <c r="I6" s="136"/>
      <c r="J6" s="136"/>
      <c r="K6" s="136"/>
      <c r="L6" s="136"/>
      <c r="M6" s="136">
        <v>42934</v>
      </c>
      <c r="N6" s="136">
        <v>42934</v>
      </c>
      <c r="O6" s="136">
        <v>42935</v>
      </c>
      <c r="P6" s="136">
        <v>42935</v>
      </c>
      <c r="Q6" s="136"/>
      <c r="R6" s="136"/>
    </row>
    <row r="7" spans="1:19" ht="21.75" customHeight="1">
      <c r="A7" s="128"/>
      <c r="B7" s="128"/>
      <c r="C7" s="129"/>
      <c r="D7" s="181">
        <v>27000</v>
      </c>
      <c r="E7" s="207">
        <v>27000</v>
      </c>
      <c r="F7" s="185" t="s">
        <v>137</v>
      </c>
      <c r="G7" s="141"/>
      <c r="H7" s="141"/>
      <c r="I7" s="141"/>
      <c r="J7" s="141"/>
      <c r="K7" s="141"/>
      <c r="L7" s="141"/>
      <c r="M7" s="184">
        <f>12873+(27000/31*13)</f>
        <v>24195.580645161292</v>
      </c>
      <c r="N7" s="184">
        <v>27000</v>
      </c>
      <c r="O7" s="184">
        <v>27000</v>
      </c>
      <c r="P7" s="184">
        <f>27000/31*(31-13)</f>
        <v>15677.41935483871</v>
      </c>
      <c r="Q7" s="141"/>
      <c r="R7" s="141"/>
    </row>
    <row r="8" spans="1:19" ht="21.75" customHeight="1">
      <c r="A8" s="128"/>
      <c r="B8" s="128"/>
      <c r="C8" s="77"/>
      <c r="D8" s="130">
        <f>SUBTOTAL(109,'2-141'!$D$1:$D$7)</f>
        <v>55000</v>
      </c>
      <c r="E8" s="145">
        <f>SUBTOTAL(109,'2-141'!$E$1:$E$7)</f>
        <v>55000</v>
      </c>
      <c r="F8" s="144" t="s">
        <v>113</v>
      </c>
      <c r="G8" s="186">
        <f t="shared" ref="G8:R8" si="0">G3+G5+G7</f>
        <v>0</v>
      </c>
      <c r="H8" s="186">
        <f t="shared" si="0"/>
        <v>0</v>
      </c>
      <c r="I8" s="186">
        <f t="shared" si="0"/>
        <v>0</v>
      </c>
      <c r="J8" s="186">
        <f t="shared" si="0"/>
        <v>0</v>
      </c>
      <c r="K8" s="186">
        <f t="shared" si="0"/>
        <v>0</v>
      </c>
      <c r="L8" s="186">
        <f t="shared" si="0"/>
        <v>0</v>
      </c>
      <c r="M8" s="186">
        <f t="shared" si="0"/>
        <v>24195.580645161292</v>
      </c>
      <c r="N8" s="186">
        <f t="shared" si="0"/>
        <v>27000</v>
      </c>
      <c r="O8" s="186">
        <f t="shared" si="0"/>
        <v>55000</v>
      </c>
      <c r="P8" s="186">
        <f t="shared" si="0"/>
        <v>43677.419354838712</v>
      </c>
      <c r="Q8" s="186">
        <f t="shared" si="0"/>
        <v>28000</v>
      </c>
      <c r="R8" s="186">
        <f t="shared" si="0"/>
        <v>28000</v>
      </c>
    </row>
    <row r="9" spans="1:19" ht="21.75" customHeight="1">
      <c r="A9" s="77"/>
      <c r="B9" s="77"/>
      <c r="C9" s="77"/>
      <c r="D9" s="371" t="s">
        <v>126</v>
      </c>
      <c r="E9" s="358"/>
      <c r="F9" s="358"/>
      <c r="G9" s="187"/>
      <c r="H9" s="187"/>
      <c r="I9" s="187"/>
      <c r="J9" s="187"/>
      <c r="K9" s="188"/>
      <c r="L9" s="187"/>
      <c r="M9" s="187"/>
      <c r="N9" s="189"/>
      <c r="O9" s="187"/>
      <c r="P9" s="190"/>
      <c r="Q9" s="190"/>
      <c r="R9" s="190"/>
    </row>
    <row r="10" spans="1:19" ht="21.75" customHeight="1">
      <c r="A10" s="133"/>
      <c r="B10" s="133"/>
      <c r="C10" s="133"/>
      <c r="D10" s="371" t="s">
        <v>127</v>
      </c>
      <c r="E10" s="358"/>
      <c r="F10" s="358"/>
      <c r="G10" s="189"/>
      <c r="H10" s="189"/>
      <c r="I10" s="189"/>
      <c r="J10" s="191"/>
      <c r="K10" s="188"/>
      <c r="L10" s="189"/>
      <c r="M10" s="187"/>
      <c r="N10" s="187"/>
      <c r="O10" s="187"/>
      <c r="P10" s="187"/>
      <c r="Q10" s="189"/>
      <c r="R10" s="189"/>
    </row>
    <row r="11" spans="1:19" ht="21.75" customHeight="1">
      <c r="A11" s="77"/>
      <c r="B11" s="77"/>
      <c r="C11" s="77"/>
      <c r="D11" s="372" t="s">
        <v>128</v>
      </c>
      <c r="E11" s="358"/>
      <c r="F11" s="358"/>
      <c r="G11" s="189"/>
      <c r="H11" s="189"/>
      <c r="I11" s="189"/>
      <c r="J11" s="187"/>
      <c r="K11" s="192"/>
      <c r="L11" s="187"/>
      <c r="M11" s="189"/>
      <c r="N11" s="189"/>
      <c r="O11" s="187"/>
      <c r="P11" s="187"/>
      <c r="Q11" s="189"/>
      <c r="R11" s="189"/>
    </row>
    <row r="12" spans="1:19" ht="21.75" customHeight="1">
      <c r="A12" s="77"/>
      <c r="B12" s="77"/>
      <c r="C12" s="77"/>
      <c r="D12" s="372" t="s">
        <v>117</v>
      </c>
      <c r="E12" s="358"/>
      <c r="F12" s="358"/>
      <c r="G12" s="189"/>
      <c r="H12" s="189"/>
      <c r="I12" s="189"/>
      <c r="J12" s="187"/>
      <c r="K12" s="189"/>
      <c r="L12" s="187"/>
      <c r="M12" s="189"/>
      <c r="N12" s="189"/>
      <c r="O12" s="187"/>
      <c r="P12" s="187"/>
      <c r="Q12" s="189"/>
      <c r="R12" s="189"/>
    </row>
    <row r="13" spans="1:19" ht="21.75" customHeight="1">
      <c r="A13" s="77"/>
      <c r="B13" s="77"/>
      <c r="C13" s="77"/>
      <c r="D13" s="372" t="s">
        <v>118</v>
      </c>
      <c r="E13" s="358"/>
      <c r="F13" s="358"/>
      <c r="G13" s="189"/>
      <c r="H13" s="189"/>
      <c r="I13" s="189"/>
      <c r="J13" s="189"/>
      <c r="K13" s="189"/>
      <c r="L13" s="189">
        <f t="shared" ref="L13:R13" si="1">SUM(L9:L12)</f>
        <v>0</v>
      </c>
      <c r="M13" s="189">
        <f t="shared" si="1"/>
        <v>0</v>
      </c>
      <c r="N13" s="189">
        <f t="shared" si="1"/>
        <v>0</v>
      </c>
      <c r="O13" s="189">
        <f t="shared" si="1"/>
        <v>0</v>
      </c>
      <c r="P13" s="189">
        <f t="shared" si="1"/>
        <v>0</v>
      </c>
      <c r="Q13" s="189">
        <f t="shared" si="1"/>
        <v>0</v>
      </c>
      <c r="R13" s="189">
        <f t="shared" si="1"/>
        <v>0</v>
      </c>
    </row>
    <row r="14" spans="1:19" ht="21.75" customHeight="1">
      <c r="A14" s="77"/>
      <c r="B14" s="77"/>
      <c r="C14" s="160"/>
      <c r="D14" s="77"/>
      <c r="E14" s="157"/>
      <c r="F14" s="193"/>
      <c r="G14" s="194" t="s">
        <v>2</v>
      </c>
      <c r="H14" s="194" t="s">
        <v>3</v>
      </c>
      <c r="I14" s="194" t="s">
        <v>4</v>
      </c>
      <c r="J14" s="194" t="s">
        <v>5</v>
      </c>
      <c r="K14" s="194" t="s">
        <v>6</v>
      </c>
      <c r="L14" s="194" t="s">
        <v>7</v>
      </c>
      <c r="M14" s="194" t="s">
        <v>8</v>
      </c>
      <c r="N14" s="194" t="s">
        <v>9</v>
      </c>
      <c r="O14" s="194" t="s">
        <v>10</v>
      </c>
      <c r="P14" s="194" t="s">
        <v>11</v>
      </c>
      <c r="Q14" s="194" t="s">
        <v>12</v>
      </c>
      <c r="R14" s="194" t="s">
        <v>16</v>
      </c>
    </row>
    <row r="15" spans="1:19" ht="21.75" customHeight="1">
      <c r="A15" s="77"/>
      <c r="B15" s="77"/>
      <c r="C15" s="160"/>
      <c r="D15" s="78"/>
      <c r="E15" s="161" t="s">
        <v>79</v>
      </c>
      <c r="F15" s="195" t="s">
        <v>119</v>
      </c>
      <c r="G15" s="196"/>
      <c r="H15" s="196"/>
      <c r="I15" s="164"/>
      <c r="J15" s="164"/>
      <c r="K15" s="164"/>
      <c r="L15" s="164"/>
      <c r="M15" s="164"/>
      <c r="N15" s="164"/>
      <c r="O15" s="164">
        <v>6059</v>
      </c>
      <c r="P15" s="164">
        <v>6299</v>
      </c>
      <c r="Q15" s="164"/>
      <c r="R15" s="164"/>
      <c r="S15" s="292">
        <f>Table_6[[#This Row],[106/10]]/P16</f>
        <v>4.7719696969696965</v>
      </c>
    </row>
    <row r="16" spans="1:19" ht="21.75" customHeight="1">
      <c r="A16" s="77"/>
      <c r="B16" s="77"/>
      <c r="C16" s="160"/>
      <c r="D16" s="78"/>
      <c r="E16" s="165"/>
      <c r="F16" s="197" t="s">
        <v>121</v>
      </c>
      <c r="G16" s="198"/>
      <c r="H16" s="199"/>
      <c r="I16" s="199"/>
      <c r="J16" s="200"/>
      <c r="K16" s="199"/>
      <c r="L16" s="199"/>
      <c r="M16" s="199">
        <f t="shared" ref="M16:N16" si="2">IF((M15-L15)*5.5&gt;0,(M15-L15)*5.5,0)</f>
        <v>0</v>
      </c>
      <c r="N16" s="199">
        <f t="shared" si="2"/>
        <v>0</v>
      </c>
      <c r="O16" s="199"/>
      <c r="P16" s="199">
        <f t="shared" ref="P16:R16" si="3">IF((P15-O15)*5.5&gt;0,(P15-O15)*5.5,0)</f>
        <v>1320</v>
      </c>
      <c r="Q16" s="199">
        <f t="shared" si="3"/>
        <v>0</v>
      </c>
      <c r="R16" s="199">
        <f t="shared" si="3"/>
        <v>0</v>
      </c>
    </row>
    <row r="17" spans="1:18" ht="21.75" customHeight="1">
      <c r="A17" s="77"/>
      <c r="B17" s="77"/>
      <c r="C17" s="160"/>
      <c r="D17" s="78"/>
      <c r="E17" s="161" t="s">
        <v>85</v>
      </c>
      <c r="F17" s="195" t="s">
        <v>119</v>
      </c>
      <c r="G17" s="196"/>
      <c r="H17" s="196"/>
      <c r="I17" s="164"/>
      <c r="J17" s="164"/>
      <c r="K17" s="164"/>
      <c r="L17" s="201"/>
      <c r="M17" s="164"/>
      <c r="N17" s="164"/>
      <c r="O17" s="164"/>
      <c r="P17" s="164">
        <v>6628</v>
      </c>
      <c r="Q17" s="164">
        <v>6676</v>
      </c>
      <c r="R17" s="164"/>
    </row>
    <row r="18" spans="1:18" ht="21.75" customHeight="1">
      <c r="A18" s="77"/>
      <c r="B18" s="77"/>
      <c r="C18" s="160"/>
      <c r="D18" s="78"/>
      <c r="E18" s="165"/>
      <c r="F18" s="197" t="s">
        <v>121</v>
      </c>
      <c r="G18" s="198"/>
      <c r="H18" s="198"/>
      <c r="I18" s="199"/>
      <c r="J18" s="199"/>
      <c r="K18" s="199"/>
      <c r="L18" s="199"/>
      <c r="M18" s="199">
        <f>IF((M17-7117)*5.5&gt;0,(M17-7117)*5.5,0)</f>
        <v>0</v>
      </c>
      <c r="N18" s="199">
        <f t="shared" ref="N18:O18" si="4">IF((N17-M17)*5.5&gt;0,(N17-M17)*5.5,0)</f>
        <v>0</v>
      </c>
      <c r="O18" s="199">
        <f t="shared" si="4"/>
        <v>0</v>
      </c>
      <c r="P18" s="199"/>
      <c r="Q18" s="199">
        <f t="shared" ref="Q18:R18" si="5">IF((Q17-P17)*5.5&gt;0,(Q17-P17)*5.5,0)</f>
        <v>264</v>
      </c>
      <c r="R18" s="199">
        <f t="shared" si="5"/>
        <v>0</v>
      </c>
    </row>
    <row r="19" spans="1:18" ht="21.75" customHeight="1">
      <c r="A19" s="77"/>
      <c r="B19" s="77"/>
      <c r="C19" s="160"/>
      <c r="D19" s="78"/>
      <c r="E19" s="169" t="s">
        <v>90</v>
      </c>
      <c r="F19" s="195" t="s">
        <v>119</v>
      </c>
      <c r="G19" s="196"/>
      <c r="H19" s="196"/>
      <c r="I19" s="202"/>
      <c r="J19" s="202"/>
      <c r="K19" s="201"/>
      <c r="L19" s="201"/>
      <c r="M19" s="201">
        <v>5799</v>
      </c>
      <c r="N19" s="201">
        <v>5827</v>
      </c>
      <c r="O19" s="203">
        <v>5931</v>
      </c>
      <c r="P19" s="201"/>
      <c r="Q19" s="201"/>
      <c r="R19" s="204"/>
    </row>
    <row r="20" spans="1:18" ht="21.75" customHeight="1">
      <c r="A20" s="77"/>
      <c r="B20" s="77"/>
      <c r="C20" s="160"/>
      <c r="D20" s="78"/>
      <c r="E20" s="165"/>
      <c r="F20" s="197" t="s">
        <v>121</v>
      </c>
      <c r="G20" s="198"/>
      <c r="H20" s="198"/>
      <c r="I20" s="199"/>
      <c r="J20" s="199"/>
      <c r="K20" s="199">
        <f>IF((K19-5001)*5.5&gt;0,(K19-5001)*5.5,0)</f>
        <v>0</v>
      </c>
      <c r="L20" s="199">
        <f>IF((L19-K19)*5.5&gt;0,(L19-K19)*5.5,0)</f>
        <v>0</v>
      </c>
      <c r="M20" s="199"/>
      <c r="N20" s="199">
        <f t="shared" ref="N20:R20" si="6">IF((N19-M19)*5.5&gt;0,(N19-M19)*5.5,0)</f>
        <v>154</v>
      </c>
      <c r="O20" s="199">
        <f t="shared" si="6"/>
        <v>572</v>
      </c>
      <c r="P20" s="199">
        <f t="shared" si="6"/>
        <v>0</v>
      </c>
      <c r="Q20" s="199">
        <f t="shared" si="6"/>
        <v>0</v>
      </c>
      <c r="R20" s="199">
        <f t="shared" si="6"/>
        <v>0</v>
      </c>
    </row>
    <row r="21" spans="1:18" ht="21.75" customHeight="1">
      <c r="A21" s="77"/>
      <c r="B21" s="77"/>
      <c r="C21" s="160"/>
      <c r="D21" s="78"/>
      <c r="E21" s="176"/>
      <c r="F21" s="205" t="s">
        <v>122</v>
      </c>
      <c r="G21" s="199">
        <f t="shared" ref="G21:R21" si="7">G16+G18+G20</f>
        <v>0</v>
      </c>
      <c r="H21" s="199">
        <f t="shared" si="7"/>
        <v>0</v>
      </c>
      <c r="I21" s="199">
        <f t="shared" si="7"/>
        <v>0</v>
      </c>
      <c r="J21" s="199">
        <f t="shared" si="7"/>
        <v>0</v>
      </c>
      <c r="K21" s="199">
        <f t="shared" si="7"/>
        <v>0</v>
      </c>
      <c r="L21" s="199">
        <f t="shared" si="7"/>
        <v>0</v>
      </c>
      <c r="M21" s="199">
        <f t="shared" si="7"/>
        <v>0</v>
      </c>
      <c r="N21" s="199">
        <f t="shared" si="7"/>
        <v>154</v>
      </c>
      <c r="O21" s="199">
        <f t="shared" si="7"/>
        <v>572</v>
      </c>
      <c r="P21" s="199">
        <f t="shared" si="7"/>
        <v>1320</v>
      </c>
      <c r="Q21" s="199">
        <f t="shared" si="7"/>
        <v>264</v>
      </c>
      <c r="R21" s="199">
        <f t="shared" si="7"/>
        <v>0</v>
      </c>
    </row>
    <row r="22" spans="1:18" ht="21.75" customHeight="1">
      <c r="A22" s="77"/>
      <c r="B22" s="77"/>
      <c r="C22" s="160"/>
      <c r="D22" s="78"/>
      <c r="E22" s="369" t="s">
        <v>123</v>
      </c>
      <c r="F22" s="370"/>
      <c r="G22" s="192">
        <f>'2-141'!$G$8+G13+'2-141'!$G$21</f>
        <v>0</v>
      </c>
      <c r="H22" s="192">
        <f>'2-141'!$H$8+H13+'2-141'!$H$21</f>
        <v>0</v>
      </c>
      <c r="I22" s="192">
        <f>'2-141'!$I$8+I13+'2-141'!$I$21</f>
        <v>0</v>
      </c>
      <c r="J22" s="192">
        <f>'2-141'!$J$8+J13+'2-141'!$J$21</f>
        <v>0</v>
      </c>
      <c r="K22" s="192">
        <f>'2-141'!$K$8+K13+'2-141'!$K$21</f>
        <v>0</v>
      </c>
      <c r="L22" s="192">
        <f>'2-141'!$L$8+L13+'2-141'!$L$21</f>
        <v>0</v>
      </c>
      <c r="M22" s="192">
        <f>'2-141'!$M$8+M13+'2-141'!$M$21</f>
        <v>24195.580645161292</v>
      </c>
      <c r="N22" s="192">
        <f>'2-141'!$N$8+N13+'2-141'!$N$21</f>
        <v>27154</v>
      </c>
      <c r="O22" s="192">
        <f>'2-141'!$O$8+O13+'2-141'!$O$21</f>
        <v>55572</v>
      </c>
      <c r="P22" s="192">
        <f>'2-141'!$P$8+P13+'2-141'!$P$21</f>
        <v>44997.419354838712</v>
      </c>
      <c r="Q22" s="192">
        <f>'2-141'!$Q$8+Q13+'2-141'!$Q$21</f>
        <v>28264</v>
      </c>
      <c r="R22" s="192">
        <f>'2-141'!$R$8+R13+'2-141'!$R$21</f>
        <v>28000</v>
      </c>
    </row>
    <row r="23" spans="1:18" ht="21.75" customHeight="1">
      <c r="A23" s="77"/>
      <c r="B23" s="77"/>
      <c r="C23" s="160"/>
      <c r="D23" s="78"/>
      <c r="G23" s="191"/>
      <c r="H23" s="191"/>
      <c r="I23" s="191"/>
      <c r="J23" s="191"/>
      <c r="K23" s="191"/>
      <c r="L23" s="191"/>
      <c r="M23" s="191"/>
      <c r="N23" s="191"/>
      <c r="O23" s="191"/>
      <c r="P23" s="191"/>
      <c r="Q23" s="191"/>
      <c r="R23" s="191"/>
    </row>
    <row r="24" spans="1:18" ht="21.75" customHeight="1">
      <c r="D24" s="78"/>
      <c r="G24" s="191"/>
      <c r="H24" s="191"/>
      <c r="I24" s="191"/>
      <c r="J24" s="191"/>
      <c r="K24" s="191"/>
      <c r="L24" s="191"/>
      <c r="M24" s="191"/>
      <c r="N24" s="191"/>
      <c r="O24" s="191"/>
      <c r="P24" s="191"/>
      <c r="Q24" s="191"/>
      <c r="R24" s="191"/>
    </row>
    <row r="25" spans="1:18" ht="21.75" customHeight="1">
      <c r="G25" s="191"/>
      <c r="H25" s="191"/>
      <c r="I25" s="191"/>
      <c r="J25" s="191"/>
      <c r="K25" s="191"/>
      <c r="L25" s="191" t="s">
        <v>129</v>
      </c>
      <c r="M25" s="191"/>
      <c r="N25" s="191"/>
      <c r="O25" s="191"/>
      <c r="P25" s="191"/>
      <c r="Q25" s="191"/>
      <c r="R25" s="191"/>
    </row>
    <row r="26" spans="1:18" ht="21.75" customHeight="1">
      <c r="G26" s="191"/>
      <c r="H26" s="191"/>
      <c r="I26" s="191"/>
      <c r="J26" s="191"/>
      <c r="K26" s="191"/>
      <c r="L26" s="191"/>
      <c r="M26" s="191"/>
      <c r="N26" s="191"/>
      <c r="O26" s="191"/>
      <c r="P26" s="191"/>
      <c r="Q26" s="191"/>
      <c r="R26" s="191"/>
    </row>
    <row r="27" spans="1:18" ht="21.75" customHeight="1">
      <c r="G27" s="191"/>
      <c r="H27" s="191"/>
      <c r="I27" s="191"/>
      <c r="J27" s="191"/>
      <c r="K27" s="191"/>
      <c r="L27" s="191"/>
      <c r="M27" s="191"/>
      <c r="N27" s="191"/>
      <c r="O27" s="191"/>
      <c r="P27" s="191"/>
      <c r="Q27" s="191"/>
      <c r="R27" s="191"/>
    </row>
    <row r="28" spans="1:18" ht="21.75" customHeight="1">
      <c r="G28" s="191"/>
      <c r="H28" s="191"/>
      <c r="I28" s="191"/>
      <c r="J28" s="191"/>
      <c r="K28" s="191"/>
      <c r="L28" s="191"/>
      <c r="M28" s="191"/>
      <c r="N28" s="191"/>
      <c r="O28" s="191"/>
      <c r="P28" s="191"/>
      <c r="Q28" s="191"/>
      <c r="R28" s="191"/>
    </row>
    <row r="29" spans="1:18" ht="21.75" customHeight="1">
      <c r="G29" s="191"/>
      <c r="H29" s="191"/>
      <c r="I29" s="191"/>
      <c r="J29" s="191"/>
      <c r="K29" s="191"/>
      <c r="L29" s="191"/>
      <c r="M29" s="191"/>
      <c r="N29" s="191"/>
      <c r="O29" s="191"/>
      <c r="P29" s="191"/>
      <c r="Q29" s="191"/>
      <c r="R29" s="191"/>
    </row>
    <row r="30" spans="1:18" ht="21.75" customHeight="1">
      <c r="G30" s="191"/>
      <c r="H30" s="191"/>
      <c r="I30" s="191"/>
      <c r="J30" s="191"/>
      <c r="K30" s="191"/>
      <c r="L30" s="191"/>
      <c r="M30" s="191"/>
      <c r="N30" s="191"/>
      <c r="O30" s="191"/>
      <c r="P30" s="191"/>
      <c r="Q30" s="191"/>
      <c r="R30" s="191"/>
    </row>
    <row r="31" spans="1:18" ht="21.75" customHeight="1">
      <c r="G31" s="191"/>
      <c r="H31" s="191"/>
      <c r="I31" s="191"/>
      <c r="J31" s="191"/>
      <c r="K31" s="191"/>
      <c r="L31" s="191"/>
      <c r="M31" s="191"/>
      <c r="N31" s="191"/>
      <c r="O31" s="191"/>
      <c r="P31" s="191"/>
      <c r="Q31" s="191"/>
      <c r="R31" s="191"/>
    </row>
    <row r="32" spans="1:18" ht="21.75" customHeight="1">
      <c r="G32" s="191"/>
      <c r="H32" s="191"/>
      <c r="I32" s="191"/>
      <c r="J32" s="191"/>
      <c r="K32" s="191"/>
      <c r="L32" s="191"/>
      <c r="M32" s="191"/>
      <c r="N32" s="191"/>
      <c r="O32" s="191"/>
      <c r="P32" s="191"/>
      <c r="Q32" s="191"/>
      <c r="R32" s="191"/>
    </row>
    <row r="33" spans="7:18" ht="21.75" customHeight="1">
      <c r="G33" s="191"/>
      <c r="H33" s="191"/>
      <c r="I33" s="191"/>
      <c r="J33" s="191"/>
      <c r="K33" s="191"/>
      <c r="L33" s="191"/>
      <c r="M33" s="191"/>
      <c r="N33" s="191"/>
      <c r="O33" s="191"/>
      <c r="P33" s="191"/>
      <c r="Q33" s="191"/>
      <c r="R33" s="191"/>
    </row>
    <row r="34" spans="7:18" ht="21.75" customHeight="1">
      <c r="G34" s="191"/>
      <c r="H34" s="191"/>
      <c r="I34" s="191"/>
      <c r="J34" s="191"/>
      <c r="K34" s="191"/>
      <c r="L34" s="191"/>
      <c r="M34" s="191"/>
      <c r="N34" s="191"/>
      <c r="O34" s="191"/>
      <c r="P34" s="191"/>
      <c r="Q34" s="191"/>
      <c r="R34" s="191"/>
    </row>
    <row r="35" spans="7:18" ht="21.75" customHeight="1">
      <c r="G35" s="191"/>
      <c r="H35" s="191"/>
      <c r="I35" s="191"/>
      <c r="J35" s="191"/>
      <c r="K35" s="191"/>
      <c r="L35" s="191"/>
      <c r="M35" s="191"/>
      <c r="N35" s="191"/>
      <c r="O35" s="191"/>
      <c r="P35" s="191"/>
      <c r="Q35" s="191"/>
      <c r="R35" s="191"/>
    </row>
    <row r="36" spans="7:18" ht="21.75" customHeight="1">
      <c r="G36" s="191"/>
      <c r="H36" s="191"/>
      <c r="I36" s="191"/>
      <c r="J36" s="191"/>
      <c r="K36" s="191"/>
      <c r="L36" s="191"/>
      <c r="M36" s="191"/>
      <c r="N36" s="191"/>
      <c r="O36" s="191"/>
      <c r="P36" s="191"/>
      <c r="Q36" s="191"/>
      <c r="R36" s="191"/>
    </row>
    <row r="37" spans="7:18" ht="21.75" customHeight="1">
      <c r="G37" s="191"/>
      <c r="H37" s="191"/>
      <c r="I37" s="191"/>
      <c r="J37" s="191"/>
      <c r="K37" s="191"/>
      <c r="L37" s="191"/>
      <c r="M37" s="191"/>
      <c r="N37" s="191"/>
      <c r="O37" s="191"/>
      <c r="P37" s="191"/>
      <c r="Q37" s="191"/>
      <c r="R37" s="191"/>
    </row>
    <row r="38" spans="7:18" ht="21.75" customHeight="1">
      <c r="G38" s="191"/>
      <c r="H38" s="191"/>
      <c r="I38" s="191"/>
      <c r="J38" s="191"/>
      <c r="K38" s="191"/>
      <c r="L38" s="191"/>
      <c r="M38" s="191"/>
      <c r="N38" s="191"/>
      <c r="O38" s="191"/>
      <c r="P38" s="191"/>
      <c r="Q38" s="191"/>
      <c r="R38" s="191"/>
    </row>
    <row r="39" spans="7:18" ht="21.75" customHeight="1">
      <c r="G39" s="191"/>
      <c r="H39" s="191"/>
      <c r="I39" s="191"/>
      <c r="J39" s="191"/>
      <c r="K39" s="191"/>
      <c r="L39" s="191"/>
      <c r="M39" s="191"/>
      <c r="N39" s="191"/>
      <c r="O39" s="191"/>
      <c r="P39" s="191"/>
      <c r="Q39" s="191"/>
      <c r="R39" s="191"/>
    </row>
    <row r="40" spans="7:18" ht="21.75" customHeight="1">
      <c r="G40" s="191"/>
      <c r="H40" s="191"/>
      <c r="I40" s="191"/>
      <c r="J40" s="191"/>
      <c r="K40" s="191"/>
      <c r="L40" s="191"/>
      <c r="M40" s="191"/>
      <c r="N40" s="191"/>
      <c r="O40" s="191"/>
      <c r="P40" s="191"/>
      <c r="Q40" s="191"/>
      <c r="R40" s="191"/>
    </row>
    <row r="41" spans="7:18" ht="21.75" customHeight="1">
      <c r="G41" s="191"/>
      <c r="H41" s="191"/>
      <c r="I41" s="191"/>
      <c r="J41" s="191"/>
      <c r="K41" s="191"/>
      <c r="L41" s="191"/>
      <c r="M41" s="191"/>
      <c r="N41" s="191"/>
      <c r="O41" s="191"/>
      <c r="P41" s="191"/>
      <c r="Q41" s="191"/>
      <c r="R41" s="191"/>
    </row>
    <row r="42" spans="7:18" ht="21.75" customHeight="1">
      <c r="G42" s="191"/>
      <c r="H42" s="191"/>
      <c r="I42" s="191"/>
      <c r="J42" s="191"/>
      <c r="K42" s="191"/>
      <c r="L42" s="191"/>
      <c r="M42" s="191"/>
      <c r="N42" s="191"/>
      <c r="O42" s="191"/>
      <c r="P42" s="191"/>
      <c r="Q42" s="191"/>
      <c r="R42" s="191"/>
    </row>
    <row r="43" spans="7:18" ht="21.75" customHeight="1">
      <c r="G43" s="191"/>
      <c r="H43" s="191"/>
      <c r="I43" s="191"/>
      <c r="J43" s="191"/>
      <c r="K43" s="191"/>
      <c r="L43" s="191"/>
      <c r="M43" s="191"/>
      <c r="N43" s="191"/>
      <c r="O43" s="191"/>
      <c r="P43" s="191"/>
      <c r="Q43" s="191"/>
      <c r="R43" s="191"/>
    </row>
    <row r="44" spans="7:18" ht="21.75" customHeight="1">
      <c r="G44" s="191"/>
      <c r="H44" s="191"/>
      <c r="I44" s="191"/>
      <c r="J44" s="191"/>
      <c r="K44" s="191"/>
      <c r="L44" s="191"/>
      <c r="M44" s="191"/>
      <c r="N44" s="191"/>
      <c r="O44" s="191"/>
      <c r="P44" s="191"/>
      <c r="Q44" s="191"/>
      <c r="R44" s="191"/>
    </row>
    <row r="45" spans="7:18" ht="21.75" customHeight="1">
      <c r="G45" s="191"/>
      <c r="H45" s="191"/>
      <c r="I45" s="191"/>
      <c r="J45" s="191"/>
      <c r="K45" s="191"/>
      <c r="L45" s="191"/>
      <c r="M45" s="191"/>
      <c r="N45" s="191"/>
      <c r="O45" s="191"/>
      <c r="P45" s="191"/>
      <c r="Q45" s="191"/>
      <c r="R45" s="191"/>
    </row>
    <row r="46" spans="7:18" ht="21.75" customHeight="1">
      <c r="G46" s="191"/>
      <c r="H46" s="191"/>
      <c r="I46" s="191"/>
      <c r="J46" s="191"/>
      <c r="K46" s="191"/>
      <c r="L46" s="191"/>
      <c r="M46" s="191"/>
      <c r="N46" s="191"/>
      <c r="O46" s="191"/>
      <c r="P46" s="191"/>
      <c r="Q46" s="191"/>
      <c r="R46" s="191"/>
    </row>
    <row r="47" spans="7:18" ht="21.75" customHeight="1">
      <c r="G47" s="191"/>
      <c r="H47" s="191"/>
      <c r="I47" s="191"/>
      <c r="J47" s="191"/>
      <c r="K47" s="191"/>
      <c r="L47" s="191"/>
      <c r="M47" s="191"/>
      <c r="N47" s="191"/>
      <c r="O47" s="191"/>
      <c r="P47" s="191"/>
      <c r="Q47" s="191"/>
      <c r="R47" s="191"/>
    </row>
    <row r="48" spans="7:18" ht="21.75" customHeight="1">
      <c r="G48" s="191"/>
      <c r="H48" s="191"/>
      <c r="I48" s="191"/>
      <c r="J48" s="191"/>
      <c r="K48" s="191"/>
      <c r="L48" s="191"/>
      <c r="M48" s="191"/>
      <c r="N48" s="191"/>
      <c r="O48" s="191"/>
      <c r="P48" s="191"/>
      <c r="Q48" s="191"/>
      <c r="R48" s="191"/>
    </row>
    <row r="49" spans="7:18" ht="21.75" customHeight="1">
      <c r="G49" s="191"/>
      <c r="H49" s="191"/>
      <c r="I49" s="191"/>
      <c r="J49" s="191"/>
      <c r="K49" s="191"/>
      <c r="L49" s="191"/>
      <c r="M49" s="191"/>
      <c r="N49" s="191"/>
      <c r="O49" s="191"/>
      <c r="P49" s="191"/>
      <c r="Q49" s="191"/>
      <c r="R49" s="191"/>
    </row>
    <row r="50" spans="7:18" ht="21.75" customHeight="1">
      <c r="G50" s="191"/>
      <c r="H50" s="191"/>
      <c r="I50" s="191"/>
      <c r="J50" s="191"/>
      <c r="K50" s="191"/>
      <c r="L50" s="191"/>
      <c r="M50" s="191"/>
      <c r="N50" s="191"/>
      <c r="O50" s="191"/>
      <c r="P50" s="191"/>
      <c r="Q50" s="191"/>
      <c r="R50" s="191"/>
    </row>
    <row r="51" spans="7:18" ht="21.75" customHeight="1">
      <c r="G51" s="191"/>
      <c r="H51" s="191"/>
      <c r="I51" s="191"/>
      <c r="J51" s="191"/>
      <c r="K51" s="191"/>
      <c r="L51" s="191"/>
      <c r="M51" s="191"/>
      <c r="N51" s="191"/>
      <c r="O51" s="191"/>
      <c r="P51" s="191"/>
      <c r="Q51" s="191"/>
      <c r="R51" s="191"/>
    </row>
    <row r="52" spans="7:18" ht="21.75" customHeight="1">
      <c r="G52" s="191"/>
      <c r="H52" s="191"/>
      <c r="I52" s="191"/>
      <c r="J52" s="191"/>
      <c r="K52" s="191"/>
      <c r="L52" s="191"/>
      <c r="M52" s="191"/>
      <c r="N52" s="191"/>
      <c r="O52" s="191"/>
      <c r="P52" s="191"/>
      <c r="Q52" s="191"/>
      <c r="R52" s="191"/>
    </row>
    <row r="53" spans="7:18" ht="21.75" customHeight="1">
      <c r="G53" s="191"/>
      <c r="H53" s="191"/>
      <c r="I53" s="191"/>
      <c r="J53" s="191"/>
      <c r="K53" s="191"/>
      <c r="L53" s="191"/>
      <c r="M53" s="191"/>
      <c r="N53" s="191"/>
      <c r="O53" s="191"/>
      <c r="P53" s="191"/>
      <c r="Q53" s="191"/>
      <c r="R53" s="191"/>
    </row>
    <row r="54" spans="7:18" ht="21.75" customHeight="1">
      <c r="G54" s="191"/>
      <c r="H54" s="191"/>
      <c r="I54" s="191"/>
      <c r="J54" s="191"/>
      <c r="K54" s="191"/>
      <c r="L54" s="191"/>
      <c r="M54" s="191"/>
      <c r="N54" s="191"/>
      <c r="O54" s="191"/>
      <c r="P54" s="191"/>
      <c r="Q54" s="191"/>
      <c r="R54" s="191"/>
    </row>
    <row r="55" spans="7:18" ht="21.75" customHeight="1">
      <c r="G55" s="191"/>
      <c r="H55" s="191"/>
      <c r="I55" s="191"/>
      <c r="J55" s="191"/>
      <c r="K55" s="191"/>
      <c r="L55" s="191"/>
      <c r="M55" s="191"/>
      <c r="N55" s="191"/>
      <c r="O55" s="191"/>
      <c r="P55" s="191"/>
      <c r="Q55" s="191"/>
      <c r="R55" s="191"/>
    </row>
    <row r="56" spans="7:18" ht="21.75" customHeight="1">
      <c r="G56" s="191"/>
      <c r="H56" s="191"/>
      <c r="I56" s="191"/>
      <c r="J56" s="191"/>
      <c r="K56" s="191"/>
      <c r="L56" s="191"/>
      <c r="M56" s="191"/>
      <c r="N56" s="191"/>
      <c r="O56" s="191"/>
      <c r="P56" s="191"/>
      <c r="Q56" s="191"/>
      <c r="R56" s="191"/>
    </row>
    <row r="57" spans="7:18" ht="21.75" customHeight="1">
      <c r="G57" s="191"/>
      <c r="H57" s="191"/>
      <c r="I57" s="191"/>
      <c r="J57" s="191"/>
      <c r="K57" s="191"/>
      <c r="L57" s="191"/>
      <c r="M57" s="191"/>
      <c r="N57" s="191"/>
      <c r="O57" s="191"/>
      <c r="P57" s="191"/>
      <c r="Q57" s="191"/>
      <c r="R57" s="191"/>
    </row>
    <row r="58" spans="7:18" ht="21.75" customHeight="1">
      <c r="G58" s="191"/>
      <c r="H58" s="191"/>
      <c r="I58" s="191"/>
      <c r="J58" s="191"/>
      <c r="K58" s="191"/>
      <c r="L58" s="191"/>
      <c r="M58" s="191"/>
      <c r="N58" s="191"/>
      <c r="O58" s="191"/>
      <c r="P58" s="191"/>
      <c r="Q58" s="191"/>
      <c r="R58" s="191"/>
    </row>
    <row r="59" spans="7:18" ht="21.75" customHeight="1">
      <c r="G59" s="191"/>
      <c r="H59" s="191"/>
      <c r="I59" s="191"/>
      <c r="J59" s="191"/>
      <c r="K59" s="191"/>
      <c r="L59" s="191"/>
      <c r="M59" s="191"/>
      <c r="N59" s="191"/>
      <c r="O59" s="191"/>
      <c r="P59" s="191"/>
      <c r="Q59" s="191"/>
      <c r="R59" s="191"/>
    </row>
    <row r="60" spans="7:18" ht="21.75" customHeight="1">
      <c r="G60" s="191"/>
      <c r="H60" s="191"/>
      <c r="I60" s="191"/>
      <c r="J60" s="191"/>
      <c r="K60" s="191"/>
      <c r="L60" s="191"/>
      <c r="M60" s="191"/>
      <c r="N60" s="191"/>
      <c r="O60" s="191"/>
      <c r="P60" s="191"/>
      <c r="Q60" s="191"/>
      <c r="R60" s="191"/>
    </row>
    <row r="61" spans="7:18" ht="21.75" customHeight="1">
      <c r="G61" s="191"/>
      <c r="H61" s="191"/>
      <c r="I61" s="191"/>
      <c r="J61" s="191"/>
      <c r="K61" s="191"/>
      <c r="L61" s="191"/>
      <c r="M61" s="191"/>
      <c r="N61" s="191"/>
      <c r="O61" s="191"/>
      <c r="P61" s="191"/>
      <c r="Q61" s="191"/>
      <c r="R61" s="191"/>
    </row>
    <row r="62" spans="7:18" ht="21.75" customHeight="1">
      <c r="G62" s="191"/>
      <c r="H62" s="191"/>
      <c r="I62" s="191"/>
      <c r="J62" s="191"/>
      <c r="K62" s="191"/>
      <c r="L62" s="191"/>
      <c r="M62" s="191"/>
      <c r="N62" s="191"/>
      <c r="O62" s="191"/>
      <c r="P62" s="191"/>
      <c r="Q62" s="191"/>
      <c r="R62" s="191"/>
    </row>
    <row r="63" spans="7:18" ht="21.75" customHeight="1">
      <c r="G63" s="191"/>
      <c r="H63" s="191"/>
      <c r="I63" s="191"/>
      <c r="J63" s="191"/>
      <c r="K63" s="191"/>
      <c r="L63" s="191"/>
      <c r="M63" s="191"/>
      <c r="N63" s="191"/>
      <c r="O63" s="191"/>
      <c r="P63" s="191"/>
      <c r="Q63" s="191"/>
      <c r="R63" s="191"/>
    </row>
    <row r="64" spans="7:18" ht="21.75" customHeight="1">
      <c r="G64" s="191"/>
      <c r="H64" s="191"/>
      <c r="I64" s="191"/>
      <c r="J64" s="191"/>
      <c r="K64" s="191"/>
      <c r="L64" s="191"/>
      <c r="M64" s="191"/>
      <c r="N64" s="191"/>
      <c r="O64" s="191"/>
      <c r="P64" s="191"/>
      <c r="Q64" s="191"/>
      <c r="R64" s="191"/>
    </row>
    <row r="65" spans="7:18" ht="21.75" customHeight="1">
      <c r="G65" s="191"/>
      <c r="H65" s="191"/>
      <c r="I65" s="191"/>
      <c r="J65" s="191"/>
      <c r="K65" s="191"/>
      <c r="L65" s="191"/>
      <c r="M65" s="191"/>
      <c r="N65" s="191"/>
      <c r="O65" s="191"/>
      <c r="P65" s="191"/>
      <c r="Q65" s="191"/>
      <c r="R65" s="191"/>
    </row>
    <row r="66" spans="7:18" ht="21.75" customHeight="1">
      <c r="G66" s="191"/>
      <c r="H66" s="191"/>
      <c r="I66" s="191"/>
      <c r="J66" s="191"/>
      <c r="K66" s="191"/>
      <c r="L66" s="191"/>
      <c r="M66" s="191"/>
      <c r="N66" s="191"/>
      <c r="O66" s="191"/>
      <c r="P66" s="191"/>
      <c r="Q66" s="191"/>
      <c r="R66" s="191"/>
    </row>
    <row r="67" spans="7:18" ht="21.75" customHeight="1">
      <c r="G67" s="191"/>
      <c r="H67" s="191"/>
      <c r="I67" s="191"/>
      <c r="J67" s="191"/>
      <c r="K67" s="191"/>
      <c r="L67" s="191"/>
      <c r="M67" s="191"/>
      <c r="N67" s="191"/>
      <c r="O67" s="191"/>
      <c r="P67" s="191"/>
      <c r="Q67" s="191"/>
      <c r="R67" s="191"/>
    </row>
    <row r="68" spans="7:18" ht="21.75" customHeight="1">
      <c r="G68" s="191"/>
      <c r="H68" s="191"/>
      <c r="I68" s="191"/>
      <c r="J68" s="191"/>
      <c r="K68" s="191"/>
      <c r="L68" s="191"/>
      <c r="M68" s="191"/>
      <c r="N68" s="191"/>
      <c r="O68" s="191"/>
      <c r="P68" s="191"/>
      <c r="Q68" s="191"/>
      <c r="R68" s="191"/>
    </row>
    <row r="69" spans="7:18" ht="21.75" customHeight="1">
      <c r="G69" s="191"/>
      <c r="H69" s="191"/>
      <c r="I69" s="191"/>
      <c r="J69" s="191"/>
      <c r="K69" s="191"/>
      <c r="L69" s="191"/>
      <c r="M69" s="191"/>
      <c r="N69" s="191"/>
      <c r="O69" s="191"/>
      <c r="P69" s="191"/>
      <c r="Q69" s="191"/>
      <c r="R69" s="191"/>
    </row>
    <row r="70" spans="7:18" ht="21.75" customHeight="1">
      <c r="G70" s="191"/>
      <c r="H70" s="191"/>
      <c r="I70" s="191"/>
      <c r="J70" s="191"/>
      <c r="K70" s="191"/>
      <c r="L70" s="191"/>
      <c r="M70" s="191"/>
      <c r="N70" s="191"/>
      <c r="O70" s="191"/>
      <c r="P70" s="191"/>
      <c r="Q70" s="191"/>
      <c r="R70" s="191"/>
    </row>
    <row r="71" spans="7:18" ht="21.75" customHeight="1">
      <c r="G71" s="191"/>
      <c r="H71" s="191"/>
      <c r="I71" s="191"/>
      <c r="J71" s="191"/>
      <c r="K71" s="191"/>
      <c r="L71" s="191"/>
      <c r="M71" s="191"/>
      <c r="N71" s="191"/>
      <c r="O71" s="191"/>
      <c r="P71" s="191"/>
      <c r="Q71" s="191"/>
      <c r="R71" s="191"/>
    </row>
    <row r="72" spans="7:18" ht="21.75" customHeight="1">
      <c r="G72" s="191"/>
      <c r="H72" s="191"/>
      <c r="I72" s="191"/>
      <c r="J72" s="191"/>
      <c r="K72" s="191"/>
      <c r="L72" s="191"/>
      <c r="M72" s="191"/>
      <c r="N72" s="191"/>
      <c r="O72" s="191"/>
      <c r="P72" s="191"/>
      <c r="Q72" s="191"/>
      <c r="R72" s="191"/>
    </row>
    <row r="73" spans="7:18" ht="21.75" customHeight="1">
      <c r="G73" s="191"/>
      <c r="H73" s="191"/>
      <c r="I73" s="191"/>
      <c r="J73" s="191"/>
      <c r="K73" s="191"/>
      <c r="L73" s="191"/>
      <c r="M73" s="191"/>
      <c r="N73" s="191"/>
      <c r="O73" s="191"/>
      <c r="P73" s="191"/>
      <c r="Q73" s="191"/>
      <c r="R73" s="191"/>
    </row>
    <row r="74" spans="7:18" ht="21.75" customHeight="1">
      <c r="G74" s="191"/>
      <c r="H74" s="191"/>
      <c r="I74" s="191"/>
      <c r="J74" s="191"/>
      <c r="K74" s="191"/>
      <c r="L74" s="191"/>
      <c r="M74" s="191"/>
      <c r="N74" s="191"/>
      <c r="O74" s="191"/>
      <c r="P74" s="191"/>
      <c r="Q74" s="191"/>
      <c r="R74" s="191"/>
    </row>
    <row r="75" spans="7:18" ht="21.75" customHeight="1">
      <c r="G75" s="191"/>
      <c r="H75" s="191"/>
      <c r="I75" s="191"/>
      <c r="J75" s="191"/>
      <c r="K75" s="191"/>
      <c r="L75" s="191"/>
      <c r="M75" s="191"/>
      <c r="N75" s="191"/>
      <c r="O75" s="191"/>
      <c r="P75" s="191"/>
      <c r="Q75" s="191"/>
      <c r="R75" s="191"/>
    </row>
    <row r="76" spans="7:18" ht="21.75" customHeight="1">
      <c r="G76" s="191"/>
      <c r="H76" s="191"/>
      <c r="I76" s="191"/>
      <c r="J76" s="191"/>
      <c r="K76" s="191"/>
      <c r="L76" s="191"/>
      <c r="M76" s="191"/>
      <c r="N76" s="191"/>
      <c r="O76" s="191"/>
      <c r="P76" s="191"/>
      <c r="Q76" s="191"/>
      <c r="R76" s="191"/>
    </row>
    <row r="77" spans="7:18" ht="21.75" customHeight="1">
      <c r="G77" s="191"/>
      <c r="H77" s="191"/>
      <c r="I77" s="191"/>
      <c r="J77" s="191"/>
      <c r="K77" s="191"/>
      <c r="L77" s="191"/>
      <c r="M77" s="191"/>
      <c r="N77" s="191"/>
      <c r="O77" s="191"/>
      <c r="P77" s="191"/>
      <c r="Q77" s="191"/>
      <c r="R77" s="191"/>
    </row>
    <row r="78" spans="7:18" ht="21.75" customHeight="1">
      <c r="G78" s="191"/>
      <c r="H78" s="191"/>
      <c r="I78" s="191"/>
      <c r="J78" s="191"/>
      <c r="K78" s="191"/>
      <c r="L78" s="191"/>
      <c r="M78" s="191"/>
      <c r="N78" s="191"/>
      <c r="O78" s="191"/>
      <c r="P78" s="191"/>
      <c r="Q78" s="191"/>
      <c r="R78" s="191"/>
    </row>
    <row r="79" spans="7:18" ht="21.75" customHeight="1">
      <c r="G79" s="191"/>
      <c r="H79" s="191"/>
      <c r="I79" s="191"/>
      <c r="J79" s="191"/>
      <c r="K79" s="191"/>
      <c r="L79" s="191"/>
      <c r="M79" s="191"/>
      <c r="N79" s="191"/>
      <c r="O79" s="191"/>
      <c r="P79" s="191"/>
      <c r="Q79" s="191"/>
      <c r="R79" s="191"/>
    </row>
    <row r="80" spans="7:18" ht="21.75" customHeight="1">
      <c r="G80" s="191"/>
      <c r="H80" s="191"/>
      <c r="I80" s="191"/>
      <c r="J80" s="191"/>
      <c r="K80" s="191"/>
      <c r="L80" s="191"/>
      <c r="M80" s="191"/>
      <c r="N80" s="191"/>
      <c r="O80" s="191"/>
      <c r="P80" s="191"/>
      <c r="Q80" s="191"/>
      <c r="R80" s="191"/>
    </row>
    <row r="81" spans="7:18" ht="21.75" customHeight="1">
      <c r="G81" s="191"/>
      <c r="H81" s="191"/>
      <c r="I81" s="191"/>
      <c r="J81" s="191"/>
      <c r="K81" s="191"/>
      <c r="L81" s="191"/>
      <c r="M81" s="191"/>
      <c r="N81" s="191"/>
      <c r="O81" s="191"/>
      <c r="P81" s="191"/>
      <c r="Q81" s="191"/>
      <c r="R81" s="191"/>
    </row>
    <row r="82" spans="7:18" ht="21.75" customHeight="1">
      <c r="G82" s="191"/>
      <c r="H82" s="191"/>
      <c r="I82" s="191"/>
      <c r="J82" s="191"/>
      <c r="K82" s="191"/>
      <c r="L82" s="191"/>
      <c r="M82" s="191"/>
      <c r="N82" s="191"/>
      <c r="O82" s="191"/>
      <c r="P82" s="191"/>
      <c r="Q82" s="191"/>
      <c r="R82" s="191"/>
    </row>
    <row r="83" spans="7:18" ht="21.75" customHeight="1">
      <c r="G83" s="191"/>
      <c r="H83" s="191"/>
      <c r="I83" s="191"/>
      <c r="J83" s="191"/>
      <c r="K83" s="191"/>
      <c r="L83" s="191"/>
      <c r="M83" s="191"/>
      <c r="N83" s="191"/>
      <c r="O83" s="191"/>
      <c r="P83" s="191"/>
      <c r="Q83" s="191"/>
      <c r="R83" s="191"/>
    </row>
    <row r="84" spans="7:18" ht="21.75" customHeight="1">
      <c r="G84" s="191"/>
      <c r="H84" s="191"/>
      <c r="I84" s="191"/>
      <c r="J84" s="191"/>
      <c r="K84" s="191"/>
      <c r="L84" s="191"/>
      <c r="M84" s="191"/>
      <c r="N84" s="191"/>
      <c r="O84" s="191"/>
      <c r="P84" s="191"/>
      <c r="Q84" s="191"/>
      <c r="R84" s="191"/>
    </row>
    <row r="85" spans="7:18" ht="21.75" customHeight="1">
      <c r="G85" s="191"/>
      <c r="H85" s="191"/>
      <c r="I85" s="191"/>
      <c r="J85" s="191"/>
      <c r="K85" s="191"/>
      <c r="L85" s="191"/>
      <c r="M85" s="191"/>
      <c r="N85" s="191"/>
      <c r="O85" s="191"/>
      <c r="P85" s="191"/>
      <c r="Q85" s="191"/>
      <c r="R85" s="191"/>
    </row>
    <row r="86" spans="7:18" ht="21.75" customHeight="1">
      <c r="G86" s="191"/>
      <c r="H86" s="191"/>
      <c r="I86" s="191"/>
      <c r="J86" s="191"/>
      <c r="K86" s="191"/>
      <c r="L86" s="191"/>
      <c r="M86" s="191"/>
      <c r="N86" s="191"/>
      <c r="O86" s="191"/>
      <c r="P86" s="191"/>
      <c r="Q86" s="191"/>
      <c r="R86" s="191"/>
    </row>
    <row r="87" spans="7:18" ht="21.75" customHeight="1">
      <c r="G87" s="191"/>
      <c r="H87" s="191"/>
      <c r="I87" s="191"/>
      <c r="J87" s="191"/>
      <c r="K87" s="191"/>
      <c r="L87" s="191"/>
      <c r="M87" s="191"/>
      <c r="N87" s="191"/>
      <c r="O87" s="191"/>
      <c r="P87" s="191"/>
      <c r="Q87" s="191"/>
      <c r="R87" s="191"/>
    </row>
    <row r="88" spans="7:18" ht="21.75" customHeight="1">
      <c r="G88" s="191"/>
      <c r="H88" s="191"/>
      <c r="I88" s="191"/>
      <c r="J88" s="191"/>
      <c r="K88" s="191"/>
      <c r="L88" s="191"/>
      <c r="M88" s="191"/>
      <c r="N88" s="191"/>
      <c r="O88" s="191"/>
      <c r="P88" s="191"/>
      <c r="Q88" s="191"/>
      <c r="R88" s="191"/>
    </row>
    <row r="89" spans="7:18" ht="21.75" customHeight="1">
      <c r="G89" s="191"/>
      <c r="H89" s="191"/>
      <c r="I89" s="191"/>
      <c r="J89" s="191"/>
      <c r="K89" s="191"/>
      <c r="L89" s="191"/>
      <c r="M89" s="191"/>
      <c r="N89" s="191"/>
      <c r="O89" s="191"/>
      <c r="P89" s="191"/>
      <c r="Q89" s="191"/>
      <c r="R89" s="191"/>
    </row>
    <row r="90" spans="7:18" ht="21.75" customHeight="1"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</row>
    <row r="91" spans="7:18" ht="21.75" customHeight="1">
      <c r="G91" s="191"/>
      <c r="H91" s="191"/>
      <c r="I91" s="191"/>
      <c r="J91" s="191"/>
      <c r="K91" s="191"/>
      <c r="L91" s="191"/>
      <c r="M91" s="191"/>
      <c r="N91" s="191"/>
      <c r="O91" s="191"/>
      <c r="P91" s="191"/>
      <c r="Q91" s="191"/>
      <c r="R91" s="191"/>
    </row>
    <row r="92" spans="7:18" ht="21.75" customHeight="1">
      <c r="G92" s="191"/>
      <c r="H92" s="191"/>
      <c r="I92" s="191"/>
      <c r="J92" s="191"/>
      <c r="K92" s="191"/>
      <c r="L92" s="191"/>
      <c r="M92" s="191"/>
      <c r="N92" s="191"/>
      <c r="O92" s="191"/>
      <c r="P92" s="191"/>
      <c r="Q92" s="191"/>
      <c r="R92" s="191"/>
    </row>
    <row r="93" spans="7:18" ht="21.75" customHeight="1">
      <c r="G93" s="191"/>
      <c r="H93" s="191"/>
      <c r="I93" s="191"/>
      <c r="J93" s="191"/>
      <c r="K93" s="191"/>
      <c r="L93" s="191"/>
      <c r="M93" s="191"/>
      <c r="N93" s="191"/>
      <c r="O93" s="191"/>
      <c r="P93" s="191"/>
      <c r="Q93" s="191"/>
      <c r="R93" s="191"/>
    </row>
    <row r="94" spans="7:18" ht="21.75" customHeight="1">
      <c r="G94" s="191"/>
      <c r="H94" s="191"/>
      <c r="I94" s="191"/>
      <c r="J94" s="191"/>
      <c r="K94" s="191"/>
      <c r="L94" s="191"/>
      <c r="M94" s="191"/>
      <c r="N94" s="191"/>
      <c r="O94" s="191"/>
      <c r="P94" s="191"/>
      <c r="Q94" s="191"/>
      <c r="R94" s="191"/>
    </row>
    <row r="95" spans="7:18" ht="21.75" customHeight="1">
      <c r="G95" s="191"/>
      <c r="H95" s="191"/>
      <c r="I95" s="191"/>
      <c r="J95" s="191"/>
      <c r="K95" s="191"/>
      <c r="L95" s="191"/>
      <c r="M95" s="191"/>
      <c r="N95" s="191"/>
      <c r="O95" s="191"/>
      <c r="P95" s="191"/>
      <c r="Q95" s="191"/>
      <c r="R95" s="191"/>
    </row>
    <row r="96" spans="7:18" ht="21.75" customHeight="1">
      <c r="G96" s="191"/>
      <c r="H96" s="191"/>
      <c r="I96" s="191"/>
      <c r="J96" s="191"/>
      <c r="K96" s="191"/>
      <c r="L96" s="191"/>
      <c r="M96" s="191"/>
      <c r="N96" s="191"/>
      <c r="O96" s="191"/>
      <c r="P96" s="191"/>
      <c r="Q96" s="191"/>
      <c r="R96" s="191"/>
    </row>
    <row r="97" spans="7:18" ht="21.75" customHeight="1">
      <c r="G97" s="191"/>
      <c r="H97" s="191"/>
      <c r="I97" s="191"/>
      <c r="J97" s="191"/>
      <c r="K97" s="191"/>
      <c r="L97" s="191"/>
      <c r="M97" s="191"/>
      <c r="N97" s="191"/>
      <c r="O97" s="191"/>
      <c r="P97" s="191"/>
      <c r="Q97" s="191"/>
      <c r="R97" s="191"/>
    </row>
    <row r="98" spans="7:18" ht="21.75" customHeight="1">
      <c r="G98" s="191"/>
      <c r="H98" s="191"/>
      <c r="I98" s="191"/>
      <c r="J98" s="191"/>
      <c r="K98" s="191"/>
      <c r="L98" s="191"/>
      <c r="M98" s="191"/>
      <c r="N98" s="191"/>
      <c r="O98" s="191"/>
      <c r="P98" s="191"/>
      <c r="Q98" s="191"/>
      <c r="R98" s="191"/>
    </row>
    <row r="99" spans="7:18" ht="21.75" customHeight="1">
      <c r="G99" s="191"/>
      <c r="H99" s="191"/>
      <c r="I99" s="191"/>
      <c r="J99" s="191"/>
      <c r="K99" s="191"/>
      <c r="L99" s="191"/>
      <c r="M99" s="191"/>
      <c r="N99" s="191"/>
      <c r="O99" s="191"/>
      <c r="P99" s="191"/>
      <c r="Q99" s="191"/>
      <c r="R99" s="191"/>
    </row>
    <row r="100" spans="7:18" ht="21.75" customHeight="1">
      <c r="G100" s="191"/>
      <c r="H100" s="191"/>
      <c r="I100" s="191"/>
      <c r="J100" s="191"/>
      <c r="K100" s="191"/>
      <c r="L100" s="191"/>
      <c r="M100" s="191"/>
      <c r="N100" s="191"/>
      <c r="O100" s="191"/>
      <c r="P100" s="191"/>
      <c r="Q100" s="191"/>
      <c r="R100" s="191"/>
    </row>
  </sheetData>
  <mergeCells count="6">
    <mergeCell ref="E22:F22"/>
    <mergeCell ref="D9:F9"/>
    <mergeCell ref="D10:F10"/>
    <mergeCell ref="D11:F11"/>
    <mergeCell ref="D12:F12"/>
    <mergeCell ref="D13:F13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R100"/>
  <sheetViews>
    <sheetView workbookViewId="0">
      <selection activeCell="B26" sqref="B26"/>
    </sheetView>
  </sheetViews>
  <sheetFormatPr defaultColWidth="12.625" defaultRowHeight="15" customHeight="1"/>
  <cols>
    <col min="1" max="2" width="7.875" style="256" customWidth="1"/>
    <col min="3" max="3" width="11.5" style="256" customWidth="1"/>
    <col min="4" max="4" width="8.125" style="256" customWidth="1"/>
    <col min="5" max="5" width="10.125" style="256" customWidth="1"/>
    <col min="6" max="6" width="15" style="256" customWidth="1"/>
    <col min="7" max="7" width="7.875" style="256" customWidth="1"/>
    <col min="8" max="8" width="8.125" style="256" customWidth="1"/>
    <col min="9" max="18" width="7.875" style="256" customWidth="1"/>
    <col min="19" max="16384" width="12.625" style="256"/>
  </cols>
  <sheetData>
    <row r="1" spans="1:18" ht="20.25" customHeight="1">
      <c r="A1" s="251" t="s">
        <v>124</v>
      </c>
      <c r="B1" s="252" t="s">
        <v>74</v>
      </c>
      <c r="C1" s="253" t="s">
        <v>75</v>
      </c>
      <c r="D1" s="254" t="s">
        <v>76</v>
      </c>
      <c r="E1" s="255" t="s">
        <v>77</v>
      </c>
      <c r="F1" s="251" t="s">
        <v>78</v>
      </c>
      <c r="G1" s="252" t="s">
        <v>235</v>
      </c>
      <c r="H1" s="252" t="s">
        <v>3</v>
      </c>
      <c r="I1" s="252" t="s">
        <v>4</v>
      </c>
      <c r="J1" s="252" t="s">
        <v>5</v>
      </c>
      <c r="K1" s="252" t="s">
        <v>6</v>
      </c>
      <c r="L1" s="252" t="s">
        <v>7</v>
      </c>
      <c r="M1" s="252" t="s">
        <v>8</v>
      </c>
      <c r="N1" s="252" t="s">
        <v>9</v>
      </c>
      <c r="O1" s="252" t="s">
        <v>10</v>
      </c>
      <c r="P1" s="252" t="s">
        <v>11</v>
      </c>
      <c r="Q1" s="252" t="s">
        <v>12</v>
      </c>
      <c r="R1" s="252" t="s">
        <v>16</v>
      </c>
    </row>
    <row r="2" spans="1:18" ht="20.25" customHeight="1">
      <c r="A2" s="251"/>
      <c r="B2" s="251"/>
      <c r="C2" s="253"/>
      <c r="D2" s="257"/>
      <c r="E2" s="258"/>
      <c r="F2" s="259"/>
      <c r="G2" s="251"/>
      <c r="H2" s="251"/>
      <c r="I2" s="251"/>
      <c r="J2" s="251"/>
      <c r="K2" s="251"/>
      <c r="L2" s="251"/>
      <c r="M2" s="251"/>
      <c r="N2" s="282"/>
      <c r="O2" s="282"/>
      <c r="P2" s="282"/>
      <c r="Q2" s="282"/>
      <c r="R2" s="282"/>
    </row>
    <row r="3" spans="1:18" ht="20.25" customHeight="1">
      <c r="A3" s="251"/>
      <c r="B3" s="251"/>
      <c r="C3" s="253"/>
      <c r="D3" s="254"/>
      <c r="E3" s="255">
        <f>'3-溫州'!$D3*2</f>
        <v>0</v>
      </c>
      <c r="F3" s="260"/>
      <c r="G3" s="261"/>
      <c r="H3" s="261"/>
      <c r="I3" s="261"/>
      <c r="J3" s="261"/>
      <c r="K3" s="283"/>
      <c r="L3" s="283"/>
      <c r="M3" s="283"/>
      <c r="N3" s="283"/>
      <c r="O3" s="283"/>
      <c r="P3" s="283"/>
      <c r="Q3" s="283"/>
      <c r="R3" s="283"/>
    </row>
    <row r="4" spans="1:18" ht="20.25" customHeight="1">
      <c r="A4" s="251"/>
      <c r="B4" s="251"/>
      <c r="C4" s="252"/>
      <c r="D4" s="262">
        <f>SUBTOTAL(109,'3-溫州'!$D$1:$D$3)</f>
        <v>0</v>
      </c>
      <c r="E4" s="263">
        <f>SUBTOTAL(109,'3-溫州'!$E$1:$E$3)</f>
        <v>0</v>
      </c>
      <c r="F4" s="261" t="s">
        <v>113</v>
      </c>
      <c r="G4" s="264">
        <f t="shared" ref="G4:R4" si="0">G3</f>
        <v>0</v>
      </c>
      <c r="H4" s="264">
        <f t="shared" si="0"/>
        <v>0</v>
      </c>
      <c r="I4" s="264">
        <f t="shared" si="0"/>
        <v>0</v>
      </c>
      <c r="J4" s="264">
        <f t="shared" si="0"/>
        <v>0</v>
      </c>
      <c r="K4" s="264">
        <f t="shared" si="0"/>
        <v>0</v>
      </c>
      <c r="L4" s="264">
        <f t="shared" si="0"/>
        <v>0</v>
      </c>
      <c r="M4" s="264">
        <f t="shared" si="0"/>
        <v>0</v>
      </c>
      <c r="N4" s="264">
        <f t="shared" si="0"/>
        <v>0</v>
      </c>
      <c r="O4" s="264">
        <f t="shared" si="0"/>
        <v>0</v>
      </c>
      <c r="P4" s="264">
        <f t="shared" si="0"/>
        <v>0</v>
      </c>
      <c r="Q4" s="264">
        <f t="shared" si="0"/>
        <v>0</v>
      </c>
      <c r="R4" s="264">
        <f t="shared" si="0"/>
        <v>0</v>
      </c>
    </row>
    <row r="5" spans="1:18" ht="20.25" customHeight="1">
      <c r="A5" s="252"/>
      <c r="B5" s="252"/>
      <c r="C5" s="252"/>
      <c r="D5" s="375" t="s">
        <v>231</v>
      </c>
      <c r="E5" s="374"/>
      <c r="F5" s="374"/>
      <c r="G5" s="284"/>
      <c r="H5" s="284"/>
      <c r="I5" s="284"/>
      <c r="J5" s="284"/>
      <c r="K5" s="285"/>
      <c r="M5" s="284"/>
      <c r="O5" s="266"/>
      <c r="Q5" s="286"/>
      <c r="R5" s="286"/>
    </row>
    <row r="6" spans="1:18" ht="20.25" customHeight="1">
      <c r="A6" s="265"/>
      <c r="D6" s="375" t="s">
        <v>232</v>
      </c>
      <c r="E6" s="374"/>
      <c r="F6" s="374"/>
      <c r="G6" s="266"/>
      <c r="H6" s="266"/>
      <c r="I6" s="266"/>
      <c r="J6" s="266"/>
      <c r="K6" s="285"/>
      <c r="L6" s="284"/>
      <c r="N6" s="284"/>
      <c r="P6" s="284"/>
      <c r="Q6" s="266"/>
      <c r="R6" s="266"/>
    </row>
    <row r="7" spans="1:18" ht="20.25" customHeight="1">
      <c r="A7" s="252"/>
      <c r="B7" s="252"/>
      <c r="C7" s="252"/>
      <c r="D7" s="376" t="s">
        <v>233</v>
      </c>
      <c r="E7" s="374"/>
      <c r="F7" s="374"/>
      <c r="G7" s="266"/>
      <c r="H7" s="266"/>
      <c r="I7" s="266"/>
      <c r="J7" s="284"/>
      <c r="K7" s="267"/>
      <c r="L7" s="287">
        <v>-3720</v>
      </c>
      <c r="M7" s="288"/>
      <c r="N7" s="288"/>
      <c r="O7" s="284"/>
      <c r="P7" s="284"/>
      <c r="Q7" s="266"/>
      <c r="R7" s="266"/>
    </row>
    <row r="8" spans="1:18" ht="20.25" customHeight="1">
      <c r="A8" s="252"/>
      <c r="B8" s="252"/>
      <c r="C8" s="252"/>
      <c r="D8" s="376" t="s">
        <v>234</v>
      </c>
      <c r="E8" s="374"/>
      <c r="F8" s="374"/>
      <c r="G8" s="266"/>
      <c r="H8" s="266"/>
      <c r="I8" s="266"/>
      <c r="J8" s="284"/>
      <c r="K8" s="267"/>
      <c r="L8" s="284"/>
      <c r="M8" s="266"/>
      <c r="N8" s="266"/>
      <c r="O8" s="284"/>
      <c r="P8" s="284"/>
      <c r="Q8" s="266"/>
      <c r="R8" s="266"/>
    </row>
    <row r="9" spans="1:18" ht="20.25" customHeight="1">
      <c r="A9" s="252"/>
      <c r="B9" s="252"/>
      <c r="C9" s="252"/>
      <c r="D9" s="373" t="s">
        <v>117</v>
      </c>
      <c r="E9" s="374"/>
      <c r="F9" s="374"/>
      <c r="G9" s="266"/>
      <c r="H9" s="266"/>
      <c r="I9" s="266"/>
      <c r="J9" s="284"/>
      <c r="K9" s="266"/>
      <c r="L9" s="266"/>
      <c r="M9" s="266"/>
      <c r="N9" s="266"/>
      <c r="O9" s="284"/>
      <c r="P9" s="284"/>
      <c r="Q9" s="266"/>
      <c r="R9" s="266"/>
    </row>
    <row r="10" spans="1:18" ht="20.25" customHeight="1">
      <c r="A10" s="252"/>
      <c r="B10" s="252"/>
      <c r="C10" s="252"/>
      <c r="D10" s="373" t="s">
        <v>118</v>
      </c>
      <c r="E10" s="374"/>
      <c r="F10" s="374"/>
      <c r="G10" s="266"/>
      <c r="H10" s="266"/>
      <c r="I10" s="266"/>
      <c r="J10" s="266"/>
      <c r="K10" s="266"/>
      <c r="L10" s="266"/>
      <c r="M10" s="266"/>
      <c r="N10" s="266">
        <f t="shared" ref="N10:R10" si="1">SUM(N5:N9)</f>
        <v>0</v>
      </c>
      <c r="O10" s="266">
        <f t="shared" si="1"/>
        <v>0</v>
      </c>
      <c r="P10" s="266">
        <f t="shared" si="1"/>
        <v>0</v>
      </c>
      <c r="Q10" s="266">
        <f t="shared" si="1"/>
        <v>0</v>
      </c>
      <c r="R10" s="266">
        <f t="shared" si="1"/>
        <v>0</v>
      </c>
    </row>
    <row r="11" spans="1:18" ht="20.25" customHeight="1" thickBot="1"/>
    <row r="12" spans="1:18" ht="20.25" customHeight="1">
      <c r="E12" s="268"/>
      <c r="F12" s="269"/>
      <c r="G12" s="270" t="s">
        <v>219</v>
      </c>
      <c r="H12" s="270" t="s">
        <v>220</v>
      </c>
      <c r="I12" s="270" t="s">
        <v>221</v>
      </c>
      <c r="J12" s="270" t="s">
        <v>222</v>
      </c>
      <c r="K12" s="270" t="s">
        <v>223</v>
      </c>
      <c r="L12" s="270" t="s">
        <v>224</v>
      </c>
      <c r="M12" s="270" t="s">
        <v>225</v>
      </c>
      <c r="N12" s="270" t="s">
        <v>226</v>
      </c>
      <c r="O12" s="270" t="s">
        <v>227</v>
      </c>
      <c r="P12" s="270" t="s">
        <v>228</v>
      </c>
      <c r="Q12" s="270" t="s">
        <v>229</v>
      </c>
      <c r="R12" s="270" t="s">
        <v>230</v>
      </c>
    </row>
    <row r="13" spans="1:18" ht="20.25" customHeight="1">
      <c r="E13" s="271" t="s">
        <v>79</v>
      </c>
      <c r="F13" s="272" t="s">
        <v>119</v>
      </c>
      <c r="G13" s="273"/>
      <c r="H13" s="273"/>
      <c r="I13" s="274"/>
      <c r="J13" s="274"/>
      <c r="K13" s="274"/>
      <c r="L13" s="274"/>
      <c r="M13" s="274"/>
      <c r="N13" s="274"/>
      <c r="O13" s="274"/>
      <c r="P13" s="274"/>
      <c r="Q13" s="274"/>
      <c r="R13" s="274"/>
    </row>
    <row r="14" spans="1:18" ht="20.25" customHeight="1">
      <c r="E14" s="275"/>
      <c r="F14" s="276" t="s">
        <v>121</v>
      </c>
      <c r="G14" s="277"/>
      <c r="H14" s="277"/>
      <c r="I14" s="278"/>
      <c r="J14" s="278"/>
      <c r="K14" s="278"/>
      <c r="L14" s="278"/>
      <c r="M14" s="278"/>
      <c r="N14" s="278">
        <f t="shared" ref="N14:R14" si="2">IF((N13-M13)*5.5&gt;0,(N13-M13)*5.5,0)</f>
        <v>0</v>
      </c>
      <c r="O14" s="278">
        <f t="shared" si="2"/>
        <v>0</v>
      </c>
      <c r="P14" s="278">
        <f t="shared" si="2"/>
        <v>0</v>
      </c>
      <c r="Q14" s="278">
        <f t="shared" si="2"/>
        <v>0</v>
      </c>
      <c r="R14" s="278">
        <f t="shared" si="2"/>
        <v>0</v>
      </c>
    </row>
    <row r="15" spans="1:18" ht="20.25" customHeight="1">
      <c r="E15" s="279"/>
      <c r="F15" s="280" t="s">
        <v>122</v>
      </c>
      <c r="G15" s="278"/>
      <c r="H15" s="278"/>
      <c r="I15" s="278"/>
      <c r="J15" s="278"/>
      <c r="K15" s="278"/>
      <c r="L15" s="278">
        <f t="shared" ref="L15:R15" si="3">L14</f>
        <v>0</v>
      </c>
      <c r="M15" s="278">
        <f t="shared" si="3"/>
        <v>0</v>
      </c>
      <c r="N15" s="278">
        <f t="shared" si="3"/>
        <v>0</v>
      </c>
      <c r="O15" s="278">
        <f t="shared" si="3"/>
        <v>0</v>
      </c>
      <c r="P15" s="278">
        <f t="shared" si="3"/>
        <v>0</v>
      </c>
      <c r="Q15" s="278">
        <f t="shared" si="3"/>
        <v>0</v>
      </c>
      <c r="R15" s="278">
        <f t="shared" si="3"/>
        <v>0</v>
      </c>
    </row>
    <row r="16" spans="1:18" ht="20.25" customHeight="1">
      <c r="E16" s="281" t="s">
        <v>123</v>
      </c>
      <c r="F16" s="281"/>
      <c r="G16" s="267"/>
      <c r="H16" s="267"/>
      <c r="I16" s="267"/>
      <c r="J16" s="267"/>
      <c r="K16" s="267"/>
      <c r="L16" s="267">
        <f>L3+L10+'3-溫州'!$L$15</f>
        <v>0</v>
      </c>
      <c r="M16" s="267"/>
      <c r="N16" s="267"/>
      <c r="O16" s="267">
        <f>'[1]6-敦南薈館'!$O$6+P11+'3-溫州'!$O$15</f>
        <v>63000</v>
      </c>
      <c r="P16" s="267">
        <f>'[1]6-敦南薈館'!$P$6+Q11+'3-溫州'!$P$15</f>
        <v>63000</v>
      </c>
      <c r="Q16" s="267">
        <f>'[1]6-敦南薈館'!$Q$6+R11+'3-溫州'!$Q$15</f>
        <v>63000</v>
      </c>
      <c r="R16" s="267">
        <f>'[1]6-敦南薈館'!$R$6+S11+'3-溫州'!$R$15</f>
        <v>0</v>
      </c>
    </row>
    <row r="17" ht="20.25" customHeight="1"/>
    <row r="18" ht="20.25" customHeight="1"/>
    <row r="19" ht="20.25" customHeight="1"/>
    <row r="20" ht="20.25" customHeight="1"/>
    <row r="21" ht="20.25" customHeight="1"/>
    <row r="22" ht="20.25" customHeight="1"/>
    <row r="23" ht="20.25" customHeight="1"/>
    <row r="24" ht="20.25" customHeight="1"/>
    <row r="25" ht="20.25" customHeight="1"/>
    <row r="26" ht="20.25" customHeight="1"/>
    <row r="27" ht="20.25" customHeight="1"/>
    <row r="28" ht="20.25" customHeight="1"/>
    <row r="29" ht="20.25" customHeight="1"/>
    <row r="30" ht="20.25" customHeight="1"/>
    <row r="31" ht="20.25" customHeight="1"/>
    <row r="32" ht="20.25" customHeight="1"/>
    <row r="33" ht="20.25" customHeight="1"/>
    <row r="34" ht="20.25" customHeight="1"/>
    <row r="35" ht="20.25" customHeight="1"/>
    <row r="36" ht="20.25" customHeight="1"/>
    <row r="37" ht="20.25" customHeight="1"/>
    <row r="38" ht="20.25" customHeight="1"/>
    <row r="39" ht="20.25" customHeight="1"/>
    <row r="40" ht="20.25" customHeight="1"/>
    <row r="41" ht="20.25" customHeight="1"/>
    <row r="42" ht="20.25" customHeight="1"/>
    <row r="43" ht="20.25" customHeight="1"/>
    <row r="44" ht="20.25" customHeight="1"/>
    <row r="45" ht="20.25" customHeight="1"/>
    <row r="46" ht="20.25" customHeight="1"/>
    <row r="47" ht="20.25" customHeight="1"/>
    <row r="48" ht="20.25" customHeight="1"/>
    <row r="49" ht="20.25" customHeight="1"/>
    <row r="50" ht="20.25" customHeight="1"/>
    <row r="51" ht="20.25" customHeight="1"/>
    <row r="52" ht="20.25" customHeight="1"/>
    <row r="53" ht="20.25" customHeight="1"/>
    <row r="54" ht="20.25" customHeight="1"/>
    <row r="55" ht="20.25" customHeight="1"/>
    <row r="56" ht="20.25" customHeight="1"/>
    <row r="57" ht="20.25" customHeight="1"/>
    <row r="58" ht="20.25" customHeight="1"/>
    <row r="59" ht="20.25" customHeight="1"/>
    <row r="60" ht="20.25" customHeight="1"/>
    <row r="61" ht="20.25" customHeight="1"/>
    <row r="62" ht="20.25" customHeight="1"/>
    <row r="63" ht="20.25" customHeight="1"/>
    <row r="64" ht="20.25" customHeight="1"/>
    <row r="65" ht="20.25" customHeight="1"/>
    <row r="66" ht="20.25" customHeight="1"/>
    <row r="67" ht="20.25" customHeight="1"/>
    <row r="68" ht="20.25" customHeight="1"/>
    <row r="69" ht="20.25" customHeight="1"/>
    <row r="70" ht="20.25" customHeight="1"/>
    <row r="71" ht="20.25" customHeight="1"/>
    <row r="72" ht="20.25" customHeight="1"/>
    <row r="73" ht="20.25" customHeight="1"/>
    <row r="74" ht="20.25" customHeight="1"/>
    <row r="75" ht="20.25" customHeight="1"/>
    <row r="76" ht="20.25" customHeight="1"/>
    <row r="77" ht="20.25" customHeight="1"/>
    <row r="78" ht="20.25" customHeight="1"/>
    <row r="79" ht="20.25" customHeight="1"/>
    <row r="80" ht="20.25" customHeight="1"/>
    <row r="81" ht="20.25" customHeight="1"/>
    <row r="82" ht="20.25" customHeight="1"/>
    <row r="83" ht="20.25" customHeight="1"/>
    <row r="84" ht="20.25" customHeight="1"/>
    <row r="85" ht="20.25" customHeight="1"/>
    <row r="86" ht="20.25" customHeight="1"/>
    <row r="87" ht="20.25" customHeight="1"/>
    <row r="88" ht="20.25" customHeight="1"/>
    <row r="89" ht="20.25" customHeight="1"/>
    <row r="90" ht="20.25" customHeight="1"/>
    <row r="91" ht="20.25" customHeight="1"/>
    <row r="92" ht="20.25" customHeight="1"/>
    <row r="93" ht="20.25" customHeight="1"/>
    <row r="94" ht="20.25" customHeight="1"/>
    <row r="95" ht="20.25" customHeight="1"/>
    <row r="96" ht="20.25" customHeight="1"/>
    <row r="97" ht="20.25" customHeight="1"/>
    <row r="98" ht="20.25" customHeight="1"/>
    <row r="99" ht="20.25" customHeight="1"/>
    <row r="100" ht="20.25" customHeight="1"/>
  </sheetData>
  <mergeCells count="6">
    <mergeCell ref="D10:F10"/>
    <mergeCell ref="D5:F5"/>
    <mergeCell ref="D6:F6"/>
    <mergeCell ref="D7:F7"/>
    <mergeCell ref="D8:F8"/>
    <mergeCell ref="D9:F9"/>
  </mergeCells>
  <phoneticPr fontId="27" type="noConversion"/>
  <pageMargins left="0.7" right="0.7" top="0.75" bottom="0.75" header="0" footer="0"/>
  <pageSetup orientation="landscape"/>
  <legacyDrawing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"/>
  <sheetViews>
    <sheetView topLeftCell="A7" workbookViewId="0">
      <selection activeCell="G15" sqref="G15:J15"/>
    </sheetView>
  </sheetViews>
  <sheetFormatPr defaultColWidth="12.625" defaultRowHeight="15" customHeight="1"/>
  <cols>
    <col min="1" max="1" width="4.875" customWidth="1"/>
    <col min="2" max="3" width="11.25" customWidth="1"/>
    <col min="4" max="4" width="9.375" customWidth="1"/>
    <col min="5" max="5" width="10.625" customWidth="1"/>
    <col min="6" max="6" width="14.375" customWidth="1"/>
    <col min="7" max="18" width="9.375" customWidth="1"/>
    <col min="19" max="28" width="7.875" customWidth="1"/>
  </cols>
  <sheetData>
    <row r="1" spans="1:28" ht="26.25" customHeight="1">
      <c r="A1" s="128"/>
      <c r="B1" s="77" t="s">
        <v>74</v>
      </c>
      <c r="C1" s="129" t="s">
        <v>75</v>
      </c>
      <c r="D1" s="130" t="s">
        <v>76</v>
      </c>
      <c r="E1" s="131" t="s">
        <v>77</v>
      </c>
      <c r="F1" s="132" t="s">
        <v>78</v>
      </c>
      <c r="G1" s="77" t="s">
        <v>2</v>
      </c>
      <c r="H1" s="77" t="s">
        <v>3</v>
      </c>
      <c r="I1" s="77" t="s">
        <v>4</v>
      </c>
      <c r="J1" s="77" t="s">
        <v>5</v>
      </c>
      <c r="K1" s="77" t="s">
        <v>6</v>
      </c>
      <c r="L1" s="77" t="s">
        <v>7</v>
      </c>
      <c r="M1" s="77" t="s">
        <v>8</v>
      </c>
      <c r="N1" s="77" t="s">
        <v>9</v>
      </c>
      <c r="O1" s="77" t="s">
        <v>10</v>
      </c>
      <c r="P1" s="77" t="s">
        <v>11</v>
      </c>
      <c r="Q1" s="77" t="s">
        <v>12</v>
      </c>
      <c r="R1" s="77" t="s">
        <v>16</v>
      </c>
      <c r="S1" s="133"/>
      <c r="T1" s="133"/>
      <c r="U1" s="133"/>
      <c r="V1" s="133"/>
      <c r="W1" s="133"/>
      <c r="X1" s="133"/>
      <c r="Y1" s="133"/>
      <c r="Z1" s="133"/>
      <c r="AA1" s="133"/>
      <c r="AB1" s="133"/>
    </row>
    <row r="2" spans="1:28" ht="26.25" customHeight="1">
      <c r="A2" s="134" t="s">
        <v>79</v>
      </c>
      <c r="B2" s="134" t="s">
        <v>80</v>
      </c>
      <c r="C2" s="134" t="s">
        <v>81</v>
      </c>
      <c r="D2" s="148">
        <v>20000</v>
      </c>
      <c r="E2" s="135" t="s">
        <v>82</v>
      </c>
      <c r="F2" s="136" t="s">
        <v>83</v>
      </c>
      <c r="G2" s="134"/>
      <c r="H2" s="134"/>
      <c r="I2" s="134"/>
      <c r="J2" s="134"/>
      <c r="K2" s="137"/>
      <c r="L2" s="137">
        <v>42894</v>
      </c>
      <c r="M2" s="137">
        <v>42909</v>
      </c>
      <c r="N2" s="137">
        <v>42909</v>
      </c>
      <c r="O2" s="137">
        <v>42988</v>
      </c>
      <c r="P2" s="137">
        <v>43014</v>
      </c>
      <c r="Q2" s="137">
        <v>43047</v>
      </c>
      <c r="R2" s="137">
        <v>43081</v>
      </c>
      <c r="S2" s="133"/>
      <c r="T2" s="133"/>
      <c r="U2" s="133"/>
      <c r="V2" s="133"/>
      <c r="W2" s="133"/>
      <c r="X2" s="133"/>
      <c r="Y2" s="133"/>
      <c r="Z2" s="133"/>
      <c r="AA2" s="133"/>
      <c r="AB2" s="133"/>
    </row>
    <row r="3" spans="1:28" ht="26.25" customHeight="1">
      <c r="A3" s="128"/>
      <c r="B3" s="128"/>
      <c r="C3" s="129" t="s">
        <v>84</v>
      </c>
      <c r="D3" s="130">
        <v>20000</v>
      </c>
      <c r="E3" s="131">
        <v>40000</v>
      </c>
      <c r="F3" s="132"/>
      <c r="G3" s="138">
        <v>20000</v>
      </c>
      <c r="H3" s="138">
        <v>25000</v>
      </c>
      <c r="I3" s="139">
        <v>11500</v>
      </c>
      <c r="J3" s="139">
        <v>23000</v>
      </c>
      <c r="K3" s="140">
        <f>8400</f>
        <v>8400</v>
      </c>
      <c r="L3" s="138">
        <v>20000</v>
      </c>
      <c r="M3" s="138">
        <v>20000</v>
      </c>
      <c r="N3" s="138">
        <v>20000</v>
      </c>
      <c r="O3" s="140">
        <v>20000</v>
      </c>
      <c r="P3" s="140">
        <v>20000</v>
      </c>
      <c r="Q3" s="140">
        <v>20000</v>
      </c>
      <c r="R3" s="140">
        <v>20000</v>
      </c>
      <c r="S3" s="133"/>
      <c r="T3" s="133"/>
      <c r="U3" s="133"/>
      <c r="V3" s="133"/>
      <c r="W3" s="133"/>
      <c r="X3" s="133"/>
      <c r="Y3" s="133"/>
      <c r="Z3" s="133"/>
      <c r="AA3" s="133"/>
      <c r="AB3" s="133"/>
    </row>
    <row r="4" spans="1:28" ht="26.25" customHeight="1">
      <c r="A4" s="134" t="s">
        <v>85</v>
      </c>
      <c r="B4" s="134" t="s">
        <v>86</v>
      </c>
      <c r="C4" s="134"/>
      <c r="D4" s="135" t="s">
        <v>87</v>
      </c>
      <c r="E4" s="148"/>
      <c r="F4" s="136" t="s">
        <v>89</v>
      </c>
      <c r="G4" s="134"/>
      <c r="H4" s="134"/>
      <c r="I4" s="134"/>
      <c r="J4" s="134"/>
      <c r="K4" s="137"/>
      <c r="L4" s="137"/>
      <c r="M4" s="137"/>
      <c r="N4" s="137">
        <v>42955</v>
      </c>
      <c r="O4" s="137">
        <v>42985</v>
      </c>
      <c r="P4" s="137">
        <v>43019</v>
      </c>
      <c r="Q4" s="137">
        <v>43019</v>
      </c>
      <c r="R4" s="137">
        <v>43077</v>
      </c>
      <c r="S4" s="133"/>
      <c r="T4" s="133"/>
      <c r="U4" s="133"/>
      <c r="V4" s="133"/>
      <c r="W4" s="133"/>
      <c r="X4" s="133"/>
      <c r="Y4" s="133"/>
      <c r="Z4" s="133"/>
      <c r="AA4" s="133"/>
      <c r="AB4" s="133"/>
    </row>
    <row r="5" spans="1:28" ht="26.25" customHeight="1">
      <c r="A5" s="128"/>
      <c r="B5" s="128"/>
      <c r="C5" s="129"/>
      <c r="D5" s="130">
        <v>25000</v>
      </c>
      <c r="E5" s="131">
        <f>25000+9000</f>
        <v>34000</v>
      </c>
      <c r="F5" s="141"/>
      <c r="G5" s="142">
        <v>25000</v>
      </c>
      <c r="H5" s="142">
        <v>25000</v>
      </c>
      <c r="I5" s="143"/>
      <c r="J5" s="142">
        <v>19800</v>
      </c>
      <c r="K5" s="138">
        <f>10200</f>
        <v>10200</v>
      </c>
      <c r="L5" s="138"/>
      <c r="M5" s="139"/>
      <c r="N5" s="138">
        <f>6556+3000+25000</f>
        <v>34556</v>
      </c>
      <c r="O5" s="138">
        <v>25000</v>
      </c>
      <c r="P5" s="138">
        <v>25000</v>
      </c>
      <c r="Q5" s="138">
        <v>22000</v>
      </c>
      <c r="R5" s="138">
        <v>22000</v>
      </c>
      <c r="S5" s="133"/>
      <c r="T5" s="133"/>
      <c r="U5" s="133"/>
      <c r="V5" s="133"/>
      <c r="W5" s="133"/>
      <c r="X5" s="133"/>
      <c r="Y5" s="133"/>
      <c r="Z5" s="133"/>
      <c r="AA5" s="133"/>
      <c r="AB5" s="133"/>
    </row>
    <row r="6" spans="1:28" ht="26.25" customHeight="1">
      <c r="A6" s="134" t="s">
        <v>90</v>
      </c>
      <c r="B6" s="128" t="s">
        <v>91</v>
      </c>
      <c r="C6" s="129"/>
      <c r="D6" s="135"/>
      <c r="E6" s="135"/>
      <c r="F6" s="141" t="s">
        <v>92</v>
      </c>
      <c r="G6" s="134"/>
      <c r="H6" s="134"/>
      <c r="I6" s="134">
        <v>42813</v>
      </c>
      <c r="J6" s="134"/>
      <c r="K6" s="133" t="s">
        <v>93</v>
      </c>
      <c r="L6" s="133" t="s">
        <v>94</v>
      </c>
      <c r="M6" s="133" t="s">
        <v>95</v>
      </c>
      <c r="N6" s="136" t="s">
        <v>96</v>
      </c>
      <c r="O6" s="133">
        <v>42996</v>
      </c>
      <c r="P6" s="133">
        <v>42996</v>
      </c>
      <c r="Q6" s="133">
        <v>42996</v>
      </c>
      <c r="R6" s="133">
        <v>42996</v>
      </c>
      <c r="S6" s="133"/>
      <c r="T6" s="133"/>
      <c r="U6" s="133"/>
      <c r="V6" s="133"/>
      <c r="W6" s="133"/>
      <c r="X6" s="133"/>
      <c r="Y6" s="133"/>
      <c r="Z6" s="133"/>
      <c r="AA6" s="133"/>
      <c r="AB6" s="133"/>
    </row>
    <row r="7" spans="1:28" ht="26.25" customHeight="1">
      <c r="A7" s="128"/>
      <c r="B7" s="128"/>
      <c r="C7" s="129"/>
      <c r="D7" s="130">
        <v>23000</v>
      </c>
      <c r="E7" s="131">
        <v>10000</v>
      </c>
      <c r="F7" s="141"/>
      <c r="G7" s="144">
        <v>25000</v>
      </c>
      <c r="H7" s="144">
        <v>25000</v>
      </c>
      <c r="I7" s="144">
        <f>12900+10480</f>
        <v>23380</v>
      </c>
      <c r="J7" s="144">
        <v>25000</v>
      </c>
      <c r="K7" s="138">
        <v>21960</v>
      </c>
      <c r="L7" s="138">
        <v>23000</v>
      </c>
      <c r="M7" s="138">
        <v>23000</v>
      </c>
      <c r="N7" s="138">
        <f>20744+5000</f>
        <v>25744</v>
      </c>
      <c r="O7" s="138">
        <f>3292+1000+3874+22000</f>
        <v>30166</v>
      </c>
      <c r="P7" s="138">
        <v>22000</v>
      </c>
      <c r="Q7" s="138">
        <v>22000</v>
      </c>
      <c r="R7" s="138">
        <v>22000</v>
      </c>
      <c r="S7" s="133"/>
      <c r="T7" s="133"/>
      <c r="U7" s="133"/>
      <c r="V7" s="133"/>
      <c r="W7" s="133"/>
      <c r="X7" s="133"/>
      <c r="Y7" s="133"/>
      <c r="Z7" s="133"/>
      <c r="AA7" s="133"/>
      <c r="AB7" s="133"/>
    </row>
    <row r="8" spans="1:28" ht="26.25" customHeight="1">
      <c r="A8" s="134" t="s">
        <v>97</v>
      </c>
      <c r="B8" s="128" t="s">
        <v>98</v>
      </c>
      <c r="C8" s="129"/>
      <c r="D8" s="135"/>
      <c r="E8" s="135"/>
      <c r="F8" s="141" t="s">
        <v>99</v>
      </c>
      <c r="G8" s="134"/>
      <c r="H8" s="134" t="s">
        <v>100</v>
      </c>
      <c r="I8" s="134" t="s">
        <v>36</v>
      </c>
      <c r="J8" s="134" t="s">
        <v>101</v>
      </c>
      <c r="K8" s="133"/>
      <c r="L8" s="133" t="s">
        <v>102</v>
      </c>
      <c r="M8" s="133" t="s">
        <v>103</v>
      </c>
      <c r="N8" s="133">
        <v>42948</v>
      </c>
      <c r="O8" s="133">
        <v>42979</v>
      </c>
      <c r="P8" s="133">
        <v>43010</v>
      </c>
      <c r="Q8" s="133">
        <v>43043</v>
      </c>
      <c r="R8" s="137">
        <v>43077</v>
      </c>
      <c r="S8" s="133"/>
      <c r="T8" s="133"/>
      <c r="U8" s="133"/>
      <c r="V8" s="133"/>
      <c r="W8" s="133"/>
      <c r="X8" s="133"/>
      <c r="Y8" s="133"/>
      <c r="Z8" s="133"/>
      <c r="AA8" s="133"/>
      <c r="AB8" s="133"/>
    </row>
    <row r="9" spans="1:28" ht="26.25" customHeight="1">
      <c r="A9" s="128"/>
      <c r="B9" s="128"/>
      <c r="C9" s="129"/>
      <c r="D9" s="130">
        <v>22000</v>
      </c>
      <c r="E9" s="131">
        <v>44000</v>
      </c>
      <c r="F9" s="141"/>
      <c r="G9" s="144">
        <v>25000</v>
      </c>
      <c r="H9" s="144">
        <v>0</v>
      </c>
      <c r="I9" s="144"/>
      <c r="J9" s="144"/>
      <c r="K9" s="138">
        <v>24838</v>
      </c>
      <c r="L9" s="142">
        <v>25000</v>
      </c>
      <c r="M9" s="142">
        <v>25000</v>
      </c>
      <c r="N9" s="138">
        <v>14903</v>
      </c>
      <c r="O9" s="138">
        <v>22000</v>
      </c>
      <c r="P9" s="138">
        <v>22000</v>
      </c>
      <c r="Q9" s="138">
        <v>22000</v>
      </c>
      <c r="R9" s="138">
        <v>22000</v>
      </c>
      <c r="S9" s="133"/>
      <c r="T9" s="133"/>
      <c r="U9" s="133"/>
      <c r="V9" s="133"/>
      <c r="W9" s="133"/>
      <c r="X9" s="133"/>
      <c r="Y9" s="133"/>
      <c r="Z9" s="133"/>
      <c r="AA9" s="133"/>
      <c r="AB9" s="133"/>
    </row>
    <row r="10" spans="1:28" ht="26.25" customHeight="1">
      <c r="A10" s="128" t="s">
        <v>104</v>
      </c>
      <c r="B10" s="134" t="s">
        <v>105</v>
      </c>
      <c r="C10" s="134" t="s">
        <v>106</v>
      </c>
      <c r="D10" s="135" t="s">
        <v>87</v>
      </c>
      <c r="E10" s="135"/>
      <c r="F10" s="136" t="s">
        <v>107</v>
      </c>
      <c r="G10" s="134"/>
      <c r="H10" s="134"/>
      <c r="I10" s="134"/>
      <c r="J10" s="134"/>
      <c r="K10" s="133">
        <v>42857</v>
      </c>
      <c r="L10" s="133">
        <v>42887</v>
      </c>
      <c r="M10" s="133">
        <v>42919</v>
      </c>
      <c r="N10" s="133">
        <v>42947</v>
      </c>
      <c r="O10" s="133">
        <v>42979</v>
      </c>
      <c r="P10" s="133">
        <v>43007</v>
      </c>
      <c r="Q10" s="133">
        <v>43040</v>
      </c>
      <c r="R10" s="133">
        <v>43070</v>
      </c>
      <c r="S10" s="133"/>
      <c r="T10" s="133"/>
      <c r="U10" s="133"/>
      <c r="V10" s="133"/>
      <c r="W10" s="133"/>
      <c r="X10" s="133"/>
      <c r="Y10" s="133"/>
      <c r="Z10" s="133"/>
      <c r="AA10" s="133"/>
      <c r="AB10" s="133"/>
    </row>
    <row r="11" spans="1:28" ht="26.25" customHeight="1">
      <c r="A11" s="128"/>
      <c r="B11" s="128"/>
      <c r="C11" s="129" t="s">
        <v>84</v>
      </c>
      <c r="D11" s="130">
        <v>22000</v>
      </c>
      <c r="E11" s="131">
        <v>40000</v>
      </c>
      <c r="F11" s="141"/>
      <c r="G11" s="144">
        <v>22000</v>
      </c>
      <c r="H11" s="144">
        <v>22000</v>
      </c>
      <c r="I11" s="144">
        <v>22000</v>
      </c>
      <c r="J11" s="144">
        <v>22000</v>
      </c>
      <c r="K11" s="142">
        <v>22000</v>
      </c>
      <c r="L11" s="142">
        <v>22000</v>
      </c>
      <c r="M11" s="138">
        <v>22000</v>
      </c>
      <c r="N11" s="138">
        <v>22000</v>
      </c>
      <c r="O11" s="138">
        <v>22000</v>
      </c>
      <c r="P11" s="138">
        <v>22000</v>
      </c>
      <c r="Q11" s="138">
        <v>22000</v>
      </c>
      <c r="R11" s="138">
        <v>22000</v>
      </c>
      <c r="S11" s="133"/>
      <c r="T11" s="133"/>
      <c r="U11" s="133"/>
      <c r="V11" s="133"/>
      <c r="W11" s="133"/>
      <c r="X11" s="133"/>
      <c r="Y11" s="133"/>
      <c r="Z11" s="133"/>
      <c r="AA11" s="133"/>
      <c r="AB11" s="133"/>
    </row>
    <row r="12" spans="1:28" ht="26.25" customHeight="1">
      <c r="A12" s="128" t="s">
        <v>108</v>
      </c>
      <c r="B12" s="128" t="s">
        <v>109</v>
      </c>
      <c r="C12" s="129"/>
      <c r="D12" s="135" t="s">
        <v>87</v>
      </c>
      <c r="E12" s="135"/>
      <c r="F12" s="136" t="s">
        <v>110</v>
      </c>
      <c r="G12" s="134"/>
      <c r="H12" s="134"/>
      <c r="I12" s="134"/>
      <c r="J12" s="134"/>
      <c r="K12" s="137">
        <v>42863</v>
      </c>
      <c r="L12" s="137" t="s">
        <v>111</v>
      </c>
      <c r="M12" s="137" t="s">
        <v>112</v>
      </c>
      <c r="N12" s="137">
        <v>42958</v>
      </c>
      <c r="O12" s="137">
        <v>42985</v>
      </c>
      <c r="P12" s="137">
        <v>43013</v>
      </c>
      <c r="Q12" s="137">
        <v>43041</v>
      </c>
      <c r="R12" s="137">
        <v>43067</v>
      </c>
      <c r="S12" s="133"/>
      <c r="T12" s="133"/>
      <c r="U12" s="133"/>
      <c r="V12" s="133"/>
      <c r="W12" s="133"/>
      <c r="X12" s="133"/>
      <c r="Y12" s="133"/>
      <c r="Z12" s="133"/>
      <c r="AA12" s="133"/>
      <c r="AB12" s="133"/>
    </row>
    <row r="13" spans="1:28" ht="26.25" customHeight="1">
      <c r="A13" s="128"/>
      <c r="B13" s="128"/>
      <c r="C13" s="129"/>
      <c r="D13" s="130">
        <v>22000</v>
      </c>
      <c r="E13" s="131">
        <v>44000</v>
      </c>
      <c r="F13" s="141"/>
      <c r="G13" s="144">
        <v>22000</v>
      </c>
      <c r="H13" s="144">
        <v>22000</v>
      </c>
      <c r="I13" s="144">
        <v>22000</v>
      </c>
      <c r="J13" s="144">
        <v>22000</v>
      </c>
      <c r="K13" s="138">
        <v>22000</v>
      </c>
      <c r="L13" s="142">
        <v>25000</v>
      </c>
      <c r="M13" s="138">
        <v>25000</v>
      </c>
      <c r="N13" s="138">
        <v>22000</v>
      </c>
      <c r="O13" s="138">
        <v>22000</v>
      </c>
      <c r="P13" s="138">
        <v>22000</v>
      </c>
      <c r="Q13" s="138">
        <v>22000</v>
      </c>
      <c r="R13" s="138">
        <v>22000</v>
      </c>
      <c r="S13" s="77"/>
      <c r="T13" s="77"/>
      <c r="U13" s="77"/>
      <c r="V13" s="77"/>
      <c r="W13" s="77"/>
      <c r="X13" s="77"/>
      <c r="Y13" s="77"/>
      <c r="Z13" s="77"/>
      <c r="AA13" s="77"/>
      <c r="AB13" s="77"/>
    </row>
    <row r="14" spans="1:28" ht="26.25" customHeight="1">
      <c r="A14" s="128"/>
      <c r="B14" s="128"/>
      <c r="C14" s="77"/>
      <c r="D14" s="130">
        <f>SUBTOTAL(109,'4-寒舍'!$D$1:$D$13)</f>
        <v>154000</v>
      </c>
      <c r="E14" s="145">
        <f>SUBTOTAL(109,'4-寒舍'!$E$1:$E$13)</f>
        <v>212000</v>
      </c>
      <c r="F14" s="141" t="s">
        <v>113</v>
      </c>
      <c r="G14" s="146">
        <f t="shared" ref="G14:L14" si="0">G3+G5+G7+G9+G11+G13</f>
        <v>139000</v>
      </c>
      <c r="H14" s="146">
        <f t="shared" si="0"/>
        <v>119000</v>
      </c>
      <c r="I14" s="146">
        <f t="shared" si="0"/>
        <v>78880</v>
      </c>
      <c r="J14" s="146">
        <f t="shared" si="0"/>
        <v>111800</v>
      </c>
      <c r="K14" s="146">
        <f t="shared" si="0"/>
        <v>109398</v>
      </c>
      <c r="L14" s="146">
        <f t="shared" si="0"/>
        <v>115000</v>
      </c>
      <c r="M14" s="146">
        <f t="shared" ref="M14:R14" si="1">M3+M5+M7+M9+M11+M13</f>
        <v>115000</v>
      </c>
      <c r="N14" s="146">
        <f t="shared" si="1"/>
        <v>139203</v>
      </c>
      <c r="O14" s="146">
        <f t="shared" si="1"/>
        <v>141166</v>
      </c>
      <c r="P14" s="146">
        <f t="shared" si="1"/>
        <v>133000</v>
      </c>
      <c r="Q14" s="146">
        <f t="shared" si="1"/>
        <v>130000</v>
      </c>
      <c r="R14" s="146">
        <f t="shared" si="1"/>
        <v>130000</v>
      </c>
      <c r="S14" s="77"/>
      <c r="T14" s="77"/>
      <c r="U14" s="77"/>
      <c r="V14" s="77"/>
      <c r="W14" s="77"/>
      <c r="X14" s="77"/>
      <c r="Y14" s="77"/>
      <c r="Z14" s="77"/>
      <c r="AA14" s="77"/>
      <c r="AB14" s="77"/>
    </row>
    <row r="15" spans="1:28" ht="26.25" customHeight="1">
      <c r="A15" s="77"/>
      <c r="B15" s="77"/>
      <c r="C15" s="77"/>
      <c r="D15" s="147" t="s">
        <v>114</v>
      </c>
      <c r="E15" s="147"/>
      <c r="F15" s="148"/>
      <c r="G15" s="149">
        <v>-291</v>
      </c>
      <c r="H15" s="150"/>
      <c r="I15" s="149">
        <v>-270</v>
      </c>
      <c r="J15" s="149"/>
      <c r="K15" s="149">
        <v>-259</v>
      </c>
      <c r="L15" s="151"/>
      <c r="M15" s="151"/>
      <c r="N15" s="152"/>
      <c r="O15" s="151"/>
      <c r="P15" s="153"/>
      <c r="Q15" s="153"/>
      <c r="R15" s="153"/>
      <c r="S15" s="77"/>
      <c r="T15" s="77"/>
      <c r="U15" s="77"/>
      <c r="V15" s="77"/>
      <c r="W15" s="77"/>
      <c r="X15" s="77"/>
      <c r="Y15" s="77"/>
      <c r="Z15" s="77"/>
      <c r="AA15" s="147"/>
      <c r="AB15" s="77"/>
    </row>
    <row r="16" spans="1:28" ht="26.25" customHeight="1">
      <c r="A16" s="133"/>
      <c r="B16" s="133"/>
      <c r="C16" s="133"/>
      <c r="D16" s="147" t="s">
        <v>115</v>
      </c>
      <c r="E16" s="147"/>
      <c r="F16" s="148"/>
      <c r="G16" s="150">
        <v>-6708</v>
      </c>
      <c r="H16" s="150"/>
      <c r="I16" s="150">
        <v>-6935</v>
      </c>
      <c r="J16" s="154"/>
      <c r="K16" s="149">
        <v>-8099</v>
      </c>
      <c r="L16" s="152"/>
      <c r="M16" s="151"/>
      <c r="N16" s="151"/>
      <c r="O16" s="151"/>
      <c r="P16" s="151"/>
      <c r="Q16" s="152"/>
      <c r="R16" s="152"/>
      <c r="S16" s="133"/>
      <c r="T16" s="133"/>
      <c r="U16" s="133"/>
      <c r="V16" s="133"/>
      <c r="W16" s="133"/>
      <c r="X16" s="133"/>
      <c r="Y16" s="133"/>
      <c r="Z16" s="133"/>
      <c r="AA16" s="133"/>
      <c r="AB16" s="133"/>
    </row>
    <row r="17" spans="1:28" ht="26.25" customHeight="1">
      <c r="A17" s="77"/>
      <c r="B17" s="77"/>
      <c r="C17" s="372" t="s">
        <v>116</v>
      </c>
      <c r="D17" s="358"/>
      <c r="E17" s="358"/>
      <c r="F17" s="148"/>
      <c r="G17" s="150"/>
      <c r="H17" s="150"/>
      <c r="I17" s="150">
        <v>-2388</v>
      </c>
      <c r="J17" s="149"/>
      <c r="K17" s="150"/>
      <c r="L17" s="151"/>
      <c r="M17" s="155"/>
      <c r="N17" s="156"/>
      <c r="O17" s="155"/>
      <c r="P17" s="155"/>
      <c r="Q17" s="155"/>
      <c r="R17" s="152"/>
      <c r="S17" s="77"/>
      <c r="T17" s="77"/>
      <c r="U17" s="77"/>
      <c r="V17" s="77"/>
      <c r="W17" s="77"/>
      <c r="X17" s="77"/>
      <c r="Y17" s="77"/>
      <c r="Z17" s="77"/>
      <c r="AA17" s="77"/>
      <c r="AB17" s="77"/>
    </row>
    <row r="18" spans="1:28" ht="26.25" customHeight="1">
      <c r="A18" s="77"/>
      <c r="B18" s="77"/>
      <c r="C18" s="372" t="s">
        <v>117</v>
      </c>
      <c r="D18" s="358"/>
      <c r="E18" s="358"/>
      <c r="F18" s="148"/>
      <c r="G18" s="150">
        <v>-990</v>
      </c>
      <c r="H18" s="150"/>
      <c r="I18" s="150">
        <v>-2970</v>
      </c>
      <c r="J18" s="149"/>
      <c r="K18" s="150"/>
      <c r="L18" s="151"/>
      <c r="M18" s="155"/>
      <c r="N18" s="156"/>
      <c r="O18" s="155"/>
      <c r="P18" s="155"/>
      <c r="Q18" s="155"/>
      <c r="R18" s="152"/>
      <c r="S18" s="77"/>
      <c r="T18" s="77"/>
      <c r="U18" s="77"/>
      <c r="V18" s="77"/>
      <c r="W18" s="77"/>
      <c r="X18" s="77"/>
      <c r="Y18" s="77"/>
      <c r="Z18" s="77"/>
      <c r="AA18" s="77"/>
      <c r="AB18" s="77"/>
    </row>
    <row r="19" spans="1:28" ht="26.25" customHeight="1">
      <c r="A19" s="77"/>
      <c r="B19" s="77"/>
      <c r="C19" s="372" t="s">
        <v>118</v>
      </c>
      <c r="D19" s="358"/>
      <c r="E19" s="358"/>
      <c r="F19" s="148"/>
      <c r="G19" s="152">
        <f t="shared" ref="G19:R19" si="2">SUM(G15:G18)</f>
        <v>-7989</v>
      </c>
      <c r="H19" s="152">
        <f t="shared" si="2"/>
        <v>0</v>
      </c>
      <c r="I19" s="152">
        <f t="shared" si="2"/>
        <v>-12563</v>
      </c>
      <c r="J19" s="152">
        <f t="shared" si="2"/>
        <v>0</v>
      </c>
      <c r="K19" s="152">
        <f t="shared" si="2"/>
        <v>-8358</v>
      </c>
      <c r="L19" s="152">
        <f t="shared" si="2"/>
        <v>0</v>
      </c>
      <c r="M19" s="152">
        <f t="shared" si="2"/>
        <v>0</v>
      </c>
      <c r="N19" s="152">
        <f t="shared" si="2"/>
        <v>0</v>
      </c>
      <c r="O19" s="152">
        <f t="shared" si="2"/>
        <v>0</v>
      </c>
      <c r="P19" s="152">
        <f t="shared" si="2"/>
        <v>0</v>
      </c>
      <c r="Q19" s="152">
        <f t="shared" si="2"/>
        <v>0</v>
      </c>
      <c r="R19" s="152">
        <f t="shared" si="2"/>
        <v>0</v>
      </c>
      <c r="S19" s="77"/>
      <c r="T19" s="77"/>
      <c r="U19" s="77"/>
      <c r="V19" s="77"/>
      <c r="W19" s="77"/>
      <c r="X19" s="77"/>
      <c r="Y19" s="77"/>
      <c r="Z19" s="77"/>
      <c r="AA19" s="77"/>
      <c r="AB19" s="77"/>
    </row>
    <row r="20" spans="1:28" ht="26.25" customHeight="1">
      <c r="A20" s="77"/>
      <c r="B20" s="77"/>
      <c r="C20" s="77"/>
      <c r="D20" s="77"/>
      <c r="E20" s="157"/>
      <c r="F20" s="158"/>
      <c r="G20" s="159" t="s">
        <v>2</v>
      </c>
      <c r="H20" s="159" t="s">
        <v>3</v>
      </c>
      <c r="I20" s="159" t="s">
        <v>4</v>
      </c>
      <c r="J20" s="159" t="s">
        <v>5</v>
      </c>
      <c r="K20" s="159" t="s">
        <v>6</v>
      </c>
      <c r="L20" s="159" t="s">
        <v>7</v>
      </c>
      <c r="M20" s="159" t="s">
        <v>8</v>
      </c>
      <c r="N20" s="159" t="s">
        <v>9</v>
      </c>
      <c r="O20" s="159" t="s">
        <v>10</v>
      </c>
      <c r="P20" s="159" t="s">
        <v>11</v>
      </c>
      <c r="Q20" s="159" t="s">
        <v>12</v>
      </c>
      <c r="R20" s="159" t="s">
        <v>16</v>
      </c>
      <c r="S20" s="77"/>
      <c r="T20" s="77"/>
      <c r="U20" s="77"/>
      <c r="V20" s="77"/>
      <c r="W20" s="77"/>
      <c r="X20" s="77"/>
      <c r="Y20" s="77"/>
      <c r="Z20" s="77"/>
      <c r="AA20" s="77"/>
      <c r="AB20" s="77"/>
    </row>
    <row r="21" spans="1:28" ht="26.25" customHeight="1">
      <c r="A21" s="77"/>
      <c r="B21" s="77"/>
      <c r="C21" s="160"/>
      <c r="D21" s="78"/>
      <c r="E21" s="161" t="s">
        <v>79</v>
      </c>
      <c r="F21" s="162" t="s">
        <v>119</v>
      </c>
      <c r="G21" s="163"/>
      <c r="H21" s="163">
        <v>5466</v>
      </c>
      <c r="I21" s="163">
        <v>5828</v>
      </c>
      <c r="J21" s="163">
        <v>5828</v>
      </c>
      <c r="K21" s="163">
        <v>6228</v>
      </c>
      <c r="L21" s="164" t="s">
        <v>120</v>
      </c>
      <c r="M21" s="163"/>
      <c r="N21" s="163">
        <v>6647</v>
      </c>
      <c r="O21" s="163">
        <v>6817</v>
      </c>
      <c r="P21" s="163">
        <v>7021</v>
      </c>
      <c r="Q21" s="163">
        <v>7131</v>
      </c>
      <c r="R21" s="163"/>
      <c r="S21" s="77"/>
      <c r="T21" s="77"/>
      <c r="U21" s="77"/>
      <c r="V21" s="77"/>
      <c r="W21" s="77"/>
      <c r="X21" s="77"/>
      <c r="Y21" s="77"/>
      <c r="Z21" s="77"/>
      <c r="AA21" s="77"/>
      <c r="AB21" s="77"/>
    </row>
    <row r="22" spans="1:28" ht="26.25" customHeight="1">
      <c r="A22" s="77"/>
      <c r="B22" s="77"/>
      <c r="C22" s="160"/>
      <c r="D22" s="78"/>
      <c r="E22" s="165"/>
      <c r="F22" s="166" t="s">
        <v>121</v>
      </c>
      <c r="G22" s="167"/>
      <c r="H22" s="167"/>
      <c r="I22" s="167">
        <f t="shared" ref="I22:K22" si="3">IF((I21-H21)*5.5&gt;0,(I21-H21)*5.5,0)</f>
        <v>1991</v>
      </c>
      <c r="J22" s="168">
        <f t="shared" si="3"/>
        <v>0</v>
      </c>
      <c r="K22" s="168">
        <f t="shared" si="3"/>
        <v>2200</v>
      </c>
      <c r="L22" s="167">
        <f>IF((6511-6369)*5.5&gt;0,(6511-6369)*5.5,0)</f>
        <v>781</v>
      </c>
      <c r="M22" s="168"/>
      <c r="N22" s="167">
        <f>IF((N21-6511)*5.5&gt;0,(N21-6511)*5.5,0)</f>
        <v>748</v>
      </c>
      <c r="O22" s="167">
        <f t="shared" ref="O22:R22" si="4">IF((O21-N21)*5.5&gt;0,(O21-N21)*5.5,0)</f>
        <v>935</v>
      </c>
      <c r="P22" s="167">
        <f t="shared" si="4"/>
        <v>1122</v>
      </c>
      <c r="Q22" s="167">
        <f t="shared" si="4"/>
        <v>605</v>
      </c>
      <c r="R22" s="168">
        <f t="shared" si="4"/>
        <v>0</v>
      </c>
      <c r="S22" s="77"/>
      <c r="T22" s="77"/>
      <c r="U22" s="77"/>
      <c r="V22" s="77"/>
      <c r="W22" s="77"/>
      <c r="X22" s="77"/>
      <c r="Y22" s="77"/>
      <c r="Z22" s="77"/>
      <c r="AA22" s="77"/>
      <c r="AB22" s="77"/>
    </row>
    <row r="23" spans="1:28" ht="26.25" customHeight="1">
      <c r="A23" s="77"/>
      <c r="B23" s="77"/>
      <c r="C23" s="160"/>
      <c r="D23" s="78"/>
      <c r="E23" s="161" t="s">
        <v>85</v>
      </c>
      <c r="F23" s="162" t="s">
        <v>119</v>
      </c>
      <c r="G23" s="163">
        <v>6008</v>
      </c>
      <c r="H23" s="163">
        <v>6008</v>
      </c>
      <c r="I23" s="163">
        <v>6008</v>
      </c>
      <c r="J23" s="163">
        <v>6117</v>
      </c>
      <c r="K23" s="163"/>
      <c r="L23" s="163"/>
      <c r="M23" s="163">
        <v>6980</v>
      </c>
      <c r="N23" s="163">
        <v>7324</v>
      </c>
      <c r="O23" s="163">
        <v>7858</v>
      </c>
      <c r="P23" s="163">
        <v>8302</v>
      </c>
      <c r="Q23" s="163">
        <v>8556</v>
      </c>
      <c r="R23" s="163"/>
      <c r="S23" s="77"/>
      <c r="T23" s="77"/>
      <c r="U23" s="77"/>
      <c r="V23" s="77"/>
      <c r="W23" s="77"/>
      <c r="X23" s="77"/>
      <c r="Y23" s="77"/>
      <c r="Z23" s="77"/>
      <c r="AA23" s="77"/>
      <c r="AB23" s="77"/>
    </row>
    <row r="24" spans="1:28" ht="26.25" customHeight="1">
      <c r="A24" s="77"/>
      <c r="B24" s="77"/>
      <c r="C24" s="160"/>
      <c r="D24" s="78"/>
      <c r="E24" s="165"/>
      <c r="F24" s="166" t="s">
        <v>121</v>
      </c>
      <c r="G24" s="167"/>
      <c r="H24" s="167">
        <f t="shared" ref="H24:L24" si="5">IF((H23-G23)*5.5&gt;0,(H23-G23)*5.5,0)</f>
        <v>0</v>
      </c>
      <c r="I24" s="167">
        <f t="shared" si="5"/>
        <v>0</v>
      </c>
      <c r="J24" s="168">
        <f t="shared" si="5"/>
        <v>599.5</v>
      </c>
      <c r="K24" s="168">
        <f t="shared" si="5"/>
        <v>0</v>
      </c>
      <c r="L24" s="168">
        <f t="shared" si="5"/>
        <v>0</v>
      </c>
      <c r="M24" s="168"/>
      <c r="N24" s="167">
        <f t="shared" ref="N24:R24" si="6">IF((N23-M23)*5.5&gt;0,(N23-M23)*5.5,0)</f>
        <v>1892</v>
      </c>
      <c r="O24" s="167">
        <f t="shared" si="6"/>
        <v>2937</v>
      </c>
      <c r="P24" s="167">
        <f t="shared" si="6"/>
        <v>2442</v>
      </c>
      <c r="Q24" s="167">
        <f t="shared" si="6"/>
        <v>1397</v>
      </c>
      <c r="R24" s="168">
        <f t="shared" si="6"/>
        <v>0</v>
      </c>
      <c r="S24" s="77"/>
      <c r="T24" s="77"/>
      <c r="U24" s="77"/>
      <c r="V24" s="77"/>
      <c r="W24" s="77"/>
      <c r="X24" s="77"/>
      <c r="Y24" s="77"/>
      <c r="Z24" s="77"/>
      <c r="AA24" s="77"/>
      <c r="AB24" s="77"/>
    </row>
    <row r="25" spans="1:28" ht="26.25" customHeight="1">
      <c r="A25" s="77"/>
      <c r="B25" s="77"/>
      <c r="C25" s="160"/>
      <c r="D25" s="78"/>
      <c r="E25" s="169" t="s">
        <v>90</v>
      </c>
      <c r="F25" s="162" t="s">
        <v>119</v>
      </c>
      <c r="G25" s="170">
        <v>8300</v>
      </c>
      <c r="H25" s="170">
        <v>8300</v>
      </c>
      <c r="I25" s="170">
        <v>8300</v>
      </c>
      <c r="J25" s="170">
        <v>8612</v>
      </c>
      <c r="K25" s="170">
        <v>8612</v>
      </c>
      <c r="L25" s="170"/>
      <c r="M25" s="170">
        <v>9314</v>
      </c>
      <c r="N25" s="170">
        <v>9511</v>
      </c>
      <c r="O25" s="163">
        <v>9599</v>
      </c>
      <c r="P25" s="170">
        <v>9773</v>
      </c>
      <c r="Q25" s="170">
        <v>9979</v>
      </c>
      <c r="R25" s="171"/>
      <c r="S25" s="77"/>
      <c r="T25" s="77"/>
      <c r="U25" s="77"/>
      <c r="V25" s="77"/>
      <c r="W25" s="77"/>
      <c r="X25" s="77"/>
      <c r="Y25" s="77"/>
      <c r="Z25" s="77"/>
      <c r="AA25" s="77"/>
      <c r="AB25" s="77"/>
    </row>
    <row r="26" spans="1:28" ht="26.25" customHeight="1">
      <c r="A26" s="77"/>
      <c r="B26" s="77"/>
      <c r="C26" s="160"/>
      <c r="D26" s="78"/>
      <c r="E26" s="165"/>
      <c r="F26" s="166" t="s">
        <v>121</v>
      </c>
      <c r="G26" s="172"/>
      <c r="H26" s="167">
        <f t="shared" ref="H26:L26" si="7">IF((H25-G25)*5.5&gt;0,(H25-G25)*5.5,0)</f>
        <v>0</v>
      </c>
      <c r="I26" s="167">
        <f t="shared" si="7"/>
        <v>0</v>
      </c>
      <c r="J26" s="167">
        <f t="shared" si="7"/>
        <v>1716</v>
      </c>
      <c r="K26" s="168">
        <f t="shared" si="7"/>
        <v>0</v>
      </c>
      <c r="L26" s="168">
        <f t="shared" si="7"/>
        <v>0</v>
      </c>
      <c r="M26" s="167">
        <f>IF((M25-K25)*5.5&gt;0,(M25-K25)*5.5,0)</f>
        <v>3861</v>
      </c>
      <c r="N26" s="168"/>
      <c r="O26" s="168">
        <f t="shared" ref="O26:R26" si="8">IF((O25-N25)*5.5&gt;0,(O25-N25)*5.5,0)</f>
        <v>484</v>
      </c>
      <c r="P26" s="168">
        <f t="shared" si="8"/>
        <v>957</v>
      </c>
      <c r="Q26" s="168">
        <f t="shared" si="8"/>
        <v>1133</v>
      </c>
      <c r="R26" s="168">
        <f t="shared" si="8"/>
        <v>0</v>
      </c>
      <c r="S26" s="77"/>
      <c r="T26" s="77"/>
      <c r="U26" s="77"/>
      <c r="V26" s="77"/>
      <c r="W26" s="77"/>
      <c r="X26" s="77"/>
      <c r="Y26" s="77"/>
      <c r="Z26" s="77"/>
      <c r="AA26" s="77"/>
      <c r="AB26" s="77"/>
    </row>
    <row r="27" spans="1:28" ht="26.25" customHeight="1">
      <c r="A27" s="77"/>
      <c r="B27" s="77"/>
      <c r="C27" s="160"/>
      <c r="D27" s="78"/>
      <c r="E27" s="169" t="s">
        <v>97</v>
      </c>
      <c r="F27" s="162" t="s">
        <v>119</v>
      </c>
      <c r="G27" s="170"/>
      <c r="H27" s="170"/>
      <c r="I27" s="170"/>
      <c r="J27" s="170">
        <v>6103</v>
      </c>
      <c r="K27" s="170">
        <v>6225</v>
      </c>
      <c r="L27" s="170">
        <v>6331</v>
      </c>
      <c r="M27" s="170">
        <v>6953</v>
      </c>
      <c r="N27" s="170">
        <v>7005</v>
      </c>
      <c r="O27" s="163">
        <v>7163</v>
      </c>
      <c r="P27" s="170">
        <v>7365</v>
      </c>
      <c r="Q27" s="170">
        <v>7505</v>
      </c>
      <c r="R27" s="171">
        <v>7717</v>
      </c>
      <c r="S27" s="77"/>
      <c r="T27" s="77"/>
      <c r="U27" s="77"/>
      <c r="V27" s="77"/>
      <c r="W27" s="77"/>
      <c r="X27" s="77"/>
      <c r="Y27" s="77"/>
      <c r="Z27" s="77"/>
      <c r="AA27" s="77"/>
      <c r="AB27" s="77"/>
    </row>
    <row r="28" spans="1:28" ht="26.25" customHeight="1">
      <c r="A28" s="77"/>
      <c r="B28" s="77"/>
      <c r="C28" s="160"/>
      <c r="D28" s="78"/>
      <c r="E28" s="173"/>
      <c r="F28" s="166" t="s">
        <v>121</v>
      </c>
      <c r="G28" s="172"/>
      <c r="H28" s="167">
        <f t="shared" ref="H28:I28" si="9">IF((H27-G27)*5.5&gt;0,(H27-G27)*5.5,0)</f>
        <v>0</v>
      </c>
      <c r="I28" s="167">
        <f t="shared" si="9"/>
        <v>0</v>
      </c>
      <c r="J28" s="167"/>
      <c r="K28" s="167">
        <f>IF((K27-J27)*5.5&gt;0,(K27-J27)*5.5,0)</f>
        <v>671</v>
      </c>
      <c r="L28" s="168"/>
      <c r="M28" s="167">
        <f t="shared" ref="M28:R28" si="10">IF((M27-L27)*5.5&gt;0,(M27-L27)*5.5,0)</f>
        <v>3421</v>
      </c>
      <c r="N28" s="167">
        <f t="shared" si="10"/>
        <v>286</v>
      </c>
      <c r="O28" s="167">
        <f t="shared" si="10"/>
        <v>869</v>
      </c>
      <c r="P28" s="167">
        <f t="shared" si="10"/>
        <v>1111</v>
      </c>
      <c r="Q28" s="167">
        <f t="shared" si="10"/>
        <v>770</v>
      </c>
      <c r="R28" s="168">
        <f t="shared" si="10"/>
        <v>1166</v>
      </c>
      <c r="S28" s="77"/>
      <c r="T28" s="77"/>
      <c r="U28" s="77"/>
      <c r="V28" s="77"/>
      <c r="W28" s="77"/>
      <c r="X28" s="77"/>
      <c r="Y28" s="77"/>
      <c r="Z28" s="77"/>
      <c r="AA28" s="77"/>
      <c r="AB28" s="77"/>
    </row>
    <row r="29" spans="1:28" ht="26.25" customHeight="1">
      <c r="A29" s="77"/>
      <c r="B29" s="77"/>
      <c r="C29" s="160"/>
      <c r="D29" s="78"/>
      <c r="E29" s="173" t="s">
        <v>104</v>
      </c>
      <c r="F29" s="162" t="s">
        <v>119</v>
      </c>
      <c r="G29" s="174">
        <v>6804</v>
      </c>
      <c r="H29" s="174">
        <v>6966</v>
      </c>
      <c r="I29" s="174">
        <v>7174</v>
      </c>
      <c r="J29" s="174">
        <v>7344</v>
      </c>
      <c r="K29" s="174">
        <v>7514</v>
      </c>
      <c r="L29" s="174">
        <v>7660</v>
      </c>
      <c r="M29" s="174">
        <v>7832</v>
      </c>
      <c r="N29" s="174">
        <v>7986</v>
      </c>
      <c r="O29" s="175">
        <v>8146</v>
      </c>
      <c r="P29" s="174">
        <v>8302</v>
      </c>
      <c r="Q29" s="174">
        <v>8458</v>
      </c>
      <c r="R29" s="174"/>
      <c r="S29" s="77"/>
      <c r="T29" s="77"/>
      <c r="U29" s="77"/>
      <c r="V29" s="77"/>
      <c r="W29" s="77"/>
      <c r="X29" s="77"/>
      <c r="Y29" s="77"/>
      <c r="Z29" s="77"/>
      <c r="AA29" s="77"/>
      <c r="AB29" s="77"/>
    </row>
    <row r="30" spans="1:28" ht="26.25" customHeight="1">
      <c r="A30" s="77"/>
      <c r="B30" s="77"/>
      <c r="C30" s="160"/>
      <c r="D30" s="78"/>
      <c r="E30" s="173"/>
      <c r="F30" s="166" t="s">
        <v>121</v>
      </c>
      <c r="G30" s="168"/>
      <c r="H30" s="168">
        <f t="shared" ref="H30:R30" si="11">IF((H29-G29)*5.5&gt;0,(H29-G29)*5.5,0)</f>
        <v>891</v>
      </c>
      <c r="I30" s="168">
        <f t="shared" si="11"/>
        <v>1144</v>
      </c>
      <c r="J30" s="167">
        <f t="shared" si="11"/>
        <v>935</v>
      </c>
      <c r="K30" s="167">
        <f t="shared" si="11"/>
        <v>935</v>
      </c>
      <c r="L30" s="167">
        <f t="shared" si="11"/>
        <v>803</v>
      </c>
      <c r="M30" s="167">
        <f t="shared" si="11"/>
        <v>946</v>
      </c>
      <c r="N30" s="167">
        <f t="shared" si="11"/>
        <v>847</v>
      </c>
      <c r="O30" s="167">
        <f t="shared" si="11"/>
        <v>880</v>
      </c>
      <c r="P30" s="167">
        <f t="shared" si="11"/>
        <v>858</v>
      </c>
      <c r="Q30" s="167">
        <f t="shared" si="11"/>
        <v>858</v>
      </c>
      <c r="R30" s="168">
        <f t="shared" si="11"/>
        <v>0</v>
      </c>
      <c r="S30" s="77"/>
      <c r="T30" s="77"/>
      <c r="U30" s="77"/>
      <c r="V30" s="77"/>
      <c r="W30" s="77"/>
      <c r="X30" s="77"/>
      <c r="Y30" s="77"/>
      <c r="Z30" s="77"/>
      <c r="AA30" s="77"/>
      <c r="AB30" s="77"/>
    </row>
    <row r="31" spans="1:28" ht="26.25" customHeight="1">
      <c r="A31" s="77"/>
      <c r="B31" s="77"/>
      <c r="C31" s="160"/>
      <c r="D31" s="78"/>
      <c r="E31" s="173" t="s">
        <v>108</v>
      </c>
      <c r="F31" s="162" t="s">
        <v>119</v>
      </c>
      <c r="G31" s="163">
        <v>6190</v>
      </c>
      <c r="H31" s="163">
        <v>6278</v>
      </c>
      <c r="I31" s="163">
        <v>6496</v>
      </c>
      <c r="J31" s="163">
        <v>6734</v>
      </c>
      <c r="K31" s="163">
        <v>6971</v>
      </c>
      <c r="L31" s="163">
        <v>7094</v>
      </c>
      <c r="M31" s="163">
        <v>7611</v>
      </c>
      <c r="N31" s="163">
        <v>7689</v>
      </c>
      <c r="O31" s="163">
        <v>7921</v>
      </c>
      <c r="P31" s="163">
        <v>8109</v>
      </c>
      <c r="Q31" s="163">
        <v>8209</v>
      </c>
      <c r="R31" s="163"/>
      <c r="S31" s="77"/>
      <c r="T31" s="77"/>
      <c r="U31" s="77"/>
      <c r="V31" s="77"/>
      <c r="W31" s="77"/>
      <c r="X31" s="77"/>
      <c r="Y31" s="77"/>
      <c r="Z31" s="77"/>
      <c r="AA31" s="77"/>
      <c r="AB31" s="77"/>
    </row>
    <row r="32" spans="1:28" ht="26.25" customHeight="1">
      <c r="A32" s="77"/>
      <c r="B32" s="77"/>
      <c r="C32" s="160"/>
      <c r="D32" s="78"/>
      <c r="E32" s="165"/>
      <c r="F32" s="166" t="s">
        <v>121</v>
      </c>
      <c r="G32" s="168"/>
      <c r="H32" s="167">
        <f t="shared" ref="H32:K32" si="12">IF((H31-G31)*5.5&gt;0,(H31-G31)*5.5,0)</f>
        <v>484</v>
      </c>
      <c r="I32" s="167">
        <f t="shared" si="12"/>
        <v>1199</v>
      </c>
      <c r="J32" s="167">
        <f t="shared" si="12"/>
        <v>1309</v>
      </c>
      <c r="K32" s="167">
        <f t="shared" si="12"/>
        <v>1303.5</v>
      </c>
      <c r="L32" s="168"/>
      <c r="M32" s="167">
        <f>IF((M31-L31)*5.5&gt;0,(M31-L31)*5.5,0)-1</f>
        <v>2842.5</v>
      </c>
      <c r="N32" s="167">
        <f>IF((N31-7619)*5.5&gt;0,(N31-7619)*5.5,0)</f>
        <v>385</v>
      </c>
      <c r="O32" s="167">
        <f>IF((O31-N31)*5.5&gt;0,(O31-N31)*5.5,0)</f>
        <v>1276</v>
      </c>
      <c r="P32" s="167">
        <v>121</v>
      </c>
      <c r="Q32" s="167">
        <f t="shared" ref="Q32:R32" si="13">IF((Q31-P31)*5.5&gt;0,(Q31-P31)*5.5,0)</f>
        <v>550</v>
      </c>
      <c r="R32" s="168">
        <f t="shared" si="13"/>
        <v>0</v>
      </c>
      <c r="S32" s="77"/>
      <c r="T32" s="77"/>
      <c r="U32" s="77"/>
      <c r="V32" s="77"/>
      <c r="W32" s="77"/>
      <c r="X32" s="77"/>
      <c r="Y32" s="77"/>
      <c r="Z32" s="77"/>
      <c r="AA32" s="77"/>
      <c r="AB32" s="77"/>
    </row>
    <row r="33" spans="1:28" ht="26.25" customHeight="1">
      <c r="A33" s="77"/>
      <c r="B33" s="77"/>
      <c r="C33" s="160"/>
      <c r="D33" s="78"/>
      <c r="E33" s="176"/>
      <c r="F33" s="177" t="s">
        <v>122</v>
      </c>
      <c r="G33" s="168">
        <f t="shared" ref="G33:R33" si="14">G22+G24+G26+G28+G30+G32</f>
        <v>0</v>
      </c>
      <c r="H33" s="168">
        <f t="shared" si="14"/>
        <v>1375</v>
      </c>
      <c r="I33" s="168">
        <f t="shared" si="14"/>
        <v>4334</v>
      </c>
      <c r="J33" s="168">
        <f t="shared" si="14"/>
        <v>4559.5</v>
      </c>
      <c r="K33" s="168">
        <f t="shared" si="14"/>
        <v>5109.5</v>
      </c>
      <c r="L33" s="168">
        <f t="shared" si="14"/>
        <v>1584</v>
      </c>
      <c r="M33" s="168">
        <f t="shared" si="14"/>
        <v>11070.5</v>
      </c>
      <c r="N33" s="168">
        <f t="shared" si="14"/>
        <v>4158</v>
      </c>
      <c r="O33" s="168">
        <f t="shared" si="14"/>
        <v>7381</v>
      </c>
      <c r="P33" s="168">
        <f t="shared" si="14"/>
        <v>6611</v>
      </c>
      <c r="Q33" s="168">
        <f t="shared" si="14"/>
        <v>5313</v>
      </c>
      <c r="R33" s="168">
        <f t="shared" si="14"/>
        <v>1166</v>
      </c>
      <c r="S33" s="77"/>
      <c r="T33" s="77"/>
      <c r="U33" s="77"/>
      <c r="V33" s="77"/>
      <c r="W33" s="77"/>
      <c r="X33" s="77"/>
      <c r="Y33" s="77"/>
      <c r="Z33" s="77"/>
      <c r="AA33" s="77"/>
      <c r="AB33" s="77"/>
    </row>
    <row r="34" spans="1:28" ht="26.25" customHeight="1">
      <c r="A34" s="77"/>
      <c r="B34" s="77"/>
      <c r="C34" s="160"/>
      <c r="D34" s="78"/>
      <c r="E34" s="178" t="s">
        <v>123</v>
      </c>
      <c r="F34" s="179"/>
      <c r="G34" s="180">
        <f>'4-寒舍'!$G$14+G19+'4-寒舍'!$G$33</f>
        <v>131011</v>
      </c>
      <c r="H34" s="180">
        <f>'4-寒舍'!$H$14+H19+'4-寒舍'!$H$33</f>
        <v>120375</v>
      </c>
      <c r="I34" s="180">
        <f>'4-寒舍'!$H$14+I19+'4-寒舍'!$H$33</f>
        <v>107812</v>
      </c>
      <c r="J34" s="180">
        <f>'4-寒舍'!$I$14+J19+'4-寒舍'!$I$33</f>
        <v>83214</v>
      </c>
      <c r="K34" s="180">
        <f>'4-寒舍'!$I$14+K19+'4-寒舍'!$I$33</f>
        <v>74856</v>
      </c>
      <c r="L34" s="180">
        <f>'4-寒舍'!$J$14+L19+'4-寒舍'!$J$33</f>
        <v>116359.5</v>
      </c>
      <c r="M34" s="180">
        <f>'4-寒舍'!$J$14+M19+'4-寒舍'!$J$33</f>
        <v>116359.5</v>
      </c>
      <c r="N34" s="180">
        <f>'4-寒舍'!$K$14+N19+'4-寒舍'!$K$33</f>
        <v>114507.5</v>
      </c>
      <c r="O34" s="180">
        <f>'4-寒舍'!$K$14+O19+'4-寒舍'!$K$33</f>
        <v>114507.5</v>
      </c>
      <c r="P34" s="180">
        <f>'4-寒舍'!$L$14+P19+'4-寒舍'!$L$33</f>
        <v>116584</v>
      </c>
      <c r="Q34" s="180">
        <f>'4-寒舍'!$L$14+Q19+'4-寒舍'!$L$33</f>
        <v>116584</v>
      </c>
      <c r="R34" s="180">
        <f>'4-寒舍'!$M$14+R19+'4-寒舍'!$M$33</f>
        <v>126070.5</v>
      </c>
      <c r="S34" s="77"/>
      <c r="T34" s="77"/>
      <c r="U34" s="77"/>
      <c r="V34" s="77"/>
      <c r="W34" s="77"/>
      <c r="X34" s="77"/>
      <c r="Y34" s="77"/>
      <c r="Z34" s="77"/>
      <c r="AA34" s="77"/>
      <c r="AB34" s="77"/>
    </row>
    <row r="35" spans="1:28" ht="26.25" customHeight="1">
      <c r="A35" s="77"/>
      <c r="B35" s="77"/>
      <c r="C35" s="160"/>
      <c r="D35" s="78"/>
      <c r="E35" s="77"/>
      <c r="F35" s="132"/>
      <c r="G35" s="77"/>
      <c r="H35" s="77"/>
      <c r="I35" s="77"/>
      <c r="J35" s="77"/>
      <c r="K35" s="77"/>
      <c r="L35" s="77"/>
      <c r="M35" s="77"/>
      <c r="N35" s="77"/>
      <c r="O35" s="77"/>
      <c r="P35" s="77"/>
      <c r="Q35" s="77"/>
      <c r="R35" s="77"/>
      <c r="S35" s="77"/>
      <c r="T35" s="77"/>
      <c r="U35" s="77"/>
      <c r="V35" s="77"/>
      <c r="W35" s="77"/>
      <c r="X35" s="77"/>
      <c r="Y35" s="77"/>
      <c r="Z35" s="77"/>
      <c r="AA35" s="77"/>
      <c r="AB35" s="77"/>
    </row>
    <row r="36" spans="1:28" ht="26.25" customHeight="1">
      <c r="A36" s="77"/>
      <c r="B36" s="77"/>
      <c r="C36" s="160"/>
      <c r="D36" s="78"/>
      <c r="E36" s="77"/>
      <c r="F36" s="132"/>
      <c r="G36" s="77"/>
      <c r="H36" s="77"/>
      <c r="I36" s="77"/>
      <c r="J36" s="77"/>
      <c r="K36" s="77"/>
      <c r="L36" s="77"/>
      <c r="M36" s="77"/>
      <c r="N36" s="77"/>
      <c r="O36" s="77"/>
      <c r="P36" s="77"/>
      <c r="Q36" s="77"/>
      <c r="R36" s="77"/>
      <c r="S36" s="77"/>
      <c r="T36" s="77"/>
      <c r="U36" s="77"/>
      <c r="V36" s="77"/>
      <c r="W36" s="77"/>
      <c r="X36" s="77"/>
      <c r="Y36" s="77"/>
      <c r="Z36" s="77"/>
      <c r="AA36" s="77"/>
      <c r="AB36" s="77"/>
    </row>
    <row r="37" spans="1:28" ht="26.25" customHeight="1">
      <c r="A37" s="77"/>
      <c r="B37" s="77"/>
      <c r="C37" s="160"/>
      <c r="D37" s="78"/>
      <c r="E37" s="77"/>
      <c r="F37" s="132"/>
      <c r="G37" s="77"/>
      <c r="H37" s="77"/>
      <c r="I37" s="77"/>
      <c r="J37" s="77"/>
      <c r="K37" s="77"/>
      <c r="L37" s="77"/>
      <c r="M37" s="77"/>
      <c r="N37" s="77"/>
      <c r="O37" s="77"/>
      <c r="P37" s="77"/>
      <c r="Q37" s="77"/>
      <c r="R37" s="77"/>
      <c r="S37" s="77"/>
      <c r="T37" s="77"/>
      <c r="U37" s="77"/>
      <c r="V37" s="77"/>
      <c r="W37" s="77"/>
      <c r="X37" s="77"/>
      <c r="Y37" s="77"/>
      <c r="Z37" s="77"/>
      <c r="AA37" s="77"/>
      <c r="AB37" s="77"/>
    </row>
    <row r="38" spans="1:28" ht="26.25" customHeight="1">
      <c r="A38" s="77"/>
      <c r="B38" s="77"/>
      <c r="C38" s="160"/>
      <c r="D38" s="78"/>
      <c r="E38" s="77"/>
      <c r="F38" s="132"/>
      <c r="G38" s="77"/>
      <c r="H38" s="77"/>
      <c r="I38" s="77"/>
      <c r="J38" s="77"/>
      <c r="K38" s="77"/>
      <c r="L38" s="77"/>
      <c r="M38" s="77"/>
      <c r="N38" s="77"/>
      <c r="O38" s="77"/>
      <c r="P38" s="77"/>
      <c r="Q38" s="77"/>
      <c r="R38" s="77"/>
      <c r="S38" s="77"/>
      <c r="T38" s="77"/>
      <c r="U38" s="77"/>
      <c r="V38" s="77"/>
      <c r="W38" s="77"/>
      <c r="X38" s="77"/>
      <c r="Y38" s="77"/>
      <c r="Z38" s="77"/>
      <c r="AA38" s="77"/>
      <c r="AB38" s="77"/>
    </row>
    <row r="39" spans="1:28" ht="26.25" customHeight="1">
      <c r="A39" s="77"/>
      <c r="B39" s="77"/>
      <c r="C39" s="160"/>
      <c r="D39" s="78"/>
      <c r="E39" s="77"/>
      <c r="F39" s="132"/>
      <c r="G39" s="77"/>
      <c r="H39" s="77"/>
      <c r="I39" s="77"/>
      <c r="J39" s="77"/>
      <c r="K39" s="77"/>
      <c r="L39" s="77"/>
      <c r="M39" s="77"/>
      <c r="N39" s="77"/>
      <c r="O39" s="77"/>
      <c r="P39" s="77"/>
      <c r="Q39" s="77"/>
      <c r="R39" s="77"/>
      <c r="S39" s="77"/>
      <c r="T39" s="77"/>
      <c r="U39" s="77"/>
      <c r="V39" s="77"/>
      <c r="W39" s="77"/>
      <c r="X39" s="77"/>
      <c r="Y39" s="77"/>
      <c r="Z39" s="77"/>
      <c r="AA39" s="77"/>
      <c r="AB39" s="77"/>
    </row>
    <row r="40" spans="1:28" ht="26.25" customHeight="1">
      <c r="A40" s="77"/>
      <c r="B40" s="77"/>
      <c r="C40" s="160"/>
      <c r="D40" s="78"/>
      <c r="E40" s="77"/>
      <c r="F40" s="132"/>
      <c r="G40" s="77"/>
      <c r="H40" s="77"/>
      <c r="I40" s="77"/>
      <c r="J40" s="77"/>
      <c r="K40" s="77"/>
      <c r="L40" s="77"/>
      <c r="M40" s="77"/>
      <c r="N40" s="77"/>
      <c r="O40" s="77"/>
      <c r="P40" s="77"/>
      <c r="Q40" s="77"/>
      <c r="R40" s="77"/>
      <c r="S40" s="77"/>
      <c r="T40" s="77"/>
      <c r="U40" s="77"/>
      <c r="V40" s="77"/>
      <c r="W40" s="77"/>
      <c r="X40" s="77"/>
      <c r="Y40" s="77"/>
      <c r="Z40" s="77"/>
      <c r="AA40" s="77"/>
      <c r="AB40" s="77"/>
    </row>
    <row r="41" spans="1:28" ht="26.25" customHeight="1">
      <c r="A41" s="77"/>
      <c r="B41" s="77"/>
      <c r="C41" s="160"/>
      <c r="D41" s="78"/>
      <c r="E41" s="77"/>
      <c r="F41" s="132"/>
      <c r="G41" s="77"/>
      <c r="H41" s="77"/>
      <c r="I41" s="77"/>
      <c r="J41" s="77"/>
      <c r="K41" s="77"/>
      <c r="L41" s="77"/>
      <c r="M41" s="77"/>
      <c r="N41" s="77"/>
      <c r="O41" s="77"/>
      <c r="P41" s="77"/>
      <c r="Q41" s="77"/>
      <c r="R41" s="77"/>
      <c r="S41" s="77"/>
      <c r="T41" s="77"/>
      <c r="U41" s="77"/>
      <c r="V41" s="77"/>
      <c r="W41" s="77"/>
      <c r="X41" s="77"/>
      <c r="Y41" s="77"/>
      <c r="Z41" s="77"/>
      <c r="AA41" s="77"/>
      <c r="AB41" s="77"/>
    </row>
    <row r="42" spans="1:28" ht="26.25" customHeight="1">
      <c r="A42" s="77"/>
      <c r="B42" s="77"/>
      <c r="C42" s="160"/>
      <c r="D42" s="78"/>
      <c r="E42" s="77"/>
      <c r="F42" s="132"/>
      <c r="G42" s="77"/>
      <c r="H42" s="77"/>
      <c r="I42" s="77"/>
      <c r="J42" s="77"/>
      <c r="K42" s="77"/>
      <c r="L42" s="77"/>
      <c r="M42" s="77"/>
      <c r="N42" s="77"/>
      <c r="O42" s="77"/>
      <c r="P42" s="77"/>
      <c r="Q42" s="77"/>
      <c r="R42" s="77"/>
      <c r="S42" s="77"/>
      <c r="T42" s="77"/>
      <c r="U42" s="77"/>
      <c r="V42" s="77"/>
      <c r="W42" s="77"/>
      <c r="X42" s="77"/>
      <c r="Y42" s="77"/>
      <c r="Z42" s="77"/>
      <c r="AA42" s="77"/>
      <c r="AB42" s="77"/>
    </row>
    <row r="43" spans="1:28" ht="26.25" customHeight="1">
      <c r="A43" s="77"/>
      <c r="B43" s="77"/>
      <c r="C43" s="160"/>
      <c r="D43" s="78"/>
      <c r="E43" s="77"/>
      <c r="F43" s="132"/>
      <c r="G43" s="77"/>
      <c r="H43" s="77"/>
      <c r="I43" s="77"/>
      <c r="J43" s="77"/>
      <c r="K43" s="77"/>
      <c r="L43" s="77"/>
      <c r="M43" s="77"/>
      <c r="N43" s="77"/>
      <c r="O43" s="77"/>
      <c r="P43" s="77"/>
      <c r="Q43" s="77"/>
      <c r="R43" s="77"/>
      <c r="S43" s="77"/>
      <c r="T43" s="77"/>
      <c r="U43" s="77"/>
      <c r="V43" s="77"/>
      <c r="W43" s="77"/>
      <c r="X43" s="77"/>
      <c r="Y43" s="77"/>
      <c r="Z43" s="77"/>
      <c r="AA43" s="77"/>
      <c r="AB43" s="77"/>
    </row>
    <row r="44" spans="1:28" ht="26.25" customHeight="1">
      <c r="A44" s="77"/>
      <c r="B44" s="77"/>
      <c r="C44" s="160"/>
      <c r="D44" s="78"/>
      <c r="E44" s="77"/>
      <c r="F44" s="132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77"/>
      <c r="U44" s="77"/>
      <c r="V44" s="77"/>
      <c r="W44" s="77"/>
      <c r="X44" s="77"/>
      <c r="Y44" s="77"/>
      <c r="Z44" s="77"/>
      <c r="AA44" s="77"/>
      <c r="AB44" s="77"/>
    </row>
    <row r="45" spans="1:28" ht="26.25" customHeight="1">
      <c r="A45" s="77"/>
      <c r="B45" s="77"/>
      <c r="C45" s="160"/>
      <c r="D45" s="78"/>
      <c r="E45" s="77"/>
      <c r="F45" s="132"/>
      <c r="G45" s="77"/>
      <c r="H45" s="77"/>
      <c r="I45" s="77"/>
      <c r="J45" s="77"/>
      <c r="K45" s="77"/>
      <c r="L45" s="77"/>
      <c r="M45" s="77"/>
      <c r="N45" s="77"/>
      <c r="O45" s="77"/>
      <c r="P45" s="77"/>
      <c r="Q45" s="77"/>
      <c r="R45" s="77"/>
      <c r="S45" s="77"/>
      <c r="T45" s="77"/>
      <c r="U45" s="77"/>
      <c r="V45" s="77"/>
      <c r="W45" s="77"/>
      <c r="X45" s="77"/>
      <c r="Y45" s="77"/>
      <c r="Z45" s="77"/>
      <c r="AA45" s="77"/>
      <c r="AB45" s="77"/>
    </row>
    <row r="46" spans="1:28" ht="26.25" customHeight="1">
      <c r="A46" s="77"/>
      <c r="B46" s="77"/>
      <c r="C46" s="160"/>
      <c r="D46" s="78"/>
      <c r="E46" s="77"/>
      <c r="F46" s="132"/>
      <c r="G46" s="77"/>
      <c r="H46" s="77"/>
      <c r="I46" s="77"/>
      <c r="J46" s="77"/>
      <c r="K46" s="77"/>
      <c r="L46" s="77"/>
      <c r="M46" s="77"/>
      <c r="N46" s="77"/>
      <c r="O46" s="77"/>
      <c r="P46" s="77"/>
      <c r="Q46" s="77"/>
      <c r="R46" s="77"/>
      <c r="S46" s="77"/>
      <c r="T46" s="77"/>
      <c r="U46" s="77"/>
      <c r="V46" s="77"/>
      <c r="W46" s="77"/>
      <c r="X46" s="77"/>
      <c r="Y46" s="77"/>
      <c r="Z46" s="77"/>
      <c r="AA46" s="77"/>
      <c r="AB46" s="77"/>
    </row>
    <row r="47" spans="1:28" ht="26.25" customHeight="1">
      <c r="A47" s="77"/>
      <c r="B47" s="77"/>
      <c r="C47" s="160"/>
      <c r="D47" s="78"/>
      <c r="E47" s="77"/>
      <c r="F47" s="132"/>
      <c r="G47" s="77"/>
      <c r="H47" s="77"/>
      <c r="I47" s="77"/>
      <c r="J47" s="77"/>
      <c r="K47" s="77"/>
      <c r="L47" s="77"/>
      <c r="M47" s="77"/>
      <c r="N47" s="77"/>
      <c r="O47" s="77"/>
      <c r="P47" s="77"/>
      <c r="Q47" s="77"/>
      <c r="R47" s="77"/>
      <c r="S47" s="77"/>
      <c r="T47" s="77"/>
      <c r="U47" s="77"/>
      <c r="V47" s="77"/>
      <c r="W47" s="77"/>
      <c r="X47" s="77"/>
      <c r="Y47" s="77"/>
      <c r="Z47" s="77"/>
      <c r="AA47" s="77"/>
      <c r="AB47" s="77"/>
    </row>
    <row r="48" spans="1:28" ht="26.25" customHeight="1">
      <c r="A48" s="77"/>
      <c r="B48" s="77"/>
      <c r="C48" s="160"/>
      <c r="D48" s="78"/>
      <c r="E48" s="77"/>
      <c r="F48" s="132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7"/>
      <c r="V48" s="77"/>
      <c r="W48" s="77"/>
      <c r="X48" s="77"/>
      <c r="Y48" s="77"/>
      <c r="Z48" s="77"/>
      <c r="AA48" s="77"/>
      <c r="AB48" s="77"/>
    </row>
    <row r="49" spans="1:28" ht="26.25" customHeight="1">
      <c r="A49" s="77"/>
      <c r="B49" s="77"/>
      <c r="C49" s="160"/>
      <c r="D49" s="78"/>
      <c r="E49" s="77"/>
      <c r="F49" s="132"/>
      <c r="G49" s="77"/>
      <c r="H49" s="77"/>
      <c r="I49" s="77"/>
      <c r="J49" s="77"/>
      <c r="K49" s="77"/>
      <c r="L49" s="77"/>
      <c r="M49" s="77"/>
      <c r="N49" s="77"/>
      <c r="O49" s="77"/>
      <c r="P49" s="77"/>
      <c r="Q49" s="77"/>
      <c r="R49" s="77"/>
      <c r="S49" s="77"/>
      <c r="T49" s="77"/>
      <c r="U49" s="77"/>
      <c r="V49" s="77"/>
      <c r="W49" s="77"/>
      <c r="X49" s="77"/>
      <c r="Y49" s="77"/>
      <c r="Z49" s="77"/>
      <c r="AA49" s="77"/>
      <c r="AB49" s="77"/>
    </row>
    <row r="50" spans="1:28" ht="26.25" customHeight="1">
      <c r="A50" s="77"/>
      <c r="B50" s="77"/>
      <c r="C50" s="160"/>
      <c r="D50" s="78"/>
      <c r="E50" s="77"/>
      <c r="F50" s="132"/>
      <c r="G50" s="77"/>
      <c r="H50" s="77"/>
      <c r="I50" s="77"/>
      <c r="J50" s="77"/>
      <c r="K50" s="77"/>
      <c r="L50" s="77"/>
      <c r="M50" s="77"/>
      <c r="N50" s="77"/>
      <c r="O50" s="77"/>
      <c r="P50" s="77"/>
      <c r="Q50" s="77"/>
      <c r="R50" s="77"/>
      <c r="S50" s="77"/>
      <c r="T50" s="77"/>
      <c r="U50" s="77"/>
      <c r="V50" s="77"/>
      <c r="W50" s="77"/>
      <c r="X50" s="77"/>
      <c r="Y50" s="77"/>
      <c r="Z50" s="77"/>
      <c r="AA50" s="77"/>
      <c r="AB50" s="77"/>
    </row>
    <row r="51" spans="1:28" ht="26.25" customHeight="1">
      <c r="A51" s="77"/>
      <c r="B51" s="77"/>
      <c r="C51" s="160"/>
      <c r="D51" s="78"/>
      <c r="E51" s="77"/>
      <c r="F51" s="132"/>
      <c r="G51" s="77"/>
      <c r="H51" s="77"/>
      <c r="I51" s="77"/>
      <c r="J51" s="77"/>
      <c r="K51" s="77"/>
      <c r="L51" s="77"/>
      <c r="M51" s="77"/>
      <c r="N51" s="77"/>
      <c r="O51" s="77"/>
      <c r="P51" s="77"/>
      <c r="Q51" s="77"/>
      <c r="R51" s="77"/>
      <c r="S51" s="77"/>
      <c r="T51" s="77"/>
      <c r="U51" s="77"/>
      <c r="V51" s="77"/>
      <c r="W51" s="77"/>
      <c r="X51" s="77"/>
      <c r="Y51" s="77"/>
      <c r="Z51" s="77"/>
      <c r="AA51" s="77"/>
      <c r="AB51" s="77"/>
    </row>
    <row r="52" spans="1:28" ht="26.25" customHeight="1">
      <c r="A52" s="77"/>
      <c r="B52" s="77"/>
      <c r="C52" s="160"/>
      <c r="D52" s="78"/>
      <c r="E52" s="77"/>
      <c r="F52" s="132"/>
      <c r="G52" s="77"/>
      <c r="H52" s="77"/>
      <c r="I52" s="77"/>
      <c r="J52" s="77"/>
      <c r="K52" s="77"/>
      <c r="L52" s="77"/>
      <c r="M52" s="77"/>
      <c r="N52" s="77"/>
      <c r="O52" s="77"/>
      <c r="P52" s="77"/>
      <c r="Q52" s="77"/>
      <c r="R52" s="77"/>
      <c r="S52" s="77"/>
      <c r="T52" s="77"/>
      <c r="U52" s="77"/>
      <c r="V52" s="77"/>
      <c r="W52" s="77"/>
      <c r="X52" s="77"/>
      <c r="Y52" s="77"/>
      <c r="Z52" s="77"/>
      <c r="AA52" s="77"/>
      <c r="AB52" s="77"/>
    </row>
    <row r="53" spans="1:28" ht="26.25" customHeight="1">
      <c r="A53" s="77"/>
      <c r="B53" s="77"/>
      <c r="C53" s="160"/>
      <c r="D53" s="78"/>
      <c r="E53" s="77"/>
      <c r="F53" s="132"/>
      <c r="G53" s="77"/>
      <c r="H53" s="77"/>
      <c r="I53" s="77"/>
      <c r="J53" s="77"/>
      <c r="K53" s="77"/>
      <c r="L53" s="77"/>
      <c r="M53" s="77"/>
      <c r="N53" s="77"/>
      <c r="O53" s="77"/>
      <c r="P53" s="77"/>
      <c r="Q53" s="77"/>
      <c r="R53" s="77"/>
      <c r="S53" s="77"/>
      <c r="T53" s="77"/>
      <c r="U53" s="77"/>
      <c r="V53" s="77"/>
      <c r="W53" s="77"/>
      <c r="X53" s="77"/>
      <c r="Y53" s="77"/>
      <c r="Z53" s="77"/>
      <c r="AA53" s="77"/>
      <c r="AB53" s="77"/>
    </row>
    <row r="54" spans="1:28" ht="26.25" customHeight="1">
      <c r="A54" s="77"/>
      <c r="B54" s="77"/>
      <c r="C54" s="160"/>
      <c r="D54" s="78"/>
      <c r="E54" s="77"/>
      <c r="F54" s="132"/>
      <c r="G54" s="77"/>
      <c r="H54" s="77"/>
      <c r="I54" s="77"/>
      <c r="J54" s="77"/>
      <c r="K54" s="77"/>
      <c r="L54" s="77"/>
      <c r="M54" s="77"/>
      <c r="N54" s="77"/>
      <c r="O54" s="77"/>
      <c r="P54" s="77"/>
      <c r="Q54" s="77"/>
      <c r="R54" s="77"/>
      <c r="S54" s="77"/>
      <c r="T54" s="77"/>
      <c r="U54" s="77"/>
      <c r="V54" s="77"/>
      <c r="W54" s="77"/>
      <c r="X54" s="77"/>
      <c r="Y54" s="77"/>
      <c r="Z54" s="77"/>
      <c r="AA54" s="77"/>
      <c r="AB54" s="77"/>
    </row>
    <row r="55" spans="1:28" ht="26.25" customHeight="1">
      <c r="A55" s="77"/>
      <c r="B55" s="77"/>
      <c r="C55" s="160"/>
      <c r="D55" s="78"/>
      <c r="E55" s="77"/>
      <c r="F55" s="132"/>
      <c r="G55" s="77"/>
      <c r="H55" s="77"/>
      <c r="I55" s="77"/>
      <c r="J55" s="77"/>
      <c r="K55" s="77"/>
      <c r="L55" s="77"/>
      <c r="M55" s="77"/>
      <c r="N55" s="77"/>
      <c r="O55" s="77"/>
      <c r="P55" s="77"/>
      <c r="Q55" s="77"/>
      <c r="R55" s="77"/>
      <c r="S55" s="77"/>
      <c r="T55" s="77"/>
      <c r="U55" s="77"/>
      <c r="V55" s="77"/>
      <c r="W55" s="77"/>
      <c r="X55" s="77"/>
      <c r="Y55" s="77"/>
      <c r="Z55" s="77"/>
      <c r="AA55" s="77"/>
      <c r="AB55" s="77"/>
    </row>
    <row r="56" spans="1:28" ht="26.25" customHeight="1">
      <c r="A56" s="77"/>
      <c r="B56" s="77"/>
      <c r="C56" s="160"/>
      <c r="D56" s="78"/>
      <c r="E56" s="77"/>
      <c r="F56" s="132"/>
      <c r="G56" s="77"/>
      <c r="H56" s="77"/>
      <c r="I56" s="77"/>
      <c r="J56" s="77"/>
      <c r="K56" s="77"/>
      <c r="L56" s="77"/>
      <c r="M56" s="77"/>
      <c r="N56" s="77"/>
      <c r="O56" s="77"/>
      <c r="P56" s="77"/>
      <c r="Q56" s="77"/>
      <c r="R56" s="77"/>
      <c r="S56" s="77"/>
      <c r="T56" s="77"/>
      <c r="U56" s="77"/>
      <c r="V56" s="77"/>
      <c r="W56" s="77"/>
      <c r="X56" s="77"/>
      <c r="Y56" s="77"/>
      <c r="Z56" s="77"/>
      <c r="AA56" s="77"/>
      <c r="AB56" s="77"/>
    </row>
    <row r="57" spans="1:28" ht="26.25" customHeight="1">
      <c r="A57" s="77"/>
      <c r="B57" s="77"/>
      <c r="C57" s="160"/>
      <c r="D57" s="78"/>
      <c r="E57" s="77"/>
      <c r="F57" s="132"/>
      <c r="G57" s="77"/>
      <c r="H57" s="77"/>
      <c r="I57" s="77"/>
      <c r="J57" s="77"/>
      <c r="K57" s="77"/>
      <c r="L57" s="77"/>
      <c r="M57" s="77"/>
      <c r="N57" s="77"/>
      <c r="O57" s="77"/>
      <c r="P57" s="77"/>
      <c r="Q57" s="77"/>
      <c r="R57" s="77"/>
      <c r="S57" s="77"/>
      <c r="T57" s="77"/>
      <c r="U57" s="77"/>
      <c r="V57" s="77"/>
      <c r="W57" s="77"/>
      <c r="X57" s="77"/>
      <c r="Y57" s="77"/>
      <c r="Z57" s="77"/>
      <c r="AA57" s="77"/>
      <c r="AB57" s="77"/>
    </row>
    <row r="58" spans="1:28" ht="26.25" customHeight="1">
      <c r="A58" s="77"/>
      <c r="B58" s="77"/>
      <c r="C58" s="160"/>
      <c r="D58" s="78"/>
      <c r="E58" s="77"/>
      <c r="F58" s="132"/>
      <c r="G58" s="77"/>
      <c r="H58" s="77"/>
      <c r="I58" s="77"/>
      <c r="J58" s="77"/>
      <c r="K58" s="77"/>
      <c r="L58" s="77"/>
      <c r="M58" s="77"/>
      <c r="N58" s="77"/>
      <c r="O58" s="77"/>
      <c r="P58" s="77"/>
      <c r="Q58" s="77"/>
      <c r="R58" s="77"/>
      <c r="S58" s="77"/>
      <c r="T58" s="77"/>
      <c r="U58" s="77"/>
      <c r="V58" s="77"/>
      <c r="W58" s="77"/>
      <c r="X58" s="77"/>
      <c r="Y58" s="77"/>
      <c r="Z58" s="77"/>
      <c r="AA58" s="77"/>
      <c r="AB58" s="77"/>
    </row>
    <row r="59" spans="1:28" ht="26.25" customHeight="1">
      <c r="A59" s="77"/>
      <c r="B59" s="77"/>
      <c r="C59" s="160"/>
      <c r="D59" s="78"/>
      <c r="E59" s="77"/>
      <c r="F59" s="132"/>
      <c r="G59" s="77"/>
      <c r="H59" s="77"/>
      <c r="I59" s="77"/>
      <c r="J59" s="77"/>
      <c r="K59" s="77"/>
      <c r="L59" s="77"/>
      <c r="M59" s="77"/>
      <c r="N59" s="77"/>
      <c r="O59" s="77"/>
      <c r="P59" s="77"/>
      <c r="Q59" s="77"/>
      <c r="R59" s="77"/>
      <c r="S59" s="77"/>
      <c r="T59" s="77"/>
      <c r="U59" s="77"/>
      <c r="V59" s="77"/>
      <c r="W59" s="77"/>
      <c r="X59" s="77"/>
      <c r="Y59" s="77"/>
      <c r="Z59" s="77"/>
      <c r="AA59" s="77"/>
      <c r="AB59" s="77"/>
    </row>
    <row r="60" spans="1:28" ht="26.25" customHeight="1">
      <c r="A60" s="77"/>
      <c r="B60" s="77"/>
      <c r="C60" s="160"/>
      <c r="D60" s="78"/>
      <c r="E60" s="77"/>
      <c r="F60" s="132"/>
      <c r="G60" s="77"/>
      <c r="H60" s="77"/>
      <c r="I60" s="77"/>
      <c r="J60" s="77"/>
      <c r="K60" s="77"/>
      <c r="L60" s="77"/>
      <c r="M60" s="77"/>
      <c r="N60" s="77"/>
      <c r="O60" s="77"/>
      <c r="P60" s="77"/>
      <c r="Q60" s="77"/>
      <c r="R60" s="77"/>
      <c r="S60" s="77"/>
      <c r="T60" s="77"/>
      <c r="U60" s="77"/>
      <c r="V60" s="77"/>
      <c r="W60" s="77"/>
      <c r="X60" s="77"/>
      <c r="Y60" s="77"/>
      <c r="Z60" s="77"/>
      <c r="AA60" s="77"/>
      <c r="AB60" s="77"/>
    </row>
    <row r="61" spans="1:28" ht="26.25" customHeight="1">
      <c r="A61" s="77"/>
      <c r="B61" s="77"/>
      <c r="C61" s="160"/>
      <c r="D61" s="78"/>
      <c r="E61" s="77"/>
      <c r="F61" s="132"/>
      <c r="G61" s="77"/>
      <c r="H61" s="77"/>
      <c r="I61" s="77"/>
      <c r="J61" s="77"/>
      <c r="K61" s="77"/>
      <c r="L61" s="77"/>
      <c r="M61" s="77"/>
      <c r="N61" s="77"/>
      <c r="O61" s="77"/>
      <c r="P61" s="77"/>
      <c r="Q61" s="77"/>
      <c r="R61" s="77"/>
      <c r="S61" s="77"/>
      <c r="T61" s="77"/>
      <c r="U61" s="77"/>
      <c r="V61" s="77"/>
      <c r="W61" s="77"/>
      <c r="X61" s="77"/>
      <c r="Y61" s="77"/>
      <c r="Z61" s="77"/>
      <c r="AA61" s="77"/>
      <c r="AB61" s="77"/>
    </row>
    <row r="62" spans="1:28" ht="26.25" customHeight="1">
      <c r="A62" s="77"/>
      <c r="B62" s="77"/>
      <c r="C62" s="160"/>
      <c r="D62" s="78"/>
      <c r="E62" s="77"/>
      <c r="F62" s="132"/>
      <c r="G62" s="77"/>
      <c r="H62" s="77"/>
      <c r="I62" s="77"/>
      <c r="J62" s="77"/>
      <c r="K62" s="77"/>
      <c r="L62" s="77"/>
      <c r="M62" s="77"/>
      <c r="N62" s="77"/>
      <c r="O62" s="77"/>
      <c r="P62" s="77"/>
      <c r="Q62" s="77"/>
      <c r="R62" s="77"/>
      <c r="S62" s="77"/>
      <c r="T62" s="77"/>
      <c r="U62" s="77"/>
      <c r="V62" s="77"/>
      <c r="W62" s="77"/>
      <c r="X62" s="77"/>
      <c r="Y62" s="77"/>
      <c r="Z62" s="77"/>
      <c r="AA62" s="77"/>
      <c r="AB62" s="77"/>
    </row>
    <row r="63" spans="1:28" ht="26.25" customHeight="1">
      <c r="A63" s="77"/>
      <c r="B63" s="77"/>
      <c r="C63" s="160"/>
      <c r="D63" s="78"/>
      <c r="E63" s="77"/>
      <c r="F63" s="132"/>
      <c r="G63" s="77"/>
      <c r="H63" s="77"/>
      <c r="I63" s="77"/>
      <c r="J63" s="77"/>
      <c r="K63" s="77"/>
      <c r="L63" s="77"/>
      <c r="M63" s="77"/>
      <c r="N63" s="77"/>
      <c r="O63" s="77"/>
      <c r="P63" s="77"/>
      <c r="Q63" s="77"/>
      <c r="R63" s="77"/>
      <c r="S63" s="77"/>
      <c r="T63" s="77"/>
      <c r="U63" s="77"/>
      <c r="V63" s="77"/>
      <c r="W63" s="77"/>
      <c r="X63" s="77"/>
      <c r="Y63" s="77"/>
      <c r="Z63" s="77"/>
      <c r="AA63" s="77"/>
      <c r="AB63" s="77"/>
    </row>
    <row r="64" spans="1:28" ht="26.25" customHeight="1">
      <c r="A64" s="77"/>
      <c r="B64" s="77"/>
      <c r="C64" s="160"/>
      <c r="D64" s="78"/>
      <c r="E64" s="77"/>
      <c r="F64" s="132"/>
      <c r="G64" s="77"/>
      <c r="H64" s="77"/>
      <c r="I64" s="77"/>
      <c r="J64" s="77"/>
      <c r="K64" s="77"/>
      <c r="L64" s="77"/>
      <c r="M64" s="77"/>
      <c r="N64" s="77"/>
      <c r="O64" s="77"/>
      <c r="P64" s="77"/>
      <c r="Q64" s="77"/>
      <c r="R64" s="77"/>
      <c r="S64" s="77"/>
      <c r="T64" s="77"/>
      <c r="U64" s="77"/>
      <c r="V64" s="77"/>
      <c r="W64" s="77"/>
      <c r="X64" s="77"/>
      <c r="Y64" s="77"/>
      <c r="Z64" s="77"/>
      <c r="AA64" s="77"/>
      <c r="AB64" s="77"/>
    </row>
    <row r="65" spans="1:28" ht="26.25" customHeight="1">
      <c r="A65" s="77"/>
      <c r="B65" s="77"/>
      <c r="C65" s="160"/>
      <c r="D65" s="78"/>
      <c r="E65" s="77"/>
      <c r="F65" s="132"/>
      <c r="G65" s="77"/>
      <c r="H65" s="77"/>
      <c r="I65" s="77"/>
      <c r="J65" s="77"/>
      <c r="K65" s="77"/>
      <c r="L65" s="77"/>
      <c r="M65" s="77"/>
      <c r="N65" s="77"/>
      <c r="O65" s="77"/>
      <c r="P65" s="77"/>
      <c r="Q65" s="77"/>
      <c r="R65" s="77"/>
      <c r="S65" s="77"/>
      <c r="T65" s="77"/>
      <c r="U65" s="77"/>
      <c r="V65" s="77"/>
      <c r="W65" s="77"/>
      <c r="X65" s="77"/>
      <c r="Y65" s="77"/>
      <c r="Z65" s="77"/>
      <c r="AA65" s="77"/>
      <c r="AB65" s="77"/>
    </row>
    <row r="66" spans="1:28" ht="26.25" customHeight="1">
      <c r="A66" s="77"/>
      <c r="B66" s="77"/>
      <c r="C66" s="160"/>
      <c r="D66" s="78"/>
      <c r="E66" s="77"/>
      <c r="F66" s="132"/>
      <c r="G66" s="77"/>
      <c r="H66" s="77"/>
      <c r="I66" s="77"/>
      <c r="J66" s="77"/>
      <c r="K66" s="77"/>
      <c r="L66" s="77"/>
      <c r="M66" s="77"/>
      <c r="N66" s="77"/>
      <c r="O66" s="77"/>
      <c r="P66" s="77"/>
      <c r="Q66" s="77"/>
      <c r="R66" s="77"/>
      <c r="S66" s="77"/>
      <c r="T66" s="77"/>
      <c r="U66" s="77"/>
      <c r="V66" s="77"/>
      <c r="W66" s="77"/>
      <c r="X66" s="77"/>
      <c r="Y66" s="77"/>
      <c r="Z66" s="77"/>
      <c r="AA66" s="77"/>
      <c r="AB66" s="77"/>
    </row>
    <row r="67" spans="1:28" ht="26.25" customHeight="1">
      <c r="A67" s="77"/>
      <c r="B67" s="77"/>
      <c r="C67" s="160"/>
      <c r="D67" s="78"/>
      <c r="E67" s="77"/>
      <c r="F67" s="132"/>
      <c r="G67" s="77"/>
      <c r="H67" s="77"/>
      <c r="I67" s="77"/>
      <c r="J67" s="77"/>
      <c r="K67" s="77"/>
      <c r="L67" s="77"/>
      <c r="M67" s="77"/>
      <c r="N67" s="77"/>
      <c r="O67" s="77"/>
      <c r="P67" s="77"/>
      <c r="Q67" s="77"/>
      <c r="R67" s="77"/>
      <c r="S67" s="77"/>
      <c r="T67" s="77"/>
      <c r="U67" s="77"/>
      <c r="V67" s="77"/>
      <c r="W67" s="77"/>
      <c r="X67" s="77"/>
      <c r="Y67" s="77"/>
      <c r="Z67" s="77"/>
      <c r="AA67" s="77"/>
      <c r="AB67" s="77"/>
    </row>
    <row r="68" spans="1:28" ht="26.25" customHeight="1">
      <c r="A68" s="77"/>
      <c r="B68" s="77"/>
      <c r="C68" s="160"/>
      <c r="D68" s="78"/>
      <c r="E68" s="77"/>
      <c r="F68" s="132"/>
      <c r="G68" s="77"/>
      <c r="H68" s="77"/>
      <c r="I68" s="77"/>
      <c r="J68" s="77"/>
      <c r="K68" s="77"/>
      <c r="L68" s="77"/>
      <c r="M68" s="77"/>
      <c r="N68" s="77"/>
      <c r="O68" s="77"/>
      <c r="P68" s="77"/>
      <c r="Q68" s="77"/>
      <c r="R68" s="77"/>
      <c r="S68" s="77"/>
      <c r="T68" s="77"/>
      <c r="U68" s="77"/>
      <c r="V68" s="77"/>
      <c r="W68" s="77"/>
      <c r="X68" s="77"/>
      <c r="Y68" s="77"/>
      <c r="Z68" s="77"/>
      <c r="AA68" s="77"/>
      <c r="AB68" s="77"/>
    </row>
    <row r="69" spans="1:28" ht="26.25" customHeight="1">
      <c r="A69" s="77"/>
      <c r="B69" s="77"/>
      <c r="C69" s="160"/>
      <c r="D69" s="78"/>
      <c r="E69" s="77"/>
      <c r="F69" s="132"/>
      <c r="G69" s="77"/>
      <c r="H69" s="77"/>
      <c r="I69" s="77"/>
      <c r="J69" s="77"/>
      <c r="K69" s="77"/>
      <c r="L69" s="77"/>
      <c r="M69" s="77"/>
      <c r="N69" s="77"/>
      <c r="O69" s="77"/>
      <c r="P69" s="77"/>
      <c r="Q69" s="77"/>
      <c r="R69" s="77"/>
      <c r="S69" s="77"/>
      <c r="T69" s="77"/>
      <c r="U69" s="77"/>
      <c r="V69" s="77"/>
      <c r="W69" s="77"/>
      <c r="X69" s="77"/>
      <c r="Y69" s="77"/>
      <c r="Z69" s="77"/>
      <c r="AA69" s="77"/>
      <c r="AB69" s="77"/>
    </row>
    <row r="70" spans="1:28" ht="26.25" customHeight="1">
      <c r="A70" s="77"/>
      <c r="B70" s="77"/>
      <c r="C70" s="160"/>
      <c r="D70" s="78"/>
      <c r="E70" s="77"/>
      <c r="F70" s="132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77"/>
      <c r="U70" s="77"/>
      <c r="V70" s="77"/>
      <c r="W70" s="77"/>
      <c r="X70" s="77"/>
      <c r="Y70" s="77"/>
      <c r="Z70" s="77"/>
      <c r="AA70" s="77"/>
      <c r="AB70" s="77"/>
    </row>
    <row r="71" spans="1:28" ht="26.25" customHeight="1">
      <c r="A71" s="77"/>
      <c r="B71" s="77"/>
      <c r="C71" s="160"/>
      <c r="D71" s="78"/>
      <c r="E71" s="77"/>
      <c r="F71" s="132"/>
      <c r="G71" s="77"/>
      <c r="H71" s="77"/>
      <c r="I71" s="77"/>
      <c r="J71" s="77"/>
      <c r="K71" s="77"/>
      <c r="L71" s="77"/>
      <c r="M71" s="77"/>
      <c r="N71" s="77"/>
      <c r="O71" s="77"/>
      <c r="P71" s="77"/>
      <c r="Q71" s="77"/>
      <c r="R71" s="77"/>
      <c r="S71" s="77"/>
      <c r="T71" s="77"/>
      <c r="U71" s="77"/>
      <c r="V71" s="77"/>
      <c r="W71" s="77"/>
      <c r="X71" s="77"/>
      <c r="Y71" s="77"/>
      <c r="Z71" s="77"/>
      <c r="AA71" s="77"/>
      <c r="AB71" s="77"/>
    </row>
    <row r="72" spans="1:28" ht="26.25" customHeight="1">
      <c r="A72" s="77"/>
      <c r="B72" s="77"/>
      <c r="C72" s="160"/>
      <c r="D72" s="78"/>
      <c r="E72" s="77"/>
      <c r="F72" s="132"/>
      <c r="G72" s="77"/>
      <c r="H72" s="77"/>
      <c r="I72" s="77"/>
      <c r="J72" s="77"/>
      <c r="K72" s="77"/>
      <c r="L72" s="77"/>
      <c r="M72" s="77"/>
      <c r="N72" s="77"/>
      <c r="O72" s="77"/>
      <c r="P72" s="77"/>
      <c r="Q72" s="77"/>
      <c r="R72" s="77"/>
      <c r="S72" s="77"/>
      <c r="T72" s="77"/>
      <c r="U72" s="77"/>
      <c r="V72" s="77"/>
      <c r="W72" s="77"/>
      <c r="X72" s="77"/>
      <c r="Y72" s="77"/>
      <c r="Z72" s="77"/>
      <c r="AA72" s="77"/>
      <c r="AB72" s="77"/>
    </row>
    <row r="73" spans="1:28" ht="26.25" customHeight="1">
      <c r="A73" s="77"/>
      <c r="B73" s="77"/>
      <c r="C73" s="160"/>
      <c r="D73" s="78"/>
      <c r="E73" s="77"/>
      <c r="F73" s="132"/>
      <c r="G73" s="77"/>
      <c r="H73" s="77"/>
      <c r="I73" s="77"/>
      <c r="J73" s="77"/>
      <c r="K73" s="77"/>
      <c r="L73" s="77"/>
      <c r="M73" s="77"/>
      <c r="N73" s="77"/>
      <c r="O73" s="77"/>
      <c r="P73" s="77"/>
      <c r="Q73" s="77"/>
      <c r="R73" s="77"/>
      <c r="S73" s="77"/>
      <c r="T73" s="77"/>
      <c r="U73" s="77"/>
      <c r="V73" s="77"/>
      <c r="W73" s="77"/>
      <c r="X73" s="77"/>
      <c r="Y73" s="77"/>
      <c r="Z73" s="77"/>
      <c r="AA73" s="77"/>
      <c r="AB73" s="77"/>
    </row>
    <row r="74" spans="1:28" ht="26.25" customHeight="1">
      <c r="A74" s="77"/>
      <c r="B74" s="77"/>
      <c r="C74" s="160"/>
      <c r="D74" s="78"/>
      <c r="E74" s="77"/>
      <c r="F74" s="132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77"/>
      <c r="U74" s="77"/>
      <c r="V74" s="77"/>
      <c r="W74" s="77"/>
      <c r="X74" s="77"/>
      <c r="Y74" s="77"/>
      <c r="Z74" s="77"/>
      <c r="AA74" s="77"/>
      <c r="AB74" s="77"/>
    </row>
    <row r="75" spans="1:28" ht="26.25" customHeight="1">
      <c r="A75" s="77"/>
      <c r="B75" s="77"/>
      <c r="C75" s="160"/>
      <c r="D75" s="78"/>
      <c r="E75" s="77"/>
      <c r="F75" s="132"/>
      <c r="G75" s="77"/>
      <c r="H75" s="77"/>
      <c r="I75" s="77"/>
      <c r="J75" s="77"/>
      <c r="K75" s="77"/>
      <c r="L75" s="77"/>
      <c r="M75" s="77"/>
      <c r="N75" s="77"/>
      <c r="O75" s="77"/>
      <c r="P75" s="77"/>
      <c r="Q75" s="77"/>
      <c r="R75" s="77"/>
      <c r="S75" s="77"/>
      <c r="T75" s="77"/>
      <c r="U75" s="77"/>
      <c r="V75" s="77"/>
      <c r="W75" s="77"/>
      <c r="X75" s="77"/>
      <c r="Y75" s="77"/>
      <c r="Z75" s="77"/>
      <c r="AA75" s="77"/>
      <c r="AB75" s="77"/>
    </row>
    <row r="76" spans="1:28" ht="26.25" customHeight="1">
      <c r="A76" s="77"/>
      <c r="B76" s="77"/>
      <c r="C76" s="160"/>
      <c r="D76" s="78"/>
      <c r="E76" s="77"/>
      <c r="F76" s="132"/>
      <c r="G76" s="77"/>
      <c r="H76" s="77"/>
      <c r="I76" s="77"/>
      <c r="J76" s="77"/>
      <c r="K76" s="77"/>
      <c r="L76" s="77"/>
      <c r="M76" s="77"/>
      <c r="N76" s="77"/>
      <c r="O76" s="77"/>
      <c r="P76" s="77"/>
      <c r="Q76" s="77"/>
      <c r="R76" s="77"/>
      <c r="S76" s="77"/>
      <c r="T76" s="77"/>
      <c r="U76" s="77"/>
      <c r="V76" s="77"/>
      <c r="W76" s="77"/>
      <c r="X76" s="77"/>
      <c r="Y76" s="77"/>
      <c r="Z76" s="77"/>
      <c r="AA76" s="77"/>
      <c r="AB76" s="77"/>
    </row>
    <row r="77" spans="1:28" ht="26.25" customHeight="1">
      <c r="A77" s="77"/>
      <c r="B77" s="77"/>
      <c r="C77" s="160"/>
      <c r="D77" s="78"/>
      <c r="E77" s="77"/>
      <c r="F77" s="132"/>
      <c r="G77" s="77"/>
      <c r="H77" s="77"/>
      <c r="I77" s="77"/>
      <c r="J77" s="77"/>
      <c r="K77" s="77"/>
      <c r="L77" s="77"/>
      <c r="M77" s="77"/>
      <c r="N77" s="77"/>
      <c r="O77" s="77"/>
      <c r="P77" s="77"/>
      <c r="Q77" s="77"/>
      <c r="R77" s="77"/>
      <c r="S77" s="77"/>
      <c r="T77" s="77"/>
      <c r="U77" s="77"/>
      <c r="V77" s="77"/>
      <c r="W77" s="77"/>
      <c r="X77" s="77"/>
      <c r="Y77" s="77"/>
      <c r="Z77" s="77"/>
      <c r="AA77" s="77"/>
      <c r="AB77" s="77"/>
    </row>
    <row r="78" spans="1:28" ht="26.25" customHeight="1">
      <c r="A78" s="77"/>
      <c r="B78" s="77"/>
      <c r="C78" s="160"/>
      <c r="D78" s="78"/>
      <c r="E78" s="77"/>
      <c r="F78" s="132"/>
      <c r="G78" s="77"/>
      <c r="H78" s="77"/>
      <c r="I78" s="77"/>
      <c r="J78" s="77"/>
      <c r="K78" s="77"/>
      <c r="L78" s="77"/>
      <c r="M78" s="77"/>
      <c r="N78" s="77"/>
      <c r="O78" s="77"/>
      <c r="P78" s="77"/>
      <c r="Q78" s="77"/>
      <c r="R78" s="77"/>
      <c r="S78" s="77"/>
      <c r="T78" s="77"/>
      <c r="U78" s="77"/>
      <c r="V78" s="77"/>
      <c r="W78" s="77"/>
      <c r="X78" s="77"/>
      <c r="Y78" s="77"/>
      <c r="Z78" s="77"/>
      <c r="AA78" s="77"/>
      <c r="AB78" s="77"/>
    </row>
    <row r="79" spans="1:28" ht="26.25" customHeight="1">
      <c r="A79" s="77"/>
      <c r="B79" s="77"/>
      <c r="C79" s="160"/>
      <c r="D79" s="78"/>
      <c r="E79" s="77"/>
      <c r="F79" s="132"/>
      <c r="G79" s="77"/>
      <c r="H79" s="77"/>
      <c r="I79" s="77"/>
      <c r="J79" s="77"/>
      <c r="K79" s="77"/>
      <c r="L79" s="77"/>
      <c r="M79" s="77"/>
      <c r="N79" s="77"/>
      <c r="O79" s="77"/>
      <c r="P79" s="77"/>
      <c r="Q79" s="77"/>
      <c r="R79" s="77"/>
      <c r="S79" s="77"/>
      <c r="T79" s="77"/>
      <c r="U79" s="77"/>
      <c r="V79" s="77"/>
      <c r="W79" s="77"/>
      <c r="X79" s="77"/>
      <c r="Y79" s="77"/>
      <c r="Z79" s="77"/>
      <c r="AA79" s="77"/>
      <c r="AB79" s="77"/>
    </row>
    <row r="80" spans="1:28" ht="26.25" customHeight="1">
      <c r="A80" s="77"/>
      <c r="B80" s="77"/>
      <c r="C80" s="160"/>
      <c r="D80" s="78"/>
      <c r="E80" s="77"/>
      <c r="F80" s="132"/>
      <c r="G80" s="77"/>
      <c r="H80" s="77"/>
      <c r="I80" s="77"/>
      <c r="J80" s="77"/>
      <c r="K80" s="77"/>
      <c r="L80" s="77"/>
      <c r="M80" s="77"/>
      <c r="N80" s="77"/>
      <c r="O80" s="77"/>
      <c r="P80" s="77"/>
      <c r="Q80" s="77"/>
      <c r="R80" s="77"/>
      <c r="S80" s="77"/>
      <c r="T80" s="77"/>
      <c r="U80" s="77"/>
      <c r="V80" s="77"/>
      <c r="W80" s="77"/>
      <c r="X80" s="77"/>
      <c r="Y80" s="77"/>
      <c r="Z80" s="77"/>
      <c r="AA80" s="77"/>
      <c r="AB80" s="77"/>
    </row>
    <row r="81" spans="1:28" ht="26.25" customHeight="1">
      <c r="A81" s="77"/>
      <c r="B81" s="77"/>
      <c r="C81" s="160"/>
      <c r="D81" s="78"/>
      <c r="E81" s="77"/>
      <c r="F81" s="132"/>
      <c r="G81" s="77"/>
      <c r="H81" s="77"/>
      <c r="I81" s="77"/>
      <c r="J81" s="77"/>
      <c r="K81" s="77"/>
      <c r="L81" s="77"/>
      <c r="M81" s="77"/>
      <c r="N81" s="77"/>
      <c r="O81" s="77"/>
      <c r="P81" s="77"/>
      <c r="Q81" s="77"/>
      <c r="R81" s="77"/>
      <c r="S81" s="77"/>
      <c r="T81" s="77"/>
      <c r="U81" s="77"/>
      <c r="V81" s="77"/>
      <c r="W81" s="77"/>
      <c r="X81" s="77"/>
      <c r="Y81" s="77"/>
      <c r="Z81" s="77"/>
      <c r="AA81" s="77"/>
      <c r="AB81" s="77"/>
    </row>
    <row r="82" spans="1:28" ht="26.25" customHeight="1">
      <c r="A82" s="77"/>
      <c r="B82" s="77"/>
      <c r="C82" s="160"/>
      <c r="D82" s="78"/>
      <c r="E82" s="77"/>
      <c r="F82" s="132"/>
      <c r="G82" s="77"/>
      <c r="H82" s="77"/>
      <c r="I82" s="77"/>
      <c r="J82" s="77"/>
      <c r="K82" s="77"/>
      <c r="L82" s="77"/>
      <c r="M82" s="77"/>
      <c r="N82" s="77"/>
      <c r="O82" s="77"/>
      <c r="P82" s="77"/>
      <c r="Q82" s="77"/>
      <c r="R82" s="77"/>
      <c r="S82" s="77"/>
      <c r="T82" s="77"/>
      <c r="U82" s="77"/>
      <c r="V82" s="77"/>
      <c r="W82" s="77"/>
      <c r="X82" s="77"/>
      <c r="Y82" s="77"/>
      <c r="Z82" s="77"/>
      <c r="AA82" s="77"/>
      <c r="AB82" s="77"/>
    </row>
    <row r="83" spans="1:28" ht="26.25" customHeight="1">
      <c r="A83" s="77"/>
      <c r="B83" s="77"/>
      <c r="C83" s="160"/>
      <c r="D83" s="78"/>
      <c r="E83" s="77"/>
      <c r="F83" s="132"/>
      <c r="G83" s="77"/>
      <c r="H83" s="77"/>
      <c r="I83" s="77"/>
      <c r="J83" s="77"/>
      <c r="K83" s="77"/>
      <c r="L83" s="77"/>
      <c r="M83" s="77"/>
      <c r="N83" s="77"/>
      <c r="O83" s="77"/>
      <c r="P83" s="77"/>
      <c r="Q83" s="77"/>
      <c r="R83" s="77"/>
      <c r="S83" s="77"/>
      <c r="T83" s="77"/>
      <c r="U83" s="77"/>
      <c r="V83" s="77"/>
      <c r="W83" s="77"/>
      <c r="X83" s="77"/>
      <c r="Y83" s="77"/>
      <c r="Z83" s="77"/>
      <c r="AA83" s="77"/>
      <c r="AB83" s="77"/>
    </row>
    <row r="84" spans="1:28" ht="26.25" customHeight="1">
      <c r="A84" s="77"/>
      <c r="B84" s="77"/>
      <c r="C84" s="160"/>
      <c r="D84" s="78"/>
      <c r="E84" s="77"/>
      <c r="F84" s="132"/>
      <c r="G84" s="77"/>
      <c r="H84" s="77"/>
      <c r="I84" s="77"/>
      <c r="J84" s="77"/>
      <c r="K84" s="77"/>
      <c r="L84" s="77"/>
      <c r="M84" s="77"/>
      <c r="N84" s="77"/>
      <c r="O84" s="77"/>
      <c r="P84" s="77"/>
      <c r="Q84" s="77"/>
      <c r="R84" s="77"/>
      <c r="S84" s="77"/>
      <c r="T84" s="77"/>
      <c r="U84" s="77"/>
      <c r="V84" s="77"/>
      <c r="W84" s="77"/>
      <c r="X84" s="77"/>
      <c r="Y84" s="77"/>
      <c r="Z84" s="77"/>
      <c r="AA84" s="77"/>
      <c r="AB84" s="77"/>
    </row>
    <row r="85" spans="1:28" ht="26.25" customHeight="1">
      <c r="A85" s="77"/>
      <c r="B85" s="77"/>
      <c r="C85" s="160"/>
      <c r="D85" s="78"/>
      <c r="E85" s="77"/>
      <c r="F85" s="132"/>
      <c r="G85" s="77"/>
      <c r="H85" s="77"/>
      <c r="I85" s="77"/>
      <c r="J85" s="77"/>
      <c r="K85" s="77"/>
      <c r="L85" s="77"/>
      <c r="M85" s="77"/>
      <c r="N85" s="77"/>
      <c r="O85" s="77"/>
      <c r="P85" s="77"/>
      <c r="Q85" s="77"/>
      <c r="R85" s="77"/>
      <c r="S85" s="77"/>
      <c r="T85" s="77"/>
      <c r="U85" s="77"/>
      <c r="V85" s="77"/>
      <c r="W85" s="77"/>
      <c r="X85" s="77"/>
      <c r="Y85" s="77"/>
      <c r="Z85" s="77"/>
      <c r="AA85" s="77"/>
      <c r="AB85" s="77"/>
    </row>
    <row r="86" spans="1:28" ht="26.25" customHeight="1">
      <c r="A86" s="77"/>
      <c r="B86" s="77"/>
      <c r="C86" s="160"/>
      <c r="D86" s="78"/>
      <c r="E86" s="77"/>
      <c r="F86" s="132"/>
      <c r="G86" s="77"/>
      <c r="H86" s="77"/>
      <c r="I86" s="77"/>
      <c r="J86" s="77"/>
      <c r="K86" s="77"/>
      <c r="L86" s="77"/>
      <c r="M86" s="77"/>
      <c r="N86" s="77"/>
      <c r="O86" s="77"/>
      <c r="P86" s="77"/>
      <c r="Q86" s="77"/>
      <c r="R86" s="77"/>
      <c r="S86" s="77"/>
      <c r="T86" s="77"/>
      <c r="U86" s="77"/>
      <c r="V86" s="77"/>
      <c r="W86" s="77"/>
      <c r="X86" s="77"/>
      <c r="Y86" s="77"/>
      <c r="Z86" s="77"/>
      <c r="AA86" s="77"/>
      <c r="AB86" s="77"/>
    </row>
    <row r="87" spans="1:28" ht="26.25" customHeight="1">
      <c r="A87" s="77"/>
      <c r="B87" s="77"/>
      <c r="C87" s="160"/>
      <c r="D87" s="78"/>
      <c r="E87" s="77"/>
      <c r="F87" s="132"/>
      <c r="G87" s="77"/>
      <c r="H87" s="77"/>
      <c r="I87" s="77"/>
      <c r="J87" s="77"/>
      <c r="K87" s="77"/>
      <c r="L87" s="77"/>
      <c r="M87" s="77"/>
      <c r="N87" s="77"/>
      <c r="O87" s="77"/>
      <c r="P87" s="77"/>
      <c r="Q87" s="77"/>
      <c r="R87" s="77"/>
      <c r="S87" s="77"/>
      <c r="T87" s="77"/>
      <c r="U87" s="77"/>
      <c r="V87" s="77"/>
      <c r="W87" s="77"/>
      <c r="X87" s="77"/>
      <c r="Y87" s="77"/>
      <c r="Z87" s="77"/>
      <c r="AA87" s="77"/>
      <c r="AB87" s="77"/>
    </row>
    <row r="88" spans="1:28" ht="26.25" customHeight="1">
      <c r="A88" s="77"/>
      <c r="B88" s="77"/>
      <c r="C88" s="160"/>
      <c r="D88" s="78"/>
      <c r="E88" s="77"/>
      <c r="F88" s="132"/>
      <c r="G88" s="77"/>
      <c r="H88" s="77"/>
      <c r="I88" s="77"/>
      <c r="J88" s="77"/>
      <c r="K88" s="77"/>
      <c r="L88" s="77"/>
      <c r="M88" s="77"/>
      <c r="N88" s="77"/>
      <c r="O88" s="77"/>
      <c r="P88" s="77"/>
      <c r="Q88" s="77"/>
      <c r="R88" s="77"/>
      <c r="S88" s="77"/>
      <c r="T88" s="77"/>
      <c r="U88" s="77"/>
      <c r="V88" s="77"/>
      <c r="W88" s="77"/>
      <c r="X88" s="77"/>
      <c r="Y88" s="77"/>
      <c r="Z88" s="77"/>
      <c r="AA88" s="77"/>
      <c r="AB88" s="77"/>
    </row>
    <row r="89" spans="1:28" ht="26.25" customHeight="1">
      <c r="A89" s="77"/>
      <c r="B89" s="77"/>
      <c r="C89" s="160"/>
      <c r="D89" s="78"/>
      <c r="E89" s="77"/>
      <c r="F89" s="132"/>
      <c r="G89" s="77"/>
      <c r="H89" s="77"/>
      <c r="I89" s="77"/>
      <c r="J89" s="77"/>
      <c r="K89" s="77"/>
      <c r="L89" s="77"/>
      <c r="M89" s="77"/>
      <c r="N89" s="77"/>
      <c r="O89" s="77"/>
      <c r="P89" s="77"/>
      <c r="Q89" s="77"/>
      <c r="R89" s="77"/>
      <c r="S89" s="77"/>
      <c r="T89" s="77"/>
      <c r="U89" s="77"/>
      <c r="V89" s="77"/>
      <c r="W89" s="77"/>
      <c r="X89" s="77"/>
      <c r="Y89" s="77"/>
      <c r="Z89" s="77"/>
      <c r="AA89" s="77"/>
      <c r="AB89" s="77"/>
    </row>
    <row r="90" spans="1:28" ht="26.25" customHeight="1">
      <c r="A90" s="77"/>
      <c r="B90" s="77"/>
      <c r="C90" s="160"/>
      <c r="D90" s="78"/>
      <c r="E90" s="77"/>
      <c r="F90" s="132"/>
      <c r="G90" s="77"/>
      <c r="H90" s="77"/>
      <c r="I90" s="77"/>
      <c r="J90" s="77"/>
      <c r="K90" s="77"/>
      <c r="L90" s="77"/>
      <c r="M90" s="77"/>
      <c r="N90" s="77"/>
      <c r="O90" s="77"/>
      <c r="P90" s="77"/>
      <c r="Q90" s="77"/>
      <c r="R90" s="77"/>
      <c r="S90" s="77"/>
      <c r="T90" s="77"/>
      <c r="U90" s="77"/>
      <c r="V90" s="77"/>
      <c r="W90" s="77"/>
      <c r="X90" s="77"/>
      <c r="Y90" s="77"/>
      <c r="Z90" s="77"/>
      <c r="AA90" s="77"/>
      <c r="AB90" s="77"/>
    </row>
    <row r="91" spans="1:28" ht="26.25" customHeight="1">
      <c r="A91" s="77"/>
      <c r="B91" s="77"/>
      <c r="C91" s="160"/>
      <c r="D91" s="78"/>
      <c r="E91" s="77"/>
      <c r="F91" s="132"/>
      <c r="G91" s="77"/>
      <c r="H91" s="77"/>
      <c r="I91" s="77"/>
      <c r="J91" s="77"/>
      <c r="K91" s="77"/>
      <c r="L91" s="77"/>
      <c r="M91" s="77"/>
      <c r="N91" s="77"/>
      <c r="O91" s="77"/>
      <c r="P91" s="77"/>
      <c r="Q91" s="77"/>
      <c r="R91" s="77"/>
      <c r="S91" s="77"/>
      <c r="T91" s="77"/>
      <c r="U91" s="77"/>
      <c r="V91" s="77"/>
      <c r="W91" s="77"/>
      <c r="X91" s="77"/>
      <c r="Y91" s="77"/>
      <c r="Z91" s="77"/>
      <c r="AA91" s="77"/>
      <c r="AB91" s="77"/>
    </row>
    <row r="92" spans="1:28" ht="26.25" customHeight="1">
      <c r="A92" s="77"/>
      <c r="B92" s="77"/>
      <c r="C92" s="160"/>
      <c r="D92" s="78"/>
      <c r="E92" s="77"/>
      <c r="F92" s="132"/>
      <c r="G92" s="77"/>
      <c r="H92" s="77"/>
      <c r="I92" s="77"/>
      <c r="J92" s="77"/>
      <c r="K92" s="77"/>
      <c r="L92" s="77"/>
      <c r="M92" s="77"/>
      <c r="N92" s="77"/>
      <c r="O92" s="77"/>
      <c r="P92" s="77"/>
      <c r="Q92" s="77"/>
      <c r="R92" s="77"/>
      <c r="S92" s="77"/>
      <c r="T92" s="77"/>
      <c r="U92" s="77"/>
      <c r="V92" s="77"/>
      <c r="W92" s="77"/>
      <c r="X92" s="77"/>
      <c r="Y92" s="77"/>
      <c r="Z92" s="77"/>
      <c r="AA92" s="77"/>
      <c r="AB92" s="77"/>
    </row>
    <row r="93" spans="1:28" ht="26.25" customHeight="1">
      <c r="A93" s="77"/>
      <c r="B93" s="77"/>
      <c r="C93" s="160"/>
      <c r="D93" s="78"/>
      <c r="E93" s="77"/>
      <c r="F93" s="132"/>
      <c r="G93" s="77"/>
      <c r="H93" s="77"/>
      <c r="I93" s="77"/>
      <c r="J93" s="77"/>
      <c r="K93" s="77"/>
      <c r="L93" s="77"/>
      <c r="M93" s="77"/>
      <c r="N93" s="77"/>
      <c r="O93" s="77"/>
      <c r="P93" s="77"/>
      <c r="Q93" s="77"/>
      <c r="R93" s="77"/>
      <c r="S93" s="77"/>
      <c r="T93" s="77"/>
      <c r="U93" s="77"/>
      <c r="V93" s="77"/>
      <c r="W93" s="77"/>
      <c r="X93" s="77"/>
      <c r="Y93" s="77"/>
      <c r="Z93" s="77"/>
      <c r="AA93" s="77"/>
      <c r="AB93" s="77"/>
    </row>
    <row r="94" spans="1:28" ht="26.25" customHeight="1">
      <c r="A94" s="77"/>
      <c r="B94" s="77"/>
      <c r="C94" s="160"/>
      <c r="D94" s="78"/>
      <c r="E94" s="77"/>
      <c r="F94" s="132"/>
      <c r="G94" s="77"/>
      <c r="H94" s="77"/>
      <c r="I94" s="77"/>
      <c r="J94" s="77"/>
      <c r="K94" s="77"/>
      <c r="L94" s="77"/>
      <c r="M94" s="77"/>
      <c r="N94" s="77"/>
      <c r="O94" s="77"/>
      <c r="P94" s="77"/>
      <c r="Q94" s="77"/>
      <c r="R94" s="77"/>
      <c r="S94" s="77"/>
      <c r="T94" s="77"/>
      <c r="U94" s="77"/>
      <c r="V94" s="77"/>
      <c r="W94" s="77"/>
      <c r="X94" s="77"/>
      <c r="Y94" s="77"/>
      <c r="Z94" s="77"/>
      <c r="AA94" s="77"/>
      <c r="AB94" s="77"/>
    </row>
    <row r="95" spans="1:28" ht="26.25" customHeight="1">
      <c r="A95" s="77"/>
      <c r="B95" s="77"/>
      <c r="C95" s="160"/>
      <c r="D95" s="78"/>
      <c r="E95" s="77"/>
      <c r="F95" s="132"/>
      <c r="G95" s="77"/>
      <c r="H95" s="77"/>
      <c r="I95" s="77"/>
      <c r="J95" s="77"/>
      <c r="K95" s="77"/>
      <c r="L95" s="77"/>
      <c r="M95" s="77"/>
      <c r="N95" s="77"/>
      <c r="O95" s="77"/>
      <c r="P95" s="77"/>
      <c r="Q95" s="77"/>
      <c r="R95" s="77"/>
      <c r="S95" s="77"/>
      <c r="T95" s="77"/>
      <c r="U95" s="77"/>
      <c r="V95" s="77"/>
      <c r="W95" s="77"/>
      <c r="X95" s="77"/>
      <c r="Y95" s="77"/>
      <c r="Z95" s="77"/>
      <c r="AA95" s="77"/>
      <c r="AB95" s="77"/>
    </row>
    <row r="96" spans="1:28" ht="26.25" customHeight="1">
      <c r="A96" s="77"/>
      <c r="B96" s="77"/>
      <c r="C96" s="160"/>
      <c r="D96" s="78"/>
      <c r="E96" s="77"/>
      <c r="F96" s="132"/>
      <c r="G96" s="77"/>
      <c r="H96" s="77"/>
      <c r="I96" s="77"/>
      <c r="J96" s="77"/>
      <c r="K96" s="77"/>
      <c r="L96" s="77"/>
      <c r="M96" s="77"/>
      <c r="N96" s="77"/>
      <c r="O96" s="77"/>
      <c r="P96" s="77"/>
      <c r="Q96" s="77"/>
      <c r="R96" s="77"/>
      <c r="S96" s="77"/>
      <c r="T96" s="77"/>
      <c r="U96" s="77"/>
      <c r="V96" s="77"/>
      <c r="W96" s="77"/>
      <c r="X96" s="77"/>
      <c r="Y96" s="77"/>
      <c r="Z96" s="77"/>
      <c r="AA96" s="77"/>
      <c r="AB96" s="77"/>
    </row>
    <row r="97" spans="1:28" ht="26.25" customHeight="1">
      <c r="A97" s="77"/>
      <c r="B97" s="77"/>
      <c r="C97" s="160"/>
      <c r="D97" s="78"/>
      <c r="E97" s="77"/>
      <c r="F97" s="132"/>
      <c r="G97" s="77"/>
      <c r="H97" s="77"/>
      <c r="I97" s="77"/>
      <c r="J97" s="77"/>
      <c r="K97" s="77"/>
      <c r="L97" s="77"/>
      <c r="M97" s="77"/>
      <c r="N97" s="77"/>
      <c r="O97" s="77"/>
      <c r="P97" s="77"/>
      <c r="Q97" s="77"/>
      <c r="R97" s="77"/>
      <c r="S97" s="77"/>
      <c r="T97" s="77"/>
      <c r="U97" s="77"/>
      <c r="V97" s="77"/>
      <c r="W97" s="77"/>
      <c r="X97" s="77"/>
      <c r="Y97" s="77"/>
      <c r="Z97" s="77"/>
      <c r="AA97" s="77"/>
      <c r="AB97" s="77"/>
    </row>
    <row r="98" spans="1:28" ht="26.25" customHeight="1">
      <c r="A98" s="77"/>
      <c r="B98" s="77"/>
      <c r="C98" s="160"/>
      <c r="D98" s="78"/>
      <c r="E98" s="77"/>
      <c r="F98" s="132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7"/>
      <c r="V98" s="77"/>
      <c r="W98" s="77"/>
      <c r="X98" s="77"/>
      <c r="Y98" s="77"/>
      <c r="Z98" s="77"/>
      <c r="AA98" s="77"/>
      <c r="AB98" s="77"/>
    </row>
    <row r="99" spans="1:28" ht="26.25" customHeight="1">
      <c r="A99" s="77"/>
      <c r="B99" s="77"/>
      <c r="C99" s="160"/>
      <c r="D99" s="78"/>
      <c r="E99" s="77"/>
      <c r="F99" s="132"/>
      <c r="G99" s="77"/>
      <c r="H99" s="77"/>
      <c r="I99" s="77"/>
      <c r="J99" s="77"/>
      <c r="K99" s="77"/>
      <c r="L99" s="77"/>
      <c r="M99" s="77"/>
      <c r="N99" s="77"/>
      <c r="O99" s="77"/>
      <c r="P99" s="77"/>
      <c r="Q99" s="77"/>
      <c r="R99" s="77"/>
      <c r="S99" s="77"/>
      <c r="T99" s="77"/>
      <c r="U99" s="77"/>
      <c r="V99" s="77"/>
      <c r="W99" s="77"/>
      <c r="X99" s="77"/>
      <c r="Y99" s="77"/>
      <c r="Z99" s="77"/>
      <c r="AA99" s="77"/>
      <c r="AB99" s="77"/>
    </row>
    <row r="100" spans="1:28" ht="26.25" customHeight="1">
      <c r="A100" s="77"/>
      <c r="B100" s="77"/>
      <c r="C100" s="160"/>
      <c r="D100" s="78"/>
      <c r="E100" s="77"/>
      <c r="F100" s="132"/>
      <c r="G100" s="77"/>
      <c r="H100" s="77"/>
      <c r="I100" s="77"/>
      <c r="J100" s="77"/>
      <c r="K100" s="77"/>
      <c r="L100" s="77"/>
      <c r="M100" s="77"/>
      <c r="N100" s="77"/>
      <c r="O100" s="77"/>
      <c r="P100" s="77"/>
      <c r="Q100" s="77"/>
      <c r="R100" s="77"/>
      <c r="S100" s="77"/>
      <c r="T100" s="77"/>
      <c r="U100" s="77"/>
      <c r="V100" s="77"/>
      <c r="W100" s="77"/>
      <c r="X100" s="77"/>
      <c r="Y100" s="77"/>
      <c r="Z100" s="77"/>
      <c r="AA100" s="77"/>
      <c r="AB100" s="77"/>
    </row>
  </sheetData>
  <mergeCells count="3">
    <mergeCell ref="C17:E17"/>
    <mergeCell ref="C18:E18"/>
    <mergeCell ref="C19:E19"/>
  </mergeCells>
  <phoneticPr fontId="27" type="noConversion"/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15</vt:i4>
      </vt:variant>
    </vt:vector>
  </HeadingPairs>
  <TitlesOfParts>
    <vt:vector size="15" baseType="lpstr">
      <vt:lpstr>短租彙總</vt:lpstr>
      <vt:lpstr>短租查詢</vt:lpstr>
      <vt:lpstr>長租彙總</vt:lpstr>
      <vt:lpstr>長租查詢</vt:lpstr>
      <vt:lpstr>總表</vt:lpstr>
      <vt:lpstr>日租滿房率</vt:lpstr>
      <vt:lpstr>2-141</vt:lpstr>
      <vt:lpstr>3-溫州</vt:lpstr>
      <vt:lpstr>4-寒舍</vt:lpstr>
      <vt:lpstr>5-安和雅企</vt:lpstr>
      <vt:lpstr>6-敦南薈館</vt:lpstr>
      <vt:lpstr>7-公司</vt:lpstr>
      <vt:lpstr>8-159-1</vt:lpstr>
      <vt:lpstr>9-崇德</vt:lpstr>
      <vt:lpstr>10-景新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昌 小</cp:lastModifiedBy>
  <cp:lastPrinted>2017-07-15T03:56:21Z</cp:lastPrinted>
  <dcterms:created xsi:type="dcterms:W3CDTF">2017-04-12T01:31:32Z</dcterms:created>
  <dcterms:modified xsi:type="dcterms:W3CDTF">2024-04-28T12:03:16Z</dcterms:modified>
</cp:coreProperties>
</file>