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6、博三下\1、小论文\5、分数阶+背景值优化（非线性项）的混频灰色预测模型\1、FLNMGM1N论文\10、0707返修\提交\"/>
    </mc:Choice>
  </mc:AlternateContent>
  <xr:revisionPtr revIDLastSave="0" documentId="13_ncr:1_{62469FA4-3385-47E7-A22B-D4335F55D3A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Jiangsu" sheetId="3" r:id="rId1"/>
    <sheet name="Guizhou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3" i="1" l="1"/>
  <c r="M121" i="1"/>
  <c r="M109" i="1"/>
  <c r="M97" i="1"/>
  <c r="M85" i="1"/>
  <c r="M73" i="1"/>
  <c r="M61" i="1"/>
  <c r="M49" i="1"/>
  <c r="M37" i="1"/>
  <c r="M25" i="1"/>
  <c r="M13" i="1"/>
  <c r="I45" i="1"/>
  <c r="I41" i="1"/>
  <c r="I37" i="1"/>
  <c r="I33" i="1"/>
  <c r="I29" i="1"/>
  <c r="I25" i="1"/>
  <c r="I21" i="1"/>
  <c r="I17" i="1"/>
  <c r="I13" i="1"/>
  <c r="I9" i="1"/>
  <c r="I5" i="1"/>
  <c r="M133" i="3"/>
  <c r="M121" i="3"/>
  <c r="M109" i="3"/>
  <c r="M97" i="3"/>
  <c r="M85" i="3"/>
  <c r="M73" i="3"/>
  <c r="M61" i="3"/>
  <c r="M49" i="3"/>
  <c r="M37" i="3"/>
  <c r="M25" i="3"/>
  <c r="M13" i="3"/>
  <c r="I45" i="3"/>
  <c r="I41" i="3"/>
  <c r="I37" i="3"/>
  <c r="I33" i="3"/>
  <c r="I29" i="3"/>
  <c r="I25" i="3"/>
  <c r="I21" i="3"/>
  <c r="I17" i="3"/>
  <c r="I13" i="3"/>
  <c r="I9" i="3"/>
  <c r="I5" i="3"/>
  <c r="K2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<sst xmlns="http://schemas.openxmlformats.org/spreadsheetml/2006/main" count="96" uniqueCount="48">
  <si>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</si>
  <si>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</si>
  <si>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</si>
  <si>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</si>
  <si>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</si>
  <si>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</si>
  <si>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</si>
  <si>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</si>
  <si>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</si>
  <si>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</si>
  <si>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</si>
  <si>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</si>
  <si>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</si>
  <si>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</si>
  <si>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</si>
  <si>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</si>
  <si>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</si>
  <si>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</si>
  <si>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</si>
  <si>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</si>
  <si>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</si>
  <si>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</si>
  <si>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</si>
  <si>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</si>
  <si>
    <t>2020-03</t>
  </si>
  <si>
    <t>2020-06</t>
  </si>
  <si>
    <t>2020-09</t>
  </si>
  <si>
    <t>2020-12</t>
  </si>
  <si>
    <t>2021-03</t>
  </si>
  <si>
    <t>2021-06</t>
  </si>
  <si>
    <t>2021-09</t>
  </si>
  <si>
    <t>2021-12</t>
  </si>
  <si>
    <t>2022-03</t>
  </si>
  <si>
    <t>2022-06</t>
  </si>
  <si>
    <t>2022-09</t>
  </si>
  <si>
    <t>2022-12</t>
  </si>
  <si>
    <t>2023-03</t>
  </si>
  <si>
    <t>2023-06</t>
  </si>
  <si>
    <t>2023-09</t>
  </si>
  <si>
    <t>2023-12</t>
  </si>
  <si>
    <t>2024-03</t>
  </si>
  <si>
    <t>2024-06</t>
  </si>
  <si>
    <t>2024-09</t>
  </si>
  <si>
    <t>2024-12</t>
  </si>
  <si>
    <t>X1 Electricity consumption(Billion kwh)</t>
    <phoneticPr fontId="1" type="noConversion"/>
  </si>
  <si>
    <t>X3 GDP(100 million RMB)</t>
    <phoneticPr fontId="1" type="noConversion"/>
  </si>
  <si>
    <t>X4 Import and export trade (Ten thousand RMB)</t>
    <phoneticPr fontId="1" type="noConversion"/>
  </si>
  <si>
    <t>X2 Population(Ten thousand)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</si>
</sst>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2" fillId="0" borderId="0" xfId="0" applyNumberFormat="1" applyFont="1" applyAlignment="1">
      <alignment horizontal="right"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C4B1-ACC8-4886-B632-6A3E5282254C}">
  <dimension ref="A1:M133"/>
  <sheetViews>
    <sheetView tabSelected="1" workbookViewId="0">
      <selection activeCell="E16" sqref="E16"/>
    </sheetView>
  </sheetViews>
  <sheetFormatPr defaultRowHeight="15" x14ac:dyDescent="0.4"/>
  <cols>
    <col min="1" max="3" width="9.1328125" style="2" bestFit="1" customWidth="1"/>
    <col min="4" max="7" width="9.06640625" style="2"/>
    <col min="8" max="8" width="9.1328125" style="2" bestFit="1" customWidth="1"/>
    <col min="9" max="9" width="9.19921875" style="2" bestFit="1" customWidth="1"/>
    <col min="10" max="11" width="9.06640625" style="2"/>
    <col min="12" max="12" width="12.6640625" style="2" bestFit="1" customWidth="1"/>
    <col min="13" max="13" width="11.46484375" style="2" bestFit="1" customWidth="1"/>
    <col min="14" max="16384" width="9.06640625" style="2"/>
  </cols>
  <sheetData>
    <row r="1" spans="1:13" x14ac:dyDescent="0.4">
      <c r="B1" s="2" t="s">
        <v>44</v>
      </c>
      <c r="C1" s="2" t="s">
        <v>47</v>
      </c>
      <c r="H1" s="2" t="s">
        <v>45</v>
      </c>
      <c r="L1" s="2" t="s">
        <v>46</v>
      </c>
    </row>
    <row r="2" spans="1:13" x14ac:dyDescent="0.4">
      <c r="A2" s="2">
        <v>2014</v>
      </c>
      <c r="B2" s="1">
        <v>5012.54</v>
      </c>
      <c r="C2" s="2">
        <v>8281.09</v>
      </c>
      <c r="G2" s="2" t="s">
        <v>0</v>
      </c>
      <c r="H2" s="2">
        <v>12892.85</v>
      </c>
      <c r="K2" s="2" t="str">
        <f>"2014-01"</f>
        <v>2014-01</v>
      </c>
      <c r="L2" s="2">
        <v>29312339</v>
      </c>
    </row>
    <row r="3" spans="1:13" x14ac:dyDescent="0.4">
      <c r="A3" s="2">
        <v>2015</v>
      </c>
      <c r="B3" s="1">
        <v>5114.7</v>
      </c>
      <c r="C3" s="2">
        <v>8315.11</v>
      </c>
      <c r="G3" s="2" t="s">
        <v>1</v>
      </c>
      <c r="H3" s="2">
        <v>17222.150000000001</v>
      </c>
      <c r="K3" s="2" t="str">
        <f>"2014-02"</f>
        <v>2014-02</v>
      </c>
      <c r="L3" s="2">
        <v>20100504</v>
      </c>
    </row>
    <row r="4" spans="1:13" x14ac:dyDescent="0.4">
      <c r="A4" s="2">
        <v>2016</v>
      </c>
      <c r="B4" s="1">
        <v>5458.95</v>
      </c>
      <c r="C4" s="2">
        <v>8381.4699999999993</v>
      </c>
      <c r="G4" s="2" t="s">
        <v>2</v>
      </c>
      <c r="H4" s="2">
        <v>15527.769999999997</v>
      </c>
      <c r="K4" s="2" t="str">
        <f>"2014-03"</f>
        <v>2014-03</v>
      </c>
      <c r="L4" s="2">
        <v>28302675</v>
      </c>
    </row>
    <row r="5" spans="1:13" x14ac:dyDescent="0.4">
      <c r="A5" s="2">
        <v>2017</v>
      </c>
      <c r="B5" s="1">
        <v>5807.89</v>
      </c>
      <c r="C5" s="2">
        <v>8423.5</v>
      </c>
      <c r="G5" s="2" t="s">
        <v>3</v>
      </c>
      <c r="H5" s="2">
        <v>19445.550000000003</v>
      </c>
      <c r="I5" s="2">
        <f>SUM(H2:H5)</f>
        <v>65088.32</v>
      </c>
      <c r="K5" s="2" t="str">
        <f>"2014-04"</f>
        <v>2014-04</v>
      </c>
      <c r="L5" s="2">
        <v>30146352</v>
      </c>
    </row>
    <row r="6" spans="1:13" x14ac:dyDescent="0.4">
      <c r="A6" s="2">
        <v>2018</v>
      </c>
      <c r="B6" s="1">
        <v>6128.27</v>
      </c>
      <c r="C6" s="2">
        <v>8446.19</v>
      </c>
      <c r="G6" s="2" t="s">
        <v>4</v>
      </c>
      <c r="H6" s="2">
        <v>14620.67</v>
      </c>
      <c r="K6" s="2" t="str">
        <f>"2014-05"</f>
        <v>2014-05</v>
      </c>
      <c r="L6" s="2">
        <v>30899466</v>
      </c>
    </row>
    <row r="7" spans="1:13" x14ac:dyDescent="0.4">
      <c r="A7" s="2">
        <v>2019</v>
      </c>
      <c r="B7" s="1">
        <v>6264.36</v>
      </c>
      <c r="C7" s="2">
        <v>8469.09</v>
      </c>
      <c r="G7" s="2" t="s">
        <v>5</v>
      </c>
      <c r="H7" s="2">
        <v>19306.230000000003</v>
      </c>
      <c r="K7" s="2" t="str">
        <f>"2014-06"</f>
        <v>2014-06</v>
      </c>
      <c r="L7" s="2">
        <v>28981694</v>
      </c>
    </row>
    <row r="8" spans="1:13" x14ac:dyDescent="0.4">
      <c r="A8" s="2">
        <v>2020</v>
      </c>
      <c r="B8" s="1">
        <v>6373.71</v>
      </c>
      <c r="C8" s="2">
        <v>8477.26</v>
      </c>
      <c r="G8" s="2" t="s">
        <v>6</v>
      </c>
      <c r="H8" s="2">
        <v>17275.47</v>
      </c>
      <c r="K8" s="2" t="str">
        <f>"2014-07"</f>
        <v>2014-07</v>
      </c>
      <c r="L8" s="2">
        <v>32627712</v>
      </c>
    </row>
    <row r="9" spans="1:13" x14ac:dyDescent="0.4">
      <c r="A9" s="2">
        <v>2021</v>
      </c>
      <c r="B9" s="1">
        <v>7101.16</v>
      </c>
      <c r="C9" s="2">
        <v>8505.4</v>
      </c>
      <c r="G9" s="2" t="s">
        <v>7</v>
      </c>
      <c r="H9" s="2">
        <v>18914.010000000002</v>
      </c>
      <c r="I9" s="2">
        <f>SUM(H6:H9)</f>
        <v>70116.38</v>
      </c>
      <c r="K9" s="2" t="str">
        <f>"2014-08"</f>
        <v>2014-08</v>
      </c>
      <c r="L9" s="2">
        <v>30466209</v>
      </c>
    </row>
    <row r="10" spans="1:13" x14ac:dyDescent="0.4">
      <c r="A10" s="2">
        <v>2022</v>
      </c>
      <c r="B10" s="1">
        <v>7399.55</v>
      </c>
      <c r="C10" s="2">
        <v>8515</v>
      </c>
      <c r="G10" s="2" t="s">
        <v>8</v>
      </c>
      <c r="H10" s="2">
        <v>16509.04</v>
      </c>
      <c r="K10" s="2" t="str">
        <f>"2014-09"</f>
        <v>2014-09</v>
      </c>
      <c r="L10" s="2">
        <v>29938313</v>
      </c>
    </row>
    <row r="11" spans="1:13" x14ac:dyDescent="0.4">
      <c r="A11" s="2">
        <v>2023</v>
      </c>
      <c r="B11" s="1">
        <v>7832.96</v>
      </c>
      <c r="C11" s="2">
        <v>8526</v>
      </c>
      <c r="G11" s="2" t="s">
        <v>9</v>
      </c>
      <c r="H11" s="2">
        <v>20022.690000000002</v>
      </c>
      <c r="K11" s="2" t="str">
        <f>"2014-10"</f>
        <v>2014-10</v>
      </c>
      <c r="L11" s="2">
        <v>28238359</v>
      </c>
    </row>
    <row r="12" spans="1:13" x14ac:dyDescent="0.4">
      <c r="A12" s="2">
        <v>2024</v>
      </c>
      <c r="B12" s="1">
        <v>8487</v>
      </c>
      <c r="C12" s="2">
        <v>8526</v>
      </c>
      <c r="G12" s="2" t="s">
        <v>10</v>
      </c>
      <c r="H12" s="2">
        <v>18749.729999999996</v>
      </c>
      <c r="K12" s="2" t="str">
        <f>"2014-11"</f>
        <v>2014-11</v>
      </c>
      <c r="L12" s="2">
        <v>28046249</v>
      </c>
    </row>
    <row r="13" spans="1:13" x14ac:dyDescent="0.4">
      <c r="G13" s="2" t="s">
        <v>11</v>
      </c>
      <c r="H13" s="2">
        <v>20804.71</v>
      </c>
      <c r="I13" s="2">
        <f>SUM(H10:H13)</f>
        <v>76086.17</v>
      </c>
      <c r="K13" s="2" t="str">
        <f>"2014-12"</f>
        <v>2014-12</v>
      </c>
      <c r="L13" s="2">
        <v>29583118</v>
      </c>
      <c r="M13" s="2">
        <f>SUM(L2:L13)</f>
        <v>346642990</v>
      </c>
    </row>
    <row r="14" spans="1:13" x14ac:dyDescent="0.4">
      <c r="G14" s="2" t="s">
        <v>12</v>
      </c>
      <c r="H14" s="2">
        <v>18822.599999999999</v>
      </c>
      <c r="K14" s="2" t="str">
        <f>"2015-01"</f>
        <v>2015-01</v>
      </c>
      <c r="L14" s="2">
        <v>27931663</v>
      </c>
    </row>
    <row r="15" spans="1:13" x14ac:dyDescent="0.4">
      <c r="G15" s="2" t="s">
        <v>13</v>
      </c>
      <c r="H15" s="2">
        <v>21998.620000000003</v>
      </c>
      <c r="K15" s="2" t="str">
        <f>"2015-02"</f>
        <v>2015-02</v>
      </c>
      <c r="L15" s="2">
        <v>22596683</v>
      </c>
    </row>
    <row r="16" spans="1:13" x14ac:dyDescent="0.4">
      <c r="G16" s="2" t="s">
        <v>14</v>
      </c>
      <c r="H16" s="2">
        <v>21783.239999999998</v>
      </c>
      <c r="K16" s="2" t="str">
        <f>"2015-03"</f>
        <v>2015-03</v>
      </c>
      <c r="L16" s="2">
        <v>25381604</v>
      </c>
    </row>
    <row r="17" spans="7:13" x14ac:dyDescent="0.4">
      <c r="G17" s="2" t="s">
        <v>15</v>
      </c>
      <c r="H17" s="2">
        <v>23296.480000000003</v>
      </c>
      <c r="I17" s="2">
        <f>SUM(H14:H17)</f>
        <v>85900.94</v>
      </c>
      <c r="K17" s="2" t="str">
        <f>"2015-04"</f>
        <v>2015-04</v>
      </c>
      <c r="L17" s="2">
        <v>27615801</v>
      </c>
    </row>
    <row r="18" spans="7:13" x14ac:dyDescent="0.4">
      <c r="G18" s="2" t="s">
        <v>16</v>
      </c>
      <c r="H18" s="2">
        <v>20440.34</v>
      </c>
      <c r="K18" s="2" t="str">
        <f>"2015-05"</f>
        <v>2015-05</v>
      </c>
      <c r="L18" s="2">
        <v>28896669</v>
      </c>
    </row>
    <row r="19" spans="7:13" x14ac:dyDescent="0.4">
      <c r="G19" s="2" t="s">
        <v>17</v>
      </c>
      <c r="H19" s="2">
        <v>22702.98</v>
      </c>
      <c r="K19" s="2" t="str">
        <f>"2015-06"</f>
        <v>2015-06</v>
      </c>
      <c r="L19" s="2">
        <v>28614918</v>
      </c>
    </row>
    <row r="20" spans="7:13" x14ac:dyDescent="0.4">
      <c r="G20" s="2" t="s">
        <v>18</v>
      </c>
      <c r="H20" s="2">
        <v>23410.329999999994</v>
      </c>
      <c r="K20" s="2" t="str">
        <f>"2015-07"</f>
        <v>2015-07</v>
      </c>
      <c r="L20" s="2">
        <v>29642631</v>
      </c>
    </row>
    <row r="21" spans="7:13" x14ac:dyDescent="0.4">
      <c r="G21" s="2" t="s">
        <v>19</v>
      </c>
      <c r="H21" s="2">
        <v>26653.900000000009</v>
      </c>
      <c r="I21" s="2">
        <f>SUM(H18:H21)</f>
        <v>93207.55</v>
      </c>
      <c r="K21" s="2" t="str">
        <f>"2015-08"</f>
        <v>2015-08</v>
      </c>
      <c r="L21" s="2">
        <v>29142043</v>
      </c>
    </row>
    <row r="22" spans="7:13" x14ac:dyDescent="0.4">
      <c r="G22" s="2" t="s">
        <v>20</v>
      </c>
      <c r="H22" s="2">
        <v>21711.72</v>
      </c>
      <c r="K22" s="2" t="str">
        <f>"2015-09"</f>
        <v>2015-09</v>
      </c>
      <c r="L22" s="2">
        <v>31044999</v>
      </c>
    </row>
    <row r="23" spans="7:13" x14ac:dyDescent="0.4">
      <c r="G23" s="2" t="s">
        <v>21</v>
      </c>
      <c r="H23" s="2">
        <v>24152.190000000002</v>
      </c>
      <c r="K23" s="2" t="str">
        <f>"2015-10"</f>
        <v>2015-10</v>
      </c>
      <c r="L23" s="2">
        <v>28416065</v>
      </c>
    </row>
    <row r="24" spans="7:13" x14ac:dyDescent="0.4">
      <c r="G24" s="2" t="s">
        <v>22</v>
      </c>
      <c r="H24" s="2">
        <v>25111.5</v>
      </c>
      <c r="K24" s="2" t="str">
        <f>"2015-11"</f>
        <v>2015-11</v>
      </c>
      <c r="L24" s="2">
        <v>28622612</v>
      </c>
    </row>
    <row r="25" spans="7:13" x14ac:dyDescent="0.4">
      <c r="G25" s="2" t="s">
        <v>23</v>
      </c>
      <c r="H25" s="2">
        <v>27681.410000000003</v>
      </c>
      <c r="I25" s="2">
        <f>SUM(H22:H25)</f>
        <v>98656.82</v>
      </c>
      <c r="K25" s="2" t="str">
        <f>"2015-12"</f>
        <v>2015-12</v>
      </c>
      <c r="L25" s="2">
        <v>31060909</v>
      </c>
      <c r="M25" s="2">
        <f>SUM(L14:L25)</f>
        <v>338966597</v>
      </c>
    </row>
    <row r="26" spans="7:13" x14ac:dyDescent="0.4">
      <c r="G26" s="2" t="s">
        <v>24</v>
      </c>
      <c r="H26" s="2">
        <v>21003.74</v>
      </c>
      <c r="K26" s="2" t="str">
        <f>"2016-01"</f>
        <v>2016-01</v>
      </c>
      <c r="L26" s="2">
        <v>26308573.399999999</v>
      </c>
    </row>
    <row r="27" spans="7:13" x14ac:dyDescent="0.4">
      <c r="G27" s="2" t="s">
        <v>25</v>
      </c>
      <c r="H27" s="2">
        <v>25634.899999999998</v>
      </c>
      <c r="K27" s="2" t="str">
        <f>"2016-02"</f>
        <v>2016-02</v>
      </c>
      <c r="L27" s="2">
        <v>21202307.309999999</v>
      </c>
    </row>
    <row r="28" spans="7:13" x14ac:dyDescent="0.4">
      <c r="G28" s="2" t="s">
        <v>26</v>
      </c>
      <c r="H28" s="2">
        <v>26959.440000000002</v>
      </c>
      <c r="K28" s="2" t="str">
        <f>"2016-03"</f>
        <v>2016-03</v>
      </c>
      <c r="L28" s="2">
        <v>28692452.039999999</v>
      </c>
    </row>
    <row r="29" spans="7:13" x14ac:dyDescent="0.4">
      <c r="G29" s="2" t="s">
        <v>27</v>
      </c>
      <c r="H29" s="2">
        <v>29209.599999999991</v>
      </c>
      <c r="I29" s="2">
        <f>SUM(H26:H29)</f>
        <v>102807.67999999999</v>
      </c>
      <c r="K29" s="2" t="str">
        <f>"2016-04"</f>
        <v>2016-04</v>
      </c>
      <c r="L29" s="2">
        <v>28122974.899999999</v>
      </c>
    </row>
    <row r="30" spans="7:13" x14ac:dyDescent="0.4">
      <c r="G30" s="2" t="s">
        <v>28</v>
      </c>
      <c r="H30" s="2">
        <v>26036</v>
      </c>
      <c r="K30" s="2" t="str">
        <f>"2016-05"</f>
        <v>2016-05</v>
      </c>
      <c r="L30" s="2">
        <v>28114087.420000002</v>
      </c>
    </row>
    <row r="31" spans="7:13" x14ac:dyDescent="0.4">
      <c r="G31" s="2" t="s">
        <v>29</v>
      </c>
      <c r="H31" s="2">
        <v>29281</v>
      </c>
      <c r="K31" s="2" t="str">
        <f>"2016-06"</f>
        <v>2016-06</v>
      </c>
      <c r="L31" s="2">
        <v>27408522.18</v>
      </c>
    </row>
    <row r="32" spans="7:13" x14ac:dyDescent="0.4">
      <c r="G32" s="2" t="s">
        <v>30</v>
      </c>
      <c r="H32" s="2">
        <v>29911</v>
      </c>
      <c r="K32" s="2" t="str">
        <f>"2016-07"</f>
        <v>2016-07</v>
      </c>
      <c r="L32" s="2">
        <v>28226231.050000001</v>
      </c>
    </row>
    <row r="33" spans="7:13" x14ac:dyDescent="0.4">
      <c r="G33" s="2" t="s">
        <v>31</v>
      </c>
      <c r="H33" s="2">
        <v>32164</v>
      </c>
      <c r="I33" s="2">
        <f>SUM(H30:H33)</f>
        <v>117392</v>
      </c>
      <c r="K33" s="2" t="str">
        <f>"2016-08"</f>
        <v>2016-08</v>
      </c>
      <c r="L33" s="2">
        <v>30891916.670000002</v>
      </c>
    </row>
    <row r="34" spans="7:13" x14ac:dyDescent="0.4">
      <c r="G34" s="2" t="s">
        <v>32</v>
      </c>
      <c r="H34" s="2">
        <v>27824</v>
      </c>
      <c r="K34" s="2" t="str">
        <f>"2016-09"</f>
        <v>2016-09</v>
      </c>
      <c r="L34" s="2">
        <v>29128722.140000001</v>
      </c>
    </row>
    <row r="35" spans="7:13" x14ac:dyDescent="0.4">
      <c r="G35" s="2" t="s">
        <v>33</v>
      </c>
      <c r="H35" s="2">
        <v>29004</v>
      </c>
      <c r="K35" s="2" t="str">
        <f>"2016-10"</f>
        <v>2016-10</v>
      </c>
      <c r="L35" s="2">
        <v>28247736.84</v>
      </c>
    </row>
    <row r="36" spans="7:13" x14ac:dyDescent="0.4">
      <c r="G36" s="2" t="s">
        <v>34</v>
      </c>
      <c r="H36" s="2">
        <v>31717</v>
      </c>
      <c r="K36" s="2" t="str">
        <f>"2016-11"</f>
        <v>2016-11</v>
      </c>
      <c r="L36" s="2">
        <v>31337836.620000001</v>
      </c>
    </row>
    <row r="37" spans="7:13" x14ac:dyDescent="0.4">
      <c r="G37" s="2" t="s">
        <v>35</v>
      </c>
      <c r="H37" s="2">
        <v>33544.300000000003</v>
      </c>
      <c r="I37" s="2">
        <f>SUM(H34:H37)</f>
        <v>122089.3</v>
      </c>
      <c r="K37" s="2" t="str">
        <f>"2016-12"</f>
        <v>2016-12</v>
      </c>
      <c r="L37" s="2">
        <v>33220889</v>
      </c>
      <c r="M37" s="2">
        <f>SUM(L26:L37)</f>
        <v>340902249.56999999</v>
      </c>
    </row>
    <row r="38" spans="7:13" x14ac:dyDescent="0.4">
      <c r="G38" s="2" t="s">
        <v>36</v>
      </c>
      <c r="H38" s="2">
        <v>29330</v>
      </c>
      <c r="K38" s="2" t="str">
        <f>"2017-01"</f>
        <v>2017-01</v>
      </c>
      <c r="L38" s="2">
        <v>31074078.190000001</v>
      </c>
    </row>
    <row r="39" spans="7:13" x14ac:dyDescent="0.4">
      <c r="G39" s="2" t="s">
        <v>37</v>
      </c>
      <c r="H39" s="2">
        <v>30982</v>
      </c>
      <c r="K39" s="2" t="str">
        <f>"2017-02"</f>
        <v>2017-02</v>
      </c>
      <c r="L39" s="2">
        <v>25637217.129999999</v>
      </c>
    </row>
    <row r="40" spans="7:13" x14ac:dyDescent="0.4">
      <c r="G40" s="2" t="s">
        <v>38</v>
      </c>
      <c r="H40" s="2">
        <v>32645</v>
      </c>
      <c r="K40" s="2" t="str">
        <f>"2017-03"</f>
        <v>2017-03</v>
      </c>
      <c r="L40" s="2">
        <v>32138765.879999999</v>
      </c>
    </row>
    <row r="41" spans="7:13" x14ac:dyDescent="0.4">
      <c r="G41" s="2" t="s">
        <v>39</v>
      </c>
      <c r="H41" s="2">
        <v>35265.199999999997</v>
      </c>
      <c r="I41" s="2">
        <f>SUM(H38:H41)</f>
        <v>128222.2</v>
      </c>
      <c r="K41" s="2" t="str">
        <f>"2017-04"</f>
        <v>2017-04</v>
      </c>
      <c r="L41" s="2">
        <v>31082361.640000001</v>
      </c>
    </row>
    <row r="42" spans="7:13" x14ac:dyDescent="0.4">
      <c r="G42" s="2" t="s">
        <v>40</v>
      </c>
      <c r="H42" s="2">
        <v>31422</v>
      </c>
      <c r="K42" s="2" t="str">
        <f>"2017-05"</f>
        <v>2017-05</v>
      </c>
      <c r="L42" s="2">
        <v>33019259.440000001</v>
      </c>
    </row>
    <row r="43" spans="7:13" x14ac:dyDescent="0.4">
      <c r="G43" s="2" t="s">
        <v>41</v>
      </c>
      <c r="H43" s="2">
        <v>33002</v>
      </c>
      <c r="K43" s="2" t="str">
        <f>"2017-06"</f>
        <v>2017-06</v>
      </c>
      <c r="L43" s="2">
        <v>34672755.960000001</v>
      </c>
    </row>
    <row r="44" spans="7:13" x14ac:dyDescent="0.4">
      <c r="G44" s="2" t="s">
        <v>42</v>
      </c>
      <c r="H44" s="2">
        <v>34811</v>
      </c>
      <c r="K44" s="2" t="str">
        <f>"2017-07"</f>
        <v>2017-07</v>
      </c>
      <c r="L44" s="2">
        <v>34199924.100000001</v>
      </c>
    </row>
    <row r="45" spans="7:13" x14ac:dyDescent="0.4">
      <c r="G45" s="2" t="s">
        <v>43</v>
      </c>
      <c r="H45" s="2">
        <v>37773</v>
      </c>
      <c r="I45" s="2">
        <f>SUM(H42:H45)</f>
        <v>137008</v>
      </c>
      <c r="K45" s="2" t="str">
        <f>"2017-08"</f>
        <v>2017-08</v>
      </c>
      <c r="L45" s="2">
        <v>35727841.469999999</v>
      </c>
    </row>
    <row r="46" spans="7:13" x14ac:dyDescent="0.4">
      <c r="K46" s="2" t="str">
        <f>"2017-09"</f>
        <v>2017-09</v>
      </c>
      <c r="L46" s="2">
        <v>35819520.359999999</v>
      </c>
    </row>
    <row r="47" spans="7:13" x14ac:dyDescent="0.4">
      <c r="K47" s="2" t="str">
        <f>"2017-10"</f>
        <v>2017-10</v>
      </c>
      <c r="L47" s="2">
        <v>32637801.890000001</v>
      </c>
    </row>
    <row r="48" spans="7:13" x14ac:dyDescent="0.4">
      <c r="K48" s="2" t="str">
        <f>"2017-11"</f>
        <v>2017-11</v>
      </c>
      <c r="L48" s="2">
        <v>37064183.189999998</v>
      </c>
    </row>
    <row r="49" spans="11:13" x14ac:dyDescent="0.4">
      <c r="K49" s="2" t="str">
        <f>"2017-12"</f>
        <v>2017-12</v>
      </c>
      <c r="L49" s="2">
        <v>37259320.759999998</v>
      </c>
      <c r="M49" s="2">
        <f>SUM(L38:L49)</f>
        <v>400333030.00999999</v>
      </c>
    </row>
    <row r="50" spans="11:13" x14ac:dyDescent="0.4">
      <c r="K50" s="2" t="str">
        <f>"2018-01"</f>
        <v>2018-01</v>
      </c>
      <c r="L50" s="2">
        <v>34739145.270000003</v>
      </c>
    </row>
    <row r="51" spans="11:13" x14ac:dyDescent="0.4">
      <c r="K51" s="2" t="str">
        <f>"2018-02"</f>
        <v>2018-02</v>
      </c>
      <c r="L51" s="2">
        <v>29815261.940000001</v>
      </c>
    </row>
    <row r="52" spans="11:13" x14ac:dyDescent="0.4">
      <c r="K52" s="2" t="str">
        <f>"2018-03"</f>
        <v>2018-03</v>
      </c>
      <c r="L52" s="2">
        <v>32725423.920000002</v>
      </c>
    </row>
    <row r="53" spans="11:13" x14ac:dyDescent="0.4">
      <c r="K53" s="2" t="str">
        <f>"2018-04"</f>
        <v>2018-04</v>
      </c>
      <c r="L53" s="2">
        <v>34293131</v>
      </c>
    </row>
    <row r="54" spans="11:13" x14ac:dyDescent="0.4">
      <c r="K54" s="2" t="str">
        <f>"2018-05"</f>
        <v>2018-05</v>
      </c>
      <c r="L54" s="2">
        <v>36119498</v>
      </c>
    </row>
    <row r="55" spans="11:13" x14ac:dyDescent="0.4">
      <c r="K55" s="2" t="str">
        <f>"2018-06"</f>
        <v>2018-06</v>
      </c>
      <c r="L55" s="2">
        <v>36738439</v>
      </c>
    </row>
    <row r="56" spans="11:13" x14ac:dyDescent="0.4">
      <c r="K56" s="2" t="str">
        <f>"2018-07"</f>
        <v>2018-07</v>
      </c>
      <c r="L56" s="2">
        <v>36155022</v>
      </c>
    </row>
    <row r="57" spans="11:13" x14ac:dyDescent="0.4">
      <c r="K57" s="2" t="str">
        <f>"2018-08"</f>
        <v>2018-08</v>
      </c>
      <c r="L57" s="2">
        <v>38629118</v>
      </c>
    </row>
    <row r="58" spans="11:13" x14ac:dyDescent="0.4">
      <c r="K58" s="2" t="str">
        <f>"2018-09"</f>
        <v>2018-09</v>
      </c>
      <c r="L58" s="2">
        <v>42112414</v>
      </c>
    </row>
    <row r="59" spans="11:13" x14ac:dyDescent="0.4">
      <c r="K59" s="2" t="str">
        <f>"2018-10"</f>
        <v>2018-10</v>
      </c>
      <c r="L59" s="2">
        <v>38808083</v>
      </c>
    </row>
    <row r="60" spans="11:13" x14ac:dyDescent="0.4">
      <c r="K60" s="2" t="str">
        <f>"2018-11"</f>
        <v>2018-11</v>
      </c>
      <c r="L60" s="2">
        <v>40607657</v>
      </c>
    </row>
    <row r="61" spans="11:13" x14ac:dyDescent="0.4">
      <c r="K61" s="2" t="str">
        <f>"2018-12"</f>
        <v>2018-12</v>
      </c>
      <c r="L61" s="2">
        <v>38045767</v>
      </c>
      <c r="M61" s="2">
        <f>SUM(L50:L61)</f>
        <v>438788960.13</v>
      </c>
    </row>
    <row r="62" spans="11:13" x14ac:dyDescent="0.4">
      <c r="K62" s="2" t="str">
        <f>"2019-01"</f>
        <v>2019-01</v>
      </c>
      <c r="L62" s="2">
        <v>37065443</v>
      </c>
    </row>
    <row r="63" spans="11:13" x14ac:dyDescent="0.4">
      <c r="K63" s="2" t="str">
        <f>"2019-02"</f>
        <v>2019-02</v>
      </c>
      <c r="L63" s="2">
        <v>27169181</v>
      </c>
    </row>
    <row r="64" spans="11:13" x14ac:dyDescent="0.4">
      <c r="K64" s="2" t="str">
        <f>"2019-03"</f>
        <v>2019-03</v>
      </c>
      <c r="L64" s="2">
        <v>35377427</v>
      </c>
    </row>
    <row r="65" spans="11:13" x14ac:dyDescent="0.4">
      <c r="K65" s="2" t="str">
        <f>"2019-04"</f>
        <v>2019-04</v>
      </c>
      <c r="L65" s="2">
        <v>33159219</v>
      </c>
    </row>
    <row r="66" spans="11:13" x14ac:dyDescent="0.4">
      <c r="K66" s="2" t="str">
        <f>"2019-05"</f>
        <v>2019-05</v>
      </c>
      <c r="L66" s="2">
        <v>36856688</v>
      </c>
    </row>
    <row r="67" spans="11:13" x14ac:dyDescent="0.4">
      <c r="K67" s="2" t="str">
        <f>"2019-06"</f>
        <v>2019-06</v>
      </c>
      <c r="L67" s="2">
        <v>37642361</v>
      </c>
    </row>
    <row r="68" spans="11:13" x14ac:dyDescent="0.4">
      <c r="K68" s="2" t="str">
        <f>"2019-07"</f>
        <v>2019-07</v>
      </c>
      <c r="L68" s="2">
        <v>38957704</v>
      </c>
    </row>
    <row r="69" spans="11:13" x14ac:dyDescent="0.4">
      <c r="K69" s="2" t="str">
        <f>"2019-08"</f>
        <v>2019-08</v>
      </c>
      <c r="L69" s="2">
        <v>37141744</v>
      </c>
    </row>
    <row r="70" spans="11:13" x14ac:dyDescent="0.4">
      <c r="K70" s="2" t="str">
        <f>"2019-09"</f>
        <v>2019-09</v>
      </c>
      <c r="L70" s="2">
        <v>37641076</v>
      </c>
    </row>
    <row r="71" spans="11:13" x14ac:dyDescent="0.4">
      <c r="K71" s="2" t="str">
        <f>"2019-10"</f>
        <v>2019-10</v>
      </c>
      <c r="L71" s="2">
        <v>38014585</v>
      </c>
    </row>
    <row r="72" spans="11:13" x14ac:dyDescent="0.4">
      <c r="K72" s="2" t="str">
        <f>"2019-11"</f>
        <v>2019-11</v>
      </c>
      <c r="L72" s="2">
        <v>38015766</v>
      </c>
    </row>
    <row r="73" spans="11:13" x14ac:dyDescent="0.4">
      <c r="K73" s="2" t="str">
        <f>"2019-12"</f>
        <v>2019-12</v>
      </c>
      <c r="L73" s="2">
        <v>38520013</v>
      </c>
      <c r="M73" s="2">
        <f>SUM(L62:L73)</f>
        <v>435561207</v>
      </c>
    </row>
    <row r="74" spans="11:13" x14ac:dyDescent="0.4">
      <c r="K74" s="2" t="str">
        <f>"2020-01"</f>
        <v>2020-01</v>
      </c>
      <c r="L74" s="2">
        <v>35613453.93</v>
      </c>
    </row>
    <row r="75" spans="11:13" x14ac:dyDescent="0.4">
      <c r="K75" s="2" t="str">
        <f>"2020-02"</f>
        <v>2020-02</v>
      </c>
      <c r="L75" s="2">
        <v>20357301.469999999</v>
      </c>
    </row>
    <row r="76" spans="11:13" x14ac:dyDescent="0.4">
      <c r="K76" s="2" t="str">
        <f>"2020-03"</f>
        <v>2020-03</v>
      </c>
      <c r="L76" s="2">
        <v>34026820</v>
      </c>
    </row>
    <row r="77" spans="11:13" x14ac:dyDescent="0.4">
      <c r="K77" s="2" t="str">
        <f>"2020-04"</f>
        <v>2020-04</v>
      </c>
      <c r="L77" s="2">
        <v>36627657</v>
      </c>
    </row>
    <row r="78" spans="11:13" x14ac:dyDescent="0.4">
      <c r="K78" s="2" t="str">
        <f>"2020-05"</f>
        <v>2020-05</v>
      </c>
      <c r="L78" s="2">
        <v>36080845</v>
      </c>
    </row>
    <row r="79" spans="11:13" x14ac:dyDescent="0.4">
      <c r="K79" s="2" t="str">
        <f>"2020-06"</f>
        <v>2020-06</v>
      </c>
      <c r="L79" s="2">
        <v>37849861</v>
      </c>
    </row>
    <row r="80" spans="11:13" x14ac:dyDescent="0.4">
      <c r="K80" s="2" t="str">
        <f>"2020-07"</f>
        <v>2020-07</v>
      </c>
      <c r="L80" s="2">
        <v>40471548</v>
      </c>
    </row>
    <row r="81" spans="11:13" x14ac:dyDescent="0.4">
      <c r="K81" s="2" t="str">
        <f>"2020-08"</f>
        <v>2020-08</v>
      </c>
      <c r="L81" s="2">
        <v>40433561.240000002</v>
      </c>
    </row>
    <row r="82" spans="11:13" x14ac:dyDescent="0.4">
      <c r="K82" s="2" t="str">
        <f>"2020-09"</f>
        <v>2020-09</v>
      </c>
      <c r="L82" s="2">
        <v>40982248</v>
      </c>
    </row>
    <row r="83" spans="11:13" x14ac:dyDescent="0.4">
      <c r="K83" s="2" t="str">
        <f>"2020-10"</f>
        <v>2020-10</v>
      </c>
      <c r="L83" s="2">
        <v>39490944</v>
      </c>
    </row>
    <row r="84" spans="11:13" x14ac:dyDescent="0.4">
      <c r="K84" s="2" t="str">
        <f>"2020-11"</f>
        <v>2020-11</v>
      </c>
      <c r="L84" s="2">
        <v>40871551</v>
      </c>
    </row>
    <row r="85" spans="11:13" x14ac:dyDescent="0.4">
      <c r="K85" s="2" t="str">
        <f>"2020-12"</f>
        <v>2020-12</v>
      </c>
      <c r="L85" s="2">
        <v>43260629</v>
      </c>
      <c r="M85" s="2">
        <f>SUM(L74:L85)</f>
        <v>446066419.63999999</v>
      </c>
    </row>
    <row r="86" spans="11:13" x14ac:dyDescent="0.4">
      <c r="K86" s="2" t="str">
        <f>"2021-01"</f>
        <v>2021-01</v>
      </c>
      <c r="L86" s="2">
        <v>39802004</v>
      </c>
    </row>
    <row r="87" spans="11:13" x14ac:dyDescent="0.4">
      <c r="K87" s="2" t="str">
        <f>"2021-02"</f>
        <v>2021-02</v>
      </c>
      <c r="L87" s="2">
        <v>33020863</v>
      </c>
    </row>
    <row r="88" spans="11:13" x14ac:dyDescent="0.4">
      <c r="K88" s="2" t="str">
        <f>"2021-03"</f>
        <v>2021-03</v>
      </c>
      <c r="L88" s="2">
        <v>40162688</v>
      </c>
    </row>
    <row r="89" spans="11:13" x14ac:dyDescent="0.4">
      <c r="K89" s="2" t="str">
        <f>"2021-04"</f>
        <v>2021-04</v>
      </c>
      <c r="L89" s="2">
        <v>41787676</v>
      </c>
    </row>
    <row r="90" spans="11:13" x14ac:dyDescent="0.4">
      <c r="K90" s="2" t="str">
        <f>"2021-05"</f>
        <v>2021-05</v>
      </c>
      <c r="L90" s="2">
        <v>41328782.609999999</v>
      </c>
    </row>
    <row r="91" spans="11:13" x14ac:dyDescent="0.4">
      <c r="K91" s="2" t="str">
        <f>"2021-06"</f>
        <v>2021-06</v>
      </c>
      <c r="L91" s="2">
        <v>43639291.210000001</v>
      </c>
    </row>
    <row r="92" spans="11:13" x14ac:dyDescent="0.4">
      <c r="K92" s="2" t="str">
        <f>"2021-07"</f>
        <v>2021-07</v>
      </c>
      <c r="L92" s="2">
        <v>42356379</v>
      </c>
    </row>
    <row r="93" spans="11:13" x14ac:dyDescent="0.4">
      <c r="K93" s="2" t="str">
        <f>"2021-08"</f>
        <v>2021-08</v>
      </c>
      <c r="L93" s="2">
        <v>46480317</v>
      </c>
    </row>
    <row r="94" spans="11:13" x14ac:dyDescent="0.4">
      <c r="K94" s="2" t="str">
        <f>"2021-09"</f>
        <v>2021-09</v>
      </c>
      <c r="L94" s="2">
        <v>45978678.25</v>
      </c>
    </row>
    <row r="95" spans="11:13" x14ac:dyDescent="0.4">
      <c r="K95" s="2" t="str">
        <f>"2021-10"</f>
        <v>2021-10</v>
      </c>
      <c r="L95" s="2">
        <v>46295949.5</v>
      </c>
    </row>
    <row r="96" spans="11:13" x14ac:dyDescent="0.4">
      <c r="K96" s="2" t="str">
        <f>"2021-11"</f>
        <v>2021-11</v>
      </c>
      <c r="L96" s="2">
        <v>50264142</v>
      </c>
    </row>
    <row r="97" spans="11:13" x14ac:dyDescent="0.4">
      <c r="K97" s="2" t="str">
        <f>"2021-12"</f>
        <v>2021-12</v>
      </c>
      <c r="L97" s="2">
        <v>51240049.700000003</v>
      </c>
      <c r="M97" s="2">
        <f>SUM(L86:L97)</f>
        <v>522356820.27000004</v>
      </c>
    </row>
    <row r="98" spans="11:13" x14ac:dyDescent="0.4">
      <c r="K98" s="2" t="str">
        <f>"2022-01"</f>
        <v>2022-01</v>
      </c>
      <c r="L98" s="2">
        <v>47932350.939999998</v>
      </c>
    </row>
    <row r="99" spans="11:13" x14ac:dyDescent="0.4">
      <c r="K99" s="2" t="str">
        <f>"2022-02"</f>
        <v>2022-02</v>
      </c>
      <c r="L99" s="2">
        <v>36044711.659999996</v>
      </c>
    </row>
    <row r="100" spans="11:13" x14ac:dyDescent="0.4">
      <c r="K100" s="2" t="str">
        <f>"2022-03"</f>
        <v>2022-03</v>
      </c>
      <c r="L100" s="2">
        <v>44871048.939999998</v>
      </c>
    </row>
    <row r="101" spans="11:13" x14ac:dyDescent="0.4">
      <c r="K101" s="2" t="str">
        <f>"2022-04"</f>
        <v>2022-04</v>
      </c>
      <c r="L101" s="2">
        <v>37038552</v>
      </c>
    </row>
    <row r="102" spans="11:13" x14ac:dyDescent="0.4">
      <c r="K102" s="2" t="str">
        <f>"2022-05"</f>
        <v>2022-05</v>
      </c>
      <c r="L102" s="2">
        <v>46883698.409999996</v>
      </c>
    </row>
    <row r="103" spans="11:13" x14ac:dyDescent="0.4">
      <c r="K103" s="2" t="str">
        <f>"2022-06"</f>
        <v>2022-06</v>
      </c>
      <c r="L103" s="2">
        <v>51112543</v>
      </c>
    </row>
    <row r="104" spans="11:13" x14ac:dyDescent="0.4">
      <c r="K104" s="2" t="str">
        <f>"2022-07"</f>
        <v>2022-07</v>
      </c>
      <c r="L104" s="2">
        <v>51694412.289999999</v>
      </c>
    </row>
    <row r="105" spans="11:13" x14ac:dyDescent="0.4">
      <c r="K105" s="2" t="str">
        <f>"2022-08"</f>
        <v>2022-08</v>
      </c>
      <c r="L105" s="2">
        <v>48944763</v>
      </c>
    </row>
    <row r="106" spans="11:13" x14ac:dyDescent="0.4">
      <c r="K106" s="2" t="str">
        <f>"2022-09"</f>
        <v>2022-09</v>
      </c>
      <c r="L106" s="2">
        <v>47713809.369999997</v>
      </c>
    </row>
    <row r="107" spans="11:13" x14ac:dyDescent="0.4">
      <c r="K107" s="2" t="str">
        <f>"2022-10"</f>
        <v>2022-10</v>
      </c>
      <c r="L107" s="2">
        <v>43784669.299999997</v>
      </c>
    </row>
    <row r="108" spans="11:13" x14ac:dyDescent="0.4">
      <c r="K108" s="2" t="str">
        <f>"2022-11"</f>
        <v>2022-11</v>
      </c>
      <c r="L108" s="2">
        <v>45387667.759999998</v>
      </c>
    </row>
    <row r="109" spans="11:13" x14ac:dyDescent="0.4">
      <c r="K109" s="2" t="str">
        <f>"2022-12"</f>
        <v>2022-12</v>
      </c>
      <c r="L109" s="2">
        <v>45050556.130000003</v>
      </c>
      <c r="M109" s="2">
        <f>SUM(L98:L109)</f>
        <v>546458782.80000007</v>
      </c>
    </row>
    <row r="110" spans="11:13" x14ac:dyDescent="0.4">
      <c r="K110" s="2" t="str">
        <f>"2023-01"</f>
        <v>2023-01</v>
      </c>
      <c r="L110" s="2">
        <v>40748504</v>
      </c>
    </row>
    <row r="111" spans="11:13" x14ac:dyDescent="0.4">
      <c r="K111" s="2" t="str">
        <f>"2023-02"</f>
        <v>2023-02</v>
      </c>
      <c r="L111" s="2">
        <v>34709110.020000003</v>
      </c>
    </row>
    <row r="112" spans="11:13" x14ac:dyDescent="0.4">
      <c r="K112" s="2" t="str">
        <f>"2023-03"</f>
        <v>2023-03</v>
      </c>
      <c r="L112" s="2">
        <v>44425822.079999998</v>
      </c>
    </row>
    <row r="113" spans="11:13" x14ac:dyDescent="0.4">
      <c r="K113" s="2" t="str">
        <f>"2023-04"</f>
        <v>2023-04</v>
      </c>
      <c r="L113" s="2">
        <v>42147888.630000003</v>
      </c>
    </row>
    <row r="114" spans="11:13" x14ac:dyDescent="0.4">
      <c r="K114" s="2" t="str">
        <f>"2023-05"</f>
        <v>2023-05</v>
      </c>
      <c r="L114" s="2">
        <v>43020341.700000003</v>
      </c>
    </row>
    <row r="115" spans="11:13" x14ac:dyDescent="0.4">
      <c r="K115" s="2" t="str">
        <f>"2023-06"</f>
        <v>2023-06</v>
      </c>
      <c r="L115" s="2">
        <v>44112760.460000001</v>
      </c>
    </row>
    <row r="116" spans="11:13" x14ac:dyDescent="0.4">
      <c r="K116" s="2" t="str">
        <f>"2023-07"</f>
        <v>2023-07</v>
      </c>
      <c r="L116" s="2">
        <v>44266489.420000002</v>
      </c>
    </row>
    <row r="117" spans="11:13" x14ac:dyDescent="0.4">
      <c r="K117" s="2" t="str">
        <f>"2023-08"</f>
        <v>2023-08</v>
      </c>
      <c r="L117" s="2">
        <v>44562034.939999998</v>
      </c>
    </row>
    <row r="118" spans="11:13" x14ac:dyDescent="0.4">
      <c r="K118" s="2" t="str">
        <f>"2023-09"</f>
        <v>2023-09</v>
      </c>
      <c r="L118" s="2">
        <v>46813163.640000001</v>
      </c>
    </row>
    <row r="119" spans="11:13" x14ac:dyDescent="0.4">
      <c r="K119" s="2" t="str">
        <f>"2023-10"</f>
        <v>2023-10</v>
      </c>
      <c r="L119" s="2">
        <v>45878344.780000001</v>
      </c>
    </row>
    <row r="120" spans="11:13" x14ac:dyDescent="0.4">
      <c r="K120" s="2" t="str">
        <f>"2023-11"</f>
        <v>2023-11</v>
      </c>
      <c r="L120" s="2">
        <v>48253484.039999999</v>
      </c>
    </row>
    <row r="121" spans="11:13" x14ac:dyDescent="0.4">
      <c r="K121" s="2" t="str">
        <f>"2023-12"</f>
        <v>2023-12</v>
      </c>
      <c r="L121" s="2">
        <v>48143323.670000002</v>
      </c>
      <c r="M121" s="2">
        <f>SUM(L110:L121)</f>
        <v>527081267.38</v>
      </c>
    </row>
    <row r="122" spans="11:13" x14ac:dyDescent="0.4">
      <c r="K122" s="2" t="str">
        <f>"2024-01"</f>
        <v>2024-01</v>
      </c>
      <c r="L122" s="2">
        <v>47647415.359999999</v>
      </c>
    </row>
    <row r="123" spans="11:13" x14ac:dyDescent="0.4">
      <c r="K123" s="2" t="str">
        <f>"2024-02"</f>
        <v>2024-02</v>
      </c>
      <c r="L123" s="2">
        <v>37396353.270000003</v>
      </c>
    </row>
    <row r="124" spans="11:13" x14ac:dyDescent="0.4">
      <c r="K124" s="2" t="str">
        <f>"2024-03"</f>
        <v>2024-03</v>
      </c>
      <c r="L124" s="2">
        <v>44662307.909999996</v>
      </c>
    </row>
    <row r="125" spans="11:13" x14ac:dyDescent="0.4">
      <c r="K125" s="2" t="str">
        <f>"2024-04"</f>
        <v>2024-04</v>
      </c>
      <c r="L125" s="2">
        <v>45877305.609999999</v>
      </c>
    </row>
    <row r="126" spans="11:13" x14ac:dyDescent="0.4">
      <c r="K126" s="2" t="str">
        <f>"2024-05"</f>
        <v>2024-05</v>
      </c>
      <c r="L126" s="2">
        <v>46798252.509999998</v>
      </c>
    </row>
    <row r="127" spans="11:13" x14ac:dyDescent="0.4">
      <c r="K127" s="2" t="str">
        <f>"2024-06"</f>
        <v>2024-06</v>
      </c>
      <c r="L127" s="2">
        <v>46247484.030000001</v>
      </c>
    </row>
    <row r="128" spans="11:13" x14ac:dyDescent="0.4">
      <c r="K128" s="2" t="str">
        <f>"2024-07"</f>
        <v>2024-07</v>
      </c>
      <c r="L128" s="2">
        <v>46862887.18</v>
      </c>
    </row>
    <row r="129" spans="11:13" x14ac:dyDescent="0.4">
      <c r="K129" s="2" t="str">
        <f>"2024-08"</f>
        <v>2024-08</v>
      </c>
      <c r="L129" s="2">
        <v>49446441.950000003</v>
      </c>
    </row>
    <row r="130" spans="11:13" x14ac:dyDescent="0.4">
      <c r="K130" s="2" t="str">
        <f>"2024-09"</f>
        <v>2024-09</v>
      </c>
      <c r="L130" s="2">
        <v>47818251.689999998</v>
      </c>
    </row>
    <row r="131" spans="11:13" x14ac:dyDescent="0.4">
      <c r="K131" s="2" t="str">
        <f>"2024-10"</f>
        <v>2024-10</v>
      </c>
      <c r="L131" s="2">
        <v>48984919.259999998</v>
      </c>
    </row>
    <row r="132" spans="11:13" x14ac:dyDescent="0.4">
      <c r="K132" s="2" t="str">
        <f>"2024-11"</f>
        <v>2024-11</v>
      </c>
      <c r="L132" s="2">
        <v>48327155.799999997</v>
      </c>
    </row>
    <row r="133" spans="11:13" x14ac:dyDescent="0.4">
      <c r="K133" s="2" t="str">
        <f>"2024-12"</f>
        <v>2024-12</v>
      </c>
      <c r="L133" s="2">
        <v>52571468.68</v>
      </c>
      <c r="M133" s="2">
        <f>SUM(L122:L133)</f>
        <v>562640243.24999988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workbookViewId="0">
      <selection activeCell="N18" sqref="N18"/>
    </sheetView>
  </sheetViews>
  <sheetFormatPr defaultRowHeight="15" x14ac:dyDescent="0.4"/>
  <cols>
    <col min="1" max="3" width="9.1328125" style="3" bestFit="1" customWidth="1"/>
    <col min="4" max="7" width="9.06640625" style="3"/>
    <col min="8" max="8" width="9.1328125" style="3" bestFit="1" customWidth="1"/>
    <col min="9" max="9" width="9.19921875" style="2" bestFit="1" customWidth="1"/>
    <col min="10" max="11" width="9.06640625" style="3"/>
    <col min="12" max="12" width="11.46484375" style="3" bestFit="1" customWidth="1"/>
    <col min="13" max="13" width="11.46484375" style="2" bestFit="1" customWidth="1"/>
    <col min="14" max="16384" width="9.06640625" style="3"/>
  </cols>
  <sheetData>
    <row r="1" spans="1:13" x14ac:dyDescent="0.4">
      <c r="B1" s="3" t="s">
        <v>44</v>
      </c>
      <c r="C1" s="3" t="s">
        <v>47</v>
      </c>
      <c r="H1" s="3" t="s">
        <v>45</v>
      </c>
      <c r="L1" s="3" t="s">
        <v>46</v>
      </c>
    </row>
    <row r="2" spans="1:13" x14ac:dyDescent="0.4">
      <c r="A2" s="3">
        <v>2014</v>
      </c>
      <c r="B2" s="3">
        <v>1173.74</v>
      </c>
      <c r="C2" s="3">
        <v>3677</v>
      </c>
      <c r="G2" s="3" t="s">
        <v>0</v>
      </c>
      <c r="H2" s="3">
        <v>1421.15</v>
      </c>
      <c r="K2" s="3" t="str">
        <f>"2014-01"</f>
        <v>2014-01</v>
      </c>
      <c r="L2" s="3">
        <v>229367</v>
      </c>
    </row>
    <row r="3" spans="1:13" x14ac:dyDescent="0.4">
      <c r="A3" s="3">
        <v>2015</v>
      </c>
      <c r="B3" s="3">
        <v>1174.21</v>
      </c>
      <c r="C3" s="3">
        <v>3708</v>
      </c>
      <c r="G3" s="3" t="s">
        <v>1</v>
      </c>
      <c r="H3" s="3">
        <v>2359.16</v>
      </c>
      <c r="K3" s="3" t="str">
        <f>"2014-02"</f>
        <v>2014-02</v>
      </c>
      <c r="L3" s="3">
        <v>217272</v>
      </c>
    </row>
    <row r="4" spans="1:13" x14ac:dyDescent="0.4">
      <c r="A4" s="3">
        <v>2016</v>
      </c>
      <c r="B4" s="3">
        <v>1241.78</v>
      </c>
      <c r="C4" s="3">
        <v>3758</v>
      </c>
      <c r="G4" s="3" t="s">
        <v>2</v>
      </c>
      <c r="H4" s="3">
        <v>2389.2199999999998</v>
      </c>
      <c r="K4" s="3" t="str">
        <f>"2014-03"</f>
        <v>2014-03</v>
      </c>
      <c r="L4" s="3">
        <v>391338</v>
      </c>
    </row>
    <row r="5" spans="1:13" x14ac:dyDescent="0.4">
      <c r="A5" s="3">
        <v>2017</v>
      </c>
      <c r="B5" s="3">
        <v>1384.89</v>
      </c>
      <c r="C5" s="3">
        <v>3803</v>
      </c>
      <c r="G5" s="3" t="s">
        <v>3</v>
      </c>
      <c r="H5" s="3">
        <v>3081.4800000000005</v>
      </c>
      <c r="I5" s="2">
        <f>SUM(H2:H5)</f>
        <v>9251.01</v>
      </c>
      <c r="K5" s="3" t="str">
        <f>"2014-04"</f>
        <v>2014-04</v>
      </c>
      <c r="L5" s="3">
        <v>414485</v>
      </c>
    </row>
    <row r="6" spans="1:13" x14ac:dyDescent="0.4">
      <c r="A6" s="3">
        <v>2018</v>
      </c>
      <c r="B6" s="3">
        <v>1482.12</v>
      </c>
      <c r="C6" s="3">
        <v>3822</v>
      </c>
      <c r="G6" s="3" t="s">
        <v>4</v>
      </c>
      <c r="H6" s="3">
        <v>1659.39</v>
      </c>
      <c r="K6" s="3" t="str">
        <f>"2014-05"</f>
        <v>2014-05</v>
      </c>
      <c r="L6" s="3">
        <v>348148</v>
      </c>
    </row>
    <row r="7" spans="1:13" x14ac:dyDescent="0.4">
      <c r="A7" s="3">
        <v>2019</v>
      </c>
      <c r="B7" s="3">
        <v>1540.68</v>
      </c>
      <c r="C7" s="3">
        <v>3848</v>
      </c>
      <c r="G7" s="3" t="s">
        <v>5</v>
      </c>
      <c r="H7" s="3">
        <v>2691.6799999999994</v>
      </c>
      <c r="K7" s="3" t="str">
        <f>"2014-06"</f>
        <v>2014-06</v>
      </c>
      <c r="L7" s="3">
        <v>731584</v>
      </c>
    </row>
    <row r="8" spans="1:13" x14ac:dyDescent="0.4">
      <c r="A8" s="3">
        <v>2020</v>
      </c>
      <c r="B8" s="3">
        <v>1586</v>
      </c>
      <c r="C8" s="3">
        <v>3858</v>
      </c>
      <c r="G8" s="3" t="s">
        <v>6</v>
      </c>
      <c r="H8" s="3">
        <v>2844.51</v>
      </c>
      <c r="K8" s="3" t="str">
        <f>"2014-07"</f>
        <v>2014-07</v>
      </c>
      <c r="L8" s="3">
        <v>472970</v>
      </c>
    </row>
    <row r="9" spans="1:13" x14ac:dyDescent="0.4">
      <c r="A9" s="3">
        <v>2021</v>
      </c>
      <c r="B9" s="3">
        <v>1743</v>
      </c>
      <c r="C9" s="3">
        <v>3852</v>
      </c>
      <c r="G9" s="3" t="s">
        <v>7</v>
      </c>
      <c r="H9" s="3">
        <v>3306.9799999999996</v>
      </c>
      <c r="I9" s="2">
        <f>SUM(H6:H9)</f>
        <v>10502.56</v>
      </c>
      <c r="K9" s="3" t="str">
        <f>"2014-08"</f>
        <v>2014-08</v>
      </c>
      <c r="L9" s="3">
        <v>460643</v>
      </c>
    </row>
    <row r="10" spans="1:13" x14ac:dyDescent="0.4">
      <c r="A10" s="3">
        <v>2022</v>
      </c>
      <c r="B10" s="3">
        <v>1743</v>
      </c>
      <c r="C10" s="3">
        <v>3856</v>
      </c>
      <c r="G10" s="3" t="s">
        <v>8</v>
      </c>
      <c r="H10" s="3">
        <v>2102.9699999999998</v>
      </c>
      <c r="K10" s="3" t="str">
        <f>"2014-09"</f>
        <v>2014-09</v>
      </c>
      <c r="L10" s="3">
        <v>1290782</v>
      </c>
    </row>
    <row r="11" spans="1:13" x14ac:dyDescent="0.4">
      <c r="A11" s="3">
        <v>2023</v>
      </c>
      <c r="B11" s="3">
        <v>1783</v>
      </c>
      <c r="C11" s="3">
        <v>3865</v>
      </c>
      <c r="G11" s="3" t="s">
        <v>9</v>
      </c>
      <c r="H11" s="3">
        <v>2833.64</v>
      </c>
      <c r="K11" s="3" t="str">
        <f>"2014-10"</f>
        <v>2014-10</v>
      </c>
      <c r="L11" s="3">
        <v>1260867</v>
      </c>
    </row>
    <row r="12" spans="1:13" x14ac:dyDescent="0.4">
      <c r="A12" s="3">
        <v>2024</v>
      </c>
      <c r="B12" s="3">
        <v>1902</v>
      </c>
      <c r="C12" s="3">
        <v>3860</v>
      </c>
      <c r="G12" s="3" t="s">
        <v>10</v>
      </c>
      <c r="H12" s="3">
        <v>3198.7700000000004</v>
      </c>
      <c r="K12" s="3" t="str">
        <f>"2014-11"</f>
        <v>2014-11</v>
      </c>
      <c r="L12" s="3">
        <v>585463</v>
      </c>
    </row>
    <row r="13" spans="1:13" x14ac:dyDescent="0.4">
      <c r="G13" s="3" t="s">
        <v>11</v>
      </c>
      <c r="H13" s="3">
        <v>3599.05</v>
      </c>
      <c r="I13" s="2">
        <f>SUM(H10:H13)</f>
        <v>11734.43</v>
      </c>
      <c r="K13" s="3" t="str">
        <f>"2014-12"</f>
        <v>2014-12</v>
      </c>
      <c r="L13" s="3">
        <v>249135</v>
      </c>
      <c r="M13" s="2">
        <f>SUM(L2:L13)</f>
        <v>6652054</v>
      </c>
    </row>
    <row r="14" spans="1:13" x14ac:dyDescent="0.4">
      <c r="G14" s="3" t="s">
        <v>12</v>
      </c>
      <c r="H14" s="3">
        <v>2504.83</v>
      </c>
      <c r="K14" s="3" t="str">
        <f>"2015-01"</f>
        <v>2015-01</v>
      </c>
      <c r="L14" s="3">
        <v>266517</v>
      </c>
    </row>
    <row r="15" spans="1:13" x14ac:dyDescent="0.4">
      <c r="G15" s="3" t="s">
        <v>13</v>
      </c>
      <c r="H15" s="3">
        <v>3227.5200000000004</v>
      </c>
      <c r="K15" s="3" t="str">
        <f>"2015-02"</f>
        <v>2015-02</v>
      </c>
      <c r="L15" s="3">
        <v>183920</v>
      </c>
    </row>
    <row r="16" spans="1:13" x14ac:dyDescent="0.4">
      <c r="G16" s="3" t="s">
        <v>14</v>
      </c>
      <c r="H16" s="3">
        <v>3767.1800000000003</v>
      </c>
      <c r="K16" s="3" t="str">
        <f>"2015-03"</f>
        <v>2015-03</v>
      </c>
      <c r="L16" s="3">
        <v>261900</v>
      </c>
    </row>
    <row r="17" spans="7:13" x14ac:dyDescent="0.4">
      <c r="G17" s="3" t="s">
        <v>15</v>
      </c>
      <c r="H17" s="3">
        <v>4041.2999999999993</v>
      </c>
      <c r="I17" s="2">
        <f>SUM(H14:H17)</f>
        <v>13540.83</v>
      </c>
      <c r="K17" s="3" t="str">
        <f>"2015-04"</f>
        <v>2015-04</v>
      </c>
      <c r="L17" s="3">
        <v>249084</v>
      </c>
    </row>
    <row r="18" spans="7:13" x14ac:dyDescent="0.4">
      <c r="G18" s="3" t="s">
        <v>16</v>
      </c>
      <c r="H18" s="3">
        <v>3330.22</v>
      </c>
      <c r="K18" s="3" t="str">
        <f>"2015-05"</f>
        <v>2015-05</v>
      </c>
      <c r="L18" s="3">
        <v>1065442</v>
      </c>
    </row>
    <row r="19" spans="7:13" x14ac:dyDescent="0.4">
      <c r="G19" s="3" t="s">
        <v>17</v>
      </c>
      <c r="H19" s="3">
        <v>3717.73</v>
      </c>
      <c r="K19" s="3" t="str">
        <f>"2015-06"</f>
        <v>2015-06</v>
      </c>
      <c r="L19" s="3">
        <v>1695851</v>
      </c>
    </row>
    <row r="20" spans="7:13" x14ac:dyDescent="0.4">
      <c r="G20" s="3" t="s">
        <v>18</v>
      </c>
      <c r="H20" s="3">
        <v>3850.96</v>
      </c>
      <c r="K20" s="3" t="str">
        <f>"2015-07"</f>
        <v>2015-07</v>
      </c>
      <c r="L20" s="3">
        <v>287721</v>
      </c>
    </row>
    <row r="21" spans="7:13" x14ac:dyDescent="0.4">
      <c r="G21" s="3" t="s">
        <v>19</v>
      </c>
      <c r="H21" s="3">
        <v>4454.2999999999993</v>
      </c>
      <c r="I21" s="2">
        <f>SUM(H18:H21)</f>
        <v>15353.21</v>
      </c>
      <c r="K21" s="3" t="str">
        <f>"2015-08"</f>
        <v>2015-08</v>
      </c>
      <c r="L21" s="3">
        <v>361753</v>
      </c>
    </row>
    <row r="22" spans="7:13" x14ac:dyDescent="0.4">
      <c r="G22" s="3" t="s">
        <v>20</v>
      </c>
      <c r="H22" s="3">
        <v>3690.48</v>
      </c>
      <c r="K22" s="3" t="str">
        <f>"2015-09"</f>
        <v>2015-09</v>
      </c>
      <c r="L22" s="3">
        <v>601114</v>
      </c>
    </row>
    <row r="23" spans="7:13" x14ac:dyDescent="0.4">
      <c r="G23" s="3" t="s">
        <v>21</v>
      </c>
      <c r="H23" s="3">
        <v>4105.3099999999995</v>
      </c>
      <c r="K23" s="3" t="str">
        <f>"2015-10"</f>
        <v>2015-10</v>
      </c>
      <c r="L23" s="3">
        <v>1100891</v>
      </c>
    </row>
    <row r="24" spans="7:13" x14ac:dyDescent="0.4">
      <c r="G24" s="3" t="s">
        <v>22</v>
      </c>
      <c r="H24" s="3">
        <v>4268.3599999999997</v>
      </c>
      <c r="K24" s="3" t="str">
        <f>"2015-11"</f>
        <v>2015-11</v>
      </c>
      <c r="L24" s="3">
        <v>853166</v>
      </c>
    </row>
    <row r="25" spans="7:13" x14ac:dyDescent="0.4">
      <c r="G25" s="3" t="s">
        <v>23</v>
      </c>
      <c r="H25" s="3">
        <v>4705.1900000000005</v>
      </c>
      <c r="I25" s="2">
        <f>SUM(H22:H25)</f>
        <v>16769.339999999997</v>
      </c>
      <c r="K25" s="3" t="str">
        <f>"2015-12"</f>
        <v>2015-12</v>
      </c>
      <c r="L25" s="3">
        <v>991873</v>
      </c>
      <c r="M25" s="2">
        <f>SUM(L14:L25)</f>
        <v>7919232</v>
      </c>
    </row>
    <row r="26" spans="7:13" x14ac:dyDescent="0.4">
      <c r="G26" s="3" t="s">
        <v>24</v>
      </c>
      <c r="H26" s="3">
        <v>3708.04</v>
      </c>
      <c r="K26" s="3" t="str">
        <f>"2016-01"</f>
        <v>2016-01</v>
      </c>
      <c r="L26" s="3">
        <v>655704.57999999996</v>
      </c>
    </row>
    <row r="27" spans="7:13" x14ac:dyDescent="0.4">
      <c r="G27" s="3" t="s">
        <v>25</v>
      </c>
      <c r="H27" s="3">
        <v>4271.33</v>
      </c>
      <c r="K27" s="3" t="str">
        <f>"2016-02"</f>
        <v>2016-02</v>
      </c>
      <c r="L27" s="3">
        <v>471200.73</v>
      </c>
    </row>
    <row r="28" spans="7:13" x14ac:dyDescent="0.4">
      <c r="G28" s="3" t="s">
        <v>26</v>
      </c>
      <c r="H28" s="3">
        <v>4647.5700000000006</v>
      </c>
      <c r="K28" s="3" t="str">
        <f>"2016-03"</f>
        <v>2016-03</v>
      </c>
      <c r="L28" s="3">
        <v>339947.1</v>
      </c>
    </row>
    <row r="29" spans="7:13" x14ac:dyDescent="0.4">
      <c r="G29" s="3" t="s">
        <v>27</v>
      </c>
      <c r="H29" s="3">
        <v>5233.4699999999993</v>
      </c>
      <c r="I29" s="2">
        <f>SUM(H26:H29)</f>
        <v>17860.41</v>
      </c>
      <c r="K29" s="3" t="str">
        <f>"2016-04"</f>
        <v>2016-04</v>
      </c>
      <c r="L29" s="3">
        <v>514090.91</v>
      </c>
    </row>
    <row r="30" spans="7:13" x14ac:dyDescent="0.4">
      <c r="G30" s="3" t="s">
        <v>28</v>
      </c>
      <c r="H30" s="3">
        <v>4297</v>
      </c>
      <c r="K30" s="3" t="str">
        <f>"2016-05"</f>
        <v>2016-05</v>
      </c>
      <c r="L30" s="3">
        <v>380715.87</v>
      </c>
    </row>
    <row r="31" spans="7:13" x14ac:dyDescent="0.4">
      <c r="G31" s="3" t="s">
        <v>29</v>
      </c>
      <c r="H31" s="3">
        <v>4659</v>
      </c>
      <c r="K31" s="3" t="str">
        <f>"2016-06"</f>
        <v>2016-06</v>
      </c>
      <c r="L31" s="3">
        <v>341728.71</v>
      </c>
    </row>
    <row r="32" spans="7:13" x14ac:dyDescent="0.4">
      <c r="G32" s="3" t="s">
        <v>30</v>
      </c>
      <c r="H32" s="3">
        <v>4870</v>
      </c>
      <c r="K32" s="3" t="str">
        <f>"2016-07"</f>
        <v>2016-07</v>
      </c>
      <c r="L32" s="3">
        <v>353222.06</v>
      </c>
    </row>
    <row r="33" spans="7:13" x14ac:dyDescent="0.4">
      <c r="G33" s="3" t="s">
        <v>31</v>
      </c>
      <c r="H33" s="3">
        <v>5633</v>
      </c>
      <c r="I33" s="2">
        <f>SUM(H30:H33)</f>
        <v>19459</v>
      </c>
      <c r="K33" s="3" t="str">
        <f>"2016-08"</f>
        <v>2016-08</v>
      </c>
      <c r="L33" s="3">
        <v>345031.79</v>
      </c>
    </row>
    <row r="34" spans="7:13" x14ac:dyDescent="0.4">
      <c r="G34" s="3" t="s">
        <v>32</v>
      </c>
      <c r="H34" s="3">
        <v>4795</v>
      </c>
      <c r="K34" s="3" t="str">
        <f>"2016-09"</f>
        <v>2016-09</v>
      </c>
      <c r="L34" s="3">
        <v>354865.3</v>
      </c>
    </row>
    <row r="35" spans="7:13" x14ac:dyDescent="0.4">
      <c r="G35" s="3" t="s">
        <v>33</v>
      </c>
      <c r="H35" s="3">
        <v>4970</v>
      </c>
      <c r="K35" s="3" t="str">
        <f>"2016-10"</f>
        <v>2016-10</v>
      </c>
      <c r="L35" s="3">
        <v>320534.09999999998</v>
      </c>
    </row>
    <row r="36" spans="7:13" x14ac:dyDescent="0.4">
      <c r="G36" s="3" t="s">
        <v>34</v>
      </c>
      <c r="H36" s="3">
        <v>4908</v>
      </c>
      <c r="K36" s="3" t="str">
        <f>"2016-11"</f>
        <v>2016-11</v>
      </c>
      <c r="L36" s="3">
        <v>376449.05</v>
      </c>
    </row>
    <row r="37" spans="7:13" x14ac:dyDescent="0.4">
      <c r="G37" s="3" t="s">
        <v>35</v>
      </c>
      <c r="H37" s="3">
        <v>5337.4000000000015</v>
      </c>
      <c r="I37" s="2">
        <f>SUM(H34:H37)</f>
        <v>20010.400000000001</v>
      </c>
      <c r="K37" s="3" t="str">
        <f>"2016-12"</f>
        <v>2016-12</v>
      </c>
      <c r="L37" s="3">
        <v>376820</v>
      </c>
      <c r="M37" s="2">
        <f>SUM(L26:L37)</f>
        <v>4830310.2</v>
      </c>
    </row>
    <row r="38" spans="7:13" x14ac:dyDescent="0.4">
      <c r="G38" s="3" t="s">
        <v>36</v>
      </c>
      <c r="H38" s="3">
        <v>4922</v>
      </c>
      <c r="K38" s="3" t="str">
        <f>"2017-01"</f>
        <v>2017-01</v>
      </c>
      <c r="L38" s="3">
        <v>317152.33</v>
      </c>
    </row>
    <row r="39" spans="7:13" x14ac:dyDescent="0.4">
      <c r="G39" s="3" t="s">
        <v>37</v>
      </c>
      <c r="H39" s="3">
        <v>5258</v>
      </c>
      <c r="K39" s="3" t="str">
        <f>"2017-02"</f>
        <v>2017-02</v>
      </c>
      <c r="L39" s="3">
        <v>210315.39</v>
      </c>
    </row>
    <row r="40" spans="7:13" x14ac:dyDescent="0.4">
      <c r="G40" s="3" t="s">
        <v>38</v>
      </c>
      <c r="H40" s="3">
        <v>5112</v>
      </c>
      <c r="K40" s="3" t="str">
        <f>"2017-03"</f>
        <v>2017-03</v>
      </c>
      <c r="L40" s="3">
        <v>298676.06</v>
      </c>
    </row>
    <row r="41" spans="7:13" x14ac:dyDescent="0.4">
      <c r="G41" s="3" t="s">
        <v>39</v>
      </c>
      <c r="H41" s="3">
        <v>5621.25</v>
      </c>
      <c r="I41" s="2">
        <f>SUM(H38:H41)</f>
        <v>20913.25</v>
      </c>
      <c r="K41" s="3" t="str">
        <f>"2017-04"</f>
        <v>2017-04</v>
      </c>
      <c r="L41" s="3">
        <v>345282.94</v>
      </c>
    </row>
    <row r="42" spans="7:13" x14ac:dyDescent="0.4">
      <c r="G42" s="3" t="s">
        <v>40</v>
      </c>
      <c r="H42" s="3">
        <v>5360</v>
      </c>
      <c r="K42" s="3" t="str">
        <f>"2017-05"</f>
        <v>2017-05</v>
      </c>
      <c r="L42" s="3">
        <v>433379.58</v>
      </c>
    </row>
    <row r="43" spans="7:13" x14ac:dyDescent="0.4">
      <c r="G43" s="3" t="s">
        <v>41</v>
      </c>
      <c r="H43" s="3">
        <v>5716</v>
      </c>
      <c r="K43" s="3" t="str">
        <f>"2017-06"</f>
        <v>2017-06</v>
      </c>
      <c r="L43" s="3">
        <v>515887.61</v>
      </c>
    </row>
    <row r="44" spans="7:13" x14ac:dyDescent="0.4">
      <c r="G44" s="3" t="s">
        <v>42</v>
      </c>
      <c r="H44" s="3">
        <v>5595</v>
      </c>
      <c r="K44" s="3" t="str">
        <f>"2017-07"</f>
        <v>2017-07</v>
      </c>
      <c r="L44" s="3">
        <v>473368.15</v>
      </c>
    </row>
    <row r="45" spans="7:13" x14ac:dyDescent="0.4">
      <c r="G45" s="3" t="s">
        <v>43</v>
      </c>
      <c r="H45" s="3">
        <v>5996.119999999999</v>
      </c>
      <c r="I45" s="2">
        <f>SUM(H42:H45)</f>
        <v>22667.119999999999</v>
      </c>
      <c r="K45" s="3" t="str">
        <f>"2017-08"</f>
        <v>2017-08</v>
      </c>
      <c r="L45" s="3">
        <v>573481</v>
      </c>
    </row>
    <row r="46" spans="7:13" x14ac:dyDescent="0.4">
      <c r="K46" s="3" t="str">
        <f>"2017-09"</f>
        <v>2017-09</v>
      </c>
      <c r="L46" s="3">
        <v>621933.11</v>
      </c>
    </row>
    <row r="47" spans="7:13" x14ac:dyDescent="0.4">
      <c r="K47" s="3" t="str">
        <f>"2017-10"</f>
        <v>2017-10</v>
      </c>
      <c r="L47" s="3">
        <v>469731.19</v>
      </c>
    </row>
    <row r="48" spans="7:13" x14ac:dyDescent="0.4">
      <c r="K48" s="3" t="str">
        <f>"2017-11"</f>
        <v>2017-11</v>
      </c>
      <c r="L48" s="3">
        <v>573711.67000000004</v>
      </c>
    </row>
    <row r="49" spans="11:13" x14ac:dyDescent="0.4">
      <c r="K49" s="3" t="str">
        <f>"2017-12"</f>
        <v>2017-12</v>
      </c>
      <c r="L49" s="3">
        <v>704012.53</v>
      </c>
      <c r="M49" s="2">
        <f>SUM(L38:L49)</f>
        <v>5536931.5600000005</v>
      </c>
    </row>
    <row r="50" spans="11:13" x14ac:dyDescent="0.4">
      <c r="K50" s="3" t="str">
        <f>"2018-01"</f>
        <v>2018-01</v>
      </c>
      <c r="L50" s="3">
        <v>493679.4</v>
      </c>
    </row>
    <row r="51" spans="11:13" x14ac:dyDescent="0.4">
      <c r="K51" s="3" t="str">
        <f>"2018-02"</f>
        <v>2018-02</v>
      </c>
      <c r="L51" s="3">
        <v>228697.14</v>
      </c>
    </row>
    <row r="52" spans="11:13" x14ac:dyDescent="0.4">
      <c r="K52" s="3" t="str">
        <f>"2018-03"</f>
        <v>2018-03</v>
      </c>
      <c r="L52" s="3">
        <v>430676.43</v>
      </c>
    </row>
    <row r="53" spans="11:13" x14ac:dyDescent="0.4">
      <c r="K53" s="3" t="str">
        <f>"2018-04"</f>
        <v>2018-04</v>
      </c>
      <c r="L53" s="3">
        <v>409405</v>
      </c>
    </row>
    <row r="54" spans="11:13" x14ac:dyDescent="0.4">
      <c r="K54" s="3" t="str">
        <f>"2018-05"</f>
        <v>2018-05</v>
      </c>
      <c r="L54" s="3">
        <v>428974</v>
      </c>
    </row>
    <row r="55" spans="11:13" x14ac:dyDescent="0.4">
      <c r="K55" s="3" t="str">
        <f>"2018-06"</f>
        <v>2018-06</v>
      </c>
      <c r="L55" s="3">
        <v>433438</v>
      </c>
    </row>
    <row r="56" spans="11:13" x14ac:dyDescent="0.4">
      <c r="K56" s="3" t="str">
        <f>"2018-07"</f>
        <v>2018-07</v>
      </c>
      <c r="L56" s="3">
        <v>421774</v>
      </c>
    </row>
    <row r="57" spans="11:13" x14ac:dyDescent="0.4">
      <c r="K57" s="3" t="str">
        <f>"2018-08"</f>
        <v>2018-08</v>
      </c>
      <c r="L57" s="3">
        <v>435399</v>
      </c>
    </row>
    <row r="58" spans="11:13" x14ac:dyDescent="0.4">
      <c r="K58" s="3" t="str">
        <f>"2018-09"</f>
        <v>2018-09</v>
      </c>
      <c r="L58" s="3">
        <v>401722</v>
      </c>
    </row>
    <row r="59" spans="11:13" x14ac:dyDescent="0.4">
      <c r="K59" s="3" t="str">
        <f>"2018-10"</f>
        <v>2018-10</v>
      </c>
      <c r="L59" s="3">
        <v>470957</v>
      </c>
    </row>
    <row r="60" spans="11:13" x14ac:dyDescent="0.4">
      <c r="K60" s="3" t="str">
        <f>"2018-11"</f>
        <v>2018-11</v>
      </c>
      <c r="L60" s="3">
        <v>467278</v>
      </c>
    </row>
    <row r="61" spans="11:13" x14ac:dyDescent="0.4">
      <c r="K61" s="3" t="str">
        <f>"2018-12"</f>
        <v>2018-12</v>
      </c>
      <c r="L61" s="3">
        <v>418638</v>
      </c>
      <c r="M61" s="2">
        <f>SUM(L50:L61)</f>
        <v>5040637.97</v>
      </c>
    </row>
    <row r="62" spans="11:13" x14ac:dyDescent="0.4">
      <c r="K62" s="3" t="str">
        <f>"2019-01"</f>
        <v>2019-01</v>
      </c>
      <c r="L62" s="3">
        <v>340430</v>
      </c>
    </row>
    <row r="63" spans="11:13" x14ac:dyDescent="0.4">
      <c r="K63" s="3" t="str">
        <f>"2019-02"</f>
        <v>2019-02</v>
      </c>
      <c r="L63" s="3">
        <v>181653</v>
      </c>
    </row>
    <row r="64" spans="11:13" x14ac:dyDescent="0.4">
      <c r="K64" s="3" t="str">
        <f>"2019-03"</f>
        <v>2019-03</v>
      </c>
      <c r="L64" s="3">
        <v>355536</v>
      </c>
    </row>
    <row r="65" spans="11:13" x14ac:dyDescent="0.4">
      <c r="K65" s="3" t="str">
        <f>"2019-04"</f>
        <v>2019-04</v>
      </c>
      <c r="L65" s="3">
        <v>360097</v>
      </c>
    </row>
    <row r="66" spans="11:13" x14ac:dyDescent="0.4">
      <c r="K66" s="3" t="str">
        <f>"2019-05"</f>
        <v>2019-05</v>
      </c>
      <c r="L66" s="3">
        <v>380891</v>
      </c>
    </row>
    <row r="67" spans="11:13" x14ac:dyDescent="0.4">
      <c r="K67" s="3" t="str">
        <f>"2019-06"</f>
        <v>2019-06</v>
      </c>
      <c r="L67" s="3">
        <v>404273</v>
      </c>
    </row>
    <row r="68" spans="11:13" x14ac:dyDescent="0.4">
      <c r="K68" s="3" t="str">
        <f>"2019-07"</f>
        <v>2019-07</v>
      </c>
      <c r="L68" s="3">
        <v>345129</v>
      </c>
    </row>
    <row r="69" spans="11:13" x14ac:dyDescent="0.4">
      <c r="K69" s="3" t="str">
        <f>"2019-08"</f>
        <v>2019-08</v>
      </c>
      <c r="L69" s="3">
        <v>375601</v>
      </c>
    </row>
    <row r="70" spans="11:13" x14ac:dyDescent="0.4">
      <c r="K70" s="3" t="str">
        <f>"2019-09"</f>
        <v>2019-09</v>
      </c>
      <c r="L70" s="3">
        <v>403305</v>
      </c>
    </row>
    <row r="71" spans="11:13" x14ac:dyDescent="0.4">
      <c r="K71" s="3" t="str">
        <f>"2019-10"</f>
        <v>2019-10</v>
      </c>
      <c r="L71" s="3">
        <v>413643</v>
      </c>
    </row>
    <row r="72" spans="11:13" x14ac:dyDescent="0.4">
      <c r="K72" s="3" t="str">
        <f>"2019-11"</f>
        <v>2019-11</v>
      </c>
      <c r="L72" s="3">
        <v>430362</v>
      </c>
    </row>
    <row r="73" spans="11:13" x14ac:dyDescent="0.4">
      <c r="K73" s="3" t="str">
        <f>"2019-12"</f>
        <v>2019-12</v>
      </c>
      <c r="L73" s="3">
        <v>531703</v>
      </c>
      <c r="M73" s="2">
        <f>SUM(L62:L73)</f>
        <v>4522623</v>
      </c>
    </row>
    <row r="74" spans="11:13" x14ac:dyDescent="0.4">
      <c r="K74" s="3" t="str">
        <f>"2020-01"</f>
        <v>2020-01</v>
      </c>
      <c r="L74" s="3">
        <v>306501.44</v>
      </c>
    </row>
    <row r="75" spans="11:13" x14ac:dyDescent="0.4">
      <c r="K75" s="3" t="str">
        <f>"2020-02"</f>
        <v>2020-02</v>
      </c>
      <c r="L75" s="3">
        <v>131154.85</v>
      </c>
    </row>
    <row r="76" spans="11:13" x14ac:dyDescent="0.4">
      <c r="K76" s="3" t="str">
        <f>"2020-03"</f>
        <v>2020-03</v>
      </c>
      <c r="L76" s="3">
        <v>311273</v>
      </c>
    </row>
    <row r="77" spans="11:13" x14ac:dyDescent="0.4">
      <c r="K77" s="3" t="str">
        <f>"2020-04"</f>
        <v>2020-04</v>
      </c>
      <c r="L77" s="3">
        <v>381326</v>
      </c>
    </row>
    <row r="78" spans="11:13" x14ac:dyDescent="0.4">
      <c r="K78" s="3" t="str">
        <f>"2020-05"</f>
        <v>2020-05</v>
      </c>
      <c r="L78" s="3">
        <v>384593</v>
      </c>
    </row>
    <row r="79" spans="11:13" x14ac:dyDescent="0.4">
      <c r="K79" s="3" t="str">
        <f>"2020-06"</f>
        <v>2020-06</v>
      </c>
      <c r="L79" s="3">
        <v>405754</v>
      </c>
    </row>
    <row r="80" spans="11:13" x14ac:dyDescent="0.4">
      <c r="K80" s="3" t="str">
        <f>"2020-07"</f>
        <v>2020-07</v>
      </c>
      <c r="L80" s="3">
        <v>607383</v>
      </c>
    </row>
    <row r="81" spans="11:13" x14ac:dyDescent="0.4">
      <c r="K81" s="3" t="str">
        <f>"2020-08"</f>
        <v>2020-08</v>
      </c>
      <c r="L81" s="3">
        <v>642889.98</v>
      </c>
    </row>
    <row r="82" spans="11:13" x14ac:dyDescent="0.4">
      <c r="K82" s="3" t="str">
        <f>"2020-09"</f>
        <v>2020-09</v>
      </c>
      <c r="L82" s="3">
        <v>679144</v>
      </c>
    </row>
    <row r="83" spans="11:13" x14ac:dyDescent="0.4">
      <c r="K83" s="3" t="str">
        <f>"2020-10"</f>
        <v>2020-10</v>
      </c>
      <c r="L83" s="3">
        <v>478691</v>
      </c>
    </row>
    <row r="84" spans="11:13" x14ac:dyDescent="0.4">
      <c r="K84" s="3" t="str">
        <f>"2020-11"</f>
        <v>2020-11</v>
      </c>
      <c r="L84" s="3">
        <v>536157</v>
      </c>
    </row>
    <row r="85" spans="11:13" x14ac:dyDescent="0.4">
      <c r="K85" s="3" t="str">
        <f>"2020-12"</f>
        <v>2020-12</v>
      </c>
      <c r="L85" s="3">
        <v>656733</v>
      </c>
      <c r="M85" s="2">
        <f>SUM(L74:L85)</f>
        <v>5521600.2699999996</v>
      </c>
    </row>
    <row r="86" spans="11:13" x14ac:dyDescent="0.4">
      <c r="K86" s="3" t="str">
        <f>"2021-01"</f>
        <v>2021-01</v>
      </c>
      <c r="L86" s="3">
        <v>503170</v>
      </c>
    </row>
    <row r="87" spans="11:13" x14ac:dyDescent="0.4">
      <c r="K87" s="3" t="str">
        <f>"2021-02"</f>
        <v>2021-02</v>
      </c>
      <c r="L87" s="3">
        <v>332278</v>
      </c>
    </row>
    <row r="88" spans="11:13" x14ac:dyDescent="0.4">
      <c r="K88" s="3" t="str">
        <f>"2021-03"</f>
        <v>2021-03</v>
      </c>
      <c r="L88" s="3">
        <v>552559</v>
      </c>
    </row>
    <row r="89" spans="11:13" x14ac:dyDescent="0.4">
      <c r="K89" s="3" t="str">
        <f>"2021-04"</f>
        <v>2021-04</v>
      </c>
      <c r="L89" s="3">
        <v>591910</v>
      </c>
    </row>
    <row r="90" spans="11:13" x14ac:dyDescent="0.4">
      <c r="K90" s="3" t="str">
        <f>"2021-05"</f>
        <v>2021-05</v>
      </c>
      <c r="L90" s="3">
        <v>687693.84</v>
      </c>
    </row>
    <row r="91" spans="11:13" x14ac:dyDescent="0.4">
      <c r="K91" s="3" t="str">
        <f>"2021-06"</f>
        <v>2021-06</v>
      </c>
      <c r="L91" s="3">
        <v>586494.15</v>
      </c>
    </row>
    <row r="92" spans="11:13" x14ac:dyDescent="0.4">
      <c r="K92" s="3" t="str">
        <f>"2021-07"</f>
        <v>2021-07</v>
      </c>
      <c r="L92" s="3">
        <v>441681</v>
      </c>
    </row>
    <row r="93" spans="11:13" x14ac:dyDescent="0.4">
      <c r="K93" s="3" t="str">
        <f>"2021-08"</f>
        <v>2021-08</v>
      </c>
      <c r="L93" s="3">
        <v>445630</v>
      </c>
    </row>
    <row r="94" spans="11:13" x14ac:dyDescent="0.4">
      <c r="K94" s="3" t="str">
        <f>"2021-09"</f>
        <v>2021-09</v>
      </c>
      <c r="L94" s="3">
        <v>509523.5</v>
      </c>
    </row>
    <row r="95" spans="11:13" x14ac:dyDescent="0.4">
      <c r="K95" s="3" t="str">
        <f>"2021-10"</f>
        <v>2021-10</v>
      </c>
      <c r="L95" s="3">
        <v>467163.23</v>
      </c>
    </row>
    <row r="96" spans="11:13" x14ac:dyDescent="0.4">
      <c r="K96" s="3" t="str">
        <f>"2021-11"</f>
        <v>2021-11</v>
      </c>
      <c r="L96" s="3">
        <v>577531</v>
      </c>
    </row>
    <row r="97" spans="11:13" x14ac:dyDescent="0.4">
      <c r="K97" s="3" t="str">
        <f>"2021-12"</f>
        <v>2021-12</v>
      </c>
      <c r="L97" s="3">
        <v>845420.56</v>
      </c>
      <c r="M97" s="2">
        <f>SUM(L86:L97)</f>
        <v>6541054.2800000012</v>
      </c>
    </row>
    <row r="98" spans="11:13" x14ac:dyDescent="0.4">
      <c r="K98" s="3" t="str">
        <f>"2022-01"</f>
        <v>2022-01</v>
      </c>
      <c r="L98" s="3">
        <v>422812.94</v>
      </c>
    </row>
    <row r="99" spans="11:13" x14ac:dyDescent="0.4">
      <c r="K99" s="3" t="str">
        <f>"2022-02"</f>
        <v>2022-02</v>
      </c>
      <c r="L99" s="3">
        <v>242206.54</v>
      </c>
    </row>
    <row r="100" spans="11:13" x14ac:dyDescent="0.4">
      <c r="K100" s="3" t="str">
        <f>"2022-03"</f>
        <v>2022-03</v>
      </c>
      <c r="L100" s="3">
        <v>519058.41</v>
      </c>
    </row>
    <row r="101" spans="11:13" x14ac:dyDescent="0.4">
      <c r="K101" s="3" t="str">
        <f>"2022-04"</f>
        <v>2022-04</v>
      </c>
      <c r="L101" s="3">
        <v>478559</v>
      </c>
    </row>
    <row r="102" spans="11:13" x14ac:dyDescent="0.4">
      <c r="K102" s="3" t="str">
        <f>"2022-05"</f>
        <v>2022-05</v>
      </c>
      <c r="L102" s="3">
        <v>546826.79</v>
      </c>
    </row>
    <row r="103" spans="11:13" x14ac:dyDescent="0.4">
      <c r="K103" s="3" t="str">
        <f>"2022-06"</f>
        <v>2022-06</v>
      </c>
      <c r="L103" s="3">
        <v>954512</v>
      </c>
    </row>
    <row r="104" spans="11:13" x14ac:dyDescent="0.4">
      <c r="K104" s="3" t="str">
        <f>"2022-07"</f>
        <v>2022-07</v>
      </c>
      <c r="L104" s="3">
        <v>784575.23</v>
      </c>
    </row>
    <row r="105" spans="11:13" x14ac:dyDescent="0.4">
      <c r="K105" s="3" t="str">
        <f>"2022-08"</f>
        <v>2022-08</v>
      </c>
      <c r="L105" s="3">
        <v>726313</v>
      </c>
    </row>
    <row r="106" spans="11:13" x14ac:dyDescent="0.4">
      <c r="K106" s="3" t="str">
        <f>"2022-09"</f>
        <v>2022-09</v>
      </c>
      <c r="L106" s="3">
        <v>583661.80000000005</v>
      </c>
    </row>
    <row r="107" spans="11:13" x14ac:dyDescent="0.4">
      <c r="K107" s="3" t="str">
        <f>"2022-10"</f>
        <v>2022-10</v>
      </c>
      <c r="L107" s="3">
        <v>638672.71</v>
      </c>
    </row>
    <row r="108" spans="11:13" x14ac:dyDescent="0.4">
      <c r="K108" s="3" t="str">
        <f>"2022-11"</f>
        <v>2022-11</v>
      </c>
      <c r="L108" s="3">
        <v>868624.19</v>
      </c>
    </row>
    <row r="109" spans="11:13" x14ac:dyDescent="0.4">
      <c r="K109" s="3" t="str">
        <f>"2022-12"</f>
        <v>2022-12</v>
      </c>
      <c r="L109" s="3">
        <v>1261434.1599999999</v>
      </c>
      <c r="M109" s="2">
        <f>SUM(L98:L109)</f>
        <v>8027256.7699999996</v>
      </c>
    </row>
    <row r="110" spans="11:13" x14ac:dyDescent="0.4">
      <c r="K110" s="3" t="str">
        <f>"2023-01"</f>
        <v>2023-01</v>
      </c>
      <c r="L110" s="3">
        <v>604985</v>
      </c>
    </row>
    <row r="111" spans="11:13" x14ac:dyDescent="0.4">
      <c r="K111" s="3" t="str">
        <f>"2023-02"</f>
        <v>2023-02</v>
      </c>
      <c r="L111" s="3">
        <v>498464.51</v>
      </c>
    </row>
    <row r="112" spans="11:13" x14ac:dyDescent="0.4">
      <c r="K112" s="3" t="str">
        <f>"2023-03"</f>
        <v>2023-03</v>
      </c>
      <c r="L112" s="3">
        <v>792183.73</v>
      </c>
    </row>
    <row r="113" spans="11:13" x14ac:dyDescent="0.4">
      <c r="K113" s="3" t="str">
        <f>"2023-04"</f>
        <v>2023-04</v>
      </c>
      <c r="L113" s="3">
        <v>701496.07</v>
      </c>
    </row>
    <row r="114" spans="11:13" x14ac:dyDescent="0.4">
      <c r="K114" s="3" t="str">
        <f>"2023-05"</f>
        <v>2023-05</v>
      </c>
      <c r="L114" s="3">
        <v>679572.76</v>
      </c>
    </row>
    <row r="115" spans="11:13" x14ac:dyDescent="0.4">
      <c r="K115" s="3" t="str">
        <f>"2023-06"</f>
        <v>2023-06</v>
      </c>
      <c r="L115" s="3">
        <v>603877.22</v>
      </c>
    </row>
    <row r="116" spans="11:13" x14ac:dyDescent="0.4">
      <c r="K116" s="3" t="str">
        <f>"2023-07"</f>
        <v>2023-07</v>
      </c>
      <c r="L116" s="3">
        <v>502619.91</v>
      </c>
    </row>
    <row r="117" spans="11:13" x14ac:dyDescent="0.4">
      <c r="K117" s="3" t="str">
        <f>"2023-08"</f>
        <v>2023-08</v>
      </c>
      <c r="L117" s="3">
        <v>576819.96</v>
      </c>
    </row>
    <row r="118" spans="11:13" x14ac:dyDescent="0.4">
      <c r="K118" s="3" t="str">
        <f>"2023-09"</f>
        <v>2023-09</v>
      </c>
      <c r="L118" s="3">
        <v>437707.42</v>
      </c>
    </row>
    <row r="119" spans="11:13" x14ac:dyDescent="0.4">
      <c r="K119" s="3" t="str">
        <f>"2023-10"</f>
        <v>2023-10</v>
      </c>
      <c r="L119" s="3">
        <v>530339.06999999995</v>
      </c>
    </row>
    <row r="120" spans="11:13" x14ac:dyDescent="0.4">
      <c r="K120" s="3" t="str">
        <f>"2023-11"</f>
        <v>2023-11</v>
      </c>
      <c r="L120" s="3">
        <v>896437.67</v>
      </c>
    </row>
    <row r="121" spans="11:13" x14ac:dyDescent="0.4">
      <c r="K121" s="3" t="str">
        <f>"2023-12"</f>
        <v>2023-12</v>
      </c>
      <c r="L121" s="3">
        <v>1369736.22</v>
      </c>
      <c r="M121" s="2">
        <f>SUM(L110:L121)</f>
        <v>8194239.54</v>
      </c>
    </row>
    <row r="122" spans="11:13" x14ac:dyDescent="0.4">
      <c r="K122" s="3" t="str">
        <f>"2024-01"</f>
        <v>2024-01</v>
      </c>
      <c r="L122" s="3">
        <v>667531.71</v>
      </c>
    </row>
    <row r="123" spans="11:13" x14ac:dyDescent="0.4">
      <c r="K123" s="3" t="str">
        <f>"2024-02"</f>
        <v>2024-02</v>
      </c>
      <c r="L123" s="3">
        <v>259535.41</v>
      </c>
    </row>
    <row r="124" spans="11:13" x14ac:dyDescent="0.4">
      <c r="K124" s="3" t="str">
        <f>"2024-03"</f>
        <v>2024-03</v>
      </c>
      <c r="L124" s="3">
        <v>965520.9</v>
      </c>
    </row>
    <row r="125" spans="11:13" x14ac:dyDescent="0.4">
      <c r="K125" s="3" t="str">
        <f>"2024-04"</f>
        <v>2024-04</v>
      </c>
      <c r="L125" s="3">
        <v>604794.49</v>
      </c>
    </row>
    <row r="126" spans="11:13" x14ac:dyDescent="0.4">
      <c r="K126" s="3" t="str">
        <f>"2024-05"</f>
        <v>2024-05</v>
      </c>
      <c r="L126" s="3">
        <v>523042.66</v>
      </c>
    </row>
    <row r="127" spans="11:13" x14ac:dyDescent="0.4">
      <c r="K127" s="3" t="str">
        <f>"2024-06"</f>
        <v>2024-06</v>
      </c>
      <c r="L127" s="3">
        <v>668059.42000000004</v>
      </c>
    </row>
    <row r="128" spans="11:13" x14ac:dyDescent="0.4">
      <c r="K128" s="3" t="str">
        <f>"2024-07"</f>
        <v>2024-07</v>
      </c>
      <c r="L128" s="3">
        <v>598387.05000000005</v>
      </c>
    </row>
    <row r="129" spans="11:13" x14ac:dyDescent="0.4">
      <c r="K129" s="3" t="str">
        <f>"2024-08"</f>
        <v>2024-08</v>
      </c>
      <c r="L129" s="3">
        <v>603270.85</v>
      </c>
    </row>
    <row r="130" spans="11:13" x14ac:dyDescent="0.4">
      <c r="K130" s="3" t="str">
        <f>"2024-09"</f>
        <v>2024-09</v>
      </c>
      <c r="L130" s="3">
        <v>512492.2</v>
      </c>
    </row>
    <row r="131" spans="11:13" x14ac:dyDescent="0.4">
      <c r="K131" s="3" t="str">
        <f>"2024-10"</f>
        <v>2024-10</v>
      </c>
      <c r="L131" s="3">
        <v>560355.31999999995</v>
      </c>
    </row>
    <row r="132" spans="11:13" x14ac:dyDescent="0.4">
      <c r="K132" s="3" t="str">
        <f>"2024-11"</f>
        <v>2024-11</v>
      </c>
      <c r="L132" s="3">
        <v>910561.17</v>
      </c>
    </row>
    <row r="133" spans="11:13" x14ac:dyDescent="0.4">
      <c r="K133" s="3" t="str">
        <f>"2024-12"</f>
        <v>2024-12</v>
      </c>
      <c r="L133" s="3">
        <v>1792261.18</v>
      </c>
      <c r="M133" s="2">
        <f>SUM(L122:L133)</f>
        <v>8665812.3599999994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Jiangsu</vt:lpstr>
      <vt:lpstr>Guizhou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GXY</dc:creator>
  <cp:lastModifiedBy>Xiaoyi Gou</cp:lastModifiedBy>
  <dcterms:created xsi:type="dcterms:W3CDTF">2015-06-05T18:19:34Z</dcterms:created>
  <dcterms:modified xsi:type="dcterms:W3CDTF">2025-07-22T19:26:40Z</dcterms:modified>
</cp:coreProperties>
</file>