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9029"/>
  <workbookPr filterPrivacy="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7" i="1" l="1"/>
  <c r="C47" i="1"/>
  <c r="N45" i="1"/>
  <c r="D45" i="1"/>
  <c r="M45" i="1"/>
  <c r="C45" i="1"/>
  <c r="P43" i="1"/>
  <c r="O43" i="1"/>
  <c r="E43" i="1"/>
  <c r="M43" i="1"/>
  <c r="C43" i="1"/>
  <c r="M40" i="1"/>
  <c r="C40" i="1"/>
  <c r="O38" i="1"/>
  <c r="M38" i="1"/>
  <c r="C38" i="1"/>
  <c r="O36" i="1"/>
  <c r="M36" i="1"/>
  <c r="C36" i="1"/>
  <c r="M34" i="1"/>
  <c r="E32" i="1"/>
  <c r="O32" i="1"/>
  <c r="M32" i="1"/>
  <c r="O29" i="1"/>
  <c r="M29" i="1"/>
  <c r="O27" i="1"/>
  <c r="M27" i="1"/>
  <c r="O24" i="1"/>
  <c r="M24" i="1"/>
  <c r="C24" i="1"/>
  <c r="H24" i="1"/>
  <c r="E24" i="1" l="1"/>
  <c r="F43" i="1"/>
  <c r="J43" i="1"/>
  <c r="K43" i="1" s="1"/>
  <c r="I45" i="1" s="1"/>
  <c r="J24" i="1"/>
  <c r="I24" i="1"/>
  <c r="C13" i="1"/>
  <c r="B13" i="1"/>
  <c r="A13" i="1"/>
  <c r="E29" i="1" l="1"/>
  <c r="C27" i="1"/>
  <c r="C32" i="1" s="1"/>
  <c r="C29" i="1"/>
  <c r="C34" i="1" s="1"/>
  <c r="E27" i="1"/>
  <c r="I29" i="1"/>
  <c r="I34" i="1" s="1"/>
  <c r="H27" i="1"/>
  <c r="K32" i="1" s="1"/>
  <c r="H29" i="1"/>
  <c r="H34" i="1" s="1"/>
  <c r="I27" i="1"/>
  <c r="E36" i="1" l="1"/>
  <c r="E38" i="1" s="1"/>
  <c r="K36" i="1"/>
  <c r="K38" i="1" s="1"/>
  <c r="H32" i="1"/>
  <c r="H36" i="1" s="1"/>
  <c r="J32" i="1"/>
  <c r="J36" i="1" s="1"/>
  <c r="J38" i="1" s="1"/>
  <c r="I32" i="1"/>
  <c r="I36" i="1" s="1"/>
  <c r="I38" i="1" s="1"/>
  <c r="H43" i="1" l="1"/>
  <c r="H45" i="1" s="1"/>
  <c r="H38" i="1"/>
  <c r="H40" i="1" s="1"/>
  <c r="H47" i="1"/>
</calcChain>
</file>

<file path=xl/sharedStrings.xml><?xml version="1.0" encoding="utf-8"?>
<sst xmlns="http://schemas.openxmlformats.org/spreadsheetml/2006/main" count="157" uniqueCount="112">
  <si>
    <t>齿轮1</t>
    <phoneticPr fontId="1" type="noConversion"/>
  </si>
  <si>
    <t>圆周力Ft1</t>
    <phoneticPr fontId="1" type="noConversion"/>
  </si>
  <si>
    <t>轴向力Fa1</t>
    <phoneticPr fontId="1" type="noConversion"/>
  </si>
  <si>
    <t>齿轮2</t>
    <phoneticPr fontId="1" type="noConversion"/>
  </si>
  <si>
    <t>圆周力Ft2</t>
    <phoneticPr fontId="1" type="noConversion"/>
  </si>
  <si>
    <t>轴向力Fa2</t>
    <phoneticPr fontId="1" type="noConversion"/>
  </si>
  <si>
    <t>齿轮3</t>
    <phoneticPr fontId="1" type="noConversion"/>
  </si>
  <si>
    <t>圆周力Ft3</t>
    <phoneticPr fontId="1" type="noConversion"/>
  </si>
  <si>
    <t>轴向力Fa3</t>
    <phoneticPr fontId="1" type="noConversion"/>
  </si>
  <si>
    <t>齿轮4</t>
    <phoneticPr fontId="1" type="noConversion"/>
  </si>
  <si>
    <t>圆周力Ft4</t>
    <phoneticPr fontId="1" type="noConversion"/>
  </si>
  <si>
    <t>轴向力Fa4</t>
    <phoneticPr fontId="1" type="noConversion"/>
  </si>
  <si>
    <t>径向力Fr1</t>
    <phoneticPr fontId="1" type="noConversion"/>
  </si>
  <si>
    <t>径向力Fr2</t>
    <phoneticPr fontId="1" type="noConversion"/>
  </si>
  <si>
    <t>径向力Fr3</t>
    <phoneticPr fontId="1" type="noConversion"/>
  </si>
  <si>
    <t>径向力Fr4</t>
    <phoneticPr fontId="1" type="noConversion"/>
  </si>
  <si>
    <t>I轴</t>
    <phoneticPr fontId="1" type="noConversion"/>
  </si>
  <si>
    <t>II轴</t>
    <phoneticPr fontId="1" type="noConversion"/>
  </si>
  <si>
    <t>III轴</t>
    <phoneticPr fontId="1" type="noConversion"/>
  </si>
  <si>
    <t>转速(r/min)</t>
    <phoneticPr fontId="1" type="noConversion"/>
  </si>
  <si>
    <t>功率(kW)</t>
    <phoneticPr fontId="1" type="noConversion"/>
  </si>
  <si>
    <t>转矩(N·m)</t>
    <phoneticPr fontId="1" type="noConversion"/>
  </si>
  <si>
    <t>(kN)</t>
  </si>
  <si>
    <t>(kN)</t>
    <phoneticPr fontId="1" type="noConversion"/>
  </si>
  <si>
    <t>C</t>
    <phoneticPr fontId="1" type="noConversion"/>
  </si>
  <si>
    <t>d1&gt;=</t>
    <phoneticPr fontId="1" type="noConversion"/>
  </si>
  <si>
    <t>d2&gt;=</t>
    <phoneticPr fontId="1" type="noConversion"/>
  </si>
  <si>
    <t>d3&gt;=</t>
    <phoneticPr fontId="1" type="noConversion"/>
  </si>
  <si>
    <t>d1(mm)</t>
    <phoneticPr fontId="1" type="noConversion"/>
  </si>
  <si>
    <t>d2(mm)</t>
    <phoneticPr fontId="1" type="noConversion"/>
  </si>
  <si>
    <t>b1(mm)</t>
    <phoneticPr fontId="1" type="noConversion"/>
  </si>
  <si>
    <t>b2(mm)</t>
    <phoneticPr fontId="1" type="noConversion"/>
  </si>
  <si>
    <t>d3(mm)</t>
    <phoneticPr fontId="1" type="noConversion"/>
  </si>
  <si>
    <t>d4(mm)</t>
    <phoneticPr fontId="1" type="noConversion"/>
  </si>
  <si>
    <t>b3(mm)</t>
    <phoneticPr fontId="1" type="noConversion"/>
  </si>
  <si>
    <t>b4(mm)</t>
    <phoneticPr fontId="1" type="noConversion"/>
  </si>
  <si>
    <t>轴承</t>
    <phoneticPr fontId="1" type="noConversion"/>
  </si>
  <si>
    <t>7207AC</t>
  </si>
  <si>
    <t>内径</t>
    <phoneticPr fontId="1" type="noConversion"/>
  </si>
  <si>
    <t>外径</t>
    <phoneticPr fontId="1" type="noConversion"/>
  </si>
  <si>
    <t>宽度</t>
    <phoneticPr fontId="1" type="noConversion"/>
  </si>
  <si>
    <t>左</t>
    <phoneticPr fontId="1" type="noConversion"/>
  </si>
  <si>
    <t>中</t>
    <phoneticPr fontId="1" type="noConversion"/>
  </si>
  <si>
    <t>右</t>
    <phoneticPr fontId="1" type="noConversion"/>
  </si>
  <si>
    <t>R-IH</t>
    <phoneticPr fontId="1" type="noConversion"/>
  </si>
  <si>
    <t>R-IIH</t>
    <phoneticPr fontId="1" type="noConversion"/>
  </si>
  <si>
    <t>R-IV</t>
    <phoneticPr fontId="1" type="noConversion"/>
  </si>
  <si>
    <t>R-IIV</t>
    <phoneticPr fontId="1" type="noConversion"/>
  </si>
  <si>
    <t>M-2H'</t>
    <phoneticPr fontId="1" type="noConversion"/>
  </si>
  <si>
    <t>M-2H''</t>
    <phoneticPr fontId="1" type="noConversion"/>
  </si>
  <si>
    <t>M-3H'</t>
    <phoneticPr fontId="1" type="noConversion"/>
  </si>
  <si>
    <t>M-3H''</t>
    <phoneticPr fontId="1" type="noConversion"/>
  </si>
  <si>
    <t>M-2V</t>
    <phoneticPr fontId="1" type="noConversion"/>
  </si>
  <si>
    <t>M-3V</t>
    <phoneticPr fontId="1" type="noConversion"/>
  </si>
  <si>
    <t>M-2'</t>
    <phoneticPr fontId="1" type="noConversion"/>
  </si>
  <si>
    <t>M-3'</t>
    <phoneticPr fontId="1" type="noConversion"/>
  </si>
  <si>
    <t>M-2''</t>
    <phoneticPr fontId="1" type="noConversion"/>
  </si>
  <si>
    <t>M-3''</t>
    <phoneticPr fontId="1" type="noConversion"/>
  </si>
  <si>
    <t>\alpha</t>
    <phoneticPr fontId="1" type="noConversion"/>
  </si>
  <si>
    <t>M-2e'</t>
    <phoneticPr fontId="1" type="noConversion"/>
  </si>
  <si>
    <t>M-2e''</t>
    <phoneticPr fontId="1" type="noConversion"/>
  </si>
  <si>
    <t>M-3e'</t>
    <phoneticPr fontId="1" type="noConversion"/>
  </si>
  <si>
    <t>M-3e''</t>
    <phoneticPr fontId="1" type="noConversion"/>
  </si>
  <si>
    <t>危险截面最小直径</t>
    <phoneticPr fontId="1" type="noConversion"/>
  </si>
  <si>
    <t>初定d2min</t>
    <phoneticPr fontId="1" type="noConversion"/>
  </si>
  <si>
    <t>k_\tau</t>
    <phoneticPr fontId="1" type="noConversion"/>
  </si>
  <si>
    <t>\psi_\tau</t>
    <phoneticPr fontId="1" type="noConversion"/>
  </si>
  <si>
    <t>\psi_\sigma</t>
    <phoneticPr fontId="1" type="noConversion"/>
  </si>
  <si>
    <t>k_\sigma</t>
    <phoneticPr fontId="1" type="noConversion"/>
  </si>
  <si>
    <t>e_\sigma</t>
    <phoneticPr fontId="1" type="noConversion"/>
  </si>
  <si>
    <t>e_\tau</t>
    <phoneticPr fontId="1" type="noConversion"/>
  </si>
  <si>
    <t>\beta</t>
    <phoneticPr fontId="1" type="noConversion"/>
  </si>
  <si>
    <t>K_N</t>
    <phoneticPr fontId="1" type="noConversion"/>
  </si>
  <si>
    <t>精校核</t>
    <phoneticPr fontId="1" type="noConversion"/>
  </si>
  <si>
    <t>S_\sigma</t>
    <phoneticPr fontId="1" type="noConversion"/>
  </si>
  <si>
    <t>\sigma_a</t>
    <phoneticPr fontId="1" type="noConversion"/>
  </si>
  <si>
    <t>\sigma_m</t>
    <phoneticPr fontId="1" type="noConversion"/>
  </si>
  <si>
    <t>S_r</t>
    <phoneticPr fontId="1" type="noConversion"/>
  </si>
  <si>
    <t>\tau_-1</t>
    <phoneticPr fontId="1" type="noConversion"/>
  </si>
  <si>
    <t>\tau_a</t>
    <phoneticPr fontId="1" type="noConversion"/>
  </si>
  <si>
    <t>\tau_m</t>
    <phoneticPr fontId="1" type="noConversion"/>
  </si>
  <si>
    <t>S</t>
    <phoneticPr fontId="1" type="noConversion"/>
  </si>
  <si>
    <t>初定d1min</t>
    <phoneticPr fontId="1" type="noConversion"/>
  </si>
  <si>
    <t>段1</t>
    <phoneticPr fontId="1" type="noConversion"/>
  </si>
  <si>
    <t>段2</t>
    <phoneticPr fontId="1" type="noConversion"/>
  </si>
  <si>
    <t>段3（轴）</t>
    <phoneticPr fontId="1" type="noConversion"/>
  </si>
  <si>
    <t>肩</t>
    <phoneticPr fontId="1" type="noConversion"/>
  </si>
  <si>
    <t>长轴</t>
    <phoneticPr fontId="1" type="noConversion"/>
  </si>
  <si>
    <t>段4（轴）</t>
    <phoneticPr fontId="1" type="noConversion"/>
  </si>
  <si>
    <t>中心距1</t>
    <phoneticPr fontId="1" type="noConversion"/>
  </si>
  <si>
    <t>中心距2</t>
    <phoneticPr fontId="1" type="noConversion"/>
  </si>
  <si>
    <t>中心距3</t>
    <phoneticPr fontId="1" type="noConversion"/>
  </si>
  <si>
    <t>M-H'</t>
    <phoneticPr fontId="1" type="noConversion"/>
  </si>
  <si>
    <t>M-H''</t>
    <phoneticPr fontId="1" type="noConversion"/>
  </si>
  <si>
    <t>M-V</t>
    <phoneticPr fontId="1" type="noConversion"/>
  </si>
  <si>
    <t>M'</t>
    <phoneticPr fontId="1" type="noConversion"/>
  </si>
  <si>
    <t>M''</t>
    <phoneticPr fontId="1" type="noConversion"/>
  </si>
  <si>
    <t>M-e'</t>
    <phoneticPr fontId="1" type="noConversion"/>
  </si>
  <si>
    <t>M-e''</t>
    <phoneticPr fontId="1" type="noConversion"/>
  </si>
  <si>
    <t>\sigma_-1</t>
    <phoneticPr fontId="1" type="noConversion"/>
  </si>
  <si>
    <t>\sga_-1-b</t>
    <phoneticPr fontId="1" type="noConversion"/>
  </si>
  <si>
    <t>初定d3min</t>
    <phoneticPr fontId="1" type="noConversion"/>
  </si>
  <si>
    <t>轴承</t>
    <phoneticPr fontId="1" type="noConversion"/>
  </si>
  <si>
    <t>7209AC</t>
    <phoneticPr fontId="1" type="noConversion"/>
  </si>
  <si>
    <t>7205AC</t>
    <phoneticPr fontId="1" type="noConversion"/>
  </si>
  <si>
    <t>段2</t>
    <phoneticPr fontId="1" type="noConversion"/>
  </si>
  <si>
    <t>肩</t>
    <phoneticPr fontId="1" type="noConversion"/>
  </si>
  <si>
    <t>段1（轴）</t>
    <phoneticPr fontId="1" type="noConversion"/>
  </si>
  <si>
    <t>段3（轴）</t>
    <phoneticPr fontId="1" type="noConversion"/>
  </si>
  <si>
    <t>段4</t>
    <phoneticPr fontId="1" type="noConversion"/>
  </si>
  <si>
    <t>段5</t>
    <phoneticPr fontId="1" type="noConversion"/>
  </si>
  <si>
    <t>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</si>
</sst>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.5"/>
      <color theme="1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2" fillId="0" borderId="0" xfId="0" applyFont="1"/>
    <xf numFmtId="0" fontId="0" fillId="6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7"/>
  <sheetViews>
    <sheetView tabSelected="1" workbookViewId="0">
      <selection activeCell="P46" sqref="P46"/>
    </sheetView>
  </sheetViews>
  <sheetFormatPr defaultRowHeight="14.25" x14ac:dyDescent="0.2"/>
  <sheetData>
    <row r="1" spans="1:17" x14ac:dyDescent="0.2">
      <c r="A1" s="1" t="s">
        <v>0</v>
      </c>
      <c r="B1" s="1" t="s">
        <v>23</v>
      </c>
      <c r="C1" s="1"/>
      <c r="D1" s="2" t="s">
        <v>3</v>
      </c>
      <c r="E1" s="2" t="s">
        <v>22</v>
      </c>
      <c r="F1" s="2"/>
      <c r="G1" s="3" t="s">
        <v>6</v>
      </c>
      <c r="H1" s="3" t="s">
        <v>22</v>
      </c>
      <c r="I1" s="3"/>
      <c r="J1" s="2" t="s">
        <v>9</v>
      </c>
      <c r="K1" s="2" t="s">
        <v>22</v>
      </c>
      <c r="L1" s="2"/>
      <c r="N1" s="4"/>
      <c r="O1" s="4" t="s">
        <v>16</v>
      </c>
      <c r="P1" s="4" t="s">
        <v>17</v>
      </c>
      <c r="Q1" s="4" t="s">
        <v>18</v>
      </c>
    </row>
    <row r="2" spans="1:17" x14ac:dyDescent="0.2">
      <c r="A2" s="1" t="s">
        <v>1</v>
      </c>
      <c r="B2" s="1" t="s">
        <v>12</v>
      </c>
      <c r="C2" s="1" t="s">
        <v>2</v>
      </c>
      <c r="D2" s="2" t="s">
        <v>4</v>
      </c>
      <c r="E2" s="2" t="s">
        <v>13</v>
      </c>
      <c r="F2" s="2" t="s">
        <v>5</v>
      </c>
      <c r="G2" s="3" t="s">
        <v>7</v>
      </c>
      <c r="H2" s="3" t="s">
        <v>14</v>
      </c>
      <c r="I2" s="3" t="s">
        <v>8</v>
      </c>
      <c r="J2" s="2" t="s">
        <v>10</v>
      </c>
      <c r="K2" s="2" t="s">
        <v>15</v>
      </c>
      <c r="L2" s="2" t="s">
        <v>11</v>
      </c>
      <c r="N2" s="4" t="s">
        <v>19</v>
      </c>
      <c r="O2" s="4">
        <v>960</v>
      </c>
      <c r="P2" s="4">
        <v>229.12</v>
      </c>
      <c r="Q2" s="4">
        <v>76.37</v>
      </c>
    </row>
    <row r="3" spans="1:17" x14ac:dyDescent="0.2">
      <c r="A3" s="1">
        <v>1.4159999999999999</v>
      </c>
      <c r="B3" s="1">
        <v>0.56699999999999995</v>
      </c>
      <c r="C3" s="1">
        <v>0.65200000000000002</v>
      </c>
      <c r="D3" s="2">
        <v>1.4159999999999999</v>
      </c>
      <c r="E3" s="2">
        <v>0.56699999999999995</v>
      </c>
      <c r="F3" s="2">
        <v>0.65200000000000002</v>
      </c>
      <c r="G3" s="3">
        <v>3.3679999999999999</v>
      </c>
      <c r="H3" s="3">
        <v>1.2769999999999999</v>
      </c>
      <c r="I3" s="3">
        <v>0.98199999999999998</v>
      </c>
      <c r="J3" s="2">
        <v>3.3679999999999999</v>
      </c>
      <c r="K3" s="2">
        <v>1.2769999999999999</v>
      </c>
      <c r="L3" s="2">
        <v>0.98199999999999998</v>
      </c>
      <c r="N3" s="4" t="s">
        <v>20</v>
      </c>
      <c r="O3" s="4">
        <v>3.32</v>
      </c>
      <c r="P3" s="4">
        <v>3.29</v>
      </c>
      <c r="Q3" s="4">
        <v>3.16</v>
      </c>
    </row>
    <row r="4" spans="1:17" x14ac:dyDescent="0.2">
      <c r="A4" s="1" t="s">
        <v>28</v>
      </c>
      <c r="D4" s="2" t="s">
        <v>29</v>
      </c>
      <c r="G4" s="3" t="s">
        <v>32</v>
      </c>
      <c r="J4" s="2" t="s">
        <v>33</v>
      </c>
      <c r="N4" s="4" t="s">
        <v>21</v>
      </c>
      <c r="O4" s="4">
        <v>32.729999999999997</v>
      </c>
      <c r="P4" s="4">
        <v>131.71</v>
      </c>
      <c r="Q4" s="4">
        <v>378.9</v>
      </c>
    </row>
    <row r="5" spans="1:17" x14ac:dyDescent="0.2">
      <c r="A5" s="1">
        <v>46.237000000000002</v>
      </c>
      <c r="D5" s="2">
        <v>193.76300000000001</v>
      </c>
      <c r="G5" s="3">
        <v>75</v>
      </c>
      <c r="J5" s="2">
        <v>225</v>
      </c>
    </row>
    <row r="6" spans="1:17" x14ac:dyDescent="0.2">
      <c r="A6" s="1" t="s">
        <v>30</v>
      </c>
      <c r="D6" s="2" t="s">
        <v>31</v>
      </c>
      <c r="G6" s="3" t="s">
        <v>34</v>
      </c>
      <c r="J6" s="2" t="s">
        <v>35</v>
      </c>
    </row>
    <row r="7" spans="1:17" x14ac:dyDescent="0.2">
      <c r="A7" s="1">
        <v>47</v>
      </c>
      <c r="D7" s="2">
        <v>42</v>
      </c>
      <c r="G7" s="3">
        <v>73</v>
      </c>
      <c r="J7" s="2">
        <v>68</v>
      </c>
    </row>
    <row r="9" spans="1:17" x14ac:dyDescent="0.2">
      <c r="A9" t="s">
        <v>24</v>
      </c>
      <c r="B9" t="s">
        <v>58</v>
      </c>
      <c r="C9" t="s">
        <v>100</v>
      </c>
      <c r="D9" t="s">
        <v>99</v>
      </c>
      <c r="E9" t="s">
        <v>78</v>
      </c>
      <c r="F9" t="s">
        <v>67</v>
      </c>
      <c r="G9" t="s">
        <v>66</v>
      </c>
      <c r="H9" t="s">
        <v>68</v>
      </c>
      <c r="I9" t="s">
        <v>65</v>
      </c>
      <c r="J9" t="s">
        <v>69</v>
      </c>
      <c r="K9" t="s">
        <v>70</v>
      </c>
      <c r="L9" t="s">
        <v>71</v>
      </c>
      <c r="M9" t="s">
        <v>72</v>
      </c>
    </row>
    <row r="10" spans="1:17" x14ac:dyDescent="0.2">
      <c r="A10">
        <v>118</v>
      </c>
      <c r="B10">
        <v>0.57999999999999996</v>
      </c>
      <c r="C10">
        <v>55</v>
      </c>
      <c r="D10">
        <v>240</v>
      </c>
      <c r="E10">
        <v>140</v>
      </c>
      <c r="F10">
        <v>0.2</v>
      </c>
      <c r="G10">
        <v>0.1</v>
      </c>
      <c r="H10">
        <v>1.76</v>
      </c>
      <c r="I10">
        <v>1.54</v>
      </c>
      <c r="J10">
        <v>0.81</v>
      </c>
      <c r="K10">
        <v>0.76</v>
      </c>
      <c r="L10">
        <v>0.95</v>
      </c>
      <c r="M10">
        <v>1</v>
      </c>
    </row>
    <row r="12" spans="1:17" x14ac:dyDescent="0.2">
      <c r="A12" t="s">
        <v>25</v>
      </c>
      <c r="B12" t="s">
        <v>26</v>
      </c>
      <c r="C12" t="s">
        <v>27</v>
      </c>
    </row>
    <row r="13" spans="1:17" x14ac:dyDescent="0.2">
      <c r="A13">
        <f>A10*(O3/O2)^(1/3)</f>
        <v>17.844496189447987</v>
      </c>
      <c r="B13">
        <f>A10*(P3/P2)^(1/3)</f>
        <v>28.680913063439903</v>
      </c>
      <c r="C13">
        <f>A10*(Q3/Q2)^(1/3)</f>
        <v>40.81346224745964</v>
      </c>
    </row>
    <row r="15" spans="1:17" x14ac:dyDescent="0.2">
      <c r="A15" t="s">
        <v>82</v>
      </c>
      <c r="H15" t="s">
        <v>64</v>
      </c>
      <c r="M15" t="s">
        <v>101</v>
      </c>
    </row>
    <row r="16" spans="1:17" x14ac:dyDescent="0.2">
      <c r="A16">
        <v>20</v>
      </c>
      <c r="H16">
        <v>30</v>
      </c>
      <c r="M16">
        <v>45</v>
      </c>
    </row>
    <row r="17" spans="1:18" x14ac:dyDescent="0.2">
      <c r="A17" t="s">
        <v>36</v>
      </c>
      <c r="H17" t="s">
        <v>36</v>
      </c>
      <c r="M17" t="s">
        <v>102</v>
      </c>
    </row>
    <row r="18" spans="1:18" x14ac:dyDescent="0.2">
      <c r="A18" t="s">
        <v>104</v>
      </c>
      <c r="H18" s="5" t="s">
        <v>37</v>
      </c>
      <c r="M18" t="s">
        <v>103</v>
      </c>
    </row>
    <row r="19" spans="1:18" x14ac:dyDescent="0.2">
      <c r="A19" t="s">
        <v>38</v>
      </c>
      <c r="B19" t="s">
        <v>39</v>
      </c>
      <c r="C19" t="s">
        <v>40</v>
      </c>
      <c r="H19" t="s">
        <v>38</v>
      </c>
      <c r="I19" t="s">
        <v>39</v>
      </c>
      <c r="J19" t="s">
        <v>40</v>
      </c>
      <c r="M19" t="s">
        <v>38</v>
      </c>
      <c r="N19" t="s">
        <v>39</v>
      </c>
      <c r="O19" t="s">
        <v>40</v>
      </c>
    </row>
    <row r="20" spans="1:18" x14ac:dyDescent="0.2">
      <c r="A20" s="6">
        <v>25</v>
      </c>
      <c r="B20">
        <v>52</v>
      </c>
      <c r="C20">
        <v>15</v>
      </c>
      <c r="H20" s="6">
        <v>35</v>
      </c>
      <c r="I20">
        <v>72</v>
      </c>
      <c r="J20">
        <v>17</v>
      </c>
      <c r="M20" s="6">
        <v>45</v>
      </c>
      <c r="N20">
        <v>85</v>
      </c>
      <c r="O20">
        <v>19</v>
      </c>
    </row>
    <row r="21" spans="1:18" x14ac:dyDescent="0.2">
      <c r="A21" t="s">
        <v>83</v>
      </c>
      <c r="B21" t="s">
        <v>84</v>
      </c>
      <c r="C21" t="s">
        <v>85</v>
      </c>
      <c r="D21" t="s">
        <v>86</v>
      </c>
      <c r="E21" t="s">
        <v>87</v>
      </c>
      <c r="F21" t="s">
        <v>88</v>
      </c>
      <c r="H21" t="s">
        <v>41</v>
      </c>
      <c r="I21" t="s">
        <v>42</v>
      </c>
      <c r="J21" t="s">
        <v>43</v>
      </c>
      <c r="M21" t="s">
        <v>107</v>
      </c>
      <c r="N21" t="s">
        <v>105</v>
      </c>
      <c r="O21" t="s">
        <v>106</v>
      </c>
      <c r="P21" t="s">
        <v>108</v>
      </c>
      <c r="Q21" t="s">
        <v>109</v>
      </c>
      <c r="R21" t="s">
        <v>110</v>
      </c>
    </row>
    <row r="22" spans="1:18" x14ac:dyDescent="0.2">
      <c r="C22">
        <v>22.5</v>
      </c>
      <c r="D22">
        <v>10</v>
      </c>
      <c r="E22">
        <v>81.5</v>
      </c>
      <c r="F22">
        <v>15</v>
      </c>
      <c r="H22">
        <v>25</v>
      </c>
      <c r="I22">
        <v>12</v>
      </c>
      <c r="J22">
        <v>25</v>
      </c>
      <c r="M22">
        <v>19</v>
      </c>
      <c r="N22">
        <v>53.5</v>
      </c>
      <c r="O22">
        <v>10</v>
      </c>
      <c r="P22">
        <v>28.5</v>
      </c>
    </row>
    <row r="23" spans="1:18" x14ac:dyDescent="0.2">
      <c r="C23" t="s">
        <v>89</v>
      </c>
      <c r="E23" t="s">
        <v>90</v>
      </c>
      <c r="H23" t="s">
        <v>89</v>
      </c>
      <c r="I23" t="s">
        <v>90</v>
      </c>
      <c r="J23" t="s">
        <v>91</v>
      </c>
      <c r="M23" t="s">
        <v>89</v>
      </c>
      <c r="O23" t="s">
        <v>90</v>
      </c>
    </row>
    <row r="24" spans="1:18" x14ac:dyDescent="0.2">
      <c r="C24">
        <f>A7/2+D22+C22/2</f>
        <v>44.75</v>
      </c>
      <c r="E24">
        <f>A7/2+E22+F22/2</f>
        <v>112.5</v>
      </c>
      <c r="H24">
        <f>D7/2+H22-J20/2</f>
        <v>37.5</v>
      </c>
      <c r="I24">
        <f>D7/2+G7/2+I22</f>
        <v>69.5</v>
      </c>
      <c r="J24">
        <f>G7/2+J22-J20/2</f>
        <v>53</v>
      </c>
      <c r="M24">
        <f>M22+N22+O22+J7/2-O20/2</f>
        <v>107</v>
      </c>
      <c r="O24">
        <f>J7/2+P22-O20/2</f>
        <v>53</v>
      </c>
    </row>
    <row r="26" spans="1:18" x14ac:dyDescent="0.2">
      <c r="C26" t="s">
        <v>44</v>
      </c>
      <c r="E26" t="s">
        <v>45</v>
      </c>
      <c r="H26" t="s">
        <v>44</v>
      </c>
      <c r="I26" t="s">
        <v>45</v>
      </c>
      <c r="M26" t="s">
        <v>44</v>
      </c>
      <c r="O26" t="s">
        <v>45</v>
      </c>
    </row>
    <row r="27" spans="1:18" x14ac:dyDescent="0.2">
      <c r="C27">
        <f>(-C3*A5/2-B3*E24)/(C24+E24)</f>
        <v>-0.50149928139904609</v>
      </c>
      <c r="E27">
        <f>(-B3*C24+C3*A5/2)/(C24+E24)</f>
        <v>-6.5500718600953883E-2</v>
      </c>
      <c r="H27">
        <f>(-F3*D5/2+E3*(I24+J24)-I3*G5/2-H3*J24)/(H24+I24+J24)</f>
        <v>-0.61384523749999997</v>
      </c>
      <c r="I27">
        <f>(I3*G5/2-H3*(H24+I24)+F3*D5/2+E3*H24)/(H24+I24+J24)</f>
        <v>-9.6154762499999852E-2</v>
      </c>
      <c r="M27">
        <f>(-L3*J5/2+K3*O24)/(M24+O24)</f>
        <v>-0.26746249999999999</v>
      </c>
      <c r="O27">
        <f>(L3*J5/2+K3*M24)/(M24+O24)</f>
        <v>1.5444624999999998</v>
      </c>
    </row>
    <row r="28" spans="1:18" x14ac:dyDescent="0.2">
      <c r="C28" t="s">
        <v>46</v>
      </c>
      <c r="E28" t="s">
        <v>47</v>
      </c>
      <c r="H28" t="s">
        <v>46</v>
      </c>
      <c r="I28" t="s">
        <v>47</v>
      </c>
      <c r="M28" t="s">
        <v>46</v>
      </c>
      <c r="O28" t="s">
        <v>47</v>
      </c>
    </row>
    <row r="29" spans="1:18" x14ac:dyDescent="0.2">
      <c r="C29">
        <f>-A3*E24/(C24+E24)</f>
        <v>-1.0130365659777423</v>
      </c>
      <c r="E29">
        <f>-A3*C24/(C24+E24)</f>
        <v>-0.40296343402225754</v>
      </c>
      <c r="H29">
        <f>(D3*(I24+J24)+G3*J24)/(H24+I24+J24)</f>
        <v>2.1997749999999998</v>
      </c>
      <c r="I29">
        <f>(G3*(H24+I24)+D3*H24)/(H24+I24+J24)</f>
        <v>2.584225</v>
      </c>
      <c r="M29">
        <f>-J3*O24/(M24+O24)</f>
        <v>-1.11565</v>
      </c>
      <c r="O29">
        <f>-J3*M24/(M24+O24)</f>
        <v>-2.2523499999999999</v>
      </c>
    </row>
    <row r="31" spans="1:18" x14ac:dyDescent="0.2">
      <c r="C31" t="s">
        <v>92</v>
      </c>
      <c r="E31" t="s">
        <v>93</v>
      </c>
      <c r="H31" t="s">
        <v>48</v>
      </c>
      <c r="I31" t="s">
        <v>49</v>
      </c>
      <c r="J31" t="s">
        <v>50</v>
      </c>
      <c r="K31" t="s">
        <v>51</v>
      </c>
      <c r="M31" t="s">
        <v>92</v>
      </c>
      <c r="O31" t="s">
        <v>93</v>
      </c>
    </row>
    <row r="32" spans="1:18" x14ac:dyDescent="0.2">
      <c r="C32">
        <f>C27*C24</f>
        <v>-22.442092842607313</v>
      </c>
      <c r="E32">
        <f>E27*E24</f>
        <v>-7.3688308426073119</v>
      </c>
      <c r="H32">
        <f>H24*H27</f>
        <v>-23.01919640625</v>
      </c>
      <c r="I32">
        <f>I27*(I24+J24)+H3*I24-I3*G5/2</f>
        <v>40.147541593750006</v>
      </c>
      <c r="J32">
        <f>I27*J24</f>
        <v>-5.0962024124999923</v>
      </c>
      <c r="K32">
        <f>H27*(H24+I24)+F3*D5/2-E3*I24</f>
        <v>-41.921202412499987</v>
      </c>
      <c r="M32">
        <f>M27*M24</f>
        <v>-28.618487500000001</v>
      </c>
      <c r="O32">
        <f>O27*O24</f>
        <v>81.856512499999994</v>
      </c>
    </row>
    <row r="33" spans="3:16" x14ac:dyDescent="0.2">
      <c r="C33" t="s">
        <v>94</v>
      </c>
      <c r="H33" t="s">
        <v>52</v>
      </c>
      <c r="I33" t="s">
        <v>53</v>
      </c>
      <c r="M33" t="s">
        <v>94</v>
      </c>
    </row>
    <row r="34" spans="3:16" x14ac:dyDescent="0.2">
      <c r="C34">
        <f>C29*C24</f>
        <v>-45.333386327503966</v>
      </c>
      <c r="H34">
        <f>H29*H24</f>
        <v>82.491562499999986</v>
      </c>
      <c r="I34">
        <f>I29*J24</f>
        <v>136.96392499999999</v>
      </c>
      <c r="M34">
        <f>M29*M24</f>
        <v>-119.37455</v>
      </c>
    </row>
    <row r="35" spans="3:16" x14ac:dyDescent="0.2">
      <c r="C35" t="s">
        <v>95</v>
      </c>
      <c r="E35" t="s">
        <v>96</v>
      </c>
      <c r="H35" t="s">
        <v>54</v>
      </c>
      <c r="I35" t="s">
        <v>56</v>
      </c>
      <c r="J35" t="s">
        <v>55</v>
      </c>
      <c r="K35" t="s">
        <v>57</v>
      </c>
      <c r="M35" t="s">
        <v>95</v>
      </c>
      <c r="O35" t="s">
        <v>96</v>
      </c>
    </row>
    <row r="36" spans="3:16" x14ac:dyDescent="0.2">
      <c r="C36">
        <f>SQRT(C32^2+C34^2)</f>
        <v>50.584221325181332</v>
      </c>
      <c r="E36">
        <f>SQRT(E32^2+C34^2)</f>
        <v>45.928374496662563</v>
      </c>
      <c r="H36">
        <f>SQRT(H32^2+H34^2)</f>
        <v>85.643104140852557</v>
      </c>
      <c r="I36">
        <f>SQRT(I32^2+H34^2)</f>
        <v>91.742481870250771</v>
      </c>
      <c r="J36">
        <f>SQRT(J32^2+I34^2)</f>
        <v>137.05870286280543</v>
      </c>
      <c r="K36">
        <f>SQRT(K32^2+I34^2)</f>
        <v>143.2358333766918</v>
      </c>
      <c r="M36">
        <f>SQRT(M32^2+M34^2)</f>
        <v>122.75708132116108</v>
      </c>
      <c r="O36">
        <f>SQRT(O32^2+M34^2)</f>
        <v>144.74381446668164</v>
      </c>
    </row>
    <row r="37" spans="3:16" x14ac:dyDescent="0.2">
      <c r="C37" t="s">
        <v>97</v>
      </c>
      <c r="E37" t="s">
        <v>98</v>
      </c>
      <c r="H37" t="s">
        <v>59</v>
      </c>
      <c r="I37" t="s">
        <v>60</v>
      </c>
      <c r="J37" t="s">
        <v>61</v>
      </c>
      <c r="K37" t="s">
        <v>62</v>
      </c>
      <c r="M37" t="s">
        <v>97</v>
      </c>
      <c r="O37" t="s">
        <v>98</v>
      </c>
    </row>
    <row r="38" spans="3:16" x14ac:dyDescent="0.2">
      <c r="C38">
        <f>SQRT(C36^2+(B10*O4)^2)</f>
        <v>54.029000755473255</v>
      </c>
      <c r="E38">
        <f>SQRT(E36^2+(B10*O4)^2)</f>
        <v>49.696932093094887</v>
      </c>
      <c r="H38">
        <f>SQRT(H36^2+(B10*P4)^2)</f>
        <v>114.76257401313774</v>
      </c>
      <c r="I38">
        <f>SQRT(I36^2+(B10*P4)^2)</f>
        <v>119.38337441601026</v>
      </c>
      <c r="J38">
        <f>SQRT(J36^2+(B10*P4)^2)</f>
        <v>156.91014988736322</v>
      </c>
      <c r="K38">
        <f>SQRT(K36^2+(B10*P4)^2)</f>
        <v>162.33364121572404</v>
      </c>
      <c r="M38">
        <f>SQRT(M36^2+(B10*Q4)^2)</f>
        <v>251.72333554617089</v>
      </c>
      <c r="O38">
        <f>SQRT(O36^2+(B10*Q4)^2)</f>
        <v>263.14655321771772</v>
      </c>
    </row>
    <row r="39" spans="3:16" x14ac:dyDescent="0.2">
      <c r="C39" t="s">
        <v>63</v>
      </c>
      <c r="H39" t="s">
        <v>63</v>
      </c>
      <c r="M39" t="s">
        <v>63</v>
      </c>
    </row>
    <row r="40" spans="3:16" x14ac:dyDescent="0.2">
      <c r="C40" s="6">
        <f>(MAX(C38,E38)/0.1/C10)^(1/3)*10</f>
        <v>21.416808265948738</v>
      </c>
      <c r="H40" s="6">
        <f>(MAX(H38,I38,J38,K38)/0.1/C10)^(1/3)*10</f>
        <v>30.90404163462366</v>
      </c>
      <c r="M40" s="6">
        <f>(MAX(M38,O38)/0.1/C10)^(1/3)*10</f>
        <v>36.303207567110533</v>
      </c>
    </row>
    <row r="41" spans="3:16" x14ac:dyDescent="0.2">
      <c r="C41" t="s">
        <v>73</v>
      </c>
      <c r="H41" t="s">
        <v>73</v>
      </c>
      <c r="M41" t="s">
        <v>73</v>
      </c>
    </row>
    <row r="42" spans="3:16" x14ac:dyDescent="0.2">
      <c r="C42" t="s">
        <v>75</v>
      </c>
      <c r="D42" t="s">
        <v>76</v>
      </c>
      <c r="E42" t="s">
        <v>79</v>
      </c>
      <c r="F42" t="s">
        <v>80</v>
      </c>
      <c r="H42" t="s">
        <v>75</v>
      </c>
      <c r="I42" t="s">
        <v>76</v>
      </c>
      <c r="J42" t="s">
        <v>79</v>
      </c>
      <c r="K42" t="s">
        <v>80</v>
      </c>
      <c r="M42" t="s">
        <v>75</v>
      </c>
      <c r="N42" t="s">
        <v>76</v>
      </c>
      <c r="O42" t="s">
        <v>79</v>
      </c>
      <c r="P42" t="s">
        <v>80</v>
      </c>
    </row>
    <row r="43" spans="3:16" x14ac:dyDescent="0.2">
      <c r="C43">
        <f>32*MAX(C36,E36)/3.14/A5^3*1000</f>
        <v>5.2151458105945716</v>
      </c>
      <c r="D43">
        <v>0</v>
      </c>
      <c r="E43">
        <f>8*O4/3.14/A5^3*1000</f>
        <v>0.84360161088309704</v>
      </c>
      <c r="F43">
        <f>E43</f>
        <v>0.84360161088309704</v>
      </c>
      <c r="H43">
        <f>32*MAX(H36,I36,J36,K36)/3.14/G5^3*1000</f>
        <v>3.4600965647023445</v>
      </c>
      <c r="I43">
        <v>0</v>
      </c>
      <c r="J43">
        <f>8*P4/3.14/G5^3*1000</f>
        <v>0.7954177872139655</v>
      </c>
      <c r="K43">
        <f>J43</f>
        <v>0.7954177872139655</v>
      </c>
      <c r="M43">
        <f>32*MAX(M36,O36)/3.14/J5^3*1000</f>
        <v>0.12950090081857357</v>
      </c>
      <c r="N43">
        <v>0</v>
      </c>
      <c r="O43">
        <f>8*Q4/3.14/J5^3*1000</f>
        <v>8.4749547849335527E-2</v>
      </c>
      <c r="P43">
        <f>O43</f>
        <v>8.4749547849335527E-2</v>
      </c>
    </row>
    <row r="44" spans="3:16" x14ac:dyDescent="0.2">
      <c r="C44" t="s">
        <v>74</v>
      </c>
      <c r="D44" t="s">
        <v>77</v>
      </c>
      <c r="H44" t="s">
        <v>74</v>
      </c>
      <c r="I44" t="s">
        <v>77</v>
      </c>
      <c r="M44" t="s">
        <v>74</v>
      </c>
      <c r="N44" t="s">
        <v>77</v>
      </c>
    </row>
    <row r="45" spans="3:16" x14ac:dyDescent="0.2">
      <c r="C45">
        <f>M10*D10/(H10/J10/L10*C43+F10*D43)</f>
        <v>20.120591445142175</v>
      </c>
      <c r="D45">
        <f>M10*E10/(I10/K10/L10*E43+G10*F43)</f>
        <v>74.320550192411858</v>
      </c>
      <c r="H45">
        <f>M10*D10/(H10/J10/L10*H43+F10*I43)</f>
        <v>30.326268709452901</v>
      </c>
      <c r="I45">
        <f>M10*E10/(I10/K10/L10*J43+G10*K43)</f>
        <v>78.822647509102524</v>
      </c>
      <c r="M45">
        <f>M10*D10/(H10/J10/L10*M43+F10*N43)</f>
        <v>810.27867388215429</v>
      </c>
      <c r="N45">
        <f>M10*E10/(I10/K10/L10*N43+G10*O43)</f>
        <v>16519.262173396673</v>
      </c>
    </row>
    <row r="46" spans="3:16" x14ac:dyDescent="0.2">
      <c r="C46" t="s">
        <v>81</v>
      </c>
      <c r="H46" t="s">
        <v>81</v>
      </c>
      <c r="M46" t="s">
        <v>111</v>
      </c>
    </row>
    <row r="47" spans="3:16" x14ac:dyDescent="0.2">
      <c r="C47" s="6">
        <f>C45*D45/SQRT(C45^2+D45^2)</f>
        <v>19.421445693347689</v>
      </c>
      <c r="H47" s="6">
        <f>H45*I45/SQRT(H45^2+I45^2)</f>
        <v>28.30370252146637</v>
      </c>
      <c r="M47" s="6">
        <f>M45*N45/SQRT(M45^2+N45^2)</f>
        <v>809.30568219079998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2018-04-08T11:49:07Z</dcterms:modified>
</cp:coreProperties>
</file>