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/Documents/Alpha Fund Pitch/"/>
    </mc:Choice>
  </mc:AlternateContent>
  <xr:revisionPtr revIDLastSave="0" documentId="13_ncr:1_{9EA81554-BD1F-054C-9148-67D4DE84FDA8}" xr6:coauthVersionLast="47" xr6:coauthVersionMax="47" xr10:uidLastSave="{00000000-0000-0000-0000-000000000000}"/>
  <bookViews>
    <workbookView xWindow="0" yWindow="500" windowWidth="28800" windowHeight="15880" activeTab="1" xr2:uid="{13F2D793-ED1F-1040-9A2A-AA53D1BDF2C1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2" l="1"/>
  <c r="P2" i="2"/>
  <c r="P17" i="2"/>
  <c r="F16" i="2" l="1"/>
  <c r="F8" i="2" s="1"/>
  <c r="P21" i="2"/>
  <c r="P22" i="2" s="1"/>
  <c r="P16" i="2"/>
  <c r="E16" i="2"/>
  <c r="D16" i="2"/>
  <c r="C16" i="2"/>
  <c r="P15" i="2"/>
  <c r="E15" i="2"/>
  <c r="D15" i="2"/>
  <c r="C15" i="2"/>
  <c r="E14" i="2"/>
  <c r="D14" i="2"/>
  <c r="C14" i="2"/>
  <c r="E7" i="2"/>
  <c r="E13" i="2" s="1"/>
  <c r="D7" i="2"/>
  <c r="D20" i="2" s="1"/>
  <c r="C7" i="2"/>
  <c r="C20" i="2" s="1"/>
  <c r="F16" i="1"/>
  <c r="D16" i="1"/>
  <c r="E16" i="1"/>
  <c r="C16" i="1"/>
  <c r="N2" i="1"/>
  <c r="N15" i="1"/>
  <c r="G16" i="2" l="1"/>
  <c r="H16" i="2" s="1"/>
  <c r="I16" i="2" s="1"/>
  <c r="J16" i="2" s="1"/>
  <c r="C13" i="2"/>
  <c r="D13" i="2"/>
  <c r="F13" i="2" s="1"/>
  <c r="F14" i="2"/>
  <c r="F15" i="2"/>
  <c r="P23" i="2"/>
  <c r="E20" i="2"/>
  <c r="X42" i="1"/>
  <c r="F9" i="2" l="1"/>
  <c r="G9" i="2" s="1"/>
  <c r="H9" i="2" s="1"/>
  <c r="G8" i="2"/>
  <c r="H8" i="2" s="1"/>
  <c r="I8" i="2" s="1"/>
  <c r="J8" i="2" s="1"/>
  <c r="F21" i="2"/>
  <c r="J21" i="2"/>
  <c r="K21" i="2" s="1"/>
  <c r="H21" i="2"/>
  <c r="G21" i="2"/>
  <c r="I21" i="2"/>
  <c r="F7" i="2"/>
  <c r="F20" i="2" s="1"/>
  <c r="N21" i="1"/>
  <c r="N22" i="1" s="1"/>
  <c r="N16" i="1"/>
  <c r="D15" i="1"/>
  <c r="E15" i="1"/>
  <c r="C15" i="1"/>
  <c r="C14" i="1"/>
  <c r="D14" i="1"/>
  <c r="E14" i="1"/>
  <c r="B14" i="1"/>
  <c r="C7" i="1"/>
  <c r="C13" i="1" s="1"/>
  <c r="D7" i="1"/>
  <c r="D13" i="1" s="1"/>
  <c r="E7" i="1"/>
  <c r="E13" i="1" s="1"/>
  <c r="B7" i="1"/>
  <c r="B13" i="1" s="1"/>
  <c r="G7" i="2" l="1"/>
  <c r="G20" i="2" s="1"/>
  <c r="G22" i="2" s="1"/>
  <c r="F22" i="2"/>
  <c r="H7" i="2"/>
  <c r="H20" i="2" s="1"/>
  <c r="H22" i="2" s="1"/>
  <c r="I9" i="2"/>
  <c r="F14" i="1"/>
  <c r="F15" i="1"/>
  <c r="F9" i="1" s="1"/>
  <c r="F8" i="1" s="1"/>
  <c r="N17" i="1"/>
  <c r="N23" i="1" s="1"/>
  <c r="B20" i="1"/>
  <c r="C20" i="1"/>
  <c r="D20" i="1"/>
  <c r="F13" i="1"/>
  <c r="E20" i="1"/>
  <c r="J9" i="2" l="1"/>
  <c r="J7" i="2" s="1"/>
  <c r="J20" i="2" s="1"/>
  <c r="I7" i="2"/>
  <c r="I20" i="2" s="1"/>
  <c r="I22" i="2" s="1"/>
  <c r="G9" i="1"/>
  <c r="G21" i="1"/>
  <c r="H21" i="1"/>
  <c r="I21" i="1"/>
  <c r="J21" i="1"/>
  <c r="K21" i="1" s="1"/>
  <c r="F21" i="1"/>
  <c r="F22" i="1" s="1"/>
  <c r="H9" i="1"/>
  <c r="G8" i="1"/>
  <c r="G7" i="1" s="1"/>
  <c r="G20" i="1" s="1"/>
  <c r="F7" i="1"/>
  <c r="F20" i="1" s="1"/>
  <c r="J22" i="2" l="1"/>
  <c r="K20" i="2"/>
  <c r="K22" i="2" s="1"/>
  <c r="G22" i="1"/>
  <c r="I9" i="1"/>
  <c r="H8" i="1"/>
  <c r="H7" i="1" s="1"/>
  <c r="H20" i="1" s="1"/>
  <c r="H22" i="1" s="1"/>
  <c r="P4" i="2" l="1"/>
  <c r="P6" i="2" s="1"/>
  <c r="M39" i="2" s="1"/>
  <c r="J9" i="1"/>
  <c r="J8" i="1" s="1"/>
  <c r="J7" i="1" s="1"/>
  <c r="J20" i="1" s="1"/>
  <c r="I8" i="1"/>
  <c r="I7" i="1" s="1"/>
  <c r="I20" i="1" s="1"/>
  <c r="I22" i="1" s="1"/>
  <c r="V37" i="2" l="1"/>
  <c r="P8" i="2"/>
  <c r="J22" i="1"/>
  <c r="K20" i="1"/>
  <c r="K22" i="1" s="1"/>
  <c r="N4" i="1" l="1"/>
  <c r="N6" i="1" s="1"/>
  <c r="V42" i="1" l="1"/>
  <c r="X37" i="2"/>
</calcChain>
</file>

<file path=xl/sharedStrings.xml><?xml version="1.0" encoding="utf-8"?>
<sst xmlns="http://schemas.openxmlformats.org/spreadsheetml/2006/main" count="165" uniqueCount="69">
  <si>
    <t>Cash flow</t>
  </si>
  <si>
    <t>CapEx</t>
  </si>
  <si>
    <t>FCF</t>
  </si>
  <si>
    <t>Revenue</t>
  </si>
  <si>
    <t>Profit</t>
  </si>
  <si>
    <t>FCF/Profit</t>
  </si>
  <si>
    <t>Margin</t>
  </si>
  <si>
    <t>Adjusted FCF</t>
  </si>
  <si>
    <t>PV of  Future Cash Flow</t>
  </si>
  <si>
    <t>Perpetual Growth</t>
  </si>
  <si>
    <t>Today's Value</t>
  </si>
  <si>
    <t>Shares out</t>
  </si>
  <si>
    <t>Fair Value of Equity</t>
  </si>
  <si>
    <t>Revenue GR</t>
  </si>
  <si>
    <t>Interest Expense</t>
  </si>
  <si>
    <t>Total debt</t>
  </si>
  <si>
    <t>IE/Debt</t>
  </si>
  <si>
    <t>Income tax expense</t>
  </si>
  <si>
    <t>Tax rate</t>
  </si>
  <si>
    <t>WACD</t>
  </si>
  <si>
    <t>WACE</t>
  </si>
  <si>
    <t>Risk Free Rate (UK 10Y bond)</t>
  </si>
  <si>
    <t>Beta</t>
  </si>
  <si>
    <t>Market Return</t>
  </si>
  <si>
    <t>Market Cap</t>
  </si>
  <si>
    <t>Rate of equity</t>
  </si>
  <si>
    <t>Terminal Value</t>
  </si>
  <si>
    <t>Current Value</t>
  </si>
  <si>
    <t>Average</t>
  </si>
  <si>
    <t>Existing Data</t>
  </si>
  <si>
    <t>Projections</t>
  </si>
  <si>
    <t>*Not in %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</si>
  <si>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</si>
  <si>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</si>
  <si>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</si>
  <si>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</si>
  <si>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</si>
  <si>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</si>
  <si>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</si>
  <si>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</si>
  <si>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</si>
  <si>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In million GBP</t>
  </si>
  <si>
    <t>In million GBP apart from DF</t>
  </si>
  <si>
    <t>Required Return (WACC)</t>
  </si>
  <si>
    <t>WACC</t>
  </si>
  <si>
    <t>Discount Factor (DF)</t>
  </si>
  <si>
    <t>million</t>
  </si>
  <si>
    <t>million GBP</t>
  </si>
  <si>
    <t>Projected</t>
  </si>
  <si>
    <t>Sensitivity Table: (Row, Column) = (Perpetual Growth, WACC)</t>
  </si>
  <si>
    <t>Income and Cash Flow Data</t>
  </si>
  <si>
    <t>Income and Cash Flow Based Calculations</t>
  </si>
  <si>
    <t>DCF Predictions</t>
  </si>
  <si>
    <t>Fair Value Projection</t>
  </si>
  <si>
    <t>WACC Calculation</t>
  </si>
  <si>
    <t>Profit GR</t>
  </si>
  <si>
    <t>Yahoo</t>
  </si>
  <si>
    <t>Fair Value</t>
  </si>
  <si>
    <t>Terminal Growth Rate</t>
  </si>
  <si>
    <t>Finbox</t>
  </si>
  <si>
    <t>Risk Free</t>
  </si>
  <si>
    <t>FMP</t>
  </si>
  <si>
    <t>Edison</t>
  </si>
  <si>
    <t>Overvalue</t>
  </si>
  <si>
    <t>yahoo</t>
  </si>
  <si>
    <t>infrontanalytics</t>
  </si>
  <si>
    <t>macroaxis</t>
  </si>
  <si>
    <t>Column1</t>
  </si>
  <si>
    <t xml:space="preserve">	3,004.070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</si>
</sst>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[$£-809]#,##0.0"/>
    <numFmt numFmtId="167" formatCode="0.0%"/>
    <numFmt numFmtId="168" formatCode="[$£-809]#,##0.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 (Body)"/>
    </font>
    <font>
      <sz val="8"/>
      <name val="Calibri"/>
      <family val="2"/>
      <scheme val="minor"/>
    </font>
    <font>
      <sz val="13"/>
      <color rgb="FF232A31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9" borderId="0" applyNumberFormat="0" applyBorder="0" applyAlignment="0" applyProtection="0"/>
  </cellStyleXfs>
  <cellXfs count="32">
    <xf numFmtId="0" fontId="0" fillId="0" borderId="0" xfId="0"/>
    <xf numFmtId="0" fontId="5" fillId="9" borderId="0" xfId="8"/>
    <xf numFmtId="0" fontId="2" fillId="2" borderId="0" xfId="1"/>
    <xf numFmtId="0" fontId="3" fillId="3" borderId="0" xfId="2"/>
    <xf numFmtId="0" fontId="4" fillId="4" borderId="0" xfId="3"/>
    <xf numFmtId="0" fontId="1" fillId="8" borderId="0" xfId="7"/>
    <xf numFmtId="164" fontId="0" fillId="0" borderId="0" xfId="0" applyNumberFormat="1"/>
    <xf numFmtId="165" fontId="0" fillId="0" borderId="0" xfId="0" applyNumberFormat="1"/>
    <xf numFmtId="165" fontId="4" fillId="4" borderId="0" xfId="3" applyNumberFormat="1"/>
    <xf numFmtId="165" fontId="3" fillId="3" borderId="0" xfId="2" applyNumberFormat="1"/>
    <xf numFmtId="164" fontId="2" fillId="2" borderId="0" xfId="1" applyNumberFormat="1"/>
    <xf numFmtId="164" fontId="1" fillId="8" borderId="0" xfId="7" applyNumberFormat="1"/>
    <xf numFmtId="0" fontId="5" fillId="7" borderId="0" xfId="6"/>
    <xf numFmtId="166" fontId="0" fillId="0" borderId="0" xfId="0" applyNumberFormat="1"/>
    <xf numFmtId="166" fontId="2" fillId="2" borderId="0" xfId="1" applyNumberFormat="1"/>
    <xf numFmtId="166" fontId="1" fillId="8" borderId="0" xfId="7" applyNumberFormat="1"/>
    <xf numFmtId="165" fontId="2" fillId="2" borderId="0" xfId="1" applyNumberFormat="1"/>
    <xf numFmtId="2" fontId="3" fillId="3" borderId="0" xfId="2" applyNumberFormat="1"/>
    <xf numFmtId="0" fontId="5" fillId="5" borderId="0" xfId="4" applyAlignment="1"/>
    <xf numFmtId="0" fontId="5" fillId="6" borderId="0" xfId="5" applyAlignment="1"/>
    <xf numFmtId="10" fontId="0" fillId="0" borderId="0" xfId="0" applyNumberFormat="1"/>
    <xf numFmtId="9" fontId="0" fillId="0" borderId="0" xfId="0" applyNumberFormat="1"/>
    <xf numFmtId="167" fontId="2" fillId="2" borderId="0" xfId="1" applyNumberFormat="1"/>
    <xf numFmtId="168" fontId="2" fillId="2" borderId="0" xfId="1" applyNumberFormat="1"/>
    <xf numFmtId="168" fontId="0" fillId="0" borderId="0" xfId="0" applyNumberFormat="1"/>
    <xf numFmtId="0" fontId="5" fillId="5" borderId="0" xfId="4"/>
    <xf numFmtId="2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5" borderId="0" xfId="4" applyAlignment="1">
      <alignment horizontal="center"/>
    </xf>
    <xf numFmtId="0" fontId="5" fillId="6" borderId="0" xfId="5" applyAlignment="1">
      <alignment horizontal="center"/>
    </xf>
    <xf numFmtId="3" fontId="8" fillId="0" borderId="0" xfId="0" applyNumberFormat="1" applyFont="1"/>
  </cellXfs>
  <cellStyles count="9">
    <cellStyle name="60% - Accent5" xfId="7" builtinId="48"/>
    <cellStyle name="Accent1" xfId="4" builtinId="29"/>
    <cellStyle name="Accent2" xfId="5" builtinId="33"/>
    <cellStyle name="Accent5" xfId="6" builtinId="45"/>
    <cellStyle name="Accent6" xfId="8" builtinId="49"/>
    <cellStyle name="Bad" xfId="2" builtinId="27"/>
    <cellStyle name="Good" xfId="1" builtinId="26"/>
    <cellStyle name="Neutral" xfId="3" builtinId="28"/>
    <cellStyle name="Normal" xfId="0" builtinId="0"/>
  </cellStyles>
  <dxfs count="55"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F79223-BFAD-7344-A3A4-CE4FF05F57FE}" name="Table2" displayName="Table2" ref="B4:E9" totalsRowShown="0" dataDxfId="53">
  <autoFilter ref="B4:E9" xr:uid="{2AF79223-BFAD-7344-A3A4-CE4FF05F57FE}"/>
  <tableColumns count="4">
    <tableColumn id="1" xr3:uid="{14A39186-E81C-DD4E-B1B6-CC1A384ED5DA}" name="2018" dataDxfId="52"/>
    <tableColumn id="2" xr3:uid="{FCF89007-25F5-CA49-A0A7-A785BA563160}" name="2019" dataDxfId="51"/>
    <tableColumn id="3" xr3:uid="{84165F9F-3AD7-8E44-88F6-4B8A53ECEE15}" name="2020" dataDxfId="50"/>
    <tableColumn id="4" xr3:uid="{3EB48007-17AA-9F46-BF2F-DB63ED3E99AA}" name="2021" dataDxfId="49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9C2D28-BD15-FC41-B0E9-06D7810DC88F}" name="Table3" displayName="Table3" ref="F4:J9" totalsRowShown="0" dataDxfId="48">
  <autoFilter ref="F4:J9" xr:uid="{1A9C2D28-BD15-FC41-B0E9-06D7810DC88F}"/>
  <tableColumns count="5">
    <tableColumn id="1" xr3:uid="{5A2B9FD8-F535-DB4C-9CCA-2D0EC6EF1191}" name="2022" dataDxfId="47"/>
    <tableColumn id="2" xr3:uid="{1C93DB7D-D503-A54F-B325-6C02FCFDAE74}" name="2023" dataDxfId="46"/>
    <tableColumn id="3" xr3:uid="{FBFC42C0-D2A1-1943-827D-2BBD372BA86F}" name="2024" dataDxfId="45"/>
    <tableColumn id="4" xr3:uid="{D1034001-F1B6-454D-9EFC-DBDA95862F8C}" name="2025" dataDxfId="44"/>
    <tableColumn id="5" xr3:uid="{265695FA-E329-F848-8F2A-8CFC4DED6E26}" name="2026" dataDxfId="43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1A867E-ED0B-F144-BCD2-DAC8E97BF437}" name="Table4" displayName="Table4" ref="B12:F16" totalsRowCount="1" dataDxfId="42">
  <autoFilter ref="B12:F15" xr:uid="{DD1A867E-ED0B-F144-BCD2-DAC8E97BF437}"/>
  <tableColumns count="5">
    <tableColumn id="1" xr3:uid="{C9D9F4FC-4D5D-9C47-8A9A-5A402526DB56}" name="2018" dataDxfId="41" totalsRowDxfId="40"/>
    <tableColumn id="2" xr3:uid="{24E68392-1DFF-B649-9454-0FE646808C0B}" name="2019" totalsRowFunction="custom" dataDxfId="39" totalsRowDxfId="38">
      <totalsRowFormula>(C8-B8)/B8+1</totalsRowFormula>
    </tableColumn>
    <tableColumn id="3" xr3:uid="{1B05780D-9876-3648-AA34-90685381F179}" name="2020" totalsRowFunction="custom" dataDxfId="37" totalsRowDxfId="36">
      <totalsRowFormula>(D8-C8)/C8+1</totalsRowFormula>
    </tableColumn>
    <tableColumn id="4" xr3:uid="{28AAE60F-C8D7-E641-A783-6BACA71E8162}" name="2021" totalsRowFunction="custom" dataDxfId="35" totalsRowDxfId="34">
      <totalsRowFormula>(E8-D8)/D8+1</totalsRowFormula>
    </tableColumn>
    <tableColumn id="5" xr3:uid="{C4D5E6EC-E579-2242-BD9E-CF289950A663}" name="Average" totalsRowFunction="custom" dataDxfId="33" totalsRowDxfId="32">
      <totalsRowFormula>AVERAGE(Table4[[#Totals],[2019]:[2021]])</totalsRowFormula>
    </tableColumn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8E756C-4B9F-7348-A9CA-02999BDAB295}" name="Table5" displayName="Table5" ref="B19:E22" totalsRowShown="0">
  <autoFilter ref="B19:E22" xr:uid="{A48E756C-4B9F-7348-A9CA-02999BDAB295}"/>
  <tableColumns count="4">
    <tableColumn id="1" xr3:uid="{B770F73C-784B-B04C-91C3-045EF1F8D8D4}" name="2018"/>
    <tableColumn id="2" xr3:uid="{267BBA21-E1BA-2F40-8FE0-9326E2C3A109}" name="2019"/>
    <tableColumn id="3" xr3:uid="{26CE464C-C7C8-AD47-A9B9-1B055AAD9623}" name="2020"/>
    <tableColumn id="4" xr3:uid="{B1FF9DE0-CC1A-C547-9FF0-208BC8C48DE8}" name="2021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454FFA-48CE-4C44-B494-A081F07CC8B1}" name="Table6" displayName="Table6" ref="F19:K22" totalsRowShown="0">
  <autoFilter ref="F19:K22" xr:uid="{99454FFA-48CE-4C44-B494-A081F07CC8B1}"/>
  <tableColumns count="6">
    <tableColumn id="1" xr3:uid="{EE5E0EB0-5FF2-3E47-BB9B-4AE9B61A59AD}" name="2022"/>
    <tableColumn id="2" xr3:uid="{4A363F04-D5E2-6B42-921C-D81D09F87E0A}" name="2023"/>
    <tableColumn id="3" xr3:uid="{664B1BA2-C113-664A-8692-C8D118C38F37}" name="2024"/>
    <tableColumn id="4" xr3:uid="{4CAA57F7-E0BF-B240-A0C1-B0D14B75886B}" name="2025"/>
    <tableColumn id="5" xr3:uid="{690FCFD5-E9EF-754D-9B2F-073F94D7E9B9}" name="2026"/>
    <tableColumn id="6" xr3:uid="{D98B2F59-5F03-1F44-9D35-77317DDF1019}" name="Terminal Value"/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08F80-7FE1-4C4F-9809-C2610B153F8F}" name="Table22" displayName="Table22" ref="B4:E9" totalsRowShown="0" dataDxfId="29">
  <autoFilter ref="B4:E9" xr:uid="{03108F80-7FE1-4C4F-9809-C2610B153F8F}"/>
  <tableColumns count="4">
    <tableColumn id="1" xr3:uid="{533D2CA5-13F3-2B43-92D8-48FCE7D7CC90}" name="Column1" dataDxfId="28"/>
    <tableColumn id="2" xr3:uid="{51E77838-FA66-7E45-897B-135BA53C7EC5}" name="2019" dataDxfId="27"/>
    <tableColumn id="3" xr3:uid="{4C2A405F-D4E1-594B-8DE4-1486601EA703}" name="2020" dataDxfId="26"/>
    <tableColumn id="4" xr3:uid="{F671B58E-9753-3D45-994B-43E78E124B30}" name="2021" dataDxfId="25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D7E929-397E-3E47-83DA-112756683659}" name="Table38" displayName="Table38" ref="F4:J9" totalsRowShown="0" dataDxfId="24">
  <autoFilter ref="F4:J9" xr:uid="{DFD7E929-397E-3E47-83DA-112756683659}"/>
  <tableColumns count="5">
    <tableColumn id="1" xr3:uid="{35A43551-4C16-304B-92E8-F6878D5035A3}" name="2022" dataDxfId="23"/>
    <tableColumn id="2" xr3:uid="{9B828C69-A629-7D45-A197-DB6CA9026CAD}" name="2023" dataDxfId="22"/>
    <tableColumn id="3" xr3:uid="{477B91B7-EAC9-0A44-822B-D62AC1027BBE}" name="2024" dataDxfId="21"/>
    <tableColumn id="4" xr3:uid="{79FB7F6C-C64F-6444-86A1-3C9253B46BF5}" name="2025" dataDxfId="20"/>
    <tableColumn id="5" xr3:uid="{6725356D-5A24-F344-867C-3F82847F7F15}" name="2026" dataDxfId="19"/>
  </tableColumns>
  <tableStyleInfo name="TableStyleMedium2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937B5B-C5AE-0A46-9C50-E6D26931C3B1}" name="Table49" displayName="Table49" ref="B12:J16" totalsRowCount="1" dataDxfId="18">
  <autoFilter ref="B12:J15" xr:uid="{C7937B5B-C5AE-0A46-9C50-E6D26931C3B1}"/>
  <tableColumns count="9">
    <tableColumn id="1" xr3:uid="{B2790884-2B1B-5049-86A1-7AD8EE55952C}" name="2018" dataDxfId="17" totalsRowDxfId="8"/>
    <tableColumn id="2" xr3:uid="{34D94104-10AB-984A-8953-4B9002DF2875}" name="2019" totalsRowFunction="custom" dataDxfId="16" totalsRowDxfId="7">
      <totalsRowFormula>(C8-B8)/B8+1</totalsRowFormula>
    </tableColumn>
    <tableColumn id="3" xr3:uid="{50D38FF0-3611-F54C-9258-A7EF9E6FB191}" name="2020" totalsRowFunction="custom" dataDxfId="15" totalsRowDxfId="6">
      <totalsRowFormula>(D8-C8)/C8+1</totalsRowFormula>
    </tableColumn>
    <tableColumn id="4" xr3:uid="{E28E4FCC-32A9-F949-96BB-9B785DFAB5CD}" name="2021" totalsRowFunction="custom" dataDxfId="14" totalsRowDxfId="5">
      <totalsRowFormula>(E8-D8)/D8+1</totalsRowFormula>
    </tableColumn>
    <tableColumn id="5" xr3:uid="{1B87FF53-92D2-CC42-9F90-4EC91020C5B7}" name="Average" totalsRowFunction="custom" dataDxfId="13" totalsRowDxfId="4">
      <totalsRowFormula>AVERAGE(C16:E16)</totalsRowFormula>
    </tableColumn>
    <tableColumn id="6" xr3:uid="{69B15BB1-6121-6748-B4DE-AE954F5E1D0B}" name="2023" totalsRowFunction="custom" dataDxfId="12" totalsRowDxfId="3">
      <totalsRowFormula>Table49[[#Totals],[Average]]-0.036</totalsRowFormula>
    </tableColumn>
    <tableColumn id="7" xr3:uid="{42794BE5-319F-4F43-8211-B41B44B65E76}" name="2024" totalsRowFunction="custom" dataDxfId="11" totalsRowDxfId="2">
      <totalsRowFormula>Table49[[#Totals],[2023]]-0.036</totalsRowFormula>
    </tableColumn>
    <tableColumn id="8" xr3:uid="{79205E3F-95AF-6641-A8DE-E1685E2B653D}" name="2025" totalsRowFunction="custom" dataDxfId="10" totalsRowDxfId="1">
      <totalsRowFormula>Table49[[#Totals],[2024]]-0.036</totalsRowFormula>
    </tableColumn>
    <tableColumn id="9" xr3:uid="{95878DC2-8403-3249-B789-C31B5394BCAC}" name="2026" totalsRowFunction="custom" dataDxfId="9" totalsRowDxfId="0">
      <totalsRowFormula>Table49[[#Totals],[2025]]-0.036</totalsRowFormula>
    </tableColumn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497225-A575-7A43-B835-2CE9BF06A323}" name="Table510" displayName="Table510" ref="B19:E22" totalsRowShown="0">
  <autoFilter ref="B19:E22" xr:uid="{0F497225-A575-7A43-B835-2CE9BF06A323}"/>
  <tableColumns count="4">
    <tableColumn id="1" xr3:uid="{B8F9AD6B-6A71-5549-8F1A-4D88E7641E1B}" name="2018"/>
    <tableColumn id="2" xr3:uid="{A5225CAB-AA03-D94D-9531-47C6B177FF40}" name="2019"/>
    <tableColumn id="3" xr3:uid="{A37E5C7A-89F9-664D-B9E0-6711D5D2D28F}" name="2020"/>
    <tableColumn id="4" xr3:uid="{EE1473A3-4B75-2A4B-9766-786CBBBAE480}" name="2021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9F4ADF-F1D3-2F44-BDE3-1445EDC959D7}" name="Table611" displayName="Table611" ref="F19:K22" totalsRowShown="0">
  <autoFilter ref="F19:K22" xr:uid="{589F4ADF-F1D3-2F44-BDE3-1445EDC959D7}"/>
  <tableColumns count="6">
    <tableColumn id="1" xr3:uid="{55074350-094A-B245-AEFB-D2678FAB07C5}" name="2022"/>
    <tableColumn id="2" xr3:uid="{BF2F699E-251B-F64E-AEFD-3376751F616F}" name="2023"/>
    <tableColumn id="3" xr3:uid="{2FE336C5-61DA-304E-9B63-9DC2DBF6E546}" name="2024"/>
    <tableColumn id="4" xr3:uid="{3DD294C0-B90A-9A4E-9364-A1AEB6FDFE5C}" name="2025"/>
    <tableColumn id="5" xr3:uid="{29C5F321-2C3F-8D46-A266-D4F405D35E75}" name="2026"/>
    <tableColumn id="6" xr3:uid="{A4893A4D-F592-F545-8964-4DD449FEBC1F}" name="Terminal Value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0A02-1A4B-F347-98C2-7C9E7B8D98CC}">
  <dimension ref="A1:X42"/>
  <sheetViews>
    <sheetView zoomScale="99" workbookViewId="0">
      <selection sqref="A1:X42"/>
    </sheetView>
  </sheetViews>
  <sheetFormatPr baseColWidth="10" defaultRowHeight="16" x14ac:dyDescent="0.2"/>
  <cols>
    <col min="1" max="1" width="25.1640625" bestFit="1" customWidth="1"/>
    <col min="6" max="6" width="12.6640625" bestFit="1" customWidth="1"/>
    <col min="9" max="9" width="23.33203125" bestFit="1" customWidth="1"/>
    <col min="10" max="10" width="12.1640625" bestFit="1" customWidth="1"/>
    <col min="11" max="11" width="16" customWidth="1"/>
    <col min="13" max="13" width="25.5" bestFit="1" customWidth="1"/>
    <col min="15" max="15" width="10.83203125" customWidth="1"/>
  </cols>
  <sheetData>
    <row r="1" spans="1:15" x14ac:dyDescent="0.2">
      <c r="M1" s="27" t="s">
        <v>53</v>
      </c>
      <c r="N1" s="27"/>
    </row>
    <row r="2" spans="1:15" x14ac:dyDescent="0.2">
      <c r="A2" s="27" t="s">
        <v>50</v>
      </c>
      <c r="B2" s="27"/>
      <c r="C2" s="27"/>
      <c r="D2" s="27"/>
      <c r="E2" s="27"/>
      <c r="F2" s="27"/>
      <c r="G2" s="27"/>
      <c r="H2" s="27"/>
      <c r="I2" s="27"/>
      <c r="J2" s="27"/>
      <c r="M2" s="4" t="s">
        <v>43</v>
      </c>
      <c r="N2" s="8">
        <f>N23</f>
        <v>8.3733234328605022E-2</v>
      </c>
    </row>
    <row r="3" spans="1:15" x14ac:dyDescent="0.2">
      <c r="A3" s="27" t="s">
        <v>41</v>
      </c>
      <c r="B3" s="29" t="s">
        <v>29</v>
      </c>
      <c r="C3" s="29"/>
      <c r="D3" s="29"/>
      <c r="E3" s="29"/>
      <c r="F3" s="30" t="s">
        <v>30</v>
      </c>
      <c r="G3" s="30"/>
      <c r="H3" s="30"/>
      <c r="I3" s="30"/>
      <c r="J3" s="30"/>
      <c r="M3" s="3" t="s">
        <v>9</v>
      </c>
      <c r="N3" s="9">
        <v>0.02</v>
      </c>
    </row>
    <row r="4" spans="1:15" x14ac:dyDescent="0.2">
      <c r="A4" s="27"/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M4" s="2" t="s">
        <v>10</v>
      </c>
      <c r="N4" s="10">
        <f>SUM(F22:K22)</f>
        <v>2674.0598187681544</v>
      </c>
      <c r="O4" t="s">
        <v>47</v>
      </c>
    </row>
    <row r="5" spans="1:15" x14ac:dyDescent="0.2">
      <c r="A5" s="1" t="s">
        <v>0</v>
      </c>
      <c r="B5" s="6">
        <v>70.099999999999994</v>
      </c>
      <c r="C5" s="6">
        <v>72.5</v>
      </c>
      <c r="D5" s="6">
        <v>104.5</v>
      </c>
      <c r="E5" s="6">
        <v>132.69999999999999</v>
      </c>
      <c r="F5" s="6"/>
      <c r="G5" s="6"/>
      <c r="H5" s="6"/>
      <c r="I5" s="6"/>
      <c r="J5" s="6"/>
      <c r="M5" s="5" t="s">
        <v>11</v>
      </c>
      <c r="N5" s="11">
        <v>32.799999999999997</v>
      </c>
      <c r="O5" t="s">
        <v>46</v>
      </c>
    </row>
    <row r="6" spans="1:15" x14ac:dyDescent="0.2">
      <c r="A6" s="1" t="s">
        <v>1</v>
      </c>
      <c r="B6" s="6">
        <v>21.6</v>
      </c>
      <c r="C6" s="6">
        <v>22.5</v>
      </c>
      <c r="D6" s="6">
        <v>24.6</v>
      </c>
      <c r="E6" s="6">
        <v>30</v>
      </c>
      <c r="F6" s="6"/>
      <c r="G6" s="6"/>
      <c r="H6" s="6"/>
      <c r="I6" s="6"/>
      <c r="J6" s="6"/>
      <c r="M6" s="2" t="s">
        <v>12</v>
      </c>
      <c r="N6" s="14">
        <f>N4/N5</f>
        <v>81.52621398683398</v>
      </c>
    </row>
    <row r="7" spans="1:15" x14ac:dyDescent="0.2">
      <c r="A7" s="1" t="s">
        <v>2</v>
      </c>
      <c r="B7" s="6">
        <f>B5-B6</f>
        <v>48.499999999999993</v>
      </c>
      <c r="C7" s="6">
        <f>C5-C6</f>
        <v>50</v>
      </c>
      <c r="D7" s="6">
        <f>D5-D6</f>
        <v>79.900000000000006</v>
      </c>
      <c r="E7" s="6">
        <f>E5-E6</f>
        <v>102.69999999999999</v>
      </c>
      <c r="F7" s="6">
        <f>F8*$F$13</f>
        <v>103.89569571357904</v>
      </c>
      <c r="G7" s="6">
        <f>G8*$F$13</f>
        <v>121.91008239148118</v>
      </c>
      <c r="H7" s="6">
        <f>H8*$F$13</f>
        <v>143.04796831689413</v>
      </c>
      <c r="I7" s="6">
        <f>I8*$F$13</f>
        <v>167.8509343786732</v>
      </c>
      <c r="J7" s="6">
        <f>J8*$F$13</f>
        <v>196.95446571726166</v>
      </c>
      <c r="M7" s="5" t="s">
        <v>27</v>
      </c>
      <c r="N7" s="15">
        <v>71.900000000000006</v>
      </c>
    </row>
    <row r="8" spans="1:15" x14ac:dyDescent="0.2">
      <c r="A8" s="1" t="s">
        <v>4</v>
      </c>
      <c r="B8" s="6">
        <v>74.3</v>
      </c>
      <c r="C8" s="6">
        <v>81.3</v>
      </c>
      <c r="D8" s="6">
        <v>89.4</v>
      </c>
      <c r="E8" s="6">
        <v>150.9</v>
      </c>
      <c r="F8" s="6">
        <f>F9*$F$14</f>
        <v>146.22464409212182</v>
      </c>
      <c r="G8" s="6">
        <f>G9*$F$14</f>
        <v>171.5784112758553</v>
      </c>
      <c r="H8" s="6">
        <f>H9*$F$14</f>
        <v>201.32824667639352</v>
      </c>
      <c r="I8" s="6">
        <f>I9*$F$14</f>
        <v>236.23638083828453</v>
      </c>
      <c r="J8" s="6">
        <f>J9*$F$14</f>
        <v>277.19720681456988</v>
      </c>
    </row>
    <row r="9" spans="1:15" x14ac:dyDescent="0.2">
      <c r="A9" s="1" t="s">
        <v>3</v>
      </c>
      <c r="B9" s="6">
        <v>221.3</v>
      </c>
      <c r="C9" s="6">
        <v>256.60000000000002</v>
      </c>
      <c r="D9" s="6">
        <v>269.7</v>
      </c>
      <c r="E9" s="6">
        <v>353.2</v>
      </c>
      <c r="F9" s="6">
        <f>E9*$F$15</f>
        <v>414.44104883204938</v>
      </c>
      <c r="G9" s="6">
        <f>F9*$F$15</f>
        <v>486.30063124861022</v>
      </c>
      <c r="H9" s="6">
        <f>G9*$F$15</f>
        <v>570.61988579377601</v>
      </c>
      <c r="I9" s="6">
        <f>H9*$F$15</f>
        <v>669.55918446431701</v>
      </c>
      <c r="J9" s="6">
        <f>I9*$F$15</f>
        <v>785.65348432764199</v>
      </c>
    </row>
    <row r="10" spans="1:15" x14ac:dyDescent="0.2">
      <c r="M10" s="27" t="s">
        <v>54</v>
      </c>
      <c r="N10" s="27"/>
    </row>
    <row r="11" spans="1:15" x14ac:dyDescent="0.2">
      <c r="A11" s="27" t="s">
        <v>51</v>
      </c>
      <c r="B11" s="27"/>
      <c r="C11" s="27"/>
      <c r="D11" s="27"/>
      <c r="E11" s="27"/>
      <c r="F11" s="27"/>
      <c r="M11" s="5" t="s">
        <v>14</v>
      </c>
      <c r="N11" s="11">
        <v>1</v>
      </c>
      <c r="O11" s="27" t="s">
        <v>47</v>
      </c>
    </row>
    <row r="12" spans="1:15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28</v>
      </c>
      <c r="M12" s="5" t="s">
        <v>15</v>
      </c>
      <c r="N12" s="11">
        <v>47</v>
      </c>
      <c r="O12" s="27"/>
    </row>
    <row r="13" spans="1:15" x14ac:dyDescent="0.2">
      <c r="A13" s="1" t="s">
        <v>5</v>
      </c>
      <c r="B13" s="7">
        <f t="shared" ref="B13:E14" si="0">B7/B8</f>
        <v>0.65275908479138622</v>
      </c>
      <c r="C13" s="7">
        <f t="shared" si="0"/>
        <v>0.61500615006150061</v>
      </c>
      <c r="D13" s="7">
        <f t="shared" si="0"/>
        <v>0.89373601789709178</v>
      </c>
      <c r="E13" s="7">
        <f t="shared" si="0"/>
        <v>0.68058316766070237</v>
      </c>
      <c r="F13" s="7">
        <f>AVERAGE(B13:E13)</f>
        <v>0.7105211051026703</v>
      </c>
      <c r="M13" s="5" t="s">
        <v>24</v>
      </c>
      <c r="N13" s="11">
        <v>2426.8000000000002</v>
      </c>
      <c r="O13" s="27"/>
    </row>
    <row r="14" spans="1:15" x14ac:dyDescent="0.2">
      <c r="A14" s="1" t="s">
        <v>6</v>
      </c>
      <c r="B14" s="7">
        <f t="shared" si="0"/>
        <v>0.33574333483958424</v>
      </c>
      <c r="C14" s="7">
        <f t="shared" si="0"/>
        <v>0.31683554169914258</v>
      </c>
      <c r="D14" s="7">
        <f t="shared" si="0"/>
        <v>0.33147942157953286</v>
      </c>
      <c r="E14" s="7">
        <f t="shared" si="0"/>
        <v>0.42723669309173273</v>
      </c>
      <c r="F14" s="7">
        <f>AVERAGE(B14:E14)</f>
        <v>0.35282374780249814</v>
      </c>
      <c r="M14" s="5" t="s">
        <v>17</v>
      </c>
      <c r="N14" s="11">
        <v>28.9</v>
      </c>
      <c r="O14" s="27"/>
    </row>
    <row r="15" spans="1:15" x14ac:dyDescent="0.2">
      <c r="A15" s="1" t="s">
        <v>13</v>
      </c>
      <c r="B15" s="7"/>
      <c r="C15" s="7">
        <f>1+(C9-B9)/B9</f>
        <v>1.1595119746949842</v>
      </c>
      <c r="D15" s="7">
        <f>1+(D9-C9)/C9</f>
        <v>1.0510522213561964</v>
      </c>
      <c r="E15" s="7">
        <f>1+(E9-D9)/D9</f>
        <v>1.3096032628846868</v>
      </c>
      <c r="F15" s="7">
        <f>AVERAGE(C15:E15)</f>
        <v>1.1733891529786222</v>
      </c>
      <c r="M15" s="2" t="s">
        <v>18</v>
      </c>
      <c r="N15" s="16">
        <f>N14/E8</f>
        <v>0.1915175612988734</v>
      </c>
    </row>
    <row r="16" spans="1:15" x14ac:dyDescent="0.2">
      <c r="A16" s="1" t="s">
        <v>55</v>
      </c>
      <c r="B16" s="7"/>
      <c r="C16" s="7">
        <f>(C8-B8)/B8+1</f>
        <v>1.0942126514131898</v>
      </c>
      <c r="D16" s="7">
        <f t="shared" ref="D16:E16" si="1">(D8-C8)/C8+1</f>
        <v>1.0996309963099633</v>
      </c>
      <c r="E16" s="7">
        <f t="shared" si="1"/>
        <v>1.6879194630872483</v>
      </c>
      <c r="F16" s="7">
        <f>AVERAGE(Table4[[#Totals],[2019]:[2021]])</f>
        <v>1.2939210369368004</v>
      </c>
      <c r="M16" s="2" t="s">
        <v>16</v>
      </c>
      <c r="N16" s="16">
        <f>N11/N12</f>
        <v>2.1276595744680851E-2</v>
      </c>
    </row>
    <row r="17" spans="1:24" x14ac:dyDescent="0.2">
      <c r="A17" s="27" t="s">
        <v>52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M17" s="2" t="s">
        <v>19</v>
      </c>
      <c r="N17" s="16">
        <f>N16*(1-N15)</f>
        <v>1.7201754014917588E-2</v>
      </c>
    </row>
    <row r="18" spans="1:24" x14ac:dyDescent="0.2">
      <c r="A18" s="27" t="s">
        <v>42</v>
      </c>
      <c r="B18" s="29" t="s">
        <v>29</v>
      </c>
      <c r="C18" s="29"/>
      <c r="D18" s="29"/>
      <c r="E18" s="29"/>
      <c r="F18" s="30" t="s">
        <v>30</v>
      </c>
      <c r="G18" s="30"/>
      <c r="H18" s="30"/>
      <c r="I18" s="30"/>
      <c r="J18" s="30"/>
      <c r="K18" s="30"/>
      <c r="M18" s="3" t="s">
        <v>21</v>
      </c>
      <c r="N18" s="9">
        <v>1.4E-2</v>
      </c>
    </row>
    <row r="19" spans="1:24" x14ac:dyDescent="0.2">
      <c r="A19" s="27"/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26</v>
      </c>
      <c r="M19" s="3" t="s">
        <v>22</v>
      </c>
      <c r="N19" s="17">
        <v>1.17</v>
      </c>
    </row>
    <row r="20" spans="1:24" x14ac:dyDescent="0.2">
      <c r="A20" s="1" t="s">
        <v>7</v>
      </c>
      <c r="B20" s="6">
        <f t="shared" ref="B20:J20" si="2">B7</f>
        <v>48.499999999999993</v>
      </c>
      <c r="C20" s="6">
        <f t="shared" si="2"/>
        <v>50</v>
      </c>
      <c r="D20" s="6">
        <f t="shared" si="2"/>
        <v>79.900000000000006</v>
      </c>
      <c r="E20" s="6">
        <f t="shared" si="2"/>
        <v>102.69999999999999</v>
      </c>
      <c r="F20" s="6">
        <f t="shared" si="2"/>
        <v>103.89569571357904</v>
      </c>
      <c r="G20" s="6">
        <f t="shared" si="2"/>
        <v>121.91008239148118</v>
      </c>
      <c r="H20" s="6">
        <f t="shared" si="2"/>
        <v>143.04796831689413</v>
      </c>
      <c r="I20" s="6">
        <f t="shared" si="2"/>
        <v>167.8509343786732</v>
      </c>
      <c r="J20" s="6">
        <f t="shared" si="2"/>
        <v>196.95446571726166</v>
      </c>
      <c r="K20" s="6">
        <f>(1+N3)/(N2-N3)*J20</f>
        <v>3152.1004252790758</v>
      </c>
      <c r="M20" s="3" t="s">
        <v>23</v>
      </c>
      <c r="N20" s="9">
        <v>0.06</v>
      </c>
    </row>
    <row r="21" spans="1:24" x14ac:dyDescent="0.2">
      <c r="A21" s="1" t="s">
        <v>45</v>
      </c>
      <c r="F21" s="7">
        <f>(1+$N$2)^(F19-2021)</f>
        <v>1.083733234328605</v>
      </c>
      <c r="G21" s="7">
        <f>(1+$N$2)^(G19-2021)</f>
        <v>1.1744777231883392</v>
      </c>
      <c r="H21" s="7">
        <f>(1+$N$2)^(H19-2021)</f>
        <v>1.2728205415977949</v>
      </c>
      <c r="I21" s="7">
        <f>(1+$N$2)^(I19-2021)</f>
        <v>1.3793979222656652</v>
      </c>
      <c r="J21" s="7">
        <f>(1+$N$2)^(J19-2021)</f>
        <v>1.4948993717231269</v>
      </c>
      <c r="K21" s="7">
        <f>J21</f>
        <v>1.4948993717231269</v>
      </c>
      <c r="M21" s="2" t="s">
        <v>25</v>
      </c>
      <c r="N21" s="16">
        <f>N18+N19*(N20-N18)</f>
        <v>6.7819999999999991E-2</v>
      </c>
    </row>
    <row r="22" spans="1:24" x14ac:dyDescent="0.2">
      <c r="A22" s="1" t="s">
        <v>8</v>
      </c>
      <c r="F22" s="6">
        <f t="shared" ref="F22:K22" si="3">F20/F21</f>
        <v>95.868330344177878</v>
      </c>
      <c r="G22" s="6">
        <f t="shared" si="3"/>
        <v>103.79939949864139</v>
      </c>
      <c r="H22" s="6">
        <f t="shared" si="3"/>
        <v>112.38659625757091</v>
      </c>
      <c r="I22" s="6">
        <f t="shared" si="3"/>
        <v>121.68420125135287</v>
      </c>
      <c r="J22" s="6">
        <f t="shared" si="3"/>
        <v>131.75098568021872</v>
      </c>
      <c r="K22" s="6">
        <f t="shared" si="3"/>
        <v>2108.5703057361925</v>
      </c>
      <c r="M22" s="2" t="s">
        <v>20</v>
      </c>
      <c r="N22" s="16">
        <f>N21*N13/(N13+N12)</f>
        <v>6.6531480313687441E-2</v>
      </c>
    </row>
    <row r="23" spans="1:24" x14ac:dyDescent="0.2">
      <c r="M23" s="2" t="s">
        <v>44</v>
      </c>
      <c r="N23" s="16">
        <f>N22+N17</f>
        <v>8.3733234328605022E-2</v>
      </c>
    </row>
    <row r="25" spans="1:24" x14ac:dyDescent="0.2">
      <c r="M25" s="28" t="s">
        <v>49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x14ac:dyDescent="0.2"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8" spans="1:24" x14ac:dyDescent="0.2">
      <c r="N28" s="12">
        <v>-0.02</v>
      </c>
      <c r="O28" s="12">
        <v>-1.4999999999999999E-2</v>
      </c>
      <c r="P28" s="12">
        <v>-0.01</v>
      </c>
      <c r="Q28" s="12">
        <v>-5.0000000000000001E-3</v>
      </c>
      <c r="R28" s="12">
        <v>0</v>
      </c>
      <c r="S28" s="12">
        <v>5.0000000000000001E-3</v>
      </c>
      <c r="T28" s="12">
        <v>0.01</v>
      </c>
      <c r="U28" s="12">
        <v>1.4999999999999999E-2</v>
      </c>
      <c r="V28" s="12">
        <v>0.02</v>
      </c>
      <c r="W28" s="12">
        <v>2.5000000000000001E-2</v>
      </c>
      <c r="X28" s="12">
        <v>0.03</v>
      </c>
    </row>
    <row r="29" spans="1:24" x14ac:dyDescent="0.2">
      <c r="M29" s="1">
        <v>0.04</v>
      </c>
      <c r="N29" s="13">
        <f t="dataTable" ref="N29:X40" dt2D="1" dtr="1" r1="N3" r2="N2"/>
        <v>100.2810858413979</v>
      </c>
      <c r="O29" s="13">
        <v>108.0581323462545</v>
      </c>
      <c r="P29" s="13">
        <v>117.3905881520824</v>
      </c>
      <c r="Q29" s="13">
        <v>128.79692302587208</v>
      </c>
      <c r="R29" s="13">
        <v>143.05484161810918</v>
      </c>
      <c r="S29" s="13">
        <v>161.38645123669971</v>
      </c>
      <c r="T29" s="13">
        <v>185.82859739482052</v>
      </c>
      <c r="U29" s="13">
        <v>220.0476020161895</v>
      </c>
      <c r="V29" s="13">
        <v>271.37610894824309</v>
      </c>
      <c r="W29" s="13">
        <v>356.92362050166571</v>
      </c>
      <c r="X29" s="13">
        <v>528.01864360851084</v>
      </c>
    </row>
    <row r="30" spans="1:24" x14ac:dyDescent="0.2">
      <c r="M30" s="1">
        <v>0.05</v>
      </c>
      <c r="N30" s="13">
        <v>84.938127286639713</v>
      </c>
      <c r="O30" s="13">
        <v>90.366796757522323</v>
      </c>
      <c r="P30" s="13">
        <v>96.700244473552047</v>
      </c>
      <c r="Q30" s="13">
        <v>104.18522813795079</v>
      </c>
      <c r="R30" s="13">
        <v>113.16720853522928</v>
      </c>
      <c r="S30" s="13">
        <v>124.14518457634742</v>
      </c>
      <c r="T30" s="13">
        <v>137.86765462774511</v>
      </c>
      <c r="U30" s="13">
        <v>155.51083040811361</v>
      </c>
      <c r="V30" s="13">
        <v>179.03506478193827</v>
      </c>
      <c r="W30" s="13">
        <v>211.96899290529268</v>
      </c>
      <c r="X30" s="13">
        <v>261.36988509032443</v>
      </c>
    </row>
    <row r="31" spans="1:24" x14ac:dyDescent="0.2">
      <c r="M31" s="1">
        <v>0.06</v>
      </c>
      <c r="N31" s="13">
        <v>73.465050113049372</v>
      </c>
      <c r="O31" s="13">
        <v>77.428626948442471</v>
      </c>
      <c r="P31" s="13">
        <v>81.958429046034624</v>
      </c>
      <c r="Q31" s="13">
        <v>87.185123774025513</v>
      </c>
      <c r="R31" s="13">
        <v>93.282934290014936</v>
      </c>
      <c r="S31" s="13">
        <v>100.4894376270933</v>
      </c>
      <c r="T31" s="13">
        <v>109.13724163158739</v>
      </c>
      <c r="U31" s="13">
        <v>119.70677985930232</v>
      </c>
      <c r="V31" s="13">
        <v>132.91870264394606</v>
      </c>
      <c r="W31" s="13">
        <v>149.90546050991651</v>
      </c>
      <c r="X31" s="13">
        <v>172.55447099787719</v>
      </c>
    </row>
    <row r="32" spans="1:24" x14ac:dyDescent="0.2">
      <c r="M32" s="1">
        <v>7.0000000000000007E-2</v>
      </c>
      <c r="N32" s="13">
        <v>64.570398533455204</v>
      </c>
      <c r="O32" s="13">
        <v>67.564492644866775</v>
      </c>
      <c r="P32" s="13">
        <v>70.932848520204772</v>
      </c>
      <c r="Q32" s="13">
        <v>74.750318512254495</v>
      </c>
      <c r="R32" s="13">
        <v>79.113141360311346</v>
      </c>
      <c r="S32" s="13">
        <v>84.147167723453833</v>
      </c>
      <c r="T32" s="13">
        <v>90.020198480453416</v>
      </c>
      <c r="U32" s="13">
        <v>96.961053011452904</v>
      </c>
      <c r="V32" s="13">
        <v>105.29007844865234</v>
      </c>
      <c r="W32" s="13">
        <v>115.4699984274516</v>
      </c>
      <c r="X32" s="13">
        <v>128.19489840095071</v>
      </c>
    </row>
    <row r="33" spans="13:24" x14ac:dyDescent="0.2">
      <c r="M33" s="1">
        <v>0.08</v>
      </c>
      <c r="N33" s="13">
        <v>57.479378681763244</v>
      </c>
      <c r="O33" s="13">
        <v>59.802347422837748</v>
      </c>
      <c r="P33" s="13">
        <v>62.383423801809421</v>
      </c>
      <c r="Q33" s="13">
        <v>65.268156225365999</v>
      </c>
      <c r="R33" s="13">
        <v>68.513480201867139</v>
      </c>
      <c r="S33" s="13">
        <v>72.191514041901769</v>
      </c>
      <c r="T33" s="13">
        <v>76.394981287655625</v>
      </c>
      <c r="U33" s="13">
        <v>81.24513580198699</v>
      </c>
      <c r="V33" s="13">
        <v>86.903649402040273</v>
      </c>
      <c r="W33" s="13">
        <v>93.590983656648675</v>
      </c>
      <c r="X33" s="13">
        <v>101.61578476217878</v>
      </c>
    </row>
    <row r="34" spans="13:24" x14ac:dyDescent="0.2">
      <c r="M34" s="1">
        <v>0.09</v>
      </c>
      <c r="N34" s="13">
        <v>51.699007331446531</v>
      </c>
      <c r="O34" s="13">
        <v>53.540517057795178</v>
      </c>
      <c r="P34" s="13">
        <v>55.566177756778693</v>
      </c>
      <c r="Q34" s="13">
        <v>57.805065897760464</v>
      </c>
      <c r="R34" s="13">
        <v>60.292719387740206</v>
      </c>
      <c r="S34" s="13">
        <v>63.073037994188162</v>
      </c>
      <c r="T34" s="13">
        <v>66.200896426442114</v>
      </c>
      <c r="U34" s="13">
        <v>69.745802649663247</v>
      </c>
      <c r="V34" s="13">
        <v>73.797124047630277</v>
      </c>
      <c r="W34" s="13">
        <v>78.471725660669108</v>
      </c>
      <c r="X34" s="13">
        <v>83.925427542547808</v>
      </c>
    </row>
    <row r="35" spans="13:24" x14ac:dyDescent="0.2">
      <c r="M35" s="1">
        <v>0.1</v>
      </c>
      <c r="N35" s="13">
        <v>46.900686606069407</v>
      </c>
      <c r="O35" s="13">
        <v>48.386663874750127</v>
      </c>
      <c r="P35" s="13">
        <v>50.007729986038186</v>
      </c>
      <c r="Q35" s="13">
        <v>51.783183346020337</v>
      </c>
      <c r="R35" s="13">
        <v>53.736182042000721</v>
      </c>
      <c r="S35" s="13">
        <v>55.894759548084281</v>
      </c>
      <c r="T35" s="13">
        <v>58.293178999288259</v>
      </c>
      <c r="U35" s="13">
        <v>60.973765444751507</v>
      </c>
      <c r="V35" s="13">
        <v>63.989425195897681</v>
      </c>
      <c r="W35" s="13">
        <v>67.407172913863334</v>
      </c>
      <c r="X35" s="13">
        <v>71.313170305824087</v>
      </c>
    </row>
    <row r="36" spans="13:24" x14ac:dyDescent="0.2">
      <c r="M36" s="1">
        <v>0.11</v>
      </c>
      <c r="N36" s="13">
        <v>42.85697527364389</v>
      </c>
      <c r="O36" s="13">
        <v>44.074048510643323</v>
      </c>
      <c r="P36" s="13">
        <v>45.392544517392714</v>
      </c>
      <c r="Q36" s="13">
        <v>46.825692350815963</v>
      </c>
      <c r="R36" s="13">
        <v>48.389126350914054</v>
      </c>
      <c r="S36" s="13">
        <v>50.10145882721195</v>
      </c>
      <c r="T36" s="13">
        <v>51.985024551139652</v>
      </c>
      <c r="U36" s="13">
        <v>54.066860351270265</v>
      </c>
      <c r="V36" s="13">
        <v>56.380011240304285</v>
      </c>
      <c r="W36" s="13">
        <v>58.965297528048183</v>
      </c>
      <c r="X36" s="13">
        <v>61.873744601760066</v>
      </c>
    </row>
    <row r="37" spans="13:24" x14ac:dyDescent="0.2">
      <c r="M37" s="1">
        <v>0.12</v>
      </c>
      <c r="N37" s="13">
        <v>39.405458309459263</v>
      </c>
      <c r="O37" s="13">
        <v>40.415008925553948</v>
      </c>
      <c r="P37" s="13">
        <v>41.502217281348237</v>
      </c>
      <c r="Q37" s="13">
        <v>42.676402305606061</v>
      </c>
      <c r="R37" s="13">
        <v>43.948436081885376</v>
      </c>
      <c r="S37" s="13">
        <v>45.331081490884635</v>
      </c>
      <c r="T37" s="13">
        <v>46.83942193706563</v>
      </c>
      <c r="U37" s="13">
        <v>48.491413854311489</v>
      </c>
      <c r="V37" s="13">
        <v>50.308604963281937</v>
      </c>
      <c r="W37" s="13">
        <v>52.317079346880845</v>
      </c>
      <c r="X37" s="13">
        <v>54.548717550879644</v>
      </c>
    </row>
    <row r="38" spans="13:24" x14ac:dyDescent="0.2">
      <c r="M38" s="1">
        <v>0.13</v>
      </c>
      <c r="N38" s="13">
        <v>36.427068848929203</v>
      </c>
      <c r="O38" s="13">
        <v>37.273689695049761</v>
      </c>
      <c r="P38" s="13">
        <v>38.180783458750369</v>
      </c>
      <c r="Q38" s="13">
        <v>39.15506935309547</v>
      </c>
      <c r="R38" s="13">
        <v>40.204300316236342</v>
      </c>
      <c r="S38" s="13">
        <v>41.337469756428483</v>
      </c>
      <c r="T38" s="13">
        <v>42.565069983303303</v>
      </c>
      <c r="U38" s="13">
        <v>43.89941805599333</v>
      </c>
      <c r="V38" s="13">
        <v>45.355070498927901</v>
      </c>
      <c r="W38" s="13">
        <v>46.949356507856237</v>
      </c>
      <c r="X38" s="13">
        <v>48.70307111767741</v>
      </c>
    </row>
    <row r="39" spans="13:24" x14ac:dyDescent="0.2">
      <c r="M39" s="1">
        <v>0.14000000000000001</v>
      </c>
      <c r="N39" s="13">
        <v>33.832539592951576</v>
      </c>
      <c r="O39" s="13">
        <v>34.549327891358182</v>
      </c>
      <c r="P39" s="13">
        <v>35.31390207632522</v>
      </c>
      <c r="Q39" s="13">
        <v>36.131205515427929</v>
      </c>
      <c r="R39" s="13">
        <v>37.006887771609392</v>
      </c>
      <c r="S39" s="13">
        <v>37.9474353801006</v>
      </c>
      <c r="T39" s="13">
        <v>38.960332804629594</v>
      </c>
      <c r="U39" s="13">
        <v>40.054262023120906</v>
      </c>
      <c r="V39" s="13">
        <v>41.239352009819825</v>
      </c>
      <c r="W39" s="13">
        <v>42.527493299709946</v>
      </c>
      <c r="X39" s="13">
        <v>43.932738343226468</v>
      </c>
    </row>
    <row r="40" spans="13:24" x14ac:dyDescent="0.2">
      <c r="M40" s="1">
        <v>0.15</v>
      </c>
      <c r="N40" s="13">
        <v>31.553636229737076</v>
      </c>
      <c r="O40" s="13">
        <v>32.165616986051404</v>
      </c>
      <c r="P40" s="13">
        <v>32.815846539635366</v>
      </c>
      <c r="Q40" s="13">
        <v>33.508026386998949</v>
      </c>
      <c r="R40" s="13">
        <v>34.246351557520107</v>
      </c>
      <c r="S40" s="13">
        <v>35.035595705318578</v>
      </c>
      <c r="T40" s="13">
        <v>35.881214435102656</v>
      </c>
      <c r="U40" s="13">
        <v>36.789471589315184</v>
      </c>
      <c r="V40" s="13">
        <v>37.767594678467141</v>
      </c>
      <c r="W40" s="13">
        <v>38.823967614751247</v>
      </c>
      <c r="X40" s="13">
        <v>39.968371629059043</v>
      </c>
    </row>
    <row r="42" spans="13:24" x14ac:dyDescent="0.2">
      <c r="U42" t="s">
        <v>48</v>
      </c>
      <c r="V42" s="13">
        <f>N6</f>
        <v>81.52621398683398</v>
      </c>
      <c r="W42" t="s">
        <v>28</v>
      </c>
      <c r="X42" s="13">
        <f>AVERAGE(N29:X40)</f>
        <v>80.003432446055953</v>
      </c>
    </row>
  </sheetData>
  <mergeCells count="13">
    <mergeCell ref="M1:N1"/>
    <mergeCell ref="O11:O14"/>
    <mergeCell ref="M10:N10"/>
    <mergeCell ref="M25:X26"/>
    <mergeCell ref="A2:J2"/>
    <mergeCell ref="A3:A4"/>
    <mergeCell ref="A18:A19"/>
    <mergeCell ref="B3:E3"/>
    <mergeCell ref="F3:J3"/>
    <mergeCell ref="B18:E18"/>
    <mergeCell ref="F18:K18"/>
    <mergeCell ref="A11:F11"/>
    <mergeCell ref="A17:K17"/>
  </mergeCells>
  <conditionalFormatting sqref="N29:X40">
    <cfRule type="cellIs" dxfId="54" priority="9" operator="greaterThan">
      <formula>$N$7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1199-AB3C-394B-8BEC-03D4C60CF097}">
  <dimension ref="A1:X44"/>
  <sheetViews>
    <sheetView tabSelected="1" workbookViewId="0">
      <selection activeCell="K9" sqref="K9"/>
    </sheetView>
  </sheetViews>
  <sheetFormatPr baseColWidth="10" defaultRowHeight="16" x14ac:dyDescent="0.2"/>
  <cols>
    <col min="1" max="1" width="25.1640625" bestFit="1" customWidth="1"/>
    <col min="11" max="11" width="16.1640625" bestFit="1" customWidth="1"/>
    <col min="15" max="15" width="25.5" bestFit="1" customWidth="1"/>
    <col min="18" max="18" width="13.83203125" bestFit="1" customWidth="1"/>
  </cols>
  <sheetData>
    <row r="1" spans="1:17" x14ac:dyDescent="0.2">
      <c r="O1" s="27" t="s">
        <v>53</v>
      </c>
      <c r="P1" s="27"/>
    </row>
    <row r="2" spans="1:17" x14ac:dyDescent="0.2">
      <c r="A2" s="27" t="s">
        <v>50</v>
      </c>
      <c r="B2" s="27"/>
      <c r="C2" s="27"/>
      <c r="D2" s="27"/>
      <c r="E2" s="27"/>
      <c r="F2" s="27"/>
      <c r="G2" s="27"/>
      <c r="H2" s="27"/>
      <c r="I2" s="27"/>
      <c r="J2" s="27"/>
      <c r="O2" s="4" t="s">
        <v>43</v>
      </c>
      <c r="P2" s="8">
        <f>P23</f>
        <v>8.3733234328605022E-2</v>
      </c>
    </row>
    <row r="3" spans="1:17" x14ac:dyDescent="0.2">
      <c r="A3" s="27" t="s">
        <v>41</v>
      </c>
      <c r="B3" s="18" t="s">
        <v>29</v>
      </c>
      <c r="C3" s="18"/>
      <c r="D3" s="18"/>
      <c r="E3" s="18"/>
      <c r="F3" s="19" t="s">
        <v>30</v>
      </c>
      <c r="G3" s="19"/>
      <c r="H3" s="19"/>
      <c r="I3" s="19"/>
      <c r="J3" s="19"/>
      <c r="O3" s="3" t="s">
        <v>9</v>
      </c>
      <c r="P3" s="9">
        <v>0.02</v>
      </c>
    </row>
    <row r="4" spans="1:17" x14ac:dyDescent="0.2">
      <c r="A4" s="27"/>
      <c r="B4" t="s">
        <v>67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O4" s="2" t="s">
        <v>10</v>
      </c>
      <c r="P4" s="10" t="e">
        <f>SUM(F22:K22)</f>
        <v>#DIV/0!</v>
      </c>
      <c r="Q4" t="s">
        <v>47</v>
      </c>
    </row>
    <row r="5" spans="1:17" ht="17" x14ac:dyDescent="0.2">
      <c r="A5" s="1" t="s">
        <v>0</v>
      </c>
      <c r="B5" s="6"/>
      <c r="C5" s="31">
        <v>-80.593999999999994</v>
      </c>
      <c r="D5" s="6" t="s">
        <v>68</v>
      </c>
      <c r="E5" s="6">
        <v>10730.031000000001</v>
      </c>
      <c r="F5" s="6"/>
      <c r="G5" s="6"/>
      <c r="H5" s="6"/>
      <c r="I5" s="6"/>
      <c r="J5" s="6"/>
      <c r="O5" s="5" t="s">
        <v>11</v>
      </c>
      <c r="P5" s="11">
        <v>32.799999999999997</v>
      </c>
      <c r="Q5" t="s">
        <v>46</v>
      </c>
    </row>
    <row r="6" spans="1:17" x14ac:dyDescent="0.2">
      <c r="A6" s="1" t="s">
        <v>1</v>
      </c>
      <c r="B6" s="6"/>
      <c r="C6" s="6">
        <v>-40.470999999999997</v>
      </c>
      <c r="D6" s="6">
        <v>-18.802</v>
      </c>
      <c r="E6" s="6">
        <v>-85.783000000000001</v>
      </c>
      <c r="F6" s="6"/>
      <c r="G6" s="6"/>
      <c r="H6" s="6"/>
      <c r="I6" s="6"/>
      <c r="J6" s="6"/>
      <c r="O6" s="2" t="s">
        <v>12</v>
      </c>
      <c r="P6" s="23" t="e">
        <f>P4/P5</f>
        <v>#DIV/0!</v>
      </c>
    </row>
    <row r="7" spans="1:17" x14ac:dyDescent="0.2">
      <c r="A7" s="1" t="s">
        <v>2</v>
      </c>
      <c r="B7" s="6"/>
      <c r="C7" s="6">
        <f>C5-C6</f>
        <v>-40.122999999999998</v>
      </c>
      <c r="D7" s="6" t="e">
        <f>D5-D6</f>
        <v>#VALUE!</v>
      </c>
      <c r="E7" s="6">
        <f>E5-E6</f>
        <v>10815.814</v>
      </c>
      <c r="F7" s="6" t="e">
        <f>F8*$F$13</f>
        <v>#DIV/0!</v>
      </c>
      <c r="G7" s="6" t="e">
        <f>G8*$F$13</f>
        <v>#DIV/0!</v>
      </c>
      <c r="H7" s="6" t="e">
        <f>H8*$F$13</f>
        <v>#DIV/0!</v>
      </c>
      <c r="I7" s="6" t="e">
        <f>I8*$F$13</f>
        <v>#DIV/0!</v>
      </c>
      <c r="J7" s="6" t="e">
        <f>J8*$F$13</f>
        <v>#DIV/0!</v>
      </c>
      <c r="O7" s="5" t="s">
        <v>27</v>
      </c>
      <c r="P7" s="15">
        <v>67.849999999999994</v>
      </c>
    </row>
    <row r="8" spans="1:17" x14ac:dyDescent="0.2">
      <c r="A8" s="1" t="s">
        <v>4</v>
      </c>
      <c r="B8" s="6"/>
      <c r="C8" s="6">
        <v>81.3</v>
      </c>
      <c r="D8" s="6">
        <v>89.4</v>
      </c>
      <c r="E8" s="6">
        <v>150.9</v>
      </c>
      <c r="F8" s="6" t="e">
        <f>E8*F16</f>
        <v>#DIV/0!</v>
      </c>
      <c r="G8" s="6" t="e">
        <f t="shared" ref="G8:J8" si="0">F8*G16</f>
        <v>#DIV/0!</v>
      </c>
      <c r="H8" s="6" t="e">
        <f t="shared" si="0"/>
        <v>#DIV/0!</v>
      </c>
      <c r="I8" s="6" t="e">
        <f t="shared" si="0"/>
        <v>#DIV/0!</v>
      </c>
      <c r="J8" s="6" t="e">
        <f t="shared" si="0"/>
        <v>#DIV/0!</v>
      </c>
      <c r="O8" s="2" t="s">
        <v>63</v>
      </c>
      <c r="P8" s="22" t="e">
        <f>(P6-P7)/P7</f>
        <v>#DIV/0!</v>
      </c>
    </row>
    <row r="9" spans="1:17" x14ac:dyDescent="0.2">
      <c r="A9" s="1" t="s">
        <v>3</v>
      </c>
      <c r="B9" s="6"/>
      <c r="C9" s="6">
        <v>256.60000000000002</v>
      </c>
      <c r="D9" s="6">
        <v>269.7</v>
      </c>
      <c r="E9" s="6">
        <v>353.2</v>
      </c>
      <c r="F9" s="6" t="e">
        <f>E9*$F$15</f>
        <v>#DIV/0!</v>
      </c>
      <c r="G9" s="6" t="e">
        <f>F9*$F$15</f>
        <v>#DIV/0!</v>
      </c>
      <c r="H9" s="6" t="e">
        <f>G9*$F$15</f>
        <v>#DIV/0!</v>
      </c>
      <c r="I9" s="6" t="e">
        <f>H9*$F$15</f>
        <v>#DIV/0!</v>
      </c>
      <c r="J9" s="6" t="e">
        <f>I9*$F$15</f>
        <v>#DIV/0!</v>
      </c>
    </row>
    <row r="10" spans="1:17" x14ac:dyDescent="0.2">
      <c r="O10" s="27" t="s">
        <v>54</v>
      </c>
      <c r="P10" s="27"/>
    </row>
    <row r="11" spans="1:17" x14ac:dyDescent="0.2">
      <c r="A11" s="27" t="s">
        <v>51</v>
      </c>
      <c r="B11" s="27"/>
      <c r="C11" s="27"/>
      <c r="D11" s="27"/>
      <c r="E11" s="27"/>
      <c r="F11" s="27"/>
      <c r="G11" s="27"/>
      <c r="H11" s="27"/>
      <c r="I11" s="27"/>
      <c r="J11" s="27"/>
      <c r="O11" s="5" t="s">
        <v>14</v>
      </c>
      <c r="P11" s="11">
        <v>1</v>
      </c>
      <c r="Q11" s="27" t="s">
        <v>47</v>
      </c>
    </row>
    <row r="12" spans="1:17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28</v>
      </c>
      <c r="G12" t="s">
        <v>37</v>
      </c>
      <c r="H12" t="s">
        <v>38</v>
      </c>
      <c r="I12" t="s">
        <v>39</v>
      </c>
      <c r="J12" t="s">
        <v>40</v>
      </c>
      <c r="O12" s="5" t="s">
        <v>15</v>
      </c>
      <c r="P12" s="11">
        <v>47</v>
      </c>
      <c r="Q12" s="27"/>
    </row>
    <row r="13" spans="1:17" x14ac:dyDescent="0.2">
      <c r="A13" s="1" t="s">
        <v>5</v>
      </c>
      <c r="B13" s="7"/>
      <c r="C13" s="7">
        <f t="shared" ref="B13:E14" si="1">C7/C8</f>
        <v>-0.49351783517835179</v>
      </c>
      <c r="D13" s="7" t="e">
        <f t="shared" si="1"/>
        <v>#VALUE!</v>
      </c>
      <c r="E13" s="7">
        <f t="shared" si="1"/>
        <v>71.675374420145786</v>
      </c>
      <c r="F13" s="7" t="e">
        <f>AVERAGE(B13:E13)</f>
        <v>#VALUE!</v>
      </c>
      <c r="G13" s="7"/>
      <c r="H13" s="7"/>
      <c r="I13" s="7"/>
      <c r="J13" s="7"/>
      <c r="O13" s="5" t="s">
        <v>24</v>
      </c>
      <c r="P13" s="11">
        <v>2426.8000000000002</v>
      </c>
      <c r="Q13" s="27"/>
    </row>
    <row r="14" spans="1:17" x14ac:dyDescent="0.2">
      <c r="A14" s="1" t="s">
        <v>6</v>
      </c>
      <c r="B14" s="7"/>
      <c r="C14" s="7">
        <f t="shared" si="1"/>
        <v>0.31683554169914258</v>
      </c>
      <c r="D14" s="7">
        <f t="shared" si="1"/>
        <v>0.33147942157953286</v>
      </c>
      <c r="E14" s="7">
        <f t="shared" si="1"/>
        <v>0.42723669309173273</v>
      </c>
      <c r="F14" s="7">
        <f>AVERAGE(B14:E14)</f>
        <v>0.35851721879013604</v>
      </c>
      <c r="G14" s="7"/>
      <c r="H14" s="7"/>
      <c r="I14" s="7"/>
      <c r="J14" s="7"/>
      <c r="O14" s="5" t="s">
        <v>17</v>
      </c>
      <c r="P14" s="11">
        <v>28.9</v>
      </c>
      <c r="Q14" s="27"/>
    </row>
    <row r="15" spans="1:17" x14ac:dyDescent="0.2">
      <c r="A15" s="1" t="s">
        <v>13</v>
      </c>
      <c r="B15" s="7"/>
      <c r="C15" s="7" t="e">
        <f>1+(C9-B9)/B9</f>
        <v>#DIV/0!</v>
      </c>
      <c r="D15" s="7">
        <f>1+(D9-C9)/C9</f>
        <v>1.0510522213561964</v>
      </c>
      <c r="E15" s="7">
        <f>1+(E9-D9)/D9</f>
        <v>1.3096032628846868</v>
      </c>
      <c r="F15" s="7" t="e">
        <f>AVERAGE(C15:E15)</f>
        <v>#DIV/0!</v>
      </c>
      <c r="G15" s="7"/>
      <c r="H15" s="7"/>
      <c r="I15" s="7"/>
      <c r="J15" s="7"/>
      <c r="O15" s="2" t="s">
        <v>18</v>
      </c>
      <c r="P15" s="16">
        <f>P14/E8</f>
        <v>0.1915175612988734</v>
      </c>
    </row>
    <row r="16" spans="1:17" x14ac:dyDescent="0.2">
      <c r="A16" s="1" t="s">
        <v>55</v>
      </c>
      <c r="B16" s="7"/>
      <c r="C16" s="7" t="e">
        <f>(C8-B8)/B8+1</f>
        <v>#DIV/0!</v>
      </c>
      <c r="D16" s="7">
        <f>(D8-C8)/C8+1</f>
        <v>1.0996309963099633</v>
      </c>
      <c r="E16" s="7">
        <f>(E8-D8)/D8+1</f>
        <v>1.6879194630872483</v>
      </c>
      <c r="F16" s="7" t="e">
        <f>AVERAGE(C16:E16)</f>
        <v>#DIV/0!</v>
      </c>
      <c r="G16" s="7" t="e">
        <f>Table49[[#Totals],[Average]]-0.036</f>
        <v>#DIV/0!</v>
      </c>
      <c r="H16" s="7" t="e">
        <f>Table49[[#Totals],[2023]]-0.036</f>
        <v>#DIV/0!</v>
      </c>
      <c r="I16" s="7" t="e">
        <f>Table49[[#Totals],[2024]]-0.036</f>
        <v>#DIV/0!</v>
      </c>
      <c r="J16" s="7" t="e">
        <f>Table49[[#Totals],[2025]]-0.036</f>
        <v>#DIV/0!</v>
      </c>
      <c r="O16" s="2" t="s">
        <v>16</v>
      </c>
      <c r="P16" s="16">
        <f>P11/P12</f>
        <v>2.1276595744680851E-2</v>
      </c>
    </row>
    <row r="17" spans="1:24" x14ac:dyDescent="0.2">
      <c r="A17" s="27" t="s">
        <v>52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O17" s="2" t="s">
        <v>19</v>
      </c>
      <c r="P17" s="16">
        <f>P16*(1-P15)</f>
        <v>1.7201754014917588E-2</v>
      </c>
    </row>
    <row r="18" spans="1:24" x14ac:dyDescent="0.2">
      <c r="A18" s="27" t="s">
        <v>42</v>
      </c>
      <c r="B18" s="29" t="s">
        <v>29</v>
      </c>
      <c r="C18" s="29"/>
      <c r="D18" s="29"/>
      <c r="E18" s="29"/>
      <c r="F18" s="30" t="s">
        <v>30</v>
      </c>
      <c r="G18" s="30"/>
      <c r="H18" s="30"/>
      <c r="I18" s="30"/>
      <c r="J18" s="30"/>
      <c r="K18" s="30"/>
      <c r="O18" s="3" t="s">
        <v>21</v>
      </c>
      <c r="P18" s="9">
        <v>1.4E-2</v>
      </c>
    </row>
    <row r="19" spans="1:24" x14ac:dyDescent="0.2">
      <c r="A19" s="27"/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26</v>
      </c>
      <c r="O19" s="3" t="s">
        <v>22</v>
      </c>
      <c r="P19" s="17">
        <v>1.17</v>
      </c>
      <c r="Q19" t="s">
        <v>64</v>
      </c>
      <c r="R19" t="s">
        <v>65</v>
      </c>
      <c r="S19" t="s">
        <v>66</v>
      </c>
    </row>
    <row r="20" spans="1:24" x14ac:dyDescent="0.2">
      <c r="A20" s="1" t="s">
        <v>7</v>
      </c>
      <c r="B20" s="6">
        <f t="shared" ref="B20:J20" si="2">B7</f>
        <v>0</v>
      </c>
      <c r="C20" s="6">
        <f t="shared" si="2"/>
        <v>-40.122999999999998</v>
      </c>
      <c r="D20" s="6" t="e">
        <f t="shared" si="2"/>
        <v>#VALUE!</v>
      </c>
      <c r="E20" s="6">
        <f t="shared" si="2"/>
        <v>10815.814</v>
      </c>
      <c r="F20" s="6" t="e">
        <f t="shared" si="2"/>
        <v>#DIV/0!</v>
      </c>
      <c r="G20" s="6" t="e">
        <f t="shared" si="2"/>
        <v>#DIV/0!</v>
      </c>
      <c r="H20" s="6" t="e">
        <f t="shared" si="2"/>
        <v>#DIV/0!</v>
      </c>
      <c r="I20" s="6" t="e">
        <f t="shared" si="2"/>
        <v>#DIV/0!</v>
      </c>
      <c r="J20" s="6" t="e">
        <f t="shared" si="2"/>
        <v>#DIV/0!</v>
      </c>
      <c r="K20" s="6" t="e">
        <f>(1+P3)/(P2-P3)*J20</f>
        <v>#DIV/0!</v>
      </c>
      <c r="O20" s="3" t="s">
        <v>23</v>
      </c>
      <c r="P20" s="9">
        <v>0.06</v>
      </c>
    </row>
    <row r="21" spans="1:24" x14ac:dyDescent="0.2">
      <c r="A21" s="1" t="s">
        <v>45</v>
      </c>
      <c r="F21" s="7">
        <f>(1+$P$2)^(F19-2021)</f>
        <v>1.083733234328605</v>
      </c>
      <c r="G21" s="7">
        <f>(1+$P$2)^(G19-2021)</f>
        <v>1.1744777231883392</v>
      </c>
      <c r="H21" s="7">
        <f>(1+$P$2)^(H19-2021)</f>
        <v>1.2728205415977949</v>
      </c>
      <c r="I21" s="7">
        <f>(1+$P$2)^(I19-2021)</f>
        <v>1.3793979222656652</v>
      </c>
      <c r="J21" s="7">
        <f>(1+$P$2)^(J19-2021)</f>
        <v>1.4948993717231269</v>
      </c>
      <c r="K21" s="7">
        <f>J21</f>
        <v>1.4948993717231269</v>
      </c>
      <c r="O21" s="2" t="s">
        <v>25</v>
      </c>
      <c r="P21" s="16">
        <f>P18+P19*(P20-P18)</f>
        <v>6.7819999999999991E-2</v>
      </c>
    </row>
    <row r="22" spans="1:24" x14ac:dyDescent="0.2">
      <c r="A22" s="1" t="s">
        <v>8</v>
      </c>
      <c r="F22" s="6" t="e">
        <f t="shared" ref="F22:K22" si="3">F20/F21</f>
        <v>#DIV/0!</v>
      </c>
      <c r="G22" s="6" t="e">
        <f t="shared" si="3"/>
        <v>#DIV/0!</v>
      </c>
      <c r="H22" s="6" t="e">
        <f t="shared" si="3"/>
        <v>#DIV/0!</v>
      </c>
      <c r="I22" s="6" t="e">
        <f t="shared" si="3"/>
        <v>#DIV/0!</v>
      </c>
      <c r="J22" s="6" t="e">
        <f t="shared" si="3"/>
        <v>#DIV/0!</v>
      </c>
      <c r="K22" s="6" t="e">
        <f t="shared" si="3"/>
        <v>#DIV/0!</v>
      </c>
      <c r="O22" s="2" t="s">
        <v>20</v>
      </c>
      <c r="P22" s="16">
        <f>P21*P13/(P13+P12)</f>
        <v>6.6531480313687441E-2</v>
      </c>
    </row>
    <row r="23" spans="1:24" x14ac:dyDescent="0.2">
      <c r="O23" s="2" t="s">
        <v>44</v>
      </c>
      <c r="P23" s="16">
        <f>P22+P17</f>
        <v>8.3733234328605022E-2</v>
      </c>
    </row>
    <row r="25" spans="1:24" x14ac:dyDescent="0.2">
      <c r="M25" s="28" t="s">
        <v>49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x14ac:dyDescent="0.2"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 x14ac:dyDescent="0.2">
      <c r="N27" s="12">
        <v>-0.02</v>
      </c>
      <c r="O27" s="12">
        <v>-1.4999999999999999E-2</v>
      </c>
      <c r="P27" s="12">
        <v>-0.01</v>
      </c>
      <c r="Q27" s="12">
        <v>-5.0000000000000001E-3</v>
      </c>
      <c r="R27" s="12">
        <v>0</v>
      </c>
      <c r="S27" s="12">
        <v>5.0000000000000001E-3</v>
      </c>
      <c r="T27" s="12">
        <v>0.01</v>
      </c>
      <c r="U27" s="12">
        <v>1.4999999999999999E-2</v>
      </c>
      <c r="V27" s="12">
        <v>0.02</v>
      </c>
      <c r="W27" s="12">
        <v>2.5000000000000001E-2</v>
      </c>
      <c r="X27" s="12">
        <v>0.03</v>
      </c>
    </row>
    <row r="28" spans="1:24" x14ac:dyDescent="0.2">
      <c r="M28" s="1">
        <v>0.04</v>
      </c>
      <c r="N28" s="13">
        <v>100.2810858413979</v>
      </c>
      <c r="O28" s="13">
        <v>108.0581323462545</v>
      </c>
      <c r="P28" s="13">
        <v>117.3905881520824</v>
      </c>
      <c r="Q28" s="13">
        <v>128.79692302587208</v>
      </c>
      <c r="R28" s="13">
        <v>143.05484161810918</v>
      </c>
      <c r="S28" s="13">
        <v>161.38645123669971</v>
      </c>
      <c r="T28" s="13">
        <v>185.82859739482052</v>
      </c>
      <c r="U28" s="13">
        <v>220.0476020161895</v>
      </c>
      <c r="V28" s="13">
        <v>271.37610894824309</v>
      </c>
      <c r="W28" s="13">
        <v>356.92362050166571</v>
      </c>
      <c r="X28" s="13">
        <v>528.01864360851084</v>
      </c>
    </row>
    <row r="29" spans="1:24" x14ac:dyDescent="0.2">
      <c r="M29" s="1">
        <v>0.05</v>
      </c>
      <c r="N29" s="13">
        <v>84.938127286639713</v>
      </c>
      <c r="O29" s="13">
        <v>90.366796757522323</v>
      </c>
      <c r="P29" s="13">
        <v>96.700244473552047</v>
      </c>
      <c r="Q29" s="13">
        <v>104.18522813795079</v>
      </c>
      <c r="R29" s="13">
        <v>113.16720853522928</v>
      </c>
      <c r="S29" s="13">
        <v>124.14518457634742</v>
      </c>
      <c r="T29" s="13">
        <v>137.86765462774511</v>
      </c>
      <c r="U29" s="13">
        <v>155.51083040811361</v>
      </c>
      <c r="V29" s="13">
        <v>179.03506478193827</v>
      </c>
      <c r="W29" s="13">
        <v>211.96899290529268</v>
      </c>
      <c r="X29" s="13">
        <v>261.36988509032443</v>
      </c>
    </row>
    <row r="30" spans="1:24" x14ac:dyDescent="0.2">
      <c r="M30" s="1">
        <v>0.06</v>
      </c>
      <c r="N30" s="13">
        <v>73.465050113049372</v>
      </c>
      <c r="O30" s="13">
        <v>77.428626948442471</v>
      </c>
      <c r="P30" s="13">
        <v>81.958429046034624</v>
      </c>
      <c r="Q30" s="13">
        <v>87.185123774025513</v>
      </c>
      <c r="R30" s="13">
        <v>93.282934290014936</v>
      </c>
      <c r="S30" s="13">
        <v>100.4894376270933</v>
      </c>
      <c r="T30" s="13">
        <v>109.13724163158739</v>
      </c>
      <c r="U30" s="13">
        <v>119.70677985930232</v>
      </c>
      <c r="V30" s="13">
        <v>132.91870264394606</v>
      </c>
      <c r="W30" s="13">
        <v>149.90546050991651</v>
      </c>
      <c r="X30" s="13">
        <v>172.55447099787719</v>
      </c>
    </row>
    <row r="31" spans="1:24" x14ac:dyDescent="0.2">
      <c r="M31" s="1">
        <v>7.0000000000000007E-2</v>
      </c>
      <c r="N31" s="13">
        <v>64.570398533455204</v>
      </c>
      <c r="O31" s="13">
        <v>67.564492644866775</v>
      </c>
      <c r="P31" s="13">
        <v>70.932848520204772</v>
      </c>
      <c r="Q31" s="13">
        <v>74.750318512254495</v>
      </c>
      <c r="R31" s="13">
        <v>79.113141360311346</v>
      </c>
      <c r="S31" s="13">
        <v>84.147167723453833</v>
      </c>
      <c r="T31" s="13">
        <v>90.020198480453416</v>
      </c>
      <c r="U31" s="13">
        <v>96.961053011452904</v>
      </c>
      <c r="V31" s="13">
        <v>105.29007844865234</v>
      </c>
      <c r="W31" s="13">
        <v>115.4699984274516</v>
      </c>
      <c r="X31" s="13">
        <v>128.19489840095071</v>
      </c>
    </row>
    <row r="32" spans="1:24" x14ac:dyDescent="0.2">
      <c r="M32" s="1">
        <v>0.08</v>
      </c>
      <c r="N32" s="13">
        <v>57.479378681763244</v>
      </c>
      <c r="O32" s="13">
        <v>59.802347422837748</v>
      </c>
      <c r="P32" s="13">
        <v>62.383423801809421</v>
      </c>
      <c r="Q32" s="13">
        <v>65.268156225365999</v>
      </c>
      <c r="R32" s="13">
        <v>68.513480201867139</v>
      </c>
      <c r="S32" s="13">
        <v>72.191514041901769</v>
      </c>
      <c r="T32" s="13">
        <v>76.394981287655625</v>
      </c>
      <c r="U32" s="13">
        <v>81.24513580198699</v>
      </c>
      <c r="V32" s="13">
        <v>86.903649402040273</v>
      </c>
      <c r="W32" s="13">
        <v>93.590983656648675</v>
      </c>
      <c r="X32" s="13">
        <v>101.61578476217878</v>
      </c>
    </row>
    <row r="33" spans="13:24" x14ac:dyDescent="0.2">
      <c r="M33" s="1">
        <v>0.09</v>
      </c>
      <c r="N33" s="13">
        <v>51.699007331446531</v>
      </c>
      <c r="O33" s="13">
        <v>53.540517057795178</v>
      </c>
      <c r="P33" s="13">
        <v>55.566177756778693</v>
      </c>
      <c r="Q33" s="13">
        <v>57.805065897760464</v>
      </c>
      <c r="R33" s="13">
        <v>60.292719387740206</v>
      </c>
      <c r="S33" s="13">
        <v>63.073037994188162</v>
      </c>
      <c r="T33" s="13">
        <v>66.200896426442114</v>
      </c>
      <c r="U33" s="13">
        <v>69.745802649663247</v>
      </c>
      <c r="V33" s="13">
        <v>73.797124047630277</v>
      </c>
      <c r="W33" s="13">
        <v>78.471725660669108</v>
      </c>
      <c r="X33" s="13">
        <v>83.925427542547808</v>
      </c>
    </row>
    <row r="34" spans="13:24" x14ac:dyDescent="0.2">
      <c r="M34" s="1">
        <v>0.1</v>
      </c>
      <c r="N34" s="13">
        <v>46.900686606069407</v>
      </c>
      <c r="O34" s="13">
        <v>48.386663874750127</v>
      </c>
      <c r="P34" s="13">
        <v>50.007729986038186</v>
      </c>
      <c r="Q34" s="13">
        <v>51.783183346020337</v>
      </c>
      <c r="R34" s="13">
        <v>53.736182042000721</v>
      </c>
      <c r="S34" s="13">
        <v>55.894759548084281</v>
      </c>
      <c r="T34" s="13">
        <v>58.293178999288259</v>
      </c>
      <c r="U34" s="13">
        <v>60.973765444751507</v>
      </c>
      <c r="V34" s="13">
        <v>63.989425195897681</v>
      </c>
      <c r="W34" s="13">
        <v>67.407172913863334</v>
      </c>
      <c r="X34" s="13">
        <v>71.313170305824087</v>
      </c>
    </row>
    <row r="35" spans="13:24" x14ac:dyDescent="0.2">
      <c r="M35" s="1">
        <v>0.11</v>
      </c>
      <c r="N35" s="13">
        <v>42.85697527364389</v>
      </c>
      <c r="O35" s="13">
        <v>44.074048510643323</v>
      </c>
      <c r="P35" s="13">
        <v>45.392544517392714</v>
      </c>
      <c r="Q35" s="13">
        <v>46.825692350815963</v>
      </c>
      <c r="R35" s="13">
        <v>48.389126350914054</v>
      </c>
      <c r="S35" s="13">
        <v>50.10145882721195</v>
      </c>
      <c r="T35" s="13">
        <v>51.985024551139652</v>
      </c>
      <c r="U35" s="13">
        <v>54.066860351270265</v>
      </c>
      <c r="V35" s="13">
        <v>56.380011240304285</v>
      </c>
      <c r="W35" s="13">
        <v>58.965297528048183</v>
      </c>
      <c r="X35" s="13">
        <v>61.873744601760066</v>
      </c>
    </row>
    <row r="36" spans="13:24" x14ac:dyDescent="0.2">
      <c r="M36" s="1">
        <v>0.12</v>
      </c>
      <c r="N36" s="13">
        <v>39.405458309459263</v>
      </c>
      <c r="O36" s="13">
        <v>40.415008925553948</v>
      </c>
      <c r="P36" s="13">
        <v>41.502217281348237</v>
      </c>
      <c r="Q36" s="13">
        <v>42.676402305606061</v>
      </c>
      <c r="R36" s="13">
        <v>43.948436081885376</v>
      </c>
      <c r="S36" s="13">
        <v>45.331081490884635</v>
      </c>
      <c r="T36" s="13">
        <v>46.83942193706563</v>
      </c>
      <c r="U36" s="13">
        <v>48.491413854311489</v>
      </c>
      <c r="V36" s="13">
        <v>50.308604963281937</v>
      </c>
      <c r="W36" s="13">
        <v>52.317079346880845</v>
      </c>
      <c r="X36" s="13">
        <v>54.548717550879644</v>
      </c>
    </row>
    <row r="37" spans="13:24" x14ac:dyDescent="0.2">
      <c r="N37" s="13"/>
      <c r="O37" s="13"/>
      <c r="P37" s="13"/>
      <c r="Q37" s="13"/>
      <c r="R37" s="13"/>
      <c r="S37" s="13"/>
      <c r="T37" s="13"/>
      <c r="U37" t="s">
        <v>48</v>
      </c>
      <c r="V37" s="13" t="e">
        <f>P6</f>
        <v>#DIV/0!</v>
      </c>
      <c r="W37" t="s">
        <v>28</v>
      </c>
      <c r="X37" s="13" t="e">
        <f>AVERAGE(N28:X40)</f>
        <v>#DIV/0!</v>
      </c>
    </row>
    <row r="39" spans="13:24" x14ac:dyDescent="0.2">
      <c r="M39" s="24" t="e">
        <f>P6</f>
        <v>#DIV/0!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3:24" x14ac:dyDescent="0.2"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3:24" x14ac:dyDescent="0.2">
      <c r="N41" s="25">
        <v>0.01</v>
      </c>
      <c r="O41" s="25">
        <v>0.02</v>
      </c>
      <c r="P41" s="25">
        <v>0.03</v>
      </c>
    </row>
    <row r="42" spans="13:24" x14ac:dyDescent="0.2">
      <c r="M42" s="1">
        <v>0.08</v>
      </c>
      <c r="N42" s="26">
        <f t="dataTable" ref="N42:P44" dt2D="1" dtr="1" r1="P3" r2="P2"/>
        <v>112.40096586859129</v>
      </c>
      <c r="O42" s="26">
        <v>127.9168366564561</v>
      </c>
      <c r="P42" s="26">
        <v>149.6390557594668</v>
      </c>
    </row>
    <row r="43" spans="13:24" x14ac:dyDescent="0.2">
      <c r="M43" s="1">
        <v>8.5000000000000006E-2</v>
      </c>
      <c r="N43" s="26">
        <v>104.36926208561698</v>
      </c>
      <c r="O43" s="26">
        <v>117.49207368494996</v>
      </c>
      <c r="P43" s="26">
        <v>135.38681677494947</v>
      </c>
    </row>
    <row r="44" spans="13:24" x14ac:dyDescent="0.2">
      <c r="M44" s="1">
        <v>0.09</v>
      </c>
      <c r="N44" s="26">
        <v>97.350545435892229</v>
      </c>
      <c r="O44" s="26">
        <v>108.56624707977909</v>
      </c>
      <c r="P44" s="26">
        <v>123.52051593829482</v>
      </c>
    </row>
  </sheetData>
  <mergeCells count="11">
    <mergeCell ref="M25:X26"/>
    <mergeCell ref="A11:J11"/>
    <mergeCell ref="O10:P10"/>
    <mergeCell ref="O1:P1"/>
    <mergeCell ref="Q11:Q14"/>
    <mergeCell ref="A17:K17"/>
    <mergeCell ref="A18:A19"/>
    <mergeCell ref="B18:E18"/>
    <mergeCell ref="F18:K18"/>
    <mergeCell ref="A2:J2"/>
    <mergeCell ref="A3:A4"/>
  </mergeCells>
  <phoneticPr fontId="7" type="noConversion"/>
  <conditionalFormatting sqref="N39:X40 N28:X37">
    <cfRule type="cellIs" dxfId="31" priority="13" operator="greaterThan">
      <formula>$P$7</formula>
    </cfRule>
  </conditionalFormatting>
  <conditionalFormatting sqref="N28:X36">
    <cfRule type="cellIs" dxfId="30" priority="1" operator="greaterThan">
      <formula>$P$7</formula>
    </cfRule>
  </conditionalFormatting>
  <pageMargins left="0.7" right="0.7" top="0.75" bottom="0.75" header="0.3" footer="0.3"/>
  <pageSetup paperSize="9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F6B4-5ACF-6347-8515-63EF93317313}">
  <dimension ref="A1:G5"/>
  <sheetViews>
    <sheetView workbookViewId="0">
      <selection activeCell="C6" sqref="C6"/>
    </sheetView>
  </sheetViews>
  <sheetFormatPr baseColWidth="10" defaultRowHeight="16" x14ac:dyDescent="0.2"/>
  <cols>
    <col min="5" max="5" width="19.6640625" bestFit="1" customWidth="1"/>
    <col min="7" max="7" width="13" bestFit="1" customWidth="1"/>
  </cols>
  <sheetData>
    <row r="1" spans="1:7" x14ac:dyDescent="0.2">
      <c r="B1" t="s">
        <v>57</v>
      </c>
      <c r="C1" t="s">
        <v>44</v>
      </c>
      <c r="D1" t="s">
        <v>22</v>
      </c>
      <c r="E1" t="s">
        <v>58</v>
      </c>
      <c r="F1" t="s">
        <v>60</v>
      </c>
      <c r="G1" t="s">
        <v>23</v>
      </c>
    </row>
    <row r="2" spans="1:7" x14ac:dyDescent="0.2">
      <c r="A2" t="s">
        <v>56</v>
      </c>
      <c r="B2">
        <v>108.3</v>
      </c>
      <c r="C2">
        <v>6.6</v>
      </c>
      <c r="D2">
        <v>1.175</v>
      </c>
      <c r="E2" s="20">
        <v>8.9999999999999993E-3</v>
      </c>
    </row>
    <row r="3" spans="1:7" x14ac:dyDescent="0.2">
      <c r="A3" t="s">
        <v>59</v>
      </c>
      <c r="B3">
        <v>107.7</v>
      </c>
      <c r="C3">
        <v>8.3000000000000007</v>
      </c>
      <c r="E3" s="20">
        <v>4.8000000000000001E-2</v>
      </c>
    </row>
    <row r="4" spans="1:7" x14ac:dyDescent="0.2">
      <c r="A4" t="s">
        <v>61</v>
      </c>
      <c r="B4">
        <v>91.05</v>
      </c>
      <c r="C4">
        <v>7.27</v>
      </c>
      <c r="E4" s="21">
        <v>0.02</v>
      </c>
      <c r="F4">
        <v>1.73</v>
      </c>
      <c r="G4">
        <v>4.72</v>
      </c>
    </row>
    <row r="5" spans="1:7" x14ac:dyDescent="0.2">
      <c r="A5" t="s">
        <v>62</v>
      </c>
      <c r="B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2022-02-24T12:11:41Z</dcterms:created>
  <dcterms:modified xsi:type="dcterms:W3CDTF">2022-10-12T21:42:32Z</dcterms:modified>
</cp:coreProperties>
</file>