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trlProps/ctrlProp1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workbookProtection workbookAlgorithmName="SHA-512" workbookHashValue="mEH0A1qmEgw0Eh0vBeXBIehVW0rDwcyEHTW6JwYeoRMPKV4m4f4nEB0y+CdLPEnEYI041BmlTlX9KzRdCANlIg==" workbookSaltValue="XQxs0ASc4BISWlrF3CVvBA==" workbookSpinCount="100000" lockStructure="1"/>
  <bookViews>
    <workbookView windowWidth="28160" windowHeight="11280" tabRatio="845" activeTab="5"/>
  </bookViews>
  <sheets>
    <sheet name="Cover" sheetId="22" r:id="rId1"/>
    <sheet name="Assumptions" sheetId="2" r:id="rId2"/>
    <sheet name="Scenarios" sheetId="7" r:id="rId3"/>
    <sheet name="Model" sheetId="6" r:id="rId4"/>
    <sheet name="Summary" sheetId="21" r:id="rId5"/>
    <sheet name="備註" sheetId="23" r:id="rId6"/>
  </sheets>
  <definedNames>
    <definedName name="_xlnm.Print_Area" localSheetId="1">Assumptions!$B$1:$O$42,Assumptions!$B$44:$O$75</definedName>
    <definedName name="_xlnm.Print_Area" localSheetId="0">Cover!$A$1:$J$28</definedName>
    <definedName name="_xlnm.Print_Area" localSheetId="3">Model!$B$1:$O$30,Model!$B$32:$O$71,Model!$B$73:$O$116,Model!$B$118:$O$150,Model!$B$152:$O$194,Model!$B$196:$O$217,Model!$B$219:$O$241,Model!$B$243:$O$275,Model!$B$277:$O$320,Model!$B$322:$O$345</definedName>
    <definedName name="_xlnm.Print_Area" localSheetId="2">Scenarios!$A$1:$L$36</definedName>
    <definedName name="_xlnm.Print_Area" localSheetId="4">Summary!$B$1:$Q$66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K293" authorId="0">
      <text>
        <r>
          <rPr>
            <b/>
            <sz val="9"/>
            <rFont val="Arial"/>
            <charset val="134"/>
          </rPr>
          <t xml:space="preserve">Note on Interest Expense
</t>
        </r>
        <r>
          <rPr>
            <sz val="9"/>
            <rFont val="Arial"/>
            <charset val="134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  <comment ref="K309" authorId="0">
      <text>
        <r>
          <rPr>
            <b/>
            <sz val="9"/>
            <rFont val="Arial"/>
            <charset val="134"/>
          </rPr>
          <t xml:space="preserve">Note on Interest Expense
</t>
        </r>
        <r>
          <rPr>
            <sz val="9"/>
            <rFont val="Arial"/>
            <charset val="134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  <comment ref="K318" authorId="0">
      <text>
        <r>
          <rPr>
            <b/>
            <sz val="9"/>
            <rFont val="Arial"/>
            <charset val="134"/>
          </rPr>
          <t xml:space="preserve">Note on Interest Expense
</t>
        </r>
        <r>
          <rPr>
            <sz val="9"/>
            <rFont val="Arial"/>
            <charset val="134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</commentList>
</comments>
</file>

<file path=xl/sharedStrings.xml><?xml version="1.0" encoding="utf-8"?>
<sst xmlns="http://schemas.openxmlformats.org/spreadsheetml/2006/main" count="422" uniqueCount="218">
  <si>
    <t>Financial Statement Analysis</t>
  </si>
  <si>
    <t>Tesla</t>
  </si>
  <si>
    <t>Financial Model Solution - Vertical Orientation</t>
  </si>
  <si>
    <t>Powered by:</t>
  </si>
  <si>
    <t>Xinjian Tan</t>
  </si>
  <si>
    <t>Inputs and Assumptions</t>
  </si>
  <si>
    <t>GENERAL</t>
  </si>
  <si>
    <t>EQUITY</t>
  </si>
  <si>
    <t>-</t>
  </si>
  <si>
    <t>First year of forecast in financial model:</t>
  </si>
  <si>
    <t>Three scenarios have been used for Inflation, Product Pricing</t>
  </si>
  <si>
    <t>and sales volume growth</t>
  </si>
  <si>
    <t>Common Dividend Payout Rate</t>
  </si>
  <si>
    <t>PRODUCT PRICING</t>
  </si>
  <si>
    <t>OPERATIONS</t>
  </si>
  <si>
    <t>The product pricing cases used in the model are as follows:</t>
  </si>
  <si>
    <t>Pricing Case</t>
  </si>
  <si>
    <t>Annual Factory Capacity (000's units):</t>
  </si>
  <si>
    <t>Base Case</t>
  </si>
  <si>
    <t>Research Forecast</t>
  </si>
  <si>
    <t>Restructuring &amp; Other</t>
  </si>
  <si>
    <t>Best Case</t>
  </si>
  <si>
    <t xml:space="preserve"> </t>
  </si>
  <si>
    <t>Worst Case</t>
  </si>
  <si>
    <t>COSTS</t>
  </si>
  <si>
    <t>INTEREST RATES</t>
  </si>
  <si>
    <t>Cost Item</t>
  </si>
  <si>
    <t>Increases</t>
  </si>
  <si>
    <t>Raw Materials</t>
  </si>
  <si>
    <t>per Unit</t>
  </si>
  <si>
    <t>Inflation on a unit basis</t>
  </si>
  <si>
    <t>Interest earned on Cash balances:</t>
  </si>
  <si>
    <t>Utilities</t>
  </si>
  <si>
    <t>Interest rate on Bank Revolver:</t>
  </si>
  <si>
    <t>Rent</t>
  </si>
  <si>
    <t>MM</t>
  </si>
  <si>
    <t>Inflation on a total basis</t>
  </si>
  <si>
    <t>Interest rate on Senior Secured Term Debt:</t>
  </si>
  <si>
    <t>Operating Labour</t>
  </si>
  <si>
    <t>Other</t>
  </si>
  <si>
    <t>SG&amp;A</t>
  </si>
  <si>
    <t>DEPRECIATION</t>
  </si>
  <si>
    <t>TAXES</t>
  </si>
  <si>
    <t>Depreciation Methodology Used:</t>
  </si>
  <si>
    <t>Straight Line</t>
  </si>
  <si>
    <t>Years remaining for depreciation of existing assets:</t>
  </si>
  <si>
    <t>Tax rate assumed in the model:</t>
  </si>
  <si>
    <t>Years used for depreciation of new assets:</t>
  </si>
  <si>
    <t>Additional tax assumptions in "Other Assumptions" box</t>
  </si>
  <si>
    <t>OTHER ASSUMPTIONS</t>
  </si>
  <si>
    <t>Income Statement</t>
  </si>
  <si>
    <t>Cost Adjustments - Gain/(Loss)</t>
  </si>
  <si>
    <t>Cash Flow Statement</t>
  </si>
  <si>
    <t>Investing Activities - Other</t>
  </si>
  <si>
    <t>Capital Expenditures</t>
  </si>
  <si>
    <t>Income Tax</t>
  </si>
  <si>
    <t>Reduction in EBT for timing differences</t>
  </si>
  <si>
    <t>Working Capital Days</t>
  </si>
  <si>
    <t>Accounts Receivable</t>
  </si>
  <si>
    <t>days</t>
  </si>
  <si>
    <t>Inventories</t>
  </si>
  <si>
    <t>Prepaid Expenses</t>
  </si>
  <si>
    <t>Other Assets</t>
  </si>
  <si>
    <t>Accounts Payable</t>
  </si>
  <si>
    <t>Other Liabilities</t>
  </si>
  <si>
    <t>Change in Debt &amp; Equity</t>
  </si>
  <si>
    <t>Senior Term Debt Issuance / (Repayment)</t>
  </si>
  <si>
    <t>Common Stock Issuance / (Buy-back)</t>
  </si>
  <si>
    <t>Economic and Sales Scenarios</t>
  </si>
  <si>
    <t>SCENARIO SWITCH:</t>
  </si>
  <si>
    <t>ECONOMIC SCENARIOS</t>
  </si>
  <si>
    <t>Cost Inflation</t>
  </si>
  <si>
    <t>SALES SCENARIOS</t>
  </si>
  <si>
    <t>Sales Price - $/Unit</t>
  </si>
  <si>
    <t>Sales Volume Growth</t>
  </si>
  <si>
    <t>Revenue Schedule</t>
  </si>
  <si>
    <t>Projected</t>
  </si>
  <si>
    <t>Pricing</t>
  </si>
  <si>
    <t xml:space="preserve">Gross Sales Price </t>
  </si>
  <si>
    <t>($/unit)</t>
  </si>
  <si>
    <t>(%)</t>
  </si>
  <si>
    <t>Freight &amp; Warehousing</t>
  </si>
  <si>
    <t>Net Sales Price</t>
  </si>
  <si>
    <t>Sales Volume</t>
  </si>
  <si>
    <t>Annual Factory Capacity</t>
  </si>
  <si>
    <t>(000's units)</t>
  </si>
  <si>
    <t>Annual Sales Volume</t>
  </si>
  <si>
    <t>Implied Operating Rate</t>
  </si>
  <si>
    <t>Revenue</t>
  </si>
  <si>
    <t>Gross Revenue</t>
  </si>
  <si>
    <t>($ MM)</t>
  </si>
  <si>
    <t>Others (Aggregrate)</t>
  </si>
  <si>
    <t>Net Revenue</t>
  </si>
  <si>
    <t>Costs of Production Schedule</t>
  </si>
  <si>
    <t>COSTS PER UNIT</t>
  </si>
  <si>
    <t>Variable Costs</t>
  </si>
  <si>
    <t>Total Variable Costs</t>
  </si>
  <si>
    <t>Fixed Costs</t>
  </si>
  <si>
    <t>Total Fixed Costs</t>
  </si>
  <si>
    <t>Total Costs-vehicle</t>
  </si>
  <si>
    <t>COSTS IN MILLIONS</t>
  </si>
  <si>
    <t>($ Millions)</t>
  </si>
  <si>
    <t>Costs-vehicle</t>
  </si>
  <si>
    <t xml:space="preserve">Others </t>
  </si>
  <si>
    <t>R&amp;D</t>
  </si>
  <si>
    <t>S,G &amp; A</t>
  </si>
  <si>
    <t>Total Costs</t>
  </si>
  <si>
    <t>EBITDA</t>
  </si>
  <si>
    <t>D&amp;A</t>
  </si>
  <si>
    <t>EBIT</t>
  </si>
  <si>
    <t>Interest Expense</t>
  </si>
  <si>
    <t>EBT</t>
  </si>
  <si>
    <t>Current Income Taxes</t>
  </si>
  <si>
    <t>Deferred Income Taxes</t>
  </si>
  <si>
    <t>Total Income Taxes</t>
  </si>
  <si>
    <t>Net Income</t>
  </si>
  <si>
    <t>Margins</t>
  </si>
  <si>
    <t>EBITDA Margin</t>
  </si>
  <si>
    <t>EBIT Margin</t>
  </si>
  <si>
    <t>Return on Equity</t>
  </si>
  <si>
    <t>Operating Activities</t>
  </si>
  <si>
    <t>Depreciation &amp; Amortization</t>
  </si>
  <si>
    <t>Changes in working capital</t>
  </si>
  <si>
    <t>Operating Cash Flow</t>
  </si>
  <si>
    <t>Investing Activities</t>
  </si>
  <si>
    <t>CAPEX</t>
  </si>
  <si>
    <t>Investing Cash Flow</t>
  </si>
  <si>
    <t>Financing Activities</t>
  </si>
  <si>
    <t>Revolver Issuance / (Repayment)</t>
  </si>
  <si>
    <t>Term Debt Issuance / (Repayment)</t>
  </si>
  <si>
    <t>Common Shares Issuance/ (Buy-Back)</t>
  </si>
  <si>
    <t>Common Dividends</t>
  </si>
  <si>
    <t>Financing Cash Flow</t>
  </si>
  <si>
    <t>Change in the Cash Position</t>
  </si>
  <si>
    <t>Beginning Cash</t>
  </si>
  <si>
    <t>Ending Cash</t>
  </si>
  <si>
    <t>Balance Sheet</t>
  </si>
  <si>
    <t>ASSETS</t>
  </si>
  <si>
    <t>Cash</t>
  </si>
  <si>
    <t>Inventory</t>
  </si>
  <si>
    <t>Total Current Assets</t>
  </si>
  <si>
    <t>Net PP&amp;E</t>
  </si>
  <si>
    <t>Total Long Term Assets</t>
  </si>
  <si>
    <t>Total Assets</t>
  </si>
  <si>
    <t>LIABILITIES AND EQUITY</t>
  </si>
  <si>
    <t>Bank Debt - Revolver</t>
  </si>
  <si>
    <t>Total Current Liabilities</t>
  </si>
  <si>
    <t>Senior Secured Term Debt</t>
  </si>
  <si>
    <t>Total Long Term Liabilities</t>
  </si>
  <si>
    <t>Total Liabilities</t>
  </si>
  <si>
    <t>Common Shares</t>
  </si>
  <si>
    <t>Retained Earnings</t>
  </si>
  <si>
    <t>Shareholder's Equity</t>
  </si>
  <si>
    <t>Total Liabilities and Equity</t>
  </si>
  <si>
    <t>Check</t>
  </si>
  <si>
    <t>D&amp;A Schedule</t>
  </si>
  <si>
    <t>Years Remaining Existing Assets:</t>
  </si>
  <si>
    <t>Depreciation Years on New Assets:</t>
  </si>
  <si>
    <t>Depreciation to Existing Assets</t>
  </si>
  <si>
    <t>Total Depreciation</t>
  </si>
  <si>
    <t>Income Tax Schedule</t>
  </si>
  <si>
    <t>Tax Rate</t>
  </si>
  <si>
    <t xml:space="preserve">Accounting EBT (as is on I/S)   </t>
  </si>
  <si>
    <t>A</t>
  </si>
  <si>
    <r>
      <rPr>
        <sz val="10"/>
        <rFont val="Arial"/>
        <charset val="134"/>
      </rPr>
      <t xml:space="preserve">Less: Reduction in EBT for timing differences </t>
    </r>
    <r>
      <rPr>
        <vertAlign val="superscript"/>
        <sz val="10"/>
        <rFont val="Arial"/>
        <charset val="134"/>
      </rPr>
      <t>(1)</t>
    </r>
  </si>
  <si>
    <t>Government EBT</t>
  </si>
  <si>
    <t>B</t>
  </si>
  <si>
    <t>Taxes as Appearing on Income Statement</t>
  </si>
  <si>
    <t>Increase (Decrease) in Deferred Income Taxes</t>
  </si>
  <si>
    <t>Total Income Taxes (Same as Accounting Taxes Above)</t>
  </si>
  <si>
    <t>(1) Assumes aggregate reduction in government pre-tax earnings due to timing differences between accounting and government rules.</t>
  </si>
  <si>
    <t>Working Capital Schedule</t>
  </si>
  <si>
    <t>Days per Year</t>
  </si>
  <si>
    <t>(days)</t>
  </si>
  <si>
    <t>Income Statement Items</t>
  </si>
  <si>
    <t>Cost of Sales</t>
  </si>
  <si>
    <t>Days In</t>
  </si>
  <si>
    <t>Account Balances</t>
  </si>
  <si>
    <t>Net Working Capital</t>
  </si>
  <si>
    <t>Change in Working Capital</t>
  </si>
  <si>
    <t>Debt and Interest Schedule</t>
  </si>
  <si>
    <t>FINANCING COMPONENT</t>
  </si>
  <si>
    <t>Amount Outstanding - Beginning</t>
  </si>
  <si>
    <t>Change in Cash</t>
  </si>
  <si>
    <t>Amount Outstanding - Ending</t>
  </si>
  <si>
    <t>Interest Rate</t>
  </si>
  <si>
    <t>Annual Interest Income</t>
  </si>
  <si>
    <t>Revolver</t>
  </si>
  <si>
    <t>Mandatory Debt Repayments</t>
  </si>
  <si>
    <t>Dividends</t>
  </si>
  <si>
    <t>FCF After Mandatory Debt Repayment and Dividend</t>
  </si>
  <si>
    <t>Revolver Outstanding - Beginning</t>
  </si>
  <si>
    <t>Additions / (Repayments)</t>
  </si>
  <si>
    <t>Revolver Outstanding - Ending</t>
  </si>
  <si>
    <t>Annual Interest Expense</t>
  </si>
  <si>
    <t>Net Interest Expense / Income</t>
  </si>
  <si>
    <t>Shareholders' Equity Schedule</t>
  </si>
  <si>
    <t>New Issuance / (Buy-Back)</t>
  </si>
  <si>
    <t>Dividend Payout Rate</t>
  </si>
  <si>
    <t>Common Dividend</t>
  </si>
  <si>
    <t>Summary Outputs</t>
  </si>
  <si>
    <t>SUMMARY VALUES - BASE CASE</t>
  </si>
  <si>
    <t>Trend</t>
  </si>
  <si>
    <t>(MM)</t>
  </si>
  <si>
    <t xml:space="preserve">   Growth</t>
  </si>
  <si>
    <t xml:space="preserve">   Margin</t>
  </si>
  <si>
    <t>NM</t>
  </si>
  <si>
    <t>SUMMARY VALUES - BEST CASE</t>
  </si>
  <si>
    <t>SUMMARY VALUES - WORST CASE</t>
  </si>
  <si>
    <r>
      <rPr>
        <sz val="10"/>
        <rFont val="Arial"/>
        <charset val="134"/>
      </rPr>
      <t>1.</t>
    </r>
    <r>
      <rPr>
        <sz val="10"/>
        <rFont val="宋体-简"/>
        <charset val="134"/>
      </rPr>
      <t>在</t>
    </r>
    <r>
      <rPr>
        <sz val="10"/>
        <rFont val="Arial"/>
        <charset val="134"/>
      </rPr>
      <t>Assumption-Cost</t>
    </r>
    <r>
      <rPr>
        <sz val="10"/>
        <rFont val="宋体-简"/>
        <charset val="134"/>
      </rPr>
      <t>的假設中，由於未能從財報中取得數據，所以此處數據由</t>
    </r>
    <r>
      <rPr>
        <sz val="10"/>
        <rFont val="Arial"/>
        <charset val="134"/>
      </rPr>
      <t>25</t>
    </r>
    <r>
      <rPr>
        <sz val="10"/>
        <rFont val="宋体-简"/>
        <charset val="134"/>
      </rPr>
      <t>年公布的相關</t>
    </r>
    <r>
      <rPr>
        <sz val="10"/>
        <rFont val="Arial"/>
        <charset val="134"/>
      </rPr>
      <t>COGS</t>
    </r>
    <r>
      <rPr>
        <sz val="10"/>
        <rFont val="宋体-简"/>
        <charset val="134"/>
      </rPr>
      <t>反推得到，可能存在不嚴謹處</t>
    </r>
  </si>
  <si>
    <r>
      <rPr>
        <sz val="10"/>
        <rFont val="Arial"/>
        <charset val="134"/>
      </rPr>
      <t>2.</t>
    </r>
    <r>
      <rPr>
        <sz val="10"/>
        <rFont val="宋体-简"/>
        <charset val="134"/>
      </rPr>
      <t>在關於利率的假設中，決定採用平均餘額倒推得到，其中利息收入從財報中得到</t>
    </r>
  </si>
  <si>
    <r>
      <rPr>
        <sz val="10"/>
        <rFont val="Arial"/>
        <charset val="134"/>
      </rPr>
      <t xml:space="preserve">3.Tesla 2025 </t>
    </r>
    <r>
      <rPr>
        <sz val="10"/>
        <rFont val="宋体-简"/>
        <charset val="134"/>
      </rPr>
      <t>年披露的其他</t>
    </r>
    <r>
      <rPr>
        <sz val="10"/>
        <rFont val="Arial"/>
        <charset val="134"/>
      </rPr>
      <t xml:space="preserve"> recourse debt </t>
    </r>
    <r>
      <rPr>
        <sz val="10"/>
        <rFont val="宋体-简"/>
        <charset val="134"/>
      </rPr>
      <t>利率大約在</t>
    </r>
    <r>
      <rPr>
        <sz val="10"/>
        <rFont val="Arial"/>
        <charset val="134"/>
      </rPr>
      <t xml:space="preserve"> 4.70%–5.75%,</t>
    </r>
    <r>
      <rPr>
        <sz val="10"/>
        <rFont val="宋体-简"/>
        <charset val="134"/>
      </rPr>
      <t>這裡決定採用更一般情況的（類平均）</t>
    </r>
    <r>
      <rPr>
        <sz val="10"/>
        <rFont val="Arial"/>
        <charset val="134"/>
      </rPr>
      <t>5.5%</t>
    </r>
    <r>
      <rPr>
        <sz val="10"/>
        <rFont val="宋体-简"/>
        <charset val="134"/>
      </rPr>
      <t>作為利率</t>
    </r>
  </si>
  <si>
    <r>
      <rPr>
        <sz val="10"/>
        <rFont val="Arial"/>
        <charset val="134"/>
      </rPr>
      <t>4.</t>
    </r>
    <r>
      <rPr>
        <sz val="10"/>
        <rFont val="宋体-简"/>
        <charset val="134"/>
      </rPr>
      <t>關於</t>
    </r>
    <r>
      <rPr>
        <sz val="10"/>
        <rFont val="Arial"/>
        <charset val="134"/>
      </rPr>
      <t>Others</t>
    </r>
    <r>
      <rPr>
        <sz val="10"/>
        <rFont val="宋体-繁"/>
        <charset val="134"/>
      </rPr>
      <t>：這裡是是所有汽車業務以外的總和，統一使用</t>
    </r>
    <r>
      <rPr>
        <sz val="10"/>
        <rFont val="Arial"/>
        <charset val="134"/>
      </rPr>
      <t>5%</t>
    </r>
    <r>
      <rPr>
        <sz val="10"/>
        <rFont val="宋体-简"/>
        <charset val="134"/>
      </rPr>
      <t>的簡化年增長率</t>
    </r>
    <r>
      <rPr>
        <sz val="10"/>
        <rFont val="Arial"/>
        <charset val="134"/>
      </rPr>
      <t>[Revenue]</t>
    </r>
    <r>
      <rPr>
        <sz val="10"/>
        <rFont val="宋体-繁"/>
        <charset val="134"/>
      </rPr>
      <t>，</t>
    </r>
    <r>
      <rPr>
        <sz val="10"/>
        <rFont val="Arial"/>
        <charset val="134"/>
      </rPr>
      <t>Cost</t>
    </r>
    <r>
      <rPr>
        <sz val="10"/>
        <rFont val="宋体-简"/>
        <charset val="134"/>
      </rPr>
      <t>也為</t>
    </r>
    <r>
      <rPr>
        <sz val="10"/>
        <rFont val="Arial"/>
        <charset val="134"/>
      </rPr>
      <t>5%</t>
    </r>
    <r>
      <rPr>
        <sz val="10"/>
        <rFont val="宋体-繁"/>
        <charset val="134"/>
      </rPr>
      <t>，</t>
    </r>
    <r>
      <rPr>
        <sz val="10"/>
        <rFont val="Arial"/>
        <charset val="134"/>
      </rPr>
      <t>R&amp;D</t>
    </r>
    <r>
      <rPr>
        <sz val="10"/>
        <rFont val="宋体-简"/>
        <charset val="134"/>
      </rPr>
      <t>為</t>
    </r>
    <r>
      <rPr>
        <sz val="10"/>
        <rFont val="Arial"/>
        <charset val="134"/>
      </rPr>
      <t>10%</t>
    </r>
  </si>
  <si>
    <r>
      <rPr>
        <sz val="10"/>
        <rFont val="Arial"/>
        <charset val="134"/>
      </rPr>
      <t>5.</t>
    </r>
    <r>
      <rPr>
        <sz val="10"/>
        <rFont val="宋体-简"/>
        <charset val="134"/>
      </rPr>
      <t>關於</t>
    </r>
    <r>
      <rPr>
        <sz val="10"/>
        <rFont val="Arial"/>
        <charset val="134"/>
      </rPr>
      <t>CAPEX</t>
    </r>
    <r>
      <rPr>
        <sz val="10"/>
        <rFont val="宋体-简"/>
        <charset val="134"/>
      </rPr>
      <t>的來源</t>
    </r>
    <r>
      <rPr>
        <sz val="10"/>
        <rFont val="宋体-繁"/>
        <charset val="134"/>
      </rPr>
      <t>，</t>
    </r>
    <r>
      <rPr>
        <sz val="10"/>
        <rFont val="Arial"/>
        <charset val="134"/>
      </rPr>
      <t xml:space="preserve">Tesla </t>
    </r>
    <r>
      <rPr>
        <sz val="10"/>
        <rFont val="宋体-简"/>
        <charset val="134"/>
      </rPr>
      <t>管理層在</t>
    </r>
    <r>
      <rPr>
        <sz val="10"/>
        <rFont val="Arial"/>
        <charset val="134"/>
      </rPr>
      <t xml:space="preserve"> 2026 Q2 </t>
    </r>
    <r>
      <rPr>
        <sz val="10"/>
        <rFont val="宋体-简"/>
        <charset val="134"/>
      </rPr>
      <t>更新中表示全年</t>
    </r>
    <r>
      <rPr>
        <sz val="10"/>
        <rFont val="Arial"/>
        <charset val="134"/>
      </rPr>
      <t xml:space="preserve"> CapEx &gt; $25bn</t>
    </r>
    <r>
      <rPr>
        <sz val="10"/>
        <rFont val="宋体-繁"/>
        <charset val="134"/>
      </rPr>
      <t>，此處為以此作根據作出的財務判斷假設</t>
    </r>
  </si>
  <si>
    <r>
      <rPr>
        <sz val="10"/>
        <rFont val="Arial"/>
        <charset val="134"/>
      </rPr>
      <t>6.</t>
    </r>
    <r>
      <rPr>
        <sz val="10"/>
        <rFont val="宋体-简"/>
        <charset val="134"/>
      </rPr>
      <t>關於</t>
    </r>
    <r>
      <rPr>
        <sz val="10"/>
        <rFont val="Arial"/>
        <charset val="134"/>
      </rPr>
      <t>Accounts Payable</t>
    </r>
    <r>
      <rPr>
        <sz val="10"/>
        <rFont val="宋体-简"/>
        <charset val="134"/>
      </rPr>
      <t>的來源</t>
    </r>
    <r>
      <rPr>
        <sz val="10"/>
        <rFont val="宋体-繁"/>
        <charset val="134"/>
      </rPr>
      <t>，</t>
    </r>
    <r>
      <rPr>
        <sz val="10"/>
        <rFont val="Arial"/>
        <charset val="134"/>
      </rPr>
      <t>Tesla</t>
    </r>
    <r>
      <rPr>
        <sz val="10"/>
        <rFont val="宋体-简"/>
        <charset val="134"/>
      </rPr>
      <t>在</t>
    </r>
    <r>
      <rPr>
        <sz val="10"/>
        <rFont val="Arial"/>
        <charset val="134"/>
      </rPr>
      <t>10-K</t>
    </r>
    <r>
      <rPr>
        <sz val="10"/>
        <rFont val="宋体-简"/>
        <charset val="134"/>
      </rPr>
      <t>中提到：</t>
    </r>
    <r>
      <rPr>
        <sz val="10"/>
        <rFont val="Arial"/>
        <charset val="134"/>
      </rPr>
      <t xml:space="preserve">
"Better working capital management resulting in shorter days sales outstanding than days payable outstanding.",
</t>
    </r>
    <r>
      <rPr>
        <sz val="10"/>
        <rFont val="宋体-简"/>
        <charset val="134"/>
      </rPr>
      <t>而根據</t>
    </r>
    <r>
      <rPr>
        <sz val="10"/>
        <rFont val="Arial"/>
        <charset val="134"/>
      </rPr>
      <t>25</t>
    </r>
    <r>
      <rPr>
        <sz val="10"/>
        <rFont val="宋体-简"/>
        <charset val="134"/>
      </rPr>
      <t>年財報推算出此值約為</t>
    </r>
    <r>
      <rPr>
        <sz val="10"/>
        <rFont val="Arial"/>
        <charset val="134"/>
      </rPr>
      <t>63</t>
    </r>
    <r>
      <rPr>
        <sz val="10"/>
        <rFont val="宋体-繁"/>
        <charset val="134"/>
      </rPr>
      <t>，此處為以此作根據作出的財務判斷假設</t>
    </r>
  </si>
  <si>
    <r>
      <rPr>
        <sz val="10"/>
        <rFont val="Arial"/>
        <charset val="134"/>
      </rPr>
      <t xml:space="preserve">7.Tesla 2023 </t>
    </r>
    <r>
      <rPr>
        <sz val="10"/>
        <rFont val="宋体-简"/>
        <charset val="134"/>
      </rPr>
      <t>因為釋放大量</t>
    </r>
    <r>
      <rPr>
        <sz val="10"/>
        <rFont val="Arial"/>
        <charset val="134"/>
      </rPr>
      <t xml:space="preserve"> deferred tax valuation allowance</t>
    </r>
    <r>
      <rPr>
        <sz val="10"/>
        <rFont val="宋体-简"/>
        <charset val="134"/>
      </rPr>
      <t>，所以此年份在</t>
    </r>
    <r>
      <rPr>
        <sz val="10"/>
        <rFont val="Arial"/>
        <charset val="134"/>
      </rPr>
      <t>Model</t>
    </r>
    <r>
      <rPr>
        <sz val="10"/>
        <rFont val="宋体-简"/>
        <charset val="134"/>
      </rPr>
      <t>的</t>
    </r>
    <r>
      <rPr>
        <sz val="10"/>
        <rFont val="Arial"/>
        <charset val="134"/>
      </rPr>
      <t xml:space="preserve">deferred tax benefit </t>
    </r>
    <r>
      <rPr>
        <sz val="10"/>
        <rFont val="宋体-简"/>
        <charset val="134"/>
      </rPr>
      <t>高達</t>
    </r>
    <r>
      <rPr>
        <sz val="10"/>
        <rFont val="Arial"/>
        <charset val="134"/>
      </rPr>
      <t xml:space="preserve"> $6.349bn</t>
    </r>
  </si>
  <si>
    <r>
      <rPr>
        <sz val="10"/>
        <rFont val="Arial"/>
        <charset val="134"/>
      </rPr>
      <t>8.</t>
    </r>
    <r>
      <rPr>
        <sz val="10"/>
        <rFont val="宋体-简"/>
        <charset val="134"/>
      </rPr>
      <t>關於預測淨利潤在後期為負的說明：由於</t>
    </r>
    <r>
      <rPr>
        <sz val="10"/>
        <rFont val="Arial"/>
        <charset val="134"/>
      </rPr>
      <t>[</t>
    </r>
    <r>
      <rPr>
        <sz val="10"/>
        <rFont val="宋体-简"/>
        <charset val="134"/>
      </rPr>
      <t>備註</t>
    </r>
    <r>
      <rPr>
        <sz val="10"/>
        <rFont val="Arial"/>
        <charset val="134"/>
      </rPr>
      <t>3]</t>
    </r>
    <r>
      <rPr>
        <sz val="10"/>
        <rFont val="宋体-简"/>
        <charset val="134"/>
      </rPr>
      <t>表明</t>
    </r>
    <r>
      <rPr>
        <sz val="10"/>
        <rFont val="Arial"/>
        <charset val="134"/>
      </rPr>
      <t>Tesla</t>
    </r>
    <r>
      <rPr>
        <sz val="10"/>
        <rFont val="宋体-简"/>
        <charset val="134"/>
      </rPr>
      <t>公開表示將投入大於</t>
    </r>
    <r>
      <rPr>
        <sz val="10"/>
        <rFont val="Arial"/>
        <charset val="134"/>
      </rPr>
      <t>$25bn</t>
    </r>
    <r>
      <rPr>
        <sz val="10"/>
        <rFont val="宋体-简"/>
        <charset val="134"/>
      </rPr>
      <t>的</t>
    </r>
    <r>
      <rPr>
        <sz val="10"/>
        <rFont val="Arial"/>
        <charset val="134"/>
      </rPr>
      <t>CAPEX</t>
    </r>
    <r>
      <rPr>
        <sz val="10"/>
        <rFont val="宋体-简"/>
        <charset val="134"/>
      </rPr>
      <t>，這部分投入未能充分及時地轉換為生產能力，與此同時折舊使得淨利潤承壓，故淨利潤將在預測中逐漸表現為負</t>
    </r>
  </si>
  <si>
    <r>
      <rPr>
        <sz val="10"/>
        <color rgb="FFFF0000"/>
        <rFont val="Arial"/>
        <charset val="134"/>
      </rPr>
      <t>9.</t>
    </r>
    <r>
      <rPr>
        <sz val="10"/>
        <color rgb="FFFF0000"/>
        <rFont val="宋体-简"/>
        <charset val="134"/>
      </rPr>
      <t>關於本模型最核心的結構說明</t>
    </r>
    <r>
      <rPr>
        <sz val="10"/>
        <color rgb="FFFF0000"/>
        <rFont val="宋体-繁"/>
        <charset val="134"/>
      </rPr>
      <t>：對於</t>
    </r>
    <r>
      <rPr>
        <sz val="10"/>
        <color rgb="FFFF0000"/>
        <rFont val="Arial"/>
        <charset val="134"/>
      </rPr>
      <t>Tesla</t>
    </r>
    <r>
      <rPr>
        <sz val="10"/>
        <color rgb="FFFF0000"/>
        <rFont val="宋体-简"/>
        <charset val="134"/>
      </rPr>
      <t>的核心</t>
    </r>
    <r>
      <rPr>
        <sz val="10"/>
        <color rgb="FFFF0000"/>
        <rFont val="Arial"/>
        <charset val="134"/>
      </rPr>
      <t>Automotive Sales</t>
    </r>
    <r>
      <rPr>
        <sz val="10"/>
        <color rgb="FFFF0000"/>
        <rFont val="宋体-简"/>
        <charset val="134"/>
      </rPr>
      <t>業務</t>
    </r>
    <r>
      <rPr>
        <sz val="10"/>
        <color rgb="FFFF0000"/>
        <rFont val="宋体-繁"/>
        <charset val="134"/>
      </rPr>
      <t>，</t>
    </r>
    <r>
      <rPr>
        <sz val="10"/>
        <color rgb="FFFF0000"/>
        <rFont val="Arial"/>
        <charset val="134"/>
      </rPr>
      <t xml:space="preserve">
</t>
    </r>
    <r>
      <rPr>
        <sz val="10"/>
        <color rgb="FFFF0000"/>
        <rFont val="宋体-繁"/>
        <charset val="134"/>
      </rPr>
      <t>採用嚴格的價格</t>
    </r>
    <r>
      <rPr>
        <sz val="10"/>
        <color rgb="FFFF0000"/>
        <rFont val="Arial"/>
        <charset val="134"/>
      </rPr>
      <t>*</t>
    </r>
    <r>
      <rPr>
        <sz val="10"/>
        <color rgb="FFFF0000"/>
        <rFont val="宋体-简"/>
        <charset val="134"/>
      </rPr>
      <t>銷量預測法</t>
    </r>
    <r>
      <rPr>
        <sz val="10"/>
        <color rgb="FFFF0000"/>
        <rFont val="宋体-繁"/>
        <charset val="134"/>
      </rPr>
      <t>（包含折舊，成本變化等一系列輔表）；對於除此以外的業務，統一歸納為</t>
    </r>
    <r>
      <rPr>
        <sz val="10"/>
        <color rgb="FFFF0000"/>
        <rFont val="Arial"/>
        <charset val="134"/>
      </rPr>
      <t>Others</t>
    </r>
    <r>
      <rPr>
        <sz val="10"/>
        <color rgb="FFFF0000"/>
        <rFont val="宋体-简"/>
        <charset val="134"/>
      </rPr>
      <t>並採用固定的預測增長率</t>
    </r>
    <r>
      <rPr>
        <sz val="10"/>
        <color rgb="FFFF0000"/>
        <rFont val="宋体-繁"/>
        <charset val="134"/>
      </rPr>
      <t>，詳細可以查看</t>
    </r>
    <r>
      <rPr>
        <sz val="10"/>
        <color rgb="FFFF0000"/>
        <rFont val="Arial"/>
        <charset val="134"/>
      </rPr>
      <t>[</t>
    </r>
    <r>
      <rPr>
        <sz val="10"/>
        <color rgb="FFFF0000"/>
        <rFont val="宋体-繁"/>
        <charset val="134"/>
      </rPr>
      <t>備註</t>
    </r>
    <r>
      <rPr>
        <sz val="10"/>
        <color rgb="FFFF0000"/>
        <rFont val="Arial"/>
        <charset val="134"/>
      </rPr>
      <t>4]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</si>
</sst>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7">
    <numFmt numFmtId="41" formatCode="_-* #,##0_-;\-* #,##0_-;_-* &quot;-&quot;_-;_-@_-"/>
    <numFmt numFmtId="176" formatCode="_(* #,##0.00_);_(* \(#,##0.00\);_(* &quot;-&quot;??_);_(@_)"/>
    <numFmt numFmtId="177" formatCode="_-&quot;NT$&quot;* #,##0.00_-;\-&quot;NT$&quot;* #,##0.00_-;_-&quot;NT$&quot;* &quot;-&quot;??_-;_-@_-"/>
    <numFmt numFmtId="178" formatCode="_-&quot;NT$&quot;* #,##0_-;\-&quot;NT$&quot;* #,##0_-;_-&quot;NT$&quot;* &quot;-&quot;_-;_-@_-"/>
    <numFmt numFmtId="179" formatCode="&quot;$&quot;#,##0.00_);[Red]\(&quot;$&quot;#,##0.00\)"/>
    <numFmt numFmtId="180" formatCode="_-* #,##0_-;\-* #,##0_-;_-* &quot;-&quot;??_-;_-@_-"/>
    <numFmt numFmtId="181" formatCode="0\A"/>
    <numFmt numFmtId="182" formatCode="0\F"/>
    <numFmt numFmtId="183" formatCode="&quot;$&quot;#,##0_);\(&quot;$&quot;#,##0\)"/>
    <numFmt numFmtId="184" formatCode="0.0%;\(0.0%\)"/>
    <numFmt numFmtId="185" formatCode="0.0%"/>
    <numFmt numFmtId="186" formatCode="_(* #,##0.0_);_(* \(#,##0.0\);_(* &quot;-&quot;??_);_(@_)"/>
    <numFmt numFmtId="187" formatCode="_(* #,##0_);_(* \(#,##0\);_(* &quot;-&quot;??_);_(@_)"/>
    <numFmt numFmtId="188" formatCode="0.0%\ ;\(0.0%\)"/>
    <numFmt numFmtId="189" formatCode="0.0_);\(0.0\)"/>
    <numFmt numFmtId="190" formatCode="&quot;$&quot;#,##0.0_);\(&quot;$&quot;#,##0.0\)"/>
    <numFmt numFmtId="191" formatCode="#,##0.0_);\(#,##0.0\)"/>
    <numFmt numFmtId="192" formatCode="0.0\ \x"/>
    <numFmt numFmtId="193" formatCode="&quot;$&quot;#,##0_);[Red]\(&quot;$&quot;#,##0\)"/>
    <numFmt numFmtId="194" formatCode="0%;\(0%\)"/>
    <numFmt numFmtId="195" formatCode="&quot;$&quot;#,##0.000_);\(&quot;$&quot;#,##0.000\)"/>
    <numFmt numFmtId="196" formatCode="#,##0.000_);\(#,##0.000\)"/>
    <numFmt numFmtId="197" formatCode="[&gt;-0.000001]\ 0.0_);\ \(0.0\)_)"/>
    <numFmt numFmtId="198" formatCode="0.000_);\(0.000\)"/>
    <numFmt numFmtId="199" formatCode="0_);\(0\)"/>
    <numFmt numFmtId="200" formatCode="#,##0.0000_);\(#,##0.0000\)"/>
    <numFmt numFmtId="201" formatCode="&quot;$&quot;#,##0.000000_);\(&quot;$&quot;#,##0.000000\)"/>
    <numFmt numFmtId="202" formatCode="&quot;$&quot;#,##0.0000_);\(&quot;$&quot;#,##0.0000\)"/>
    <numFmt numFmtId="203" formatCode="0.00_);\(0.00\)"/>
    <numFmt numFmtId="204" formatCode="0.00\ "/>
    <numFmt numFmtId="205" formatCode="&quot;$&quot;#,##0.00_);\(&quot;$&quot;#,##0.00\)"/>
    <numFmt numFmtId="206" formatCode="\+0%;\(0%\)"/>
    <numFmt numFmtId="207" formatCode="&quot;$&quot;#,##0.0"/>
    <numFmt numFmtId="208" formatCode="&quot;- Opening UCC pool of &quot;&quot;$&quot;#,###.0&quot; million as of January 1, 1999&quot;"/>
    <numFmt numFmtId="209" formatCode="0\ &quot;years&quot;"/>
    <numFmt numFmtId="210" formatCode="&quot;- EBITDA margin of &quot;0.0%"/>
    <numFmt numFmtId="211" formatCode="mmmm\ d\,\ yyyy"/>
  </numFmts>
  <fonts count="104">
    <font>
      <sz val="10"/>
      <name val="Arial"/>
      <charset val="134"/>
    </font>
    <font>
      <sz val="10"/>
      <color rgb="FFFF0000"/>
      <name val="Arial"/>
      <charset val="134"/>
    </font>
    <font>
      <sz val="10"/>
      <name val="宋体-简"/>
      <charset val="134"/>
    </font>
    <font>
      <b/>
      <sz val="18"/>
      <name val="Arial"/>
      <charset val="134"/>
    </font>
    <font>
      <b/>
      <sz val="20"/>
      <color indexed="12"/>
      <name val="Arial"/>
      <charset val="134"/>
    </font>
    <font>
      <b/>
      <sz val="20"/>
      <name val="Arial"/>
      <charset val="134"/>
    </font>
    <font>
      <b/>
      <sz val="14"/>
      <name val="Arial"/>
      <charset val="134"/>
    </font>
    <font>
      <b/>
      <i/>
      <sz val="14"/>
      <name val="Arial"/>
      <charset val="134"/>
    </font>
    <font>
      <b/>
      <sz val="10"/>
      <name val="Arial"/>
      <charset val="134"/>
    </font>
    <font>
      <b/>
      <sz val="12"/>
      <name val="Arial"/>
      <charset val="134"/>
    </font>
    <font>
      <sz val="10"/>
      <color theme="0"/>
      <name val="Arial"/>
      <charset val="134"/>
    </font>
    <font>
      <b/>
      <i/>
      <sz val="10"/>
      <color theme="0"/>
      <name val="Arial"/>
      <charset val="134"/>
    </font>
    <font>
      <i/>
      <sz val="10"/>
      <color theme="0"/>
      <name val="Arial"/>
      <charset val="134"/>
    </font>
    <font>
      <b/>
      <i/>
      <sz val="10"/>
      <name val="Arial"/>
      <charset val="134"/>
    </font>
    <font>
      <i/>
      <sz val="10"/>
      <name val="Arial"/>
      <charset val="134"/>
    </font>
    <font>
      <b/>
      <sz val="10"/>
      <color theme="0"/>
      <name val="Arial"/>
      <charset val="134"/>
    </font>
    <font>
      <b/>
      <u/>
      <sz val="10"/>
      <name val="Arial"/>
      <charset val="134"/>
    </font>
    <font>
      <b/>
      <sz val="8"/>
      <color rgb="FF008ED6"/>
      <name val="Arial"/>
      <charset val="134"/>
    </font>
    <font>
      <sz val="10"/>
      <color rgb="FF002F6C"/>
      <name val="Arial"/>
      <charset val="134"/>
    </font>
    <font>
      <sz val="8"/>
      <name val="Arial"/>
      <charset val="134"/>
    </font>
    <font>
      <i/>
      <sz val="9"/>
      <name val="Arial"/>
      <charset val="134"/>
    </font>
    <font>
      <sz val="9"/>
      <name val="Arial"/>
      <charset val="134"/>
    </font>
    <font>
      <i/>
      <sz val="9"/>
      <color rgb="FF002F6C"/>
      <name val="Arial"/>
      <charset val="134"/>
    </font>
    <font>
      <sz val="10"/>
      <color rgb="FF4586BB"/>
      <name val="Arial"/>
      <charset val="134"/>
    </font>
    <font>
      <sz val="9"/>
      <color rgb="FF002F6C"/>
      <name val="Arial"/>
      <charset val="134"/>
    </font>
    <font>
      <b/>
      <sz val="8"/>
      <name val="Arial"/>
      <charset val="134"/>
    </font>
    <font>
      <b/>
      <sz val="18"/>
      <color indexed="12"/>
      <name val="Arial"/>
      <charset val="134"/>
    </font>
    <font>
      <b/>
      <i/>
      <sz val="14"/>
      <color indexed="10"/>
      <name val="Arial"/>
      <charset val="134"/>
    </font>
    <font>
      <b/>
      <i/>
      <sz val="9"/>
      <color indexed="10"/>
      <name val="Arial"/>
      <charset val="134"/>
    </font>
    <font>
      <sz val="10"/>
      <color indexed="9"/>
      <name val="Arial"/>
      <charset val="134"/>
    </font>
    <font>
      <sz val="10"/>
      <color rgb="FF0000FF"/>
      <name val="Arial"/>
      <charset val="134"/>
    </font>
    <font>
      <sz val="10"/>
      <color rgb="FF009B73"/>
      <name val="Arial"/>
      <charset val="134"/>
    </font>
    <font>
      <i/>
      <sz val="10"/>
      <color indexed="12"/>
      <name val="Arial"/>
      <charset val="134"/>
    </font>
    <font>
      <i/>
      <sz val="10"/>
      <color rgb="FF009B73"/>
      <name val="Arial"/>
      <charset val="134"/>
    </font>
    <font>
      <sz val="10"/>
      <color indexed="12"/>
      <name val="Arial"/>
      <charset val="134"/>
    </font>
    <font>
      <b/>
      <sz val="10"/>
      <color indexed="9"/>
      <name val="Arial"/>
      <charset val="134"/>
    </font>
    <font>
      <b/>
      <sz val="10"/>
      <color rgb="FF0000FF"/>
      <name val="Arial"/>
      <charset val="134"/>
    </font>
    <font>
      <b/>
      <sz val="9"/>
      <name val="Arial"/>
      <charset val="134"/>
    </font>
    <font>
      <vertAlign val="superscript"/>
      <sz val="7"/>
      <name val="Arial"/>
      <charset val="134"/>
    </font>
    <font>
      <b/>
      <sz val="10"/>
      <color indexed="10"/>
      <name val="Arial"/>
      <charset val="134"/>
    </font>
    <font>
      <u/>
      <sz val="10"/>
      <color rgb="FF0000FF"/>
      <name val="Arial"/>
      <charset val="134"/>
    </font>
    <font>
      <u/>
      <sz val="10"/>
      <name val="Arial"/>
      <charset val="134"/>
    </font>
    <font>
      <sz val="8"/>
      <color indexed="12"/>
      <name val="Arial"/>
      <charset val="134"/>
    </font>
    <font>
      <b/>
      <sz val="18"/>
      <color indexed="8"/>
      <name val="Arial"/>
      <charset val="134"/>
    </font>
    <font>
      <b/>
      <sz val="16"/>
      <color indexed="8"/>
      <name val="Arial"/>
      <charset val="134"/>
    </font>
    <font>
      <b/>
      <sz val="9"/>
      <color indexed="12"/>
      <name val="Arial"/>
      <charset val="134"/>
    </font>
    <font>
      <b/>
      <u/>
      <sz val="9"/>
      <name val="Arial"/>
      <charset val="134"/>
    </font>
    <font>
      <sz val="10"/>
      <color indexed="8"/>
      <name val="Arial"/>
      <charset val="134"/>
    </font>
    <font>
      <sz val="10"/>
      <color indexed="10"/>
      <name val="Arial"/>
      <charset val="134"/>
    </font>
    <font>
      <sz val="12"/>
      <color indexed="8"/>
      <name val="Arial"/>
      <charset val="134"/>
    </font>
    <font>
      <b/>
      <i/>
      <sz val="10"/>
      <color indexed="8"/>
      <name val="Arial"/>
      <charset val="134"/>
    </font>
    <font>
      <b/>
      <sz val="10"/>
      <color indexed="8"/>
      <name val="Arial"/>
      <charset val="134"/>
    </font>
    <font>
      <b/>
      <sz val="10"/>
      <color rgb="FF009B73"/>
      <name val="Arial"/>
      <charset val="134"/>
    </font>
    <font>
      <b/>
      <sz val="9"/>
      <color indexed="8"/>
      <name val="Arial"/>
      <charset val="134"/>
    </font>
    <font>
      <sz val="9"/>
      <color indexed="12"/>
      <name val="Arial"/>
      <charset val="134"/>
    </font>
    <font>
      <sz val="10"/>
      <color indexed="61"/>
      <name val="Arial"/>
      <charset val="134"/>
    </font>
    <font>
      <b/>
      <sz val="10"/>
      <color indexed="12"/>
      <name val="Arial"/>
      <charset val="134"/>
    </font>
    <font>
      <sz val="16"/>
      <name val="Arial"/>
      <charset val="134"/>
    </font>
    <font>
      <b/>
      <sz val="16"/>
      <name val="Arial"/>
      <charset val="134"/>
    </font>
    <font>
      <b/>
      <i/>
      <sz val="12"/>
      <name val="Arial"/>
      <charset val="134"/>
    </font>
    <font>
      <b/>
      <sz val="11"/>
      <name val="Arial"/>
      <charset val="134"/>
    </font>
    <font>
      <sz val="9"/>
      <color indexed="8"/>
      <name val="Arial"/>
      <charset val="134"/>
    </font>
    <font>
      <sz val="9"/>
      <color rgb="FF009B73"/>
      <name val="Arial"/>
      <charset val="134"/>
    </font>
    <font>
      <sz val="12"/>
      <name val="Arial"/>
      <charset val="134"/>
    </font>
    <font>
      <b/>
      <sz val="14"/>
      <color indexed="8"/>
      <name val="Arial"/>
      <charset val="134"/>
    </font>
    <font>
      <b/>
      <sz val="10"/>
      <color rgb="FFFF0000"/>
      <name val="Arial"/>
      <charset val="134"/>
    </font>
    <font>
      <sz val="12"/>
      <color theme="1"/>
      <name val="Arial"/>
      <charset val="134"/>
    </font>
    <font>
      <b/>
      <sz val="24"/>
      <color theme="1"/>
      <name val="Arial"/>
      <charset val="134"/>
    </font>
    <font>
      <sz val="16"/>
      <color theme="1"/>
      <name val="Arial"/>
      <charset val="134"/>
    </font>
    <font>
      <sz val="18"/>
      <color theme="1"/>
      <name val="Arial"/>
      <charset val="134"/>
    </font>
    <font>
      <u/>
      <sz val="12"/>
      <color theme="1"/>
      <name val="Arial"/>
      <charset val="134"/>
    </font>
    <font>
      <b/>
      <sz val="24"/>
      <color theme="4"/>
      <name val="Arial"/>
      <charset val="134"/>
    </font>
    <font>
      <sz val="14"/>
      <name val="Arial"/>
      <charset val="134"/>
    </font>
    <font>
      <b/>
      <sz val="28"/>
      <color rgb="FF008ED6"/>
      <name val="Arial"/>
      <charset val="134"/>
    </font>
    <font>
      <sz val="14"/>
      <color theme="1"/>
      <name val="Arial"/>
      <charset val="134"/>
    </font>
    <font>
      <b/>
      <sz val="12"/>
      <color theme="4"/>
      <name val="Arial"/>
      <charset val="134"/>
    </font>
    <font>
      <sz val="10"/>
      <name val="Aldine401 BT"/>
      <charset val="134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0"/>
      <name val="Book Antiqua"/>
      <charset val="134"/>
    </font>
    <font>
      <sz val="11"/>
      <color indexed="12"/>
      <name val="Book Antiqua"/>
      <charset val="134"/>
    </font>
    <font>
      <sz val="10"/>
      <name val="Times New Roman"/>
      <charset val="134"/>
    </font>
    <font>
      <sz val="10"/>
      <name val="宋体-繁"/>
      <charset val="134"/>
    </font>
    <font>
      <vertAlign val="superscript"/>
      <sz val="10"/>
      <name val="Arial"/>
      <charset val="134"/>
    </font>
    <font>
      <sz val="10"/>
      <color rgb="FFFF0000"/>
      <name val="宋体-简"/>
      <charset val="134"/>
    </font>
    <font>
      <sz val="10"/>
      <color rgb="FFFF0000"/>
      <name val="宋体-繁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2F6C"/>
        <bgColor indexed="64"/>
      </patternFill>
    </fill>
    <fill>
      <patternFill patternType="solid">
        <fgColor rgb="FF009966"/>
        <bgColor indexed="64"/>
      </patternFill>
    </fill>
    <fill>
      <patternFill patternType="solid">
        <fgColor rgb="FF5B77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002F6C"/>
      </left>
      <right/>
      <top style="thin">
        <color rgb="FF002F6C"/>
      </top>
      <bottom/>
      <diagonal/>
    </border>
    <border>
      <left/>
      <right/>
      <top style="thin">
        <color rgb="FF002F6C"/>
      </top>
      <bottom/>
      <diagonal/>
    </border>
    <border>
      <left/>
      <right/>
      <top style="thin">
        <color rgb="FF002F6C"/>
      </top>
      <bottom style="thin">
        <color theme="0"/>
      </bottom>
      <diagonal/>
    </border>
    <border>
      <left/>
      <right style="thin">
        <color rgb="FF002F6C"/>
      </right>
      <top style="thin">
        <color rgb="FF002F6C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2F6C"/>
      </left>
      <right/>
      <top/>
      <bottom/>
      <diagonal/>
    </border>
    <border>
      <left/>
      <right style="thin">
        <color rgb="FF002F6C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dotted">
        <color rgb="FF009966"/>
      </bottom>
      <diagonal/>
    </border>
    <border>
      <left style="thin">
        <color rgb="FF002F6C"/>
      </left>
      <right/>
      <top/>
      <bottom style="thin">
        <color rgb="FF002F6C"/>
      </bottom>
      <diagonal/>
    </border>
    <border>
      <left/>
      <right/>
      <top/>
      <bottom style="thin">
        <color rgb="FF002F6C"/>
      </bottom>
      <diagonal/>
    </border>
    <border>
      <left/>
      <right style="thin">
        <color rgb="FF002F6C"/>
      </right>
      <top/>
      <bottom style="thin">
        <color rgb="FF002F6C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2F6C"/>
      </left>
      <right/>
      <top/>
      <bottom style="thin">
        <color rgb="FF4586BB"/>
      </bottom>
      <diagonal/>
    </border>
    <border>
      <left/>
      <right/>
      <top/>
      <bottom style="thin">
        <color rgb="FF4586BB"/>
      </bottom>
      <diagonal/>
    </border>
    <border>
      <left/>
      <right style="thin">
        <color rgb="FF002F6C"/>
      </right>
      <top/>
      <bottom style="thin">
        <color rgb="FF4586BB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rgb="FF4586BB"/>
      </left>
      <right/>
      <top style="thin">
        <color rgb="FF4586BB"/>
      </top>
      <bottom/>
      <diagonal/>
    </border>
    <border>
      <left/>
      <right/>
      <top style="thin">
        <color rgb="FF4586BB"/>
      </top>
      <bottom/>
      <diagonal/>
    </border>
    <border>
      <left/>
      <right style="thin">
        <color rgb="FF4586BB"/>
      </right>
      <top style="thin">
        <color rgb="FF4586BB"/>
      </top>
      <bottom/>
      <diagonal/>
    </border>
    <border>
      <left style="thin">
        <color rgb="FF4586BB"/>
      </left>
      <right/>
      <top/>
      <bottom/>
      <diagonal/>
    </border>
    <border>
      <left/>
      <right style="thin">
        <color rgb="FF4586BB"/>
      </right>
      <top/>
      <bottom/>
      <diagonal/>
    </border>
    <border>
      <left style="thin">
        <color rgb="FF4586BB"/>
      </left>
      <right/>
      <top/>
      <bottom style="thin">
        <color rgb="FF4586BB"/>
      </bottom>
      <diagonal/>
    </border>
    <border>
      <left/>
      <right style="thin">
        <color rgb="FF4586BB"/>
      </right>
      <top/>
      <bottom style="thin">
        <color rgb="FF4586BB"/>
      </bottom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auto="1"/>
      </bottom>
      <diagonal/>
    </border>
  </borders>
  <cellStyleXfs count="61">
    <xf numFmtId="0" fontId="0" fillId="0" borderId="0"/>
    <xf numFmtId="176" fontId="76" fillId="0" borderId="0" applyFont="0" applyFill="0" applyBorder="0" applyAlignment="0" applyProtection="0"/>
    <xf numFmtId="177" fontId="77" fillId="0" borderId="0" applyFont="0" applyFill="0" applyBorder="0" applyAlignment="0" applyProtection="0">
      <alignment vertical="center"/>
    </xf>
    <xf numFmtId="9" fontId="77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178" fontId="77" fillId="0" borderId="0" applyFon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7" fillId="6" borderId="48" applyNumberFormat="0" applyFon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5" fillId="0" borderId="50" applyNumberFormat="0" applyFill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7" borderId="51" applyNumberFormat="0" applyAlignment="0" applyProtection="0">
      <alignment vertical="center"/>
    </xf>
    <xf numFmtId="0" fontId="87" fillId="8" borderId="52" applyNumberFormat="0" applyAlignment="0" applyProtection="0">
      <alignment vertical="center"/>
    </xf>
    <xf numFmtId="0" fontId="88" fillId="8" borderId="51" applyNumberFormat="0" applyAlignment="0" applyProtection="0">
      <alignment vertical="center"/>
    </xf>
    <xf numFmtId="0" fontId="89" fillId="9" borderId="53" applyNumberFormat="0" applyAlignment="0" applyProtection="0">
      <alignment vertical="center"/>
    </xf>
    <xf numFmtId="0" fontId="90" fillId="0" borderId="54" applyNumberFormat="0" applyFill="0" applyAlignment="0" applyProtection="0">
      <alignment vertical="center"/>
    </xf>
    <xf numFmtId="0" fontId="91" fillId="0" borderId="55" applyNumberFormat="0" applyFill="0" applyAlignment="0" applyProtection="0">
      <alignment vertical="center"/>
    </xf>
    <xf numFmtId="0" fontId="92" fillId="10" borderId="0" applyNumberFormat="0" applyBorder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5" fillId="13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7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1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5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29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5" fillId="33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7" fillId="0" borderId="0" applyNumberFormat="0" applyFont="0" applyFill="0" applyBorder="0" applyProtection="0">
      <alignment horizontal="centerContinuous"/>
    </xf>
    <xf numFmtId="0" fontId="97" fillId="0" borderId="13" applyNumberFormat="0" applyFont="0" applyFill="0" applyAlignment="0" applyProtection="0"/>
    <xf numFmtId="0" fontId="97" fillId="0" borderId="0" applyNumberFormat="0" applyFont="0" applyFill="0" applyBorder="0" applyProtection="0">
      <alignment horizontal="center"/>
    </xf>
    <xf numFmtId="179" fontId="98" fillId="0" borderId="56">
      <protection locked="0"/>
    </xf>
    <xf numFmtId="0" fontId="97" fillId="0" borderId="57" applyNumberFormat="0" applyFont="0" applyFill="0" applyAlignment="0" applyProtection="0"/>
    <xf numFmtId="0" fontId="77" fillId="0" borderId="0"/>
    <xf numFmtId="0" fontId="0" fillId="0" borderId="0"/>
    <xf numFmtId="0" fontId="0" fillId="0" borderId="0"/>
    <xf numFmtId="0" fontId="99" fillId="0" borderId="0"/>
    <xf numFmtId="0" fontId="19" fillId="0" borderId="0" applyNumberFormat="0" applyFill="0" applyBorder="0" applyAlignment="0" applyProtection="0"/>
    <xf numFmtId="180" fontId="76" fillId="0" borderId="0" applyNumberFormat="0" applyFill="0" applyBorder="0" applyAlignment="0" applyProtection="0"/>
    <xf numFmtId="0" fontId="97" fillId="0" borderId="35" applyNumberFormat="0" applyFont="0" applyFill="0" applyAlignment="0" applyProtection="0"/>
  </cellStyleXfs>
  <cellXfs count="545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55" applyAlignment="1" applyProtection="1">
      <alignment vertical="center"/>
      <protection locked="0"/>
    </xf>
    <xf numFmtId="0" fontId="0" fillId="0" borderId="0" xfId="55" applyProtection="1">
      <protection locked="0"/>
    </xf>
    <xf numFmtId="0" fontId="3" fillId="0" borderId="0" xfId="55" applyFont="1" applyAlignment="1" applyProtection="1">
      <alignment horizontal="centerContinuous"/>
      <protection locked="0"/>
    </xf>
    <xf numFmtId="0" fontId="4" fillId="0" borderId="0" xfId="55" applyFont="1" applyAlignment="1" applyProtection="1">
      <alignment horizontal="centerContinuous"/>
      <protection locked="0"/>
    </xf>
    <xf numFmtId="0" fontId="5" fillId="0" borderId="0" xfId="55" applyFont="1" applyAlignment="1" applyProtection="1">
      <alignment horizontal="centerContinuous"/>
      <protection locked="0"/>
    </xf>
    <xf numFmtId="0" fontId="6" fillId="0" borderId="0" xfId="55" applyFont="1" applyAlignment="1" applyProtection="1">
      <alignment horizontal="centerContinuous"/>
      <protection locked="0"/>
    </xf>
    <xf numFmtId="0" fontId="0" fillId="0" borderId="1" xfId="55" applyBorder="1" applyProtection="1">
      <protection locked="0"/>
    </xf>
    <xf numFmtId="0" fontId="7" fillId="0" borderId="0" xfId="55" applyFont="1" applyAlignment="1" applyProtection="1">
      <alignment horizontal="centerContinuous"/>
      <protection locked="0"/>
    </xf>
    <xf numFmtId="0" fontId="8" fillId="0" borderId="0" xfId="55" applyFont="1" applyAlignment="1" applyProtection="1">
      <alignment horizontal="centerContinuous"/>
      <protection locked="0"/>
    </xf>
    <xf numFmtId="0" fontId="9" fillId="0" borderId="0" xfId="55" applyFont="1" applyAlignment="1" applyProtection="1">
      <alignment horizontal="centerContinuous"/>
      <protection locked="0"/>
    </xf>
    <xf numFmtId="0" fontId="0" fillId="2" borderId="2" xfId="55" applyFill="1" applyBorder="1" applyAlignment="1">
      <alignment vertical="center"/>
    </xf>
    <xf numFmtId="0" fontId="0" fillId="2" borderId="3" xfId="55" applyFill="1" applyBorder="1" applyAlignment="1">
      <alignment vertical="center"/>
    </xf>
    <xf numFmtId="0" fontId="10" fillId="2" borderId="3" xfId="55" applyFont="1" applyFill="1" applyBorder="1" applyAlignment="1">
      <alignment vertical="center"/>
    </xf>
    <xf numFmtId="0" fontId="11" fillId="2" borderId="4" xfId="55" applyFont="1" applyFill="1" applyBorder="1" applyAlignment="1">
      <alignment horizontal="centerContinuous" vertical="center"/>
    </xf>
    <xf numFmtId="0" fontId="12" fillId="2" borderId="4" xfId="55" applyFont="1" applyFill="1" applyBorder="1" applyAlignment="1">
      <alignment horizontal="centerContinuous" vertical="center"/>
    </xf>
    <xf numFmtId="0" fontId="10" fillId="2" borderId="5" xfId="55" applyFont="1" applyFill="1" applyBorder="1" applyAlignment="1">
      <alignment vertical="center"/>
    </xf>
    <xf numFmtId="0" fontId="0" fillId="0" borderId="6" xfId="55" applyBorder="1" applyAlignment="1" applyProtection="1">
      <alignment vertical="center"/>
      <protection locked="0"/>
    </xf>
    <xf numFmtId="0" fontId="0" fillId="0" borderId="7" xfId="55" applyBorder="1" applyAlignment="1" applyProtection="1">
      <alignment vertical="center"/>
      <protection locked="0"/>
    </xf>
    <xf numFmtId="0" fontId="13" fillId="0" borderId="8" xfId="55" applyFont="1" applyBorder="1" applyAlignment="1" applyProtection="1">
      <alignment horizontal="centerContinuous" vertical="center"/>
      <protection locked="0"/>
    </xf>
    <xf numFmtId="0" fontId="14" fillId="0" borderId="8" xfId="55" applyFont="1" applyBorder="1" applyAlignment="1" applyProtection="1">
      <alignment horizontal="centerContinuous" vertical="center"/>
      <protection locked="0"/>
    </xf>
    <xf numFmtId="0" fontId="0" fillId="0" borderId="9" xfId="55" applyBorder="1" applyAlignment="1" applyProtection="1">
      <alignment vertical="center"/>
      <protection locked="0"/>
    </xf>
    <xf numFmtId="0" fontId="0" fillId="2" borderId="10" xfId="55" applyFill="1" applyBorder="1" applyAlignment="1">
      <alignment vertical="center"/>
    </xf>
    <xf numFmtId="0" fontId="15" fillId="2" borderId="0" xfId="55" applyFont="1" applyFill="1" applyAlignment="1">
      <alignment vertical="center"/>
    </xf>
    <xf numFmtId="0" fontId="0" fillId="2" borderId="0" xfId="55" applyFill="1" applyAlignment="1">
      <alignment vertical="center"/>
    </xf>
    <xf numFmtId="181" fontId="15" fillId="2" borderId="0" xfId="0" applyNumberFormat="1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0" fillId="2" borderId="11" xfId="55" applyFont="1" applyFill="1" applyBorder="1" applyAlignment="1">
      <alignment vertical="center"/>
    </xf>
    <xf numFmtId="0" fontId="0" fillId="0" borderId="12" xfId="55" applyBorder="1" applyAlignment="1" applyProtection="1">
      <alignment vertical="center"/>
      <protection locked="0"/>
    </xf>
    <xf numFmtId="0" fontId="0" fillId="0" borderId="13" xfId="55" applyBorder="1" applyAlignment="1" applyProtection="1">
      <alignment vertical="center"/>
      <protection locked="0"/>
    </xf>
    <xf numFmtId="181" fontId="8" fillId="0" borderId="13" xfId="0" applyNumberFormat="1" applyFont="1" applyBorder="1" applyAlignment="1" applyProtection="1">
      <alignment vertical="center"/>
      <protection locked="0"/>
    </xf>
    <xf numFmtId="0" fontId="8" fillId="0" borderId="13" xfId="0" applyFont="1" applyBorder="1" applyAlignment="1" applyProtection="1">
      <alignment vertical="center"/>
      <protection locked="0"/>
    </xf>
    <xf numFmtId="0" fontId="0" fillId="0" borderId="14" xfId="55" applyBorder="1" applyAlignment="1" applyProtection="1">
      <alignment vertical="center"/>
      <protection locked="0"/>
    </xf>
    <xf numFmtId="0" fontId="0" fillId="3" borderId="10" xfId="55" applyFill="1" applyBorder="1"/>
    <xf numFmtId="0" fontId="0" fillId="3" borderId="0" xfId="55" applyFill="1"/>
    <xf numFmtId="181" fontId="16" fillId="3" borderId="0" xfId="0" applyNumberFormat="1" applyFont="1" applyFill="1"/>
    <xf numFmtId="182" fontId="16" fillId="3" borderId="0" xfId="0" applyNumberFormat="1" applyFont="1" applyFill="1" applyAlignment="1">
      <alignment horizontal="right"/>
    </xf>
    <xf numFmtId="0" fontId="16" fillId="3" borderId="0" xfId="0" applyFont="1" applyFill="1"/>
    <xf numFmtId="0" fontId="16" fillId="3" borderId="11" xfId="0" applyFont="1" applyFill="1" applyBorder="1"/>
    <xf numFmtId="0" fontId="0" fillId="0" borderId="12" xfId="55" applyBorder="1" applyProtection="1">
      <protection locked="0"/>
    </xf>
    <xf numFmtId="181" fontId="16" fillId="0" borderId="0" xfId="0" applyNumberFormat="1" applyFont="1" applyProtection="1">
      <protection locked="0"/>
    </xf>
    <xf numFmtId="182" fontId="16" fillId="0" borderId="0" xfId="0" applyNumberFormat="1" applyFont="1" applyAlignment="1" applyProtection="1">
      <alignment horizontal="right"/>
      <protection locked="0"/>
    </xf>
    <xf numFmtId="0" fontId="16" fillId="0" borderId="0" xfId="0" applyFont="1" applyProtection="1">
      <protection locked="0"/>
    </xf>
    <xf numFmtId="0" fontId="0" fillId="0" borderId="14" xfId="55" applyBorder="1" applyProtection="1">
      <protection locked="0"/>
    </xf>
    <xf numFmtId="0" fontId="0" fillId="4" borderId="10" xfId="55" applyFill="1" applyBorder="1"/>
    <xf numFmtId="0" fontId="0" fillId="4" borderId="0" xfId="55" applyFill="1"/>
    <xf numFmtId="181" fontId="16" fillId="4" borderId="0" xfId="0" applyNumberFormat="1" applyFont="1" applyFill="1"/>
    <xf numFmtId="182" fontId="16" fillId="4" borderId="0" xfId="0" applyNumberFormat="1" applyFont="1" applyFill="1" applyAlignment="1">
      <alignment horizontal="right"/>
    </xf>
    <xf numFmtId="0" fontId="16" fillId="4" borderId="0" xfId="0" applyFont="1" applyFill="1"/>
    <xf numFmtId="0" fontId="16" fillId="4" borderId="11" xfId="0" applyFont="1" applyFill="1" applyBorder="1"/>
    <xf numFmtId="0" fontId="0" fillId="0" borderId="10" xfId="55" applyBorder="1" applyProtection="1">
      <protection locked="0"/>
    </xf>
    <xf numFmtId="0" fontId="8" fillId="0" borderId="0" xfId="55" applyFont="1" applyProtection="1">
      <protection locked="0"/>
    </xf>
    <xf numFmtId="0" fontId="0" fillId="0" borderId="11" xfId="55" applyBorder="1" applyProtection="1">
      <protection locked="0"/>
    </xf>
    <xf numFmtId="0" fontId="17" fillId="0" borderId="0" xfId="55" applyFont="1" applyProtection="1">
      <protection locked="0"/>
    </xf>
    <xf numFmtId="183" fontId="18" fillId="0" borderId="0" xfId="1" applyNumberFormat="1" applyFont="1" applyFill="1" applyBorder="1" applyProtection="1">
      <protection locked="0"/>
    </xf>
    <xf numFmtId="0" fontId="19" fillId="0" borderId="0" xfId="55" applyFont="1" applyProtection="1">
      <protection locked="0"/>
    </xf>
    <xf numFmtId="183" fontId="0" fillId="0" borderId="0" xfId="1" applyNumberFormat="1" applyFont="1" applyBorder="1" applyProtection="1">
      <protection locked="0"/>
    </xf>
    <xf numFmtId="0" fontId="20" fillId="0" borderId="0" xfId="55" applyFont="1" applyProtection="1">
      <protection locked="0"/>
    </xf>
    <xf numFmtId="0" fontId="21" fillId="0" borderId="0" xfId="55" applyFont="1" applyProtection="1">
      <protection locked="0"/>
    </xf>
    <xf numFmtId="0" fontId="18" fillId="0" borderId="0" xfId="55" applyFont="1" applyProtection="1">
      <protection locked="0"/>
    </xf>
    <xf numFmtId="184" fontId="22" fillId="0" borderId="0" xfId="0" applyNumberFormat="1" applyFont="1" applyProtection="1">
      <protection locked="0"/>
    </xf>
    <xf numFmtId="184" fontId="20" fillId="0" borderId="0" xfId="0" applyNumberFormat="1" applyFont="1" applyProtection="1">
      <protection locked="0"/>
    </xf>
    <xf numFmtId="0" fontId="23" fillId="0" borderId="0" xfId="55" applyFont="1" applyProtection="1">
      <protection locked="0"/>
    </xf>
    <xf numFmtId="0" fontId="18" fillId="0" borderId="15" xfId="55" applyFont="1" applyBorder="1" applyProtection="1">
      <protection locked="0"/>
    </xf>
    <xf numFmtId="183" fontId="0" fillId="0" borderId="11" xfId="1" applyNumberFormat="1" applyFont="1" applyBorder="1" applyProtection="1">
      <protection locked="0"/>
    </xf>
    <xf numFmtId="184" fontId="14" fillId="0" borderId="11" xfId="0" applyNumberFormat="1" applyFont="1" applyBorder="1" applyProtection="1">
      <protection locked="0"/>
    </xf>
    <xf numFmtId="0" fontId="24" fillId="0" borderId="0" xfId="55" applyFont="1" applyProtection="1">
      <protection locked="0"/>
    </xf>
    <xf numFmtId="0" fontId="25" fillId="0" borderId="0" xfId="55" applyFont="1" applyProtection="1">
      <protection locked="0"/>
    </xf>
    <xf numFmtId="0" fontId="0" fillId="0" borderId="16" xfId="55" applyBorder="1" applyProtection="1">
      <protection locked="0"/>
    </xf>
    <xf numFmtId="0" fontId="0" fillId="0" borderId="17" xfId="55" applyBorder="1" applyProtection="1">
      <protection locked="0"/>
    </xf>
    <xf numFmtId="0" fontId="0" fillId="0" borderId="17" xfId="55" applyBorder="1" applyAlignment="1" applyProtection="1">
      <alignment horizontal="left"/>
      <protection locked="0"/>
    </xf>
    <xf numFmtId="0" fontId="0" fillId="0" borderId="18" xfId="55" applyBorder="1" applyProtection="1">
      <protection locked="0"/>
    </xf>
    <xf numFmtId="0" fontId="0" fillId="0" borderId="19" xfId="55" applyBorder="1" applyProtection="1">
      <protection locked="0"/>
    </xf>
    <xf numFmtId="0" fontId="0" fillId="0" borderId="13" xfId="55" applyBorder="1" applyProtection="1">
      <protection locked="0"/>
    </xf>
    <xf numFmtId="0" fontId="0" fillId="0" borderId="20" xfId="55" applyBorder="1" applyProtection="1">
      <protection locked="0"/>
    </xf>
    <xf numFmtId="0" fontId="0" fillId="2" borderId="5" xfId="55" applyFill="1" applyBorder="1" applyAlignment="1">
      <alignment vertical="center"/>
    </xf>
    <xf numFmtId="0" fontId="0" fillId="2" borderId="11" xfId="55" applyFill="1" applyBorder="1" applyAlignment="1">
      <alignment vertical="center"/>
    </xf>
    <xf numFmtId="0" fontId="14" fillId="0" borderId="0" xfId="55" applyFont="1" applyProtection="1">
      <protection locked="0"/>
    </xf>
    <xf numFmtId="184" fontId="14" fillId="0" borderId="0" xfId="0" applyNumberFormat="1" applyFont="1" applyProtection="1">
      <protection locked="0"/>
    </xf>
    <xf numFmtId="0" fontId="0" fillId="0" borderId="0" xfId="55" applyAlignment="1" applyProtection="1">
      <alignment horizontal="right"/>
      <protection locked="0"/>
    </xf>
    <xf numFmtId="0" fontId="0" fillId="2" borderId="21" xfId="55" applyFill="1" applyBorder="1" applyAlignment="1">
      <alignment vertical="center"/>
    </xf>
    <xf numFmtId="0" fontId="0" fillId="2" borderId="22" xfId="55" applyFill="1" applyBorder="1" applyAlignment="1">
      <alignment vertical="center"/>
    </xf>
    <xf numFmtId="181" fontId="15" fillId="2" borderId="22" xfId="0" applyNumberFormat="1" applyFont="1" applyFill="1" applyBorder="1" applyAlignment="1">
      <alignment vertical="center"/>
    </xf>
    <xf numFmtId="0" fontId="15" fillId="2" borderId="22" xfId="0" applyFont="1" applyFill="1" applyBorder="1" applyAlignment="1">
      <alignment vertical="center"/>
    </xf>
    <xf numFmtId="0" fontId="0" fillId="2" borderId="23" xfId="55" applyFill="1" applyBorder="1" applyAlignment="1">
      <alignment vertical="center"/>
    </xf>
    <xf numFmtId="0" fontId="21" fillId="0" borderId="0" xfId="0" applyFont="1"/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/>
    </xf>
    <xf numFmtId="0" fontId="25" fillId="0" borderId="0" xfId="55" applyFont="1" applyAlignment="1">
      <alignment horizontal="righ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Continuous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Continuous"/>
    </xf>
    <xf numFmtId="0" fontId="27" fillId="0" borderId="0" xfId="0" applyFont="1" applyAlignment="1">
      <alignment horizontal="centerContinuous"/>
    </xf>
    <xf numFmtId="0" fontId="28" fillId="0" borderId="0" xfId="0" applyFont="1" applyAlignment="1">
      <alignment horizontal="centerContinuous"/>
    </xf>
    <xf numFmtId="0" fontId="6" fillId="0" borderId="1" xfId="0" applyFont="1" applyBorder="1" applyAlignment="1">
      <alignment horizontal="centerContinuous"/>
    </xf>
    <xf numFmtId="0" fontId="27" fillId="0" borderId="1" xfId="0" applyFont="1" applyBorder="1" applyAlignment="1">
      <alignment horizontal="centerContinuous"/>
    </xf>
    <xf numFmtId="0" fontId="28" fillId="0" borderId="1" xfId="0" applyFont="1" applyBorder="1" applyAlignment="1">
      <alignment horizontal="centerContinuous"/>
    </xf>
    <xf numFmtId="0" fontId="8" fillId="0" borderId="0" xfId="0" applyFont="1" applyAlignment="1">
      <alignment horizontal="centerContinuous"/>
    </xf>
    <xf numFmtId="0" fontId="13" fillId="0" borderId="13" xfId="0" applyFont="1" applyBorder="1" applyAlignment="1">
      <alignment horizontal="centerContinuous"/>
    </xf>
    <xf numFmtId="0" fontId="0" fillId="0" borderId="13" xfId="0" applyBorder="1" applyAlignment="1">
      <alignment horizontal="centerContinuous"/>
    </xf>
    <xf numFmtId="0" fontId="16" fillId="0" borderId="0" xfId="0" applyFont="1"/>
    <xf numFmtId="181" fontId="8" fillId="0" borderId="0" xfId="0" applyNumberFormat="1" applyFont="1" applyAlignment="1">
      <alignment horizontal="right"/>
    </xf>
    <xf numFmtId="0" fontId="8" fillId="0" borderId="0" xfId="0" applyFont="1"/>
    <xf numFmtId="0" fontId="29" fillId="0" borderId="0" xfId="0" applyFont="1"/>
    <xf numFmtId="0" fontId="8" fillId="0" borderId="0" xfId="0" applyFont="1" applyAlignment="1">
      <alignment horizontal="left"/>
    </xf>
    <xf numFmtId="0" fontId="19" fillId="0" borderId="0" xfId="0" applyFont="1"/>
    <xf numFmtId="185" fontId="0" fillId="0" borderId="0" xfId="0" applyNumberFormat="1"/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186" fontId="30" fillId="0" borderId="0" xfId="1" applyNumberFormat="1" applyFont="1" applyFill="1" applyBorder="1" applyProtection="1"/>
    <xf numFmtId="186" fontId="30" fillId="0" borderId="0" xfId="1" applyNumberFormat="1" applyFont="1" applyFill="1" applyProtection="1"/>
    <xf numFmtId="186" fontId="31" fillId="0" borderId="0" xfId="1" applyNumberFormat="1" applyFont="1" applyFill="1" applyProtection="1"/>
    <xf numFmtId="185" fontId="32" fillId="0" borderId="0" xfId="0" applyNumberFormat="1" applyFont="1"/>
    <xf numFmtId="185" fontId="14" fillId="0" borderId="0" xfId="0" applyNumberFormat="1" applyFont="1"/>
    <xf numFmtId="185" fontId="33" fillId="0" borderId="0" xfId="0" applyNumberFormat="1" applyFont="1"/>
    <xf numFmtId="186" fontId="34" fillId="0" borderId="0" xfId="1" applyNumberFormat="1" applyFont="1" applyFill="1" applyBorder="1" applyProtection="1"/>
    <xf numFmtId="186" fontId="34" fillId="0" borderId="13" xfId="1" applyNumberFormat="1" applyFont="1" applyFill="1" applyBorder="1" applyProtection="1"/>
    <xf numFmtId="186" fontId="0" fillId="0" borderId="13" xfId="1" applyNumberFormat="1" applyFont="1" applyFill="1" applyBorder="1" applyProtection="1"/>
    <xf numFmtId="0" fontId="25" fillId="0" borderId="0" xfId="0" applyFont="1" applyAlignment="1">
      <alignment horizontal="left"/>
    </xf>
    <xf numFmtId="186" fontId="8" fillId="0" borderId="0" xfId="1" applyNumberFormat="1" applyFont="1" applyFill="1" applyBorder="1" applyProtection="1"/>
    <xf numFmtId="186" fontId="8" fillId="0" borderId="0" xfId="1" applyNumberFormat="1" applyFont="1" applyFill="1" applyProtection="1"/>
    <xf numFmtId="0" fontId="0" fillId="0" borderId="24" xfId="0" applyBorder="1"/>
    <xf numFmtId="0" fontId="8" fillId="0" borderId="24" xfId="0" applyFont="1" applyBorder="1" applyAlignment="1">
      <alignment horizontal="left"/>
    </xf>
    <xf numFmtId="0" fontId="25" fillId="0" borderId="24" xfId="0" applyFont="1" applyBorder="1" applyAlignment="1">
      <alignment horizontal="left"/>
    </xf>
    <xf numFmtId="187" fontId="35" fillId="0" borderId="24" xfId="1" applyNumberFormat="1" applyFont="1" applyFill="1" applyBorder="1" applyProtection="1"/>
    <xf numFmtId="187" fontId="8" fillId="0" borderId="24" xfId="1" applyNumberFormat="1" applyFont="1" applyFill="1" applyBorder="1" applyProtection="1"/>
    <xf numFmtId="187" fontId="35" fillId="0" borderId="0" xfId="1" applyNumberFormat="1" applyFont="1" applyFill="1" applyProtection="1"/>
    <xf numFmtId="187" fontId="8" fillId="0" borderId="0" xfId="1" applyNumberFormat="1" applyFont="1" applyFill="1" applyProtection="1"/>
    <xf numFmtId="186" fontId="0" fillId="0" borderId="0" xfId="1" applyNumberFormat="1" applyFont="1" applyFill="1" applyProtection="1"/>
    <xf numFmtId="185" fontId="14" fillId="0" borderId="13" xfId="0" applyNumberFormat="1" applyFont="1" applyBorder="1"/>
    <xf numFmtId="185" fontId="33" fillId="0" borderId="13" xfId="0" applyNumberFormat="1" applyFont="1" applyBorder="1"/>
    <xf numFmtId="0" fontId="25" fillId="0" borderId="0" xfId="0" applyFont="1"/>
    <xf numFmtId="186" fontId="36" fillId="0" borderId="0" xfId="1" applyNumberFormat="1" applyFont="1" applyFill="1" applyBorder="1" applyProtection="1"/>
    <xf numFmtId="188" fontId="0" fillId="0" borderId="0" xfId="0" applyNumberFormat="1"/>
    <xf numFmtId="0" fontId="19" fillId="0" borderId="24" xfId="0" applyFont="1" applyBorder="1"/>
    <xf numFmtId="0" fontId="34" fillId="0" borderId="0" xfId="0" applyFont="1" applyAlignment="1">
      <alignment horizontal="center"/>
    </xf>
    <xf numFmtId="189" fontId="0" fillId="0" borderId="0" xfId="1" applyNumberFormat="1" applyFont="1" applyFill="1" applyBorder="1" applyProtection="1"/>
    <xf numFmtId="189" fontId="0" fillId="0" borderId="0" xfId="1" applyNumberFormat="1" applyFont="1" applyFill="1" applyProtection="1"/>
    <xf numFmtId="190" fontId="8" fillId="0" borderId="0" xfId="1" applyNumberFormat="1" applyFont="1" applyFill="1" applyBorder="1" applyProtection="1"/>
    <xf numFmtId="190" fontId="8" fillId="0" borderId="0" xfId="1" applyNumberFormat="1" applyFont="1" applyFill="1" applyProtection="1"/>
    <xf numFmtId="190" fontId="8" fillId="0" borderId="7" xfId="1" applyNumberFormat="1" applyFont="1" applyFill="1" applyBorder="1" applyProtection="1"/>
    <xf numFmtId="0" fontId="0" fillId="0" borderId="13" xfId="0" applyBorder="1"/>
    <xf numFmtId="0" fontId="21" fillId="0" borderId="13" xfId="0" applyFont="1" applyBorder="1"/>
    <xf numFmtId="0" fontId="25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0" fontId="0" fillId="0" borderId="25" xfId="0" applyBorder="1"/>
    <xf numFmtId="0" fontId="0" fillId="0" borderId="26" xfId="0" applyBorder="1"/>
    <xf numFmtId="0" fontId="19" fillId="0" borderId="26" xfId="0" applyFont="1" applyBorder="1"/>
    <xf numFmtId="0" fontId="16" fillId="0" borderId="26" xfId="0" applyFont="1" applyBorder="1"/>
    <xf numFmtId="191" fontId="0" fillId="0" borderId="26" xfId="0" applyNumberFormat="1" applyBorder="1"/>
    <xf numFmtId="191" fontId="0" fillId="0" borderId="27" xfId="0" applyNumberFormat="1" applyBorder="1"/>
    <xf numFmtId="0" fontId="0" fillId="0" borderId="28" xfId="0" applyBorder="1"/>
    <xf numFmtId="0" fontId="16" fillId="0" borderId="24" xfId="0" applyFont="1" applyBorder="1"/>
    <xf numFmtId="185" fontId="0" fillId="0" borderId="24" xfId="0" applyNumberFormat="1" applyBorder="1" applyAlignment="1">
      <alignment horizontal="right"/>
    </xf>
    <xf numFmtId="188" fontId="0" fillId="0" borderId="24" xfId="0" applyNumberFormat="1" applyBorder="1" applyAlignment="1">
      <alignment horizontal="right"/>
    </xf>
    <xf numFmtId="188" fontId="0" fillId="0" borderId="29" xfId="0" applyNumberForma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left"/>
    </xf>
    <xf numFmtId="191" fontId="34" fillId="0" borderId="0" xfId="1" applyNumberFormat="1" applyFont="1" applyBorder="1" applyProtection="1"/>
    <xf numFmtId="191" fontId="31" fillId="0" borderId="0" xfId="1" applyNumberFormat="1" applyFont="1" applyBorder="1" applyProtection="1"/>
    <xf numFmtId="191" fontId="0" fillId="0" borderId="0" xfId="1" applyNumberFormat="1" applyFont="1" applyBorder="1" applyProtection="1"/>
    <xf numFmtId="191" fontId="31" fillId="0" borderId="13" xfId="1" applyNumberFormat="1" applyFont="1" applyBorder="1" applyProtection="1"/>
    <xf numFmtId="191" fontId="0" fillId="0" borderId="13" xfId="1" applyNumberFormat="1" applyFont="1" applyBorder="1" applyProtection="1"/>
    <xf numFmtId="0" fontId="37" fillId="0" borderId="0" xfId="0" applyFont="1"/>
    <xf numFmtId="191" fontId="8" fillId="0" borderId="0" xfId="1" applyNumberFormat="1" applyFont="1" applyBorder="1" applyProtection="1"/>
    <xf numFmtId="37" fontId="0" fillId="0" borderId="0" xfId="1" applyNumberFormat="1" applyFont="1" applyBorder="1" applyProtection="1"/>
    <xf numFmtId="39" fontId="34" fillId="0" borderId="0" xfId="1" applyNumberFormat="1" applyFont="1" applyBorder="1" applyProtection="1"/>
    <xf numFmtId="39" fontId="0" fillId="0" borderId="0" xfId="1" applyNumberFormat="1" applyFont="1" applyBorder="1" applyProtection="1"/>
    <xf numFmtId="37" fontId="0" fillId="0" borderId="0" xfId="0" applyNumberFormat="1"/>
    <xf numFmtId="37" fontId="8" fillId="0" borderId="0" xfId="1" applyNumberFormat="1" applyFont="1" applyBorder="1" applyProtection="1"/>
    <xf numFmtId="190" fontId="8" fillId="0" borderId="0" xfId="1" applyNumberFormat="1" applyFont="1" applyBorder="1" applyProtection="1"/>
    <xf numFmtId="190" fontId="8" fillId="0" borderId="30" xfId="1" applyNumberFormat="1" applyFont="1" applyBorder="1" applyProtection="1"/>
    <xf numFmtId="0" fontId="8" fillId="0" borderId="24" xfId="0" applyFont="1" applyBorder="1"/>
    <xf numFmtId="0" fontId="37" fillId="0" borderId="24" xfId="0" applyFont="1" applyBorder="1"/>
    <xf numFmtId="37" fontId="8" fillId="0" borderId="24" xfId="1" applyNumberFormat="1" applyFont="1" applyBorder="1" applyProtection="1"/>
    <xf numFmtId="0" fontId="34" fillId="0" borderId="0" xfId="0" applyFont="1"/>
    <xf numFmtId="0" fontId="8" fillId="0" borderId="13" xfId="0" applyFont="1" applyBorder="1" applyAlignment="1">
      <alignment horizontal="left"/>
    </xf>
    <xf numFmtId="0" fontId="8" fillId="0" borderId="13" xfId="0" applyFont="1" applyBorder="1"/>
    <xf numFmtId="0" fontId="37" fillId="0" borderId="13" xfId="0" applyFont="1" applyBorder="1"/>
    <xf numFmtId="37" fontId="8" fillId="0" borderId="13" xfId="1" applyNumberFormat="1" applyFont="1" applyBorder="1" applyProtection="1"/>
    <xf numFmtId="187" fontId="0" fillId="0" borderId="0" xfId="1" applyNumberFormat="1" applyFont="1" applyBorder="1" applyProtection="1"/>
    <xf numFmtId="0" fontId="14" fillId="0" borderId="0" xfId="0" applyFont="1"/>
    <xf numFmtId="183" fontId="34" fillId="0" borderId="0" xfId="0" applyNumberFormat="1" applyFont="1"/>
    <xf numFmtId="185" fontId="34" fillId="0" borderId="0" xfId="0" applyNumberFormat="1" applyFont="1"/>
    <xf numFmtId="0" fontId="0" fillId="0" borderId="31" xfId="0" applyBorder="1"/>
    <xf numFmtId="0" fontId="0" fillId="0" borderId="32" xfId="0" applyBorder="1"/>
    <xf numFmtId="0" fontId="16" fillId="0" borderId="32" xfId="0" applyFont="1" applyBorder="1"/>
    <xf numFmtId="191" fontId="0" fillId="0" borderId="32" xfId="1" applyNumberFormat="1" applyFont="1" applyBorder="1" applyAlignment="1" applyProtection="1">
      <alignment horizontal="right"/>
    </xf>
    <xf numFmtId="191" fontId="0" fillId="0" borderId="33" xfId="1" applyNumberFormat="1" applyFont="1" applyBorder="1" applyAlignment="1" applyProtection="1">
      <alignment horizontal="right"/>
    </xf>
    <xf numFmtId="191" fontId="0" fillId="0" borderId="0" xfId="1" applyNumberFormat="1" applyFont="1" applyBorder="1" applyAlignment="1" applyProtection="1">
      <alignment horizontal="right"/>
    </xf>
    <xf numFmtId="191" fontId="34" fillId="0" borderId="13" xfId="1" applyNumberFormat="1" applyFont="1" applyBorder="1" applyProtection="1"/>
    <xf numFmtId="191" fontId="8" fillId="0" borderId="13" xfId="1" applyNumberFormat="1" applyFont="1" applyBorder="1" applyAlignment="1" applyProtection="1">
      <alignment horizontal="right"/>
    </xf>
    <xf numFmtId="191" fontId="8" fillId="0" borderId="0" xfId="1" applyNumberFormat="1" applyFont="1" applyBorder="1" applyAlignment="1" applyProtection="1">
      <alignment horizontal="right"/>
    </xf>
    <xf numFmtId="37" fontId="16" fillId="0" borderId="0" xfId="0" applyNumberFormat="1" applyFont="1"/>
    <xf numFmtId="37" fontId="34" fillId="0" borderId="0" xfId="0" applyNumberFormat="1" applyFont="1"/>
    <xf numFmtId="191" fontId="34" fillId="0" borderId="0" xfId="1" applyNumberFormat="1" applyFont="1" applyFill="1" applyBorder="1" applyAlignment="1" applyProtection="1">
      <alignment horizontal="right"/>
      <protection locked="0"/>
    </xf>
    <xf numFmtId="191" fontId="34" fillId="0" borderId="0" xfId="1" applyNumberFormat="1" applyFont="1" applyBorder="1" applyAlignment="1" applyProtection="1">
      <alignment horizontal="right"/>
    </xf>
    <xf numFmtId="191" fontId="34" fillId="0" borderId="13" xfId="1" applyNumberFormat="1" applyFont="1" applyBorder="1" applyAlignment="1" applyProtection="1">
      <alignment horizontal="right"/>
    </xf>
    <xf numFmtId="191" fontId="31" fillId="0" borderId="13" xfId="1" applyNumberFormat="1" applyFont="1" applyBorder="1" applyAlignment="1" applyProtection="1">
      <alignment horizontal="right"/>
    </xf>
    <xf numFmtId="191" fontId="0" fillId="0" borderId="13" xfId="1" applyNumberFormat="1" applyFont="1" applyBorder="1" applyAlignment="1" applyProtection="1">
      <alignment horizontal="right"/>
    </xf>
    <xf numFmtId="37" fontId="8" fillId="0" borderId="0" xfId="1" applyNumberFormat="1" applyFont="1" applyBorder="1" applyAlignment="1" applyProtection="1">
      <alignment horizontal="right"/>
    </xf>
    <xf numFmtId="191" fontId="34" fillId="0" borderId="13" xfId="1" applyNumberFormat="1" applyFont="1" applyFill="1" applyBorder="1" applyAlignment="1" applyProtection="1">
      <alignment horizontal="right"/>
    </xf>
    <xf numFmtId="191" fontId="31" fillId="0" borderId="13" xfId="1" applyNumberFormat="1" applyFont="1" applyFill="1" applyBorder="1" applyAlignment="1" applyProtection="1">
      <alignment horizontal="right"/>
    </xf>
    <xf numFmtId="191" fontId="8" fillId="0" borderId="0" xfId="1" applyNumberFormat="1" applyFont="1" applyFill="1" applyBorder="1" applyProtection="1"/>
    <xf numFmtId="192" fontId="0" fillId="0" borderId="0" xfId="1" applyNumberFormat="1" applyFont="1" applyBorder="1" applyProtection="1"/>
    <xf numFmtId="191" fontId="34" fillId="0" borderId="13" xfId="1" applyNumberFormat="1" applyFont="1" applyFill="1" applyBorder="1" applyProtection="1">
      <protection locked="0"/>
    </xf>
    <xf numFmtId="191" fontId="34" fillId="0" borderId="13" xfId="1" applyNumberFormat="1" applyFont="1" applyFill="1" applyBorder="1" applyProtection="1"/>
    <xf numFmtId="191" fontId="0" fillId="0" borderId="13" xfId="1" applyNumberFormat="1" applyFont="1" applyFill="1" applyBorder="1" applyProtection="1"/>
    <xf numFmtId="39" fontId="8" fillId="0" borderId="0" xfId="1" applyNumberFormat="1" applyFont="1" applyBorder="1" applyProtection="1"/>
    <xf numFmtId="191" fontId="0" fillId="0" borderId="0" xfId="0" applyNumberFormat="1"/>
    <xf numFmtId="193" fontId="8" fillId="0" borderId="0" xfId="0" applyNumberFormat="1" applyFont="1" applyAlignment="1">
      <alignment horizontal="left"/>
    </xf>
    <xf numFmtId="190" fontId="8" fillId="0" borderId="30" xfId="0" applyNumberFormat="1" applyFont="1" applyBorder="1"/>
    <xf numFmtId="190" fontId="8" fillId="0" borderId="0" xfId="0" applyNumberFormat="1" applyFont="1"/>
    <xf numFmtId="176" fontId="0" fillId="0" borderId="0" xfId="1" applyFont="1" applyBorder="1" applyProtection="1"/>
    <xf numFmtId="0" fontId="8" fillId="0" borderId="6" xfId="0" applyFont="1" applyBorder="1"/>
    <xf numFmtId="0" fontId="0" fillId="0" borderId="7" xfId="0" applyBorder="1"/>
    <xf numFmtId="0" fontId="21" fillId="0" borderId="7" xfId="0" applyFont="1" applyBorder="1"/>
    <xf numFmtId="187" fontId="0" fillId="0" borderId="7" xfId="1" applyNumberFormat="1" applyFont="1" applyBorder="1" applyProtection="1"/>
    <xf numFmtId="187" fontId="0" fillId="0" borderId="9" xfId="1" applyNumberFormat="1" applyFont="1" applyBorder="1" applyProtection="1"/>
    <xf numFmtId="0" fontId="0" fillId="0" borderId="12" xfId="0" applyBorder="1"/>
    <xf numFmtId="184" fontId="14" fillId="0" borderId="0" xfId="0" applyNumberFormat="1" applyFont="1"/>
    <xf numFmtId="184" fontId="14" fillId="0" borderId="14" xfId="0" applyNumberFormat="1" applyFont="1" applyBorder="1"/>
    <xf numFmtId="9" fontId="8" fillId="0" borderId="0" xfId="0" applyNumberFormat="1" applyFont="1"/>
    <xf numFmtId="0" fontId="0" fillId="0" borderId="19" xfId="0" applyBorder="1"/>
    <xf numFmtId="194" fontId="14" fillId="0" borderId="13" xfId="0" applyNumberFormat="1" applyFont="1" applyBorder="1"/>
    <xf numFmtId="184" fontId="14" fillId="0" borderId="13" xfId="0" applyNumberFormat="1" applyFont="1" applyBorder="1"/>
    <xf numFmtId="184" fontId="14" fillId="0" borderId="20" xfId="0" applyNumberFormat="1" applyFont="1" applyBorder="1"/>
    <xf numFmtId="0" fontId="38" fillId="0" borderId="7" xfId="0" applyFont="1" applyBorder="1"/>
    <xf numFmtId="176" fontId="14" fillId="0" borderId="0" xfId="1" applyFont="1" applyBorder="1" applyProtection="1"/>
    <xf numFmtId="0" fontId="14" fillId="0" borderId="0" xfId="0" applyFont="1" applyAlignment="1">
      <alignment horizontal="left"/>
    </xf>
    <xf numFmtId="0" fontId="0" fillId="0" borderId="0" xfId="0" applyAlignment="1">
      <alignment horizontal="right"/>
    </xf>
    <xf numFmtId="181" fontId="16" fillId="0" borderId="0" xfId="0" applyNumberFormat="1" applyFont="1" applyAlignment="1">
      <alignment horizontal="right"/>
    </xf>
    <xf numFmtId="37" fontId="0" fillId="0" borderId="0" xfId="1" applyNumberFormat="1" applyFont="1" applyProtection="1"/>
    <xf numFmtId="191" fontId="30" fillId="0" borderId="0" xfId="1" applyNumberFormat="1" applyFont="1" applyFill="1" applyProtection="1">
      <protection locked="0"/>
    </xf>
    <xf numFmtId="191" fontId="0" fillId="0" borderId="0" xfId="1" applyNumberFormat="1" applyFont="1" applyProtection="1"/>
    <xf numFmtId="37" fontId="0" fillId="0" borderId="0" xfId="1" applyNumberFormat="1" applyFont="1" applyFill="1" applyProtection="1"/>
    <xf numFmtId="191" fontId="0" fillId="0" borderId="0" xfId="1" applyNumberFormat="1" applyFont="1" applyFill="1" applyProtection="1"/>
    <xf numFmtId="37" fontId="34" fillId="0" borderId="0" xfId="1" applyNumberFormat="1" applyFont="1" applyBorder="1" applyProtection="1"/>
    <xf numFmtId="191" fontId="30" fillId="0" borderId="13" xfId="1" applyNumberFormat="1" applyFont="1" applyFill="1" applyBorder="1" applyAlignment="1" applyProtection="1">
      <alignment horizontal="right"/>
      <protection locked="0"/>
    </xf>
    <xf numFmtId="191" fontId="34" fillId="0" borderId="13" xfId="1" applyNumberFormat="1" applyFont="1" applyFill="1" applyBorder="1" applyAlignment="1" applyProtection="1">
      <alignment horizontal="right"/>
      <protection locked="0"/>
    </xf>
    <xf numFmtId="191" fontId="8" fillId="0" borderId="0" xfId="1" applyNumberFormat="1" applyFont="1" applyProtection="1"/>
    <xf numFmtId="187" fontId="0" fillId="0" borderId="0" xfId="1" applyNumberFormat="1" applyFont="1" applyProtection="1"/>
    <xf numFmtId="187" fontId="0" fillId="0" borderId="0" xfId="1" applyNumberFormat="1" applyFont="1" applyFill="1" applyBorder="1" applyProtection="1"/>
    <xf numFmtId="37" fontId="34" fillId="0" borderId="0" xfId="1" applyNumberFormat="1" applyFont="1" applyFill="1" applyProtection="1"/>
    <xf numFmtId="191" fontId="34" fillId="0" borderId="0" xfId="1" applyNumberFormat="1" applyFont="1" applyFill="1" applyProtection="1">
      <protection locked="0"/>
    </xf>
    <xf numFmtId="191" fontId="8" fillId="0" borderId="7" xfId="1" applyNumberFormat="1" applyFont="1" applyBorder="1" applyProtection="1"/>
    <xf numFmtId="183" fontId="8" fillId="0" borderId="0" xfId="1" applyNumberFormat="1" applyFont="1" applyProtection="1"/>
    <xf numFmtId="195" fontId="8" fillId="0" borderId="0" xfId="1" applyNumberFormat="1" applyFont="1" applyProtection="1"/>
    <xf numFmtId="183" fontId="39" fillId="0" borderId="0" xfId="1" applyNumberFormat="1" applyFont="1" applyProtection="1"/>
    <xf numFmtId="37" fontId="8" fillId="0" borderId="0" xfId="1" applyNumberFormat="1" applyFont="1" applyProtection="1"/>
    <xf numFmtId="196" fontId="8" fillId="0" borderId="0" xfId="1" applyNumberFormat="1" applyFont="1" applyProtection="1"/>
    <xf numFmtId="0" fontId="0" fillId="0" borderId="6" xfId="0" applyBorder="1"/>
    <xf numFmtId="0" fontId="8" fillId="0" borderId="7" xfId="0" applyFont="1" applyBorder="1" applyAlignment="1">
      <alignment horizontal="left"/>
    </xf>
    <xf numFmtId="37" fontId="8" fillId="0" borderId="7" xfId="1" applyNumberFormat="1" applyFont="1" applyBorder="1" applyProtection="1"/>
    <xf numFmtId="191" fontId="0" fillId="0" borderId="7" xfId="1" applyNumberFormat="1" applyFont="1" applyBorder="1" applyProtection="1"/>
    <xf numFmtId="191" fontId="0" fillId="0" borderId="9" xfId="1" applyNumberFormat="1" applyFont="1" applyBorder="1" applyProtection="1"/>
    <xf numFmtId="191" fontId="40" fillId="0" borderId="0" xfId="1" applyNumberFormat="1" applyFont="1" applyBorder="1" applyProtection="1"/>
    <xf numFmtId="191" fontId="41" fillId="0" borderId="0" xfId="1" applyNumberFormat="1" applyFont="1" applyBorder="1" applyProtection="1"/>
    <xf numFmtId="191" fontId="41" fillId="0" borderId="14" xfId="1" applyNumberFormat="1" applyFont="1" applyBorder="1" applyProtection="1"/>
    <xf numFmtId="0" fontId="0" fillId="0" borderId="19" xfId="0" applyBorder="1" applyAlignment="1">
      <alignment horizontal="left"/>
    </xf>
    <xf numFmtId="197" fontId="0" fillId="0" borderId="13" xfId="1" applyNumberFormat="1" applyFont="1" applyBorder="1" applyProtection="1"/>
    <xf numFmtId="197" fontId="0" fillId="0" borderId="20" xfId="1" applyNumberFormat="1" applyFont="1" applyBorder="1" applyProtection="1"/>
    <xf numFmtId="0" fontId="13" fillId="0" borderId="0" xfId="0" applyFont="1" applyAlignment="1">
      <alignment horizontal="centerContinuous"/>
    </xf>
    <xf numFmtId="0" fontId="16" fillId="0" borderId="0" xfId="0" applyFont="1" applyAlignment="1">
      <alignment horizontal="right"/>
    </xf>
    <xf numFmtId="197" fontId="0" fillId="0" borderId="0" xfId="1" applyNumberFormat="1" applyFont="1" applyBorder="1" applyProtection="1"/>
    <xf numFmtId="37" fontId="34" fillId="0" borderId="0" xfId="1" applyNumberFormat="1" applyFont="1" applyFill="1" applyBorder="1" applyProtection="1"/>
    <xf numFmtId="196" fontId="0" fillId="0" borderId="0" xfId="1" applyNumberFormat="1" applyFont="1" applyProtection="1"/>
    <xf numFmtId="191" fontId="0" fillId="0" borderId="0" xfId="1" applyNumberFormat="1" applyFont="1" applyFill="1" applyProtection="1">
      <protection locked="0"/>
    </xf>
    <xf numFmtId="191" fontId="30" fillId="0" borderId="0" xfId="1" applyNumberFormat="1" applyFont="1" applyFill="1" applyBorder="1" applyProtection="1">
      <protection locked="0"/>
    </xf>
    <xf numFmtId="191" fontId="34" fillId="0" borderId="0" xfId="1" applyNumberFormat="1" applyFont="1" applyFill="1" applyBorder="1" applyProtection="1">
      <protection locked="0"/>
    </xf>
    <xf numFmtId="196" fontId="42" fillId="0" borderId="0" xfId="1" applyNumberFormat="1" applyFont="1" applyBorder="1" applyProtection="1"/>
    <xf numFmtId="37" fontId="0" fillId="0" borderId="0" xfId="1" applyNumberFormat="1" applyFont="1" applyFill="1" applyBorder="1" applyProtection="1"/>
    <xf numFmtId="186" fontId="0" fillId="0" borderId="0" xfId="1" applyNumberFormat="1" applyFont="1" applyBorder="1" applyProtection="1"/>
    <xf numFmtId="186" fontId="0" fillId="0" borderId="0" xfId="1" applyNumberFormat="1" applyFont="1" applyProtection="1"/>
    <xf numFmtId="198" fontId="14" fillId="0" borderId="0" xfId="1" applyNumberFormat="1" applyFont="1" applyBorder="1" applyProtection="1"/>
    <xf numFmtId="198" fontId="14" fillId="0" borderId="0" xfId="1" applyNumberFormat="1" applyFont="1" applyProtection="1"/>
    <xf numFmtId="0" fontId="14" fillId="0" borderId="13" xfId="0" applyFont="1" applyBorder="1" applyAlignment="1">
      <alignment horizontal="left"/>
    </xf>
    <xf numFmtId="198" fontId="0" fillId="0" borderId="13" xfId="0" applyNumberFormat="1" applyBorder="1"/>
    <xf numFmtId="0" fontId="43" fillId="0" borderId="0" xfId="0" applyFont="1" applyAlignment="1">
      <alignment horizontal="centerContinuous"/>
    </xf>
    <xf numFmtId="0" fontId="44" fillId="0" borderId="0" xfId="0" applyFont="1" applyAlignment="1">
      <alignment horizontal="centerContinuous"/>
    </xf>
    <xf numFmtId="0" fontId="45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37" fillId="0" borderId="0" xfId="0" applyFont="1" applyAlignment="1">
      <alignment horizontal="centerContinuous"/>
    </xf>
    <xf numFmtId="0" fontId="8" fillId="0" borderId="13" xfId="0" applyFont="1" applyBorder="1" applyAlignment="1">
      <alignment horizontal="centerContinuous"/>
    </xf>
    <xf numFmtId="0" fontId="46" fillId="0" borderId="0" xfId="0" applyFont="1" applyAlignment="1">
      <alignment horizontal="right"/>
    </xf>
    <xf numFmtId="0" fontId="8" fillId="0" borderId="7" xfId="0" applyFont="1" applyBorder="1" applyAlignment="1">
      <alignment horizontal="right"/>
    </xf>
    <xf numFmtId="0" fontId="47" fillId="0" borderId="0" xfId="0" applyFont="1"/>
    <xf numFmtId="0" fontId="47" fillId="0" borderId="6" xfId="0" applyFont="1" applyBorder="1" applyAlignment="1">
      <alignment horizontal="left" vertical="center"/>
    </xf>
    <xf numFmtId="199" fontId="31" fillId="0" borderId="9" xfId="0" applyNumberFormat="1" applyFont="1" applyBorder="1" applyAlignment="1">
      <alignment vertical="center"/>
    </xf>
    <xf numFmtId="200" fontId="48" fillId="0" borderId="0" xfId="0" applyNumberFormat="1" applyFont="1"/>
    <xf numFmtId="37" fontId="47" fillId="0" borderId="0" xfId="0" applyNumberFormat="1" applyFont="1"/>
    <xf numFmtId="0" fontId="49" fillId="0" borderId="0" xfId="0" applyFont="1"/>
    <xf numFmtId="0" fontId="47" fillId="0" borderId="19" xfId="0" applyFont="1" applyBorder="1" applyAlignment="1">
      <alignment horizontal="left" vertical="center"/>
    </xf>
    <xf numFmtId="0" fontId="47" fillId="0" borderId="13" xfId="0" applyFont="1" applyBorder="1" applyAlignment="1">
      <alignment horizontal="left" vertical="center"/>
    </xf>
    <xf numFmtId="0" fontId="47" fillId="0" borderId="13" xfId="0" applyFont="1" applyBorder="1" applyAlignment="1">
      <alignment vertical="center"/>
    </xf>
    <xf numFmtId="199" fontId="31" fillId="0" borderId="20" xfId="0" applyNumberFormat="1" applyFont="1" applyBorder="1" applyAlignment="1">
      <alignment vertical="center"/>
    </xf>
    <xf numFmtId="201" fontId="0" fillId="0" borderId="0" xfId="0" applyNumberFormat="1"/>
    <xf numFmtId="190" fontId="34" fillId="0" borderId="0" xfId="0" applyNumberFormat="1" applyFont="1"/>
    <xf numFmtId="190" fontId="0" fillId="0" borderId="0" xfId="0" applyNumberFormat="1"/>
    <xf numFmtId="0" fontId="50" fillId="0" borderId="0" xfId="0" applyFont="1" applyAlignment="1">
      <alignment horizontal="right"/>
    </xf>
    <xf numFmtId="199" fontId="0" fillId="0" borderId="0" xfId="0" applyNumberFormat="1"/>
    <xf numFmtId="190" fontId="0" fillId="0" borderId="34" xfId="0" applyNumberFormat="1" applyBorder="1"/>
    <xf numFmtId="190" fontId="0" fillId="0" borderId="12" xfId="0" applyNumberFormat="1" applyBorder="1"/>
    <xf numFmtId="191" fontId="47" fillId="0" borderId="0" xfId="0" applyNumberFormat="1" applyFont="1"/>
    <xf numFmtId="190" fontId="0" fillId="0" borderId="35" xfId="0" applyNumberFormat="1" applyBorder="1"/>
    <xf numFmtId="0" fontId="51" fillId="0" borderId="0" xfId="0" applyFont="1" applyAlignment="1">
      <alignment vertical="center"/>
    </xf>
    <xf numFmtId="190" fontId="8" fillId="0" borderId="30" xfId="0" applyNumberFormat="1" applyFont="1" applyBorder="1" applyAlignment="1">
      <alignment vertical="center"/>
    </xf>
    <xf numFmtId="37" fontId="0" fillId="0" borderId="13" xfId="1" applyNumberFormat="1" applyFont="1" applyBorder="1" applyProtection="1"/>
    <xf numFmtId="0" fontId="50" fillId="0" borderId="0" xfId="0" applyFont="1"/>
    <xf numFmtId="0" fontId="8" fillId="0" borderId="36" xfId="0" applyFont="1" applyBorder="1"/>
    <xf numFmtId="0" fontId="0" fillId="0" borderId="8" xfId="0" applyBorder="1"/>
    <xf numFmtId="185" fontId="52" fillId="0" borderId="37" xfId="0" applyNumberFormat="1" applyFont="1" applyBorder="1"/>
    <xf numFmtId="185" fontId="52" fillId="0" borderId="0" xfId="0" applyNumberFormat="1" applyFont="1"/>
    <xf numFmtId="37" fontId="53" fillId="0" borderId="0" xfId="0" applyNumberFormat="1" applyFont="1"/>
    <xf numFmtId="190" fontId="51" fillId="0" borderId="0" xfId="0" applyNumberFormat="1" applyFont="1"/>
    <xf numFmtId="37" fontId="54" fillId="0" borderId="0" xfId="0" applyNumberFormat="1" applyFont="1"/>
    <xf numFmtId="189" fontId="31" fillId="0" borderId="13" xfId="1" applyNumberFormat="1" applyFont="1" applyFill="1" applyBorder="1" applyProtection="1"/>
    <xf numFmtId="37" fontId="51" fillId="0" borderId="0" xfId="0" applyNumberFormat="1" applyFont="1"/>
    <xf numFmtId="185" fontId="55" fillId="0" borderId="0" xfId="0" applyNumberFormat="1" applyFont="1"/>
    <xf numFmtId="37" fontId="54" fillId="0" borderId="7" xfId="0" applyNumberFormat="1" applyFont="1" applyBorder="1"/>
    <xf numFmtId="37" fontId="34" fillId="0" borderId="7" xfId="0" applyNumberFormat="1" applyFont="1" applyBorder="1"/>
    <xf numFmtId="37" fontId="34" fillId="0" borderId="9" xfId="0" applyNumberFormat="1" applyFont="1" applyBorder="1"/>
    <xf numFmtId="0" fontId="0" fillId="0" borderId="12" xfId="0" applyBorder="1" applyAlignment="1">
      <alignment horizontal="left"/>
    </xf>
    <xf numFmtId="37" fontId="56" fillId="0" borderId="0" xfId="0" applyNumberFormat="1" applyFont="1"/>
    <xf numFmtId="191" fontId="47" fillId="0" borderId="14" xfId="0" applyNumberFormat="1" applyFont="1" applyBorder="1"/>
    <xf numFmtId="191" fontId="47" fillId="0" borderId="13" xfId="0" applyNumberFormat="1" applyFont="1" applyBorder="1"/>
    <xf numFmtId="191" fontId="47" fillId="0" borderId="20" xfId="0" applyNumberFormat="1" applyFont="1" applyBorder="1"/>
    <xf numFmtId="0" fontId="8" fillId="0" borderId="19" xfId="0" applyFont="1" applyBorder="1"/>
    <xf numFmtId="37" fontId="45" fillId="0" borderId="13" xfId="0" applyNumberFormat="1" applyFont="1" applyBorder="1"/>
    <xf numFmtId="37" fontId="56" fillId="0" borderId="13" xfId="0" applyNumberFormat="1" applyFont="1" applyBorder="1"/>
    <xf numFmtId="37" fontId="51" fillId="0" borderId="13" xfId="0" applyNumberFormat="1" applyFont="1" applyBorder="1"/>
    <xf numFmtId="191" fontId="51" fillId="0" borderId="13" xfId="0" applyNumberFormat="1" applyFont="1" applyBorder="1"/>
    <xf numFmtId="191" fontId="51" fillId="0" borderId="20" xfId="0" applyNumberFormat="1" applyFont="1" applyBorder="1"/>
    <xf numFmtId="0" fontId="20" fillId="0" borderId="0" xfId="0" applyFont="1"/>
    <xf numFmtId="37" fontId="54" fillId="0" borderId="13" xfId="0" applyNumberFormat="1" applyFont="1" applyBorder="1"/>
    <xf numFmtId="37" fontId="34" fillId="0" borderId="13" xfId="0" applyNumberFormat="1" applyFont="1" applyBorder="1"/>
    <xf numFmtId="0" fontId="19" fillId="0" borderId="32" xfId="0" applyFont="1" applyBorder="1"/>
    <xf numFmtId="199" fontId="0" fillId="0" borderId="32" xfId="0" applyNumberFormat="1" applyBorder="1"/>
    <xf numFmtId="199" fontId="0" fillId="0" borderId="33" xfId="0" applyNumberFormat="1" applyBorder="1"/>
    <xf numFmtId="189" fontId="0" fillId="0" borderId="0" xfId="1" applyNumberFormat="1" applyFont="1" applyProtection="1"/>
    <xf numFmtId="4" fontId="8" fillId="0" borderId="0" xfId="0" applyNumberFormat="1" applyFont="1"/>
    <xf numFmtId="4" fontId="0" fillId="0" borderId="0" xfId="1" applyNumberFormat="1" applyFont="1" applyFill="1" applyBorder="1" applyProtection="1"/>
    <xf numFmtId="4" fontId="0" fillId="0" borderId="0" xfId="0" applyNumberFormat="1"/>
    <xf numFmtId="176" fontId="47" fillId="0" borderId="0" xfId="1" applyFont="1" applyProtection="1"/>
    <xf numFmtId="199" fontId="34" fillId="0" borderId="0" xfId="1" applyNumberFormat="1" applyFont="1" applyProtection="1"/>
    <xf numFmtId="189" fontId="31" fillId="0" borderId="0" xfId="1" applyNumberFormat="1" applyFont="1" applyProtection="1"/>
    <xf numFmtId="4" fontId="0" fillId="0" borderId="0" xfId="1" applyNumberFormat="1" applyFont="1" applyFill="1" applyBorder="1" applyAlignment="1" applyProtection="1">
      <alignment horizontal="left"/>
    </xf>
    <xf numFmtId="176" fontId="47" fillId="0" borderId="0" xfId="1" applyFont="1" applyFill="1" applyProtection="1"/>
    <xf numFmtId="199" fontId="34" fillId="0" borderId="0" xfId="1" applyNumberFormat="1" applyFont="1" applyFill="1" applyProtection="1"/>
    <xf numFmtId="189" fontId="31" fillId="0" borderId="0" xfId="1" applyNumberFormat="1" applyFont="1" applyFill="1" applyProtection="1"/>
    <xf numFmtId="189" fontId="0" fillId="0" borderId="13" xfId="1" applyNumberFormat="1" applyFont="1" applyFill="1" applyBorder="1" applyProtection="1"/>
    <xf numFmtId="4" fontId="8" fillId="0" borderId="0" xfId="1" applyNumberFormat="1" applyFont="1" applyFill="1" applyBorder="1" applyProtection="1"/>
    <xf numFmtId="189" fontId="8" fillId="0" borderId="0" xfId="0" applyNumberFormat="1" applyFont="1"/>
    <xf numFmtId="190" fontId="8" fillId="0" borderId="30" xfId="1" applyNumberFormat="1" applyFont="1" applyFill="1" applyBorder="1" applyProtection="1"/>
    <xf numFmtId="186" fontId="0" fillId="0" borderId="13" xfId="1" applyNumberFormat="1" applyFont="1" applyBorder="1" applyProtection="1"/>
    <xf numFmtId="202" fontId="0" fillId="0" borderId="0" xfId="0" applyNumberFormat="1"/>
    <xf numFmtId="191" fontId="0" fillId="0" borderId="13" xfId="0" applyNumberFormat="1" applyBorder="1"/>
    <xf numFmtId="183" fontId="0" fillId="0" borderId="0" xfId="0" applyNumberFormat="1"/>
    <xf numFmtId="188" fontId="31" fillId="0" borderId="13" xfId="0" applyNumberFormat="1" applyFont="1" applyBorder="1"/>
    <xf numFmtId="188" fontId="0" fillId="0" borderId="13" xfId="0" applyNumberFormat="1" applyBorder="1"/>
    <xf numFmtId="190" fontId="8" fillId="0" borderId="8" xfId="0" applyNumberFormat="1" applyFont="1" applyBorder="1"/>
    <xf numFmtId="183" fontId="8" fillId="0" borderId="0" xfId="0" applyNumberFormat="1" applyFont="1"/>
    <xf numFmtId="188" fontId="31" fillId="0" borderId="0" xfId="0" applyNumberFormat="1" applyFont="1"/>
    <xf numFmtId="191" fontId="31" fillId="0" borderId="13" xfId="0" applyNumberFormat="1" applyFont="1" applyBorder="1"/>
    <xf numFmtId="0" fontId="57" fillId="0" borderId="0" xfId="57" applyFont="1"/>
    <xf numFmtId="0" fontId="0" fillId="0" borderId="0" xfId="57" applyFont="1" applyAlignment="1">
      <alignment vertical="center"/>
    </xf>
    <xf numFmtId="0" fontId="0" fillId="0" borderId="0" xfId="57" applyFont="1"/>
    <xf numFmtId="0" fontId="0" fillId="0" borderId="0" xfId="57" applyFont="1" applyAlignment="1">
      <alignment horizontal="center"/>
    </xf>
    <xf numFmtId="0" fontId="3" fillId="0" borderId="0" xfId="57" applyFont="1" applyAlignment="1">
      <alignment horizontal="centerContinuous"/>
    </xf>
    <xf numFmtId="0" fontId="58" fillId="0" borderId="0" xfId="57" applyFont="1" applyAlignment="1">
      <alignment horizontal="centerContinuous"/>
    </xf>
    <xf numFmtId="0" fontId="6" fillId="0" borderId="0" xfId="57" applyFont="1" applyAlignment="1">
      <alignment horizontal="centerContinuous"/>
    </xf>
    <xf numFmtId="0" fontId="0" fillId="0" borderId="1" xfId="57" applyFont="1" applyBorder="1"/>
    <xf numFmtId="0" fontId="0" fillId="0" borderId="1" xfId="57" applyFont="1" applyBorder="1" applyAlignment="1">
      <alignment horizontal="center"/>
    </xf>
    <xf numFmtId="0" fontId="14" fillId="0" borderId="0" xfId="57" applyFont="1" applyAlignment="1">
      <alignment horizontal="left"/>
    </xf>
    <xf numFmtId="0" fontId="14" fillId="0" borderId="0" xfId="57" applyFont="1" applyAlignment="1">
      <alignment horizontal="center"/>
    </xf>
    <xf numFmtId="0" fontId="0" fillId="0" borderId="6" xfId="57" applyFont="1" applyBorder="1"/>
    <xf numFmtId="0" fontId="0" fillId="0" borderId="7" xfId="57" applyFont="1" applyBorder="1"/>
    <xf numFmtId="0" fontId="0" fillId="0" borderId="7" xfId="57" applyFont="1" applyBorder="1" applyAlignment="1">
      <alignment horizontal="center"/>
    </xf>
    <xf numFmtId="0" fontId="0" fillId="0" borderId="9" xfId="57" applyFont="1" applyBorder="1" applyAlignment="1">
      <alignment horizontal="center"/>
    </xf>
    <xf numFmtId="0" fontId="8" fillId="0" borderId="13" xfId="57" applyFont="1" applyBorder="1" applyAlignment="1">
      <alignment horizontal="centerContinuous"/>
    </xf>
    <xf numFmtId="0" fontId="8" fillId="0" borderId="12" xfId="57" applyFont="1" applyBorder="1" applyAlignment="1">
      <alignment vertical="center"/>
    </xf>
    <xf numFmtId="0" fontId="8" fillId="0" borderId="0" xfId="57" applyFont="1"/>
    <xf numFmtId="0" fontId="56" fillId="0" borderId="0" xfId="57" applyFont="1" applyAlignment="1">
      <alignment horizontal="center" vertical="center"/>
    </xf>
    <xf numFmtId="0" fontId="56" fillId="0" borderId="14" xfId="57" applyFont="1" applyBorder="1" applyAlignment="1">
      <alignment horizontal="center" vertical="center"/>
    </xf>
    <xf numFmtId="0" fontId="8" fillId="0" borderId="0" xfId="57" applyFont="1" applyAlignment="1">
      <alignment horizontal="right"/>
    </xf>
    <xf numFmtId="0" fontId="8" fillId="0" borderId="19" xfId="57" applyFont="1" applyBorder="1"/>
    <xf numFmtId="0" fontId="8" fillId="0" borderId="13" xfId="57" applyFont="1" applyBorder="1"/>
    <xf numFmtId="0" fontId="8" fillId="0" borderId="13" xfId="57" applyFont="1" applyBorder="1" applyAlignment="1">
      <alignment horizontal="center"/>
    </xf>
    <xf numFmtId="0" fontId="8" fillId="0" borderId="20" xfId="57" applyFont="1" applyBorder="1" applyAlignment="1">
      <alignment horizontal="center"/>
    </xf>
    <xf numFmtId="0" fontId="16" fillId="0" borderId="0" xfId="57" applyFont="1" applyAlignment="1">
      <alignment horizontal="right"/>
    </xf>
    <xf numFmtId="0" fontId="8" fillId="0" borderId="0" xfId="57" applyFont="1" applyAlignment="1">
      <alignment horizontal="center"/>
    </xf>
    <xf numFmtId="0" fontId="59" fillId="0" borderId="0" xfId="57" applyFont="1" applyAlignment="1">
      <alignment horizontal="left"/>
    </xf>
    <xf numFmtId="0" fontId="60" fillId="0" borderId="0" xfId="57" applyFont="1" applyAlignment="1">
      <alignment horizontal="left"/>
    </xf>
    <xf numFmtId="0" fontId="8" fillId="0" borderId="0" xfId="57" applyFont="1" applyAlignment="1">
      <alignment horizontal="left" vertical="center"/>
    </xf>
    <xf numFmtId="0" fontId="56" fillId="0" borderId="0" xfId="57" applyFont="1" applyAlignment="1">
      <alignment horizontal="center"/>
    </xf>
    <xf numFmtId="185" fontId="8" fillId="0" borderId="36" xfId="0" applyNumberFormat="1" applyFont="1" applyBorder="1" applyAlignment="1">
      <alignment vertical="center"/>
    </xf>
    <xf numFmtId="185" fontId="8" fillId="0" borderId="8" xfId="0" applyNumberFormat="1" applyFont="1" applyBorder="1" applyAlignment="1">
      <alignment vertical="center"/>
    </xf>
    <xf numFmtId="185" fontId="8" fillId="0" borderId="37" xfId="0" applyNumberFormat="1" applyFont="1" applyBorder="1" applyAlignment="1">
      <alignment vertical="center"/>
    </xf>
    <xf numFmtId="0" fontId="8" fillId="0" borderId="0" xfId="57" applyFont="1" applyAlignment="1">
      <alignment horizontal="left"/>
    </xf>
    <xf numFmtId="185" fontId="0" fillId="0" borderId="0" xfId="0" applyNumberFormat="1" applyFont="1"/>
    <xf numFmtId="185" fontId="54" fillId="0" borderId="25" xfId="0" applyNumberFormat="1" applyFont="1" applyBorder="1"/>
    <xf numFmtId="185" fontId="54" fillId="0" borderId="26" xfId="0" applyNumberFormat="1" applyFont="1" applyBorder="1"/>
    <xf numFmtId="185" fontId="54" fillId="0" borderId="27" xfId="0" applyNumberFormat="1" applyFont="1" applyBorder="1"/>
    <xf numFmtId="185" fontId="54" fillId="0" borderId="38" xfId="0" applyNumberFormat="1" applyFont="1" applyBorder="1"/>
    <xf numFmtId="185" fontId="54" fillId="0" borderId="0" xfId="0" applyNumberFormat="1" applyFont="1"/>
    <xf numFmtId="185" fontId="54" fillId="0" borderId="39" xfId="0" applyNumberFormat="1" applyFont="1" applyBorder="1"/>
    <xf numFmtId="185" fontId="54" fillId="0" borderId="28" xfId="0" applyNumberFormat="1" applyFont="1" applyBorder="1"/>
    <xf numFmtId="185" fontId="54" fillId="0" borderId="24" xfId="0" applyNumberFormat="1" applyFont="1" applyBorder="1"/>
    <xf numFmtId="185" fontId="54" fillId="0" borderId="29" xfId="0" applyNumberFormat="1" applyFont="1" applyBorder="1"/>
    <xf numFmtId="0" fontId="0" fillId="0" borderId="0" xfId="57" applyFont="1" applyAlignment="1">
      <alignment horizontal="left"/>
    </xf>
    <xf numFmtId="0" fontId="21" fillId="0" borderId="0" xfId="57" applyFont="1" applyAlignment="1">
      <alignment horizontal="center"/>
    </xf>
    <xf numFmtId="203" fontId="54" fillId="0" borderId="0" xfId="1" applyNumberFormat="1" applyFont="1" applyBorder="1" applyAlignment="1" applyProtection="1">
      <alignment horizontal="right"/>
    </xf>
    <xf numFmtId="203" fontId="61" fillId="0" borderId="0" xfId="1" applyNumberFormat="1" applyFont="1" applyBorder="1" applyAlignment="1" applyProtection="1">
      <alignment horizontal="right"/>
    </xf>
    <xf numFmtId="0" fontId="0" fillId="0" borderId="24" xfId="57" applyFont="1" applyBorder="1"/>
    <xf numFmtId="0" fontId="0" fillId="0" borderId="24" xfId="57" applyFont="1" applyBorder="1" applyAlignment="1">
      <alignment horizontal="center"/>
    </xf>
    <xf numFmtId="189" fontId="51" fillId="0" borderId="36" xfId="0" applyNumberFormat="1" applyFont="1" applyBorder="1" applyAlignment="1">
      <alignment vertical="center"/>
    </xf>
    <xf numFmtId="189" fontId="51" fillId="0" borderId="8" xfId="0" applyNumberFormat="1" applyFont="1" applyBorder="1" applyAlignment="1">
      <alignment vertical="center"/>
    </xf>
    <xf numFmtId="189" fontId="51" fillId="0" borderId="37" xfId="0" applyNumberFormat="1" applyFont="1" applyBorder="1" applyAlignment="1">
      <alignment vertical="center"/>
    </xf>
    <xf numFmtId="199" fontId="51" fillId="0" borderId="0" xfId="0" applyNumberFormat="1" applyFont="1"/>
    <xf numFmtId="189" fontId="54" fillId="0" borderId="25" xfId="1" applyNumberFormat="1" applyFont="1" applyFill="1" applyBorder="1" applyProtection="1"/>
    <xf numFmtId="189" fontId="54" fillId="0" borderId="26" xfId="1" applyNumberFormat="1" applyFont="1" applyFill="1" applyBorder="1" applyProtection="1"/>
    <xf numFmtId="189" fontId="54" fillId="0" borderId="27" xfId="0" applyNumberFormat="1" applyFont="1" applyBorder="1"/>
    <xf numFmtId="204" fontId="0" fillId="0" borderId="0" xfId="57" applyNumberFormat="1" applyFont="1"/>
    <xf numFmtId="37" fontId="0" fillId="0" borderId="0" xfId="57" applyNumberFormat="1" applyFont="1"/>
    <xf numFmtId="194" fontId="62" fillId="0" borderId="0" xfId="57" applyNumberFormat="1" applyFont="1"/>
    <xf numFmtId="189" fontId="21" fillId="0" borderId="38" xfId="1" applyNumberFormat="1" applyFont="1" applyFill="1" applyBorder="1" applyProtection="1"/>
    <xf numFmtId="189" fontId="21" fillId="0" borderId="0" xfId="1" applyNumberFormat="1" applyFont="1" applyFill="1" applyBorder="1" applyProtection="1"/>
    <xf numFmtId="189" fontId="21" fillId="0" borderId="39" xfId="1" applyNumberFormat="1" applyFont="1" applyFill="1" applyBorder="1" applyProtection="1"/>
    <xf numFmtId="189" fontId="21" fillId="0" borderId="28" xfId="1" applyNumberFormat="1" applyFont="1" applyBorder="1" applyProtection="1"/>
    <xf numFmtId="189" fontId="21" fillId="0" borderId="24" xfId="1" applyNumberFormat="1" applyFont="1" applyBorder="1" applyProtection="1"/>
    <xf numFmtId="189" fontId="21" fillId="0" borderId="29" xfId="1" applyNumberFormat="1" applyFont="1" applyBorder="1" applyProtection="1"/>
    <xf numFmtId="37" fontId="21" fillId="0" borderId="0" xfId="0" applyNumberFormat="1" applyFont="1"/>
    <xf numFmtId="0" fontId="0" fillId="0" borderId="13" xfId="57" applyFont="1" applyBorder="1"/>
    <xf numFmtId="0" fontId="0" fillId="0" borderId="13" xfId="57" applyFont="1" applyBorder="1" applyAlignment="1">
      <alignment horizontal="center"/>
    </xf>
    <xf numFmtId="0" fontId="34" fillId="0" borderId="0" xfId="57" applyFont="1"/>
    <xf numFmtId="0" fontId="0" fillId="0" borderId="0" xfId="0" applyAlignment="1" applyProtection="1">
      <alignment vertical="center"/>
      <protection locked="0"/>
    </xf>
    <xf numFmtId="0" fontId="6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3" fillId="0" borderId="0" xfId="0" applyFont="1" applyAlignment="1" applyProtection="1">
      <alignment horizontal="centerContinuous"/>
      <protection locked="0"/>
    </xf>
    <xf numFmtId="0" fontId="26" fillId="0" borderId="0" xfId="0" applyFont="1" applyAlignment="1" applyProtection="1">
      <alignment horizontal="centerContinuous"/>
      <protection locked="0"/>
    </xf>
    <xf numFmtId="0" fontId="0" fillId="0" borderId="0" xfId="0" applyAlignment="1" applyProtection="1">
      <alignment horizontal="centerContinuous"/>
      <protection locked="0"/>
    </xf>
    <xf numFmtId="0" fontId="64" fillId="0" borderId="0" xfId="0" applyFont="1" applyAlignment="1" applyProtection="1">
      <alignment horizontal="centerContinuous"/>
      <protection locked="0"/>
    </xf>
    <xf numFmtId="0" fontId="64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15" fillId="2" borderId="40" xfId="0" applyFont="1" applyFill="1" applyBorder="1" applyAlignment="1" applyProtection="1">
      <alignment vertical="center"/>
      <protection locked="0"/>
    </xf>
    <xf numFmtId="0" fontId="0" fillId="2" borderId="41" xfId="0" applyFill="1" applyBorder="1" applyProtection="1">
      <protection locked="0"/>
    </xf>
    <xf numFmtId="0" fontId="0" fillId="2" borderId="42" xfId="0" applyFill="1" applyBorder="1" applyProtection="1">
      <protection locked="0"/>
    </xf>
    <xf numFmtId="0" fontId="8" fillId="3" borderId="43" xfId="0" applyFont="1" applyFill="1" applyBorder="1" applyAlignment="1" applyProtection="1">
      <alignment vertical="center"/>
      <protection locked="0"/>
    </xf>
    <xf numFmtId="0" fontId="0" fillId="3" borderId="0" xfId="0" applyFill="1" applyProtection="1">
      <protection locked="0"/>
    </xf>
    <xf numFmtId="0" fontId="0" fillId="3" borderId="44" xfId="0" applyFill="1" applyBorder="1" applyProtection="1">
      <protection locked="0"/>
    </xf>
    <xf numFmtId="0" fontId="8" fillId="4" borderId="43" xfId="0" applyFont="1" applyFill="1" applyBorder="1" applyAlignment="1" applyProtection="1">
      <alignment vertical="center"/>
      <protection locked="0"/>
    </xf>
    <xf numFmtId="0" fontId="0" fillId="4" borderId="0" xfId="0" applyFill="1" applyProtection="1">
      <protection locked="0"/>
    </xf>
    <xf numFmtId="0" fontId="0" fillId="4" borderId="44" xfId="0" applyFill="1" applyBorder="1" applyProtection="1">
      <protection locked="0"/>
    </xf>
    <xf numFmtId="0" fontId="0" fillId="0" borderId="43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/>
      <protection locked="0"/>
    </xf>
    <xf numFmtId="0" fontId="34" fillId="0" borderId="0" xfId="0" applyFont="1" applyAlignment="1" applyProtection="1">
      <alignment horizontal="left"/>
      <protection locked="0"/>
    </xf>
    <xf numFmtId="0" fontId="0" fillId="0" borderId="44" xfId="0" applyBorder="1" applyProtection="1">
      <protection locked="0"/>
    </xf>
    <xf numFmtId="0" fontId="0" fillId="0" borderId="43" xfId="0" applyBorder="1" applyProtection="1">
      <protection locked="0"/>
    </xf>
    <xf numFmtId="14" fontId="0" fillId="0" borderId="0" xfId="0" applyNumberFormat="1" applyAlignment="1" applyProtection="1">
      <alignment horizontal="left"/>
      <protection locked="0"/>
    </xf>
    <xf numFmtId="37" fontId="34" fillId="0" borderId="0" xfId="0" applyNumberFormat="1" applyFont="1" applyAlignment="1" applyProtection="1">
      <alignment horizontal="right"/>
      <protection locked="0"/>
    </xf>
    <xf numFmtId="205" fontId="34" fillId="0" borderId="44" xfId="0" applyNumberFormat="1" applyFont="1" applyBorder="1" applyAlignment="1" applyProtection="1">
      <alignment horizontal="right"/>
      <protection locked="0"/>
    </xf>
    <xf numFmtId="10" fontId="0" fillId="0" borderId="0" xfId="0" applyNumberFormat="1" applyProtection="1">
      <protection locked="0"/>
    </xf>
    <xf numFmtId="39" fontId="34" fillId="0" borderId="44" xfId="0" applyNumberFormat="1" applyFont="1" applyBorder="1" applyAlignment="1" applyProtection="1">
      <alignment horizontal="right"/>
      <protection locked="0"/>
    </xf>
    <xf numFmtId="0" fontId="0" fillId="0" borderId="45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left"/>
      <protection locked="0"/>
    </xf>
    <xf numFmtId="0" fontId="0" fillId="0" borderId="22" xfId="0" applyBorder="1" applyProtection="1">
      <protection locked="0"/>
    </xf>
    <xf numFmtId="0" fontId="0" fillId="0" borderId="46" xfId="0" applyBorder="1" applyProtection="1">
      <protection locked="0"/>
    </xf>
    <xf numFmtId="0" fontId="0" fillId="0" borderId="45" xfId="0" applyBorder="1" applyProtection="1">
      <protection locked="0"/>
    </xf>
    <xf numFmtId="37" fontId="34" fillId="0" borderId="22" xfId="0" applyNumberFormat="1" applyFont="1" applyBorder="1" applyAlignment="1" applyProtection="1">
      <alignment horizontal="right"/>
      <protection locked="0"/>
    </xf>
    <xf numFmtId="185" fontId="34" fillId="0" borderId="46" xfId="0" applyNumberFormat="1" applyFont="1" applyBorder="1" applyAlignment="1" applyProtection="1">
      <alignment horizontal="right"/>
      <protection locked="0"/>
    </xf>
    <xf numFmtId="39" fontId="34" fillId="0" borderId="0" xfId="0" applyNumberFormat="1" applyFont="1" applyAlignment="1" applyProtection="1">
      <alignment horizontal="right"/>
      <protection locked="0"/>
    </xf>
    <xf numFmtId="0" fontId="16" fillId="0" borderId="43" xfId="0" applyFont="1" applyBorder="1" applyAlignment="1" applyProtection="1">
      <alignment vertical="center"/>
      <protection locked="0"/>
    </xf>
    <xf numFmtId="0" fontId="41" fillId="0" borderId="0" xfId="0" applyFont="1" applyAlignment="1" applyProtection="1">
      <alignment vertical="center"/>
      <protection locked="0"/>
    </xf>
    <xf numFmtId="0" fontId="16" fillId="0" borderId="0" xfId="0" applyFont="1" applyAlignment="1" applyProtection="1">
      <alignment horizontal="centerContinuous" vertical="center"/>
      <protection locked="0"/>
    </xf>
    <xf numFmtId="0" fontId="41" fillId="0" borderId="0" xfId="0" applyFont="1" applyAlignment="1" applyProtection="1">
      <alignment horizontal="centerContinuous" vertical="center"/>
      <protection locked="0"/>
    </xf>
    <xf numFmtId="0" fontId="41" fillId="0" borderId="44" xfId="0" applyFont="1" applyBorder="1" applyAlignment="1" applyProtection="1">
      <alignment horizontal="centerContinuous" vertical="center"/>
      <protection locked="0"/>
    </xf>
    <xf numFmtId="0" fontId="0" fillId="0" borderId="43" xfId="0" applyBorder="1" applyAlignment="1" applyProtection="1">
      <alignment horizontal="left"/>
      <protection locked="0"/>
    </xf>
    <xf numFmtId="37" fontId="34" fillId="0" borderId="44" xfId="0" applyNumberFormat="1" applyFont="1" applyBorder="1" applyAlignment="1" applyProtection="1">
      <alignment horizontal="right"/>
      <protection locked="0"/>
    </xf>
    <xf numFmtId="0" fontId="34" fillId="0" borderId="43" xfId="0" applyFont="1" applyBorder="1" applyProtection="1">
      <protection locked="0"/>
    </xf>
    <xf numFmtId="0" fontId="0" fillId="0" borderId="44" xfId="0" applyBorder="1" applyAlignment="1" applyProtection="1">
      <alignment horizontal="centerContinuous"/>
      <protection locked="0"/>
    </xf>
    <xf numFmtId="0" fontId="8" fillId="0" borderId="0" xfId="0" applyFont="1" applyAlignment="1" applyProtection="1">
      <alignment horizontal="left" vertical="center"/>
      <protection locked="0"/>
    </xf>
    <xf numFmtId="206" fontId="34" fillId="0" borderId="0" xfId="0" applyNumberFormat="1" applyFont="1" applyAlignment="1" applyProtection="1">
      <alignment horizontal="centerContinuous"/>
      <protection locked="0"/>
    </xf>
    <xf numFmtId="0" fontId="34" fillId="0" borderId="45" xfId="0" applyFont="1" applyBorder="1" applyAlignment="1" applyProtection="1">
      <alignment horizontal="left"/>
      <protection locked="0"/>
    </xf>
    <xf numFmtId="206" fontId="34" fillId="0" borderId="22" xfId="0" applyNumberFormat="1" applyFont="1" applyBorder="1" applyAlignment="1" applyProtection="1">
      <alignment horizontal="centerContinuous"/>
      <protection locked="0"/>
    </xf>
    <xf numFmtId="0" fontId="0" fillId="0" borderId="22" xfId="0" applyBorder="1" applyAlignment="1" applyProtection="1">
      <alignment horizontal="centerContinuous"/>
      <protection locked="0"/>
    </xf>
    <xf numFmtId="0" fontId="0" fillId="0" borderId="46" xfId="0" applyBorder="1" applyAlignment="1" applyProtection="1">
      <alignment horizontal="centerContinuous"/>
      <protection locked="0"/>
    </xf>
    <xf numFmtId="0" fontId="16" fillId="0" borderId="43" xfId="0" applyFont="1" applyBorder="1" applyProtection="1">
      <protection locked="0"/>
    </xf>
    <xf numFmtId="0" fontId="0" fillId="0" borderId="43" xfId="0" applyBorder="1" applyAlignment="1" applyProtection="1">
      <alignment horizontal="left" vertical="center"/>
      <protection locked="0"/>
    </xf>
    <xf numFmtId="207" fontId="34" fillId="0" borderId="0" xfId="0" applyNumberFormat="1" applyFont="1" applyProtection="1">
      <protection locked="0"/>
    </xf>
    <xf numFmtId="0" fontId="34" fillId="0" borderId="0" xfId="0" applyFont="1" applyProtection="1">
      <protection locked="0"/>
    </xf>
    <xf numFmtId="185" fontId="34" fillId="0" borderId="44" xfId="0" applyNumberFormat="1" applyFont="1" applyBorder="1" applyAlignment="1" applyProtection="1">
      <alignment horizontal="right"/>
      <protection locked="0"/>
    </xf>
    <xf numFmtId="208" fontId="0" fillId="0" borderId="43" xfId="0" applyNumberFormat="1" applyBorder="1" applyAlignment="1" applyProtection="1">
      <alignment horizontal="left"/>
      <protection locked="0"/>
    </xf>
    <xf numFmtId="0" fontId="0" fillId="0" borderId="45" xfId="0" applyBorder="1" applyAlignment="1" applyProtection="1">
      <alignment horizontal="left" vertical="center"/>
      <protection locked="0"/>
    </xf>
    <xf numFmtId="207" fontId="34" fillId="0" borderId="22" xfId="0" applyNumberFormat="1" applyFont="1" applyBorder="1" applyProtection="1">
      <protection locked="0"/>
    </xf>
    <xf numFmtId="0" fontId="0" fillId="2" borderId="41" xfId="0" applyFill="1" applyBorder="1" applyAlignment="1" applyProtection="1">
      <alignment vertical="center"/>
      <protection locked="0"/>
    </xf>
    <xf numFmtId="0" fontId="0" fillId="2" borderId="42" xfId="0" applyFill="1" applyBorder="1" applyAlignment="1" applyProtection="1">
      <alignment vertical="center"/>
      <protection locked="0"/>
    </xf>
    <xf numFmtId="0" fontId="34" fillId="0" borderId="44" xfId="0" applyFont="1" applyBorder="1" applyAlignment="1" applyProtection="1">
      <alignment horizontal="right"/>
      <protection locked="0"/>
    </xf>
    <xf numFmtId="208" fontId="0" fillId="0" borderId="0" xfId="0" applyNumberFormat="1" applyAlignment="1" applyProtection="1">
      <alignment horizontal="left"/>
      <protection locked="0"/>
    </xf>
    <xf numFmtId="209" fontId="34" fillId="0" borderId="44" xfId="0" applyNumberFormat="1" applyFont="1" applyBorder="1" applyAlignment="1" applyProtection="1">
      <alignment horizontal="right"/>
      <protection locked="0"/>
    </xf>
    <xf numFmtId="208" fontId="0" fillId="0" borderId="22" xfId="0" applyNumberFormat="1" applyBorder="1" applyAlignment="1" applyProtection="1">
      <alignment horizontal="left"/>
      <protection locked="0"/>
    </xf>
    <xf numFmtId="209" fontId="34" fillId="0" borderId="46" xfId="0" applyNumberFormat="1" applyFont="1" applyBorder="1" applyAlignment="1" applyProtection="1">
      <alignment horizontal="right"/>
      <protection locked="0"/>
    </xf>
    <xf numFmtId="0" fontId="0" fillId="0" borderId="45" xfId="0" applyBorder="1" applyAlignment="1" applyProtection="1">
      <alignment horizontal="left"/>
      <protection locked="0"/>
    </xf>
    <xf numFmtId="190" fontId="34" fillId="0" borderId="46" xfId="0" applyNumberFormat="1" applyFont="1" applyBorder="1" applyAlignment="1" applyProtection="1">
      <alignment horizontal="right"/>
      <protection locked="0"/>
    </xf>
    <xf numFmtId="0" fontId="0" fillId="0" borderId="13" xfId="0" applyBorder="1" applyProtection="1">
      <protection locked="0"/>
    </xf>
    <xf numFmtId="210" fontId="0" fillId="0" borderId="13" xfId="0" applyNumberFormat="1" applyBorder="1" applyAlignment="1" applyProtection="1">
      <alignment horizontal="left"/>
      <protection locked="0"/>
    </xf>
    <xf numFmtId="0" fontId="0" fillId="0" borderId="13" xfId="0" applyBorder="1" applyAlignment="1" applyProtection="1">
      <alignment horizontal="centerContinuous"/>
      <protection locked="0"/>
    </xf>
    <xf numFmtId="0" fontId="0" fillId="0" borderId="0" xfId="0" applyAlignment="1" applyProtection="1">
      <alignment horizontal="center" vertical="center"/>
      <protection locked="0"/>
    </xf>
    <xf numFmtId="209" fontId="34" fillId="0" borderId="0" xfId="0" applyNumberFormat="1" applyFont="1" applyAlignment="1" applyProtection="1">
      <alignment horizontal="right"/>
      <protection locked="0"/>
    </xf>
    <xf numFmtId="0" fontId="15" fillId="2" borderId="41" xfId="0" applyFont="1" applyFill="1" applyBorder="1" applyAlignment="1" applyProtection="1">
      <alignment vertical="center"/>
      <protection locked="0"/>
    </xf>
    <xf numFmtId="0" fontId="15" fillId="2" borderId="42" xfId="0" applyFont="1" applyFill="1" applyBorder="1" applyAlignment="1" applyProtection="1">
      <alignment vertical="center"/>
      <protection locked="0"/>
    </xf>
    <xf numFmtId="0" fontId="65" fillId="0" borderId="0" xfId="0" applyFont="1" applyAlignment="1" applyProtection="1">
      <alignment vertical="center"/>
      <protection locked="0"/>
    </xf>
    <xf numFmtId="0" fontId="8" fillId="0" borderId="43" xfId="0" applyFont="1" applyBorder="1" applyProtection="1">
      <protection locked="0"/>
    </xf>
    <xf numFmtId="190" fontId="34" fillId="0" borderId="0" xfId="0" applyNumberFormat="1" applyFont="1" applyProtection="1">
      <protection locked="0"/>
    </xf>
    <xf numFmtId="190" fontId="34" fillId="0" borderId="44" xfId="0" applyNumberFormat="1" applyFont="1" applyBorder="1" applyProtection="1">
      <protection locked="0"/>
    </xf>
    <xf numFmtId="0" fontId="65" fillId="0" borderId="0" xfId="0" applyFont="1" applyProtection="1">
      <protection locked="0"/>
    </xf>
    <xf numFmtId="189" fontId="34" fillId="0" borderId="0" xfId="0" applyNumberFormat="1" applyFont="1" applyProtection="1">
      <protection locked="0"/>
    </xf>
    <xf numFmtId="189" fontId="34" fillId="0" borderId="44" xfId="0" applyNumberFormat="1" applyFont="1" applyBorder="1" applyProtection="1">
      <protection locked="0"/>
    </xf>
    <xf numFmtId="0" fontId="8" fillId="0" borderId="43" xfId="0" applyFont="1" applyBorder="1" applyAlignment="1" applyProtection="1">
      <alignment horizontal="left" vertical="center"/>
      <protection locked="0"/>
    </xf>
    <xf numFmtId="189" fontId="34" fillId="0" borderId="22" xfId="0" applyNumberFormat="1" applyFont="1" applyBorder="1" applyProtection="1">
      <protection locked="0"/>
    </xf>
    <xf numFmtId="189" fontId="34" fillId="0" borderId="46" xfId="0" applyNumberFormat="1" applyFont="1" applyBorder="1" applyProtection="1">
      <protection locked="0"/>
    </xf>
    <xf numFmtId="210" fontId="0" fillId="0" borderId="0" xfId="0" applyNumberFormat="1" applyAlignment="1" applyProtection="1">
      <alignment horizontal="left"/>
      <protection locked="0"/>
    </xf>
    <xf numFmtId="0" fontId="66" fillId="5" borderId="0" xfId="54" applyFont="1" applyFill="1" applyProtection="1">
      <protection locked="0"/>
    </xf>
    <xf numFmtId="0" fontId="66" fillId="5" borderId="47" xfId="54" applyFont="1" applyFill="1" applyBorder="1" applyProtection="1">
      <protection locked="0"/>
    </xf>
    <xf numFmtId="0" fontId="67" fillId="5" borderId="0" xfId="54" applyFont="1" applyFill="1" applyProtection="1">
      <protection locked="0"/>
    </xf>
    <xf numFmtId="0" fontId="68" fillId="5" borderId="0" xfId="54" applyFont="1" applyFill="1"/>
    <xf numFmtId="0" fontId="69" fillId="5" borderId="0" xfId="54" applyFont="1" applyFill="1" applyProtection="1">
      <protection locked="0"/>
    </xf>
    <xf numFmtId="0" fontId="70" fillId="5" borderId="0" xfId="54" applyFont="1" applyFill="1" applyProtection="1">
      <protection locked="0"/>
    </xf>
    <xf numFmtId="0" fontId="71" fillId="5" borderId="0" xfId="54" applyFont="1" applyFill="1" applyProtection="1">
      <protection locked="0"/>
    </xf>
    <xf numFmtId="211" fontId="72" fillId="5" borderId="0" xfId="56" applyNumberFormat="1" applyFont="1" applyFill="1" applyAlignment="1" applyProtection="1">
      <alignment horizontal="left" wrapText="1"/>
      <protection locked="0"/>
    </xf>
    <xf numFmtId="0" fontId="73" fillId="5" borderId="0" xfId="54" applyFont="1" applyFill="1"/>
    <xf numFmtId="211" fontId="72" fillId="0" borderId="0" xfId="56" applyNumberFormat="1" applyFont="1" applyAlignment="1">
      <alignment horizontal="left" wrapText="1"/>
    </xf>
    <xf numFmtId="0" fontId="66" fillId="5" borderId="0" xfId="54" applyFont="1" applyFill="1" applyAlignment="1" applyProtection="1">
      <alignment wrapText="1"/>
      <protection locked="0"/>
    </xf>
    <xf numFmtId="0" fontId="74" fillId="5" borderId="0" xfId="54" applyFont="1" applyFill="1"/>
    <xf numFmtId="0" fontId="75" fillId="5" borderId="0" xfId="54" applyFont="1" applyFill="1" applyProtection="1">
      <protection locked="0"/>
    </xf>
    <xf numFmtId="0" fontId="66" fillId="5" borderId="0" xfId="54" applyFont="1" applyFill="1"/>
    <xf numFmtId="0" fontId="68" fillId="5" borderId="0" xfId="54" applyFont="1" applyFill="1" applyProtection="1">
      <protection locked="0"/>
    </xf>
    <xf numFmtId="0" fontId="66" fillId="5" borderId="1" xfId="54" applyFont="1" applyFill="1" applyBorder="1" applyProtection="1">
      <protection locked="0"/>
    </xf>
    <xf numFmtId="0" fontId="0" fillId="0" borderId="0" xfId="0" applyAlignment="1" applyProtection="1" quotePrefix="1">
      <alignment horizontal="left"/>
      <protection locked="0"/>
    </xf>
    <xf numFmtId="0" fontId="0" fillId="0" borderId="43" xfId="0" applyBorder="1" applyAlignment="1" applyProtection="1" quotePrefix="1">
      <alignment horizontal="left"/>
      <protection locked="0"/>
    </xf>
    <xf numFmtId="0" fontId="0" fillId="0" borderId="43" xfId="0" applyBorder="1" applyProtection="1" quotePrefix="1">
      <protection locked="0"/>
    </xf>
    <xf numFmtId="208" fontId="0" fillId="0" borderId="0" xfId="0" applyNumberFormat="1" applyAlignment="1" applyProtection="1" quotePrefix="1">
      <alignment horizontal="left"/>
      <protection locked="0"/>
    </xf>
    <xf numFmtId="208" fontId="0" fillId="0" borderId="22" xfId="0" applyNumberFormat="1" applyBorder="1" applyAlignment="1" applyProtection="1" quotePrefix="1">
      <alignment horizontal="left"/>
      <protection locked="0"/>
    </xf>
    <xf numFmtId="0" fontId="0" fillId="0" borderId="45" xfId="0" applyBorder="1" applyAlignment="1" applyProtection="1" quotePrefix="1">
      <alignment horizontal="left"/>
      <protection locked="0"/>
    </xf>
    <xf numFmtId="0" fontId="8" fillId="0" borderId="0" xfId="0" applyFont="1" applyAlignment="1" quotePrefix="1">
      <alignment horizontal="left"/>
    </xf>
    <xf numFmtId="0" fontId="0" fillId="0" borderId="0" xfId="0" applyAlignment="1" quotePrefix="1">
      <alignment horizontal="left"/>
    </xf>
    <xf numFmtId="0" fontId="19" fillId="0" borderId="0" xfId="0" applyFont="1" applyAlignment="1" quotePrefix="1">
      <alignment horizontal="left"/>
    </xf>
    <xf numFmtId="0" fontId="25" fillId="0" borderId="0" xfId="0" applyFont="1" applyAlignment="1" quotePrefix="1">
      <alignment horizontal="left"/>
    </xf>
    <xf numFmtId="0" fontId="14" fillId="0" borderId="0" xfId="0" applyFont="1" quotePrefix="1"/>
    <xf numFmtId="193" fontId="8" fillId="0" borderId="0" xfId="0" applyNumberFormat="1" applyFont="1" applyAlignment="1" quotePrefix="1">
      <alignment horizontal="left"/>
    </xf>
    <xf numFmtId="0" fontId="0" fillId="0" borderId="0" xfId="0" applyFont="1" quotePrefix="1"/>
    <xf numFmtId="0" fontId="0" fillId="0" borderId="0" xfId="0" applyFont="1" applyAlignment="1" quotePrefix="1">
      <alignment wrapText="1"/>
    </xf>
    <xf numFmtId="0" fontId="1" fillId="0" borderId="0" xfId="0" applyFont="1" applyAlignment="1" quotePrefix="1">
      <alignment wrapText="1"/>
    </xf>
  </cellXfs>
  <cellStyles count="61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  <cellStyle name="Across" xfId="49"/>
    <cellStyle name="Bottom" xfId="50"/>
    <cellStyle name="Center" xfId="51"/>
    <cellStyle name="Currency [2]" xfId="52"/>
    <cellStyle name="Double" xfId="53"/>
    <cellStyle name="Normal 2" xfId="54"/>
    <cellStyle name="Normal_DrydenNewDCF3" xfId="55"/>
    <cellStyle name="Normal_Inverness Drive Model 4-26-02" xfId="56"/>
    <cellStyle name="Normal_TrainingDCF1" xfId="57"/>
    <cellStyle name="Numbers" xfId="58"/>
    <cellStyle name="Numbers - Bold - Italic" xfId="59"/>
    <cellStyle name="Outline" xfId="60"/>
  </cellStyles>
  <dxfs count="1">
    <dxf>
      <font>
        <b val="1"/>
        <i val="0"/>
      </font>
      <fill>
        <patternFill patternType="solid">
          <bgColor indexed="44"/>
        </patternFill>
      </fill>
    </dxf>
  </dxfs>
  <tableStyles count="0" defaultTableStyle="TableStyleMedium9" defaultPivotStyle="PivotStyleLight16"/>
  <colors>
    <mruColors>
      <color rgb="00009966"/>
      <color rgb="005B77CC"/>
      <color rgb="00002F6C"/>
      <color rgb="00008ED6"/>
      <color rgb="006B72A9"/>
      <color rgb="006B729F"/>
      <color rgb="004586BB"/>
      <color rgb="00827F81"/>
      <color rgb="00009B73"/>
      <color rgb="004586B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Drop" dx="31" fmlaLink="$D$6" fmlaRange="$C$14:$C$16" noThreeD="1" page="3" sel="3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267335</xdr:colOff>
      <xdr:row>3</xdr:row>
      <xdr:rowOff>69215</xdr:rowOff>
    </xdr:from>
    <xdr:to>
      <xdr:col>4</xdr:col>
      <xdr:colOff>279400</xdr:colOff>
      <xdr:row>5</xdr:row>
      <xdr:rowOff>659765</xdr:rowOff>
    </xdr:to>
    <xdr:pic>
      <xdr:nvPicPr>
        <xdr:cNvPr id="4" name="圖片 3" descr="v2-6667426f7eb0b80149df68a13f7b824d_r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7335" y="259715"/>
          <a:ext cx="3883025" cy="15608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1181100</xdr:colOff>
          <xdr:row>4</xdr:row>
          <xdr:rowOff>66675</xdr:rowOff>
        </xdr:from>
        <xdr:to>
          <xdr:col>4</xdr:col>
          <xdr:colOff>66675</xdr:colOff>
          <xdr:row>6</xdr:row>
          <xdr:rowOff>28575</xdr:rowOff>
        </xdr:to>
        <xdr:sp>
          <xdr:nvSpPr>
            <xdr:cNvPr id="8250" name="Drop Down 58" hidden="1">
              <a:extLst>
                <a:ext uri="{63B3BB69-23CF-44E3-9099-C40C66FF867C}">
                  <a14:compatExt spid="_x0000_s8250"/>
                </a:ext>
              </a:extLst>
            </xdr:cNvPr>
            <xdr:cNvSpPr/>
          </xdr:nvSpPr>
          <xdr:spPr>
            <a:xfrm>
              <a:off x="1597660" y="814070"/>
              <a:ext cx="1029335" cy="24320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P28"/>
  <sheetViews>
    <sheetView zoomScale="70" zoomScaleNormal="70" workbookViewId="0">
      <selection activeCell="K8" sqref="K8"/>
    </sheetView>
  </sheetViews>
  <sheetFormatPr defaultColWidth="12.4285714285714" defaultRowHeight="17.6"/>
  <cols>
    <col min="1" max="1" width="5.28571428571429" style="529" customWidth="1"/>
    <col min="2" max="2" width="24.2857142857143" style="529" customWidth="1"/>
    <col min="3" max="7" width="12.4285714285714" style="529"/>
    <col min="8" max="8" width="14.6607142857143" style="529" customWidth="1"/>
    <col min="9" max="11" width="12.4285714285714" style="529"/>
    <col min="12" max="12" width="2.85714285714286" style="529" customWidth="1"/>
    <col min="13" max="16384" width="12.4285714285714" style="529"/>
  </cols>
  <sheetData>
    <row r="1" ht="15" customHeight="1" spans="1:16">
      <c r="A1" s="530"/>
      <c r="B1" s="530"/>
      <c r="C1" s="530"/>
      <c r="D1" s="530"/>
      <c r="E1" s="530"/>
      <c r="F1" s="530"/>
      <c r="G1" s="530"/>
      <c r="H1" s="530"/>
      <c r="I1" s="530"/>
      <c r="J1" s="530"/>
    </row>
    <row r="2" hidden="1"/>
    <row r="3" hidden="1"/>
    <row r="4" ht="34.4" spans="1:16">
      <c r="D4" s="531"/>
    </row>
    <row r="5" ht="42" customHeight="1"/>
    <row r="6" ht="79" customHeight="1" spans="1:16">
      <c r="B6" s="532" t="s">
        <v>0</v>
      </c>
      <c r="D6" s="533"/>
    </row>
    <row r="7" hidden="1" spans="1:16">
      <c r="G7" s="534"/>
    </row>
    <row r="9" hidden="1"/>
    <row r="10" ht="4" customHeight="1" spans="1:16">
      <c r="B10" s="535"/>
    </row>
    <row r="11" ht="5" customHeight="1" spans="1:16">
      <c r="B11" s="536"/>
      <c r="C11" s="536"/>
      <c r="D11" s="536"/>
    </row>
    <row r="12" ht="40" spans="1:16">
      <c r="B12" s="537" t="s">
        <v>1</v>
      </c>
    </row>
    <row r="13" ht="20.1" customHeight="1" spans="1:16">
      <c r="B13" s="538">
        <f ca="1">TODAY()</f>
        <v>46284</v>
      </c>
      <c r="C13" s="536"/>
      <c r="D13" s="536"/>
    </row>
    <row r="15" ht="15.95" customHeight="1" spans="1:16">
      <c r="P15" s="539"/>
    </row>
    <row r="16" spans="1:16">
      <c r="P16" s="539"/>
    </row>
    <row r="17" ht="5" customHeight="1"/>
    <row r="18" hidden="1"/>
    <row r="24" ht="18.95" customHeight="1" spans="1:10">
      <c r="B24" s="540" t="s">
        <v>2</v>
      </c>
      <c r="D24" s="541"/>
      <c r="H24" s="542" t="s">
        <v>3</v>
      </c>
      <c r="I24" s="529" t="s">
        <v>4</v>
      </c>
    </row>
    <row r="25" ht="18.95" customHeight="1" spans="1:10">
      <c r="D25" s="543"/>
    </row>
    <row r="28" ht="18.35" spans="1:10">
      <c r="A28" s="544"/>
      <c r="B28" s="544"/>
      <c r="C28" s="544"/>
      <c r="D28" s="544"/>
      <c r="E28" s="544"/>
      <c r="F28" s="544"/>
      <c r="G28" s="544"/>
      <c r="H28" s="544"/>
      <c r="I28" s="544"/>
      <c r="J28" s="544"/>
    </row>
  </sheetData>
  <printOptions horizontalCentered="1" verticalCentered="1"/>
  <pageMargins left="0.25" right="0.25" top="0.35" bottom="0.35" header="0.3" footer="0.3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Q76"/>
  <sheetViews>
    <sheetView showGridLines="0" view="pageBreakPreview" zoomScaleNormal="96" workbookViewId="0">
      <selection activeCell="Q18" sqref="Q18"/>
    </sheetView>
  </sheetViews>
  <sheetFormatPr defaultColWidth="8.85714285714286" defaultRowHeight="15.2"/>
  <cols>
    <col min="1" max="1" width="2.57142857142857" style="445" customWidth="1"/>
    <col min="2" max="2" width="5.57142857142857" style="445" customWidth="1"/>
    <col min="3" max="3" width="2.14285714285714" style="445" customWidth="1"/>
    <col min="4" max="4" width="13.4285714285714" style="445" customWidth="1"/>
    <col min="5" max="14" width="10.4285714285714" style="445" customWidth="1"/>
    <col min="15" max="15" width="5.57142857142857" style="445" customWidth="1"/>
    <col min="16" max="16384" width="8.85714285714286" style="445"/>
  </cols>
  <sheetData>
    <row r="1" ht="22.5" customHeight="1" spans="2:17">
      <c r="B1" s="446" t="str">
        <f>Summary!B1</f>
        <v>Tesla</v>
      </c>
      <c r="C1" s="447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</row>
    <row r="2" ht="18.75" customHeight="1" spans="2:17">
      <c r="B2" s="449" t="s">
        <v>5</v>
      </c>
      <c r="C2" s="449"/>
      <c r="D2" s="448"/>
      <c r="E2" s="448"/>
      <c r="F2" s="448"/>
      <c r="G2" s="448"/>
      <c r="H2" s="448"/>
      <c r="I2" s="448"/>
      <c r="J2" s="448"/>
      <c r="K2" s="448"/>
      <c r="L2" s="448"/>
      <c r="M2" s="448"/>
      <c r="N2" s="448"/>
      <c r="O2" s="448"/>
    </row>
    <row r="3" ht="3" customHeight="1" spans="2:17">
      <c r="B3" s="450"/>
      <c r="C3" s="450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</row>
    <row r="4" ht="12" customHeight="1"/>
    <row r="5" ht="15.95" customHeight="1" spans="2:17">
      <c r="C5" s="452" t="s">
        <v>6</v>
      </c>
      <c r="D5" s="453"/>
      <c r="E5" s="453"/>
      <c r="F5" s="453"/>
      <c r="G5" s="453"/>
      <c r="H5" s="454"/>
      <c r="J5" s="452" t="s">
        <v>7</v>
      </c>
      <c r="K5" s="453"/>
      <c r="L5" s="453"/>
      <c r="M5" s="453"/>
      <c r="N5" s="454"/>
    </row>
    <row r="6" ht="3" customHeight="1" spans="2:17">
      <c r="C6" s="455"/>
      <c r="D6" s="456"/>
      <c r="E6" s="456"/>
      <c r="F6" s="456"/>
      <c r="G6" s="456"/>
      <c r="H6" s="457"/>
      <c r="J6" s="455"/>
      <c r="K6" s="456"/>
      <c r="L6" s="456"/>
      <c r="M6" s="456"/>
      <c r="N6" s="457"/>
    </row>
    <row r="7" ht="3" customHeight="1" spans="2:17">
      <c r="C7" s="458"/>
      <c r="D7" s="459"/>
      <c r="E7" s="459"/>
      <c r="F7" s="459"/>
      <c r="G7" s="459"/>
      <c r="H7" s="460"/>
      <c r="J7" s="458"/>
      <c r="K7" s="459"/>
      <c r="L7" s="459"/>
      <c r="M7" s="459"/>
      <c r="N7" s="460"/>
    </row>
    <row r="8" ht="14.1" customHeight="1" spans="2:17">
      <c r="C8" s="461" t="s">
        <v>8</v>
      </c>
      <c r="D8" s="462" t="s">
        <v>9</v>
      </c>
      <c r="G8" s="463">
        <v>2026</v>
      </c>
      <c r="H8" s="464"/>
      <c r="J8" s="465" t="str">
        <f ca="1">"Stock Price - "&amp;TEXT(TODAY()-1,"mm/dd/yy")</f>
        <v>Stock Price - 09/18/26</v>
      </c>
      <c r="K8" s="466"/>
      <c r="M8" s="467"/>
      <c r="N8" s="468">
        <v>366.98</v>
      </c>
      <c r="Q8" s="469"/>
    </row>
    <row r="9" ht="14.1" customHeight="1" spans="2:17">
      <c r="C9" s="461" t="s">
        <v>8</v>
      </c>
      <c r="D9" s="545" t="s">
        <v>10</v>
      </c>
      <c r="H9" s="464"/>
      <c r="J9" s="465" t="str">
        <f>"Fully Diluted Shares O/S (MM) - Dec. 31, "&amp;G8-1</f>
        <v>Fully Diluted Shares O/S (MM) - Dec. 31, 2025</v>
      </c>
      <c r="N9" s="470">
        <v>3752.4</v>
      </c>
    </row>
    <row r="10" ht="14.1" customHeight="1" spans="2:17">
      <c r="C10" s="471"/>
      <c r="D10" s="472" t="s">
        <v>11</v>
      </c>
      <c r="E10" s="473"/>
      <c r="F10" s="473"/>
      <c r="G10" s="473"/>
      <c r="H10" s="474"/>
      <c r="J10" s="475" t="s">
        <v>12</v>
      </c>
      <c r="K10" s="473"/>
      <c r="L10" s="473"/>
      <c r="M10" s="476"/>
      <c r="N10" s="477">
        <v>0</v>
      </c>
    </row>
    <row r="11" ht="14.1" customHeight="1" spans="2:17">
      <c r="M11" s="467"/>
      <c r="N11" s="478"/>
    </row>
    <row r="12" ht="6" customHeight="1" spans="2:17">
      <c r="M12" s="467"/>
      <c r="N12" s="478"/>
    </row>
    <row r="13" s="443" customFormat="1" ht="15.95" customHeight="1" spans="2:17">
      <c r="C13" s="452" t="s">
        <v>13</v>
      </c>
      <c r="D13" s="453"/>
      <c r="E13" s="453"/>
      <c r="F13" s="453"/>
      <c r="G13" s="453"/>
      <c r="H13" s="454"/>
      <c r="J13" s="452" t="s">
        <v>14</v>
      </c>
      <c r="K13" s="453"/>
      <c r="L13" s="453"/>
      <c r="M13" s="453"/>
      <c r="N13" s="454"/>
    </row>
    <row r="14" s="443" customFormat="1" ht="3" customHeight="1" spans="2:17">
      <c r="C14" s="455"/>
      <c r="D14" s="456"/>
      <c r="E14" s="456"/>
      <c r="F14" s="456"/>
      <c r="G14" s="456"/>
      <c r="H14" s="457"/>
      <c r="J14" s="455"/>
      <c r="K14" s="456"/>
      <c r="L14" s="456"/>
      <c r="M14" s="456"/>
      <c r="N14" s="457"/>
    </row>
    <row r="15" s="443" customFormat="1" ht="3" customHeight="1" spans="2:17">
      <c r="C15" s="458"/>
      <c r="D15" s="459"/>
      <c r="E15" s="459"/>
      <c r="F15" s="459"/>
      <c r="G15" s="459"/>
      <c r="H15" s="460"/>
      <c r="J15" s="458"/>
      <c r="K15" s="459"/>
      <c r="L15" s="459"/>
      <c r="M15" s="459"/>
      <c r="N15" s="460"/>
    </row>
    <row r="16" ht="14.1" customHeight="1" spans="2:17">
      <c r="C16" s="461" t="s">
        <v>8</v>
      </c>
      <c r="D16" s="545" t="s">
        <v>15</v>
      </c>
      <c r="H16" s="464"/>
      <c r="J16" s="465"/>
      <c r="N16" s="464"/>
    </row>
    <row r="17" ht="14.1" customHeight="1" spans="3:14">
      <c r="C17" s="479" t="s">
        <v>16</v>
      </c>
      <c r="D17" s="480"/>
      <c r="E17" s="481" t="str">
        <f>Scenarios!G6&amp;" - "&amp;Scenarios!K6</f>
        <v>2026 - 2030</v>
      </c>
      <c r="F17" s="482"/>
      <c r="G17" s="481"/>
      <c r="H17" s="483"/>
      <c r="J17" s="546" t="s">
        <v>17</v>
      </c>
      <c r="N17" s="485">
        <v>2350</v>
      </c>
    </row>
    <row r="18" s="444" customFormat="1" ht="17.6" spans="3:14">
      <c r="C18" s="486" t="s">
        <v>18</v>
      </c>
      <c r="D18" s="445"/>
      <c r="E18" s="448" t="s">
        <v>19</v>
      </c>
      <c r="F18" s="448"/>
      <c r="G18" s="448"/>
      <c r="H18" s="487"/>
      <c r="I18" s="488"/>
      <c r="J18" s="547" t="s">
        <v>20</v>
      </c>
      <c r="K18" s="445"/>
      <c r="L18" s="445"/>
      <c r="M18" s="445"/>
      <c r="N18" s="485">
        <v>0</v>
      </c>
    </row>
    <row r="19" ht="14.1" customHeight="1" spans="3:14">
      <c r="C19" s="486" t="s">
        <v>21</v>
      </c>
      <c r="F19" s="489">
        <v>0.04</v>
      </c>
      <c r="G19" s="448"/>
      <c r="H19" s="487" t="s">
        <v>22</v>
      </c>
      <c r="I19" s="462"/>
      <c r="J19" s="465"/>
      <c r="N19" s="464"/>
    </row>
    <row r="20" ht="15.6" customHeight="1" spans="3:14">
      <c r="C20" s="490" t="s">
        <v>23</v>
      </c>
      <c r="D20" s="473"/>
      <c r="E20" s="473"/>
      <c r="F20" s="491">
        <v>-0.04</v>
      </c>
      <c r="G20" s="492"/>
      <c r="H20" s="493" t="s">
        <v>22</v>
      </c>
      <c r="I20" s="462"/>
      <c r="J20" s="475"/>
      <c r="K20" s="473"/>
      <c r="L20" s="473"/>
      <c r="M20" s="473"/>
      <c r="N20" s="474"/>
    </row>
    <row r="21" ht="14.1" customHeight="1" spans="3:14">
      <c r="I21" s="462"/>
    </row>
    <row r="22" ht="6" customHeight="1" spans="3:14">
      <c r="I22" s="462"/>
    </row>
    <row r="23" s="443" customFormat="1" ht="15.95" customHeight="1" spans="3:14">
      <c r="C23" s="452" t="s">
        <v>24</v>
      </c>
      <c r="D23" s="453"/>
      <c r="E23" s="453"/>
      <c r="F23" s="453"/>
      <c r="G23" s="453"/>
      <c r="H23" s="454"/>
      <c r="J23" s="452" t="s">
        <v>25</v>
      </c>
      <c r="K23" s="453"/>
      <c r="L23" s="453"/>
      <c r="M23" s="453"/>
      <c r="N23" s="454"/>
    </row>
    <row r="24" ht="3" customHeight="1" spans="3:14">
      <c r="C24" s="455"/>
      <c r="D24" s="456"/>
      <c r="E24" s="456"/>
      <c r="F24" s="456"/>
      <c r="G24" s="456"/>
      <c r="H24" s="457"/>
      <c r="J24" s="455"/>
      <c r="K24" s="456"/>
      <c r="L24" s="456"/>
      <c r="M24" s="456"/>
      <c r="N24" s="457"/>
    </row>
    <row r="25" ht="3" customHeight="1" spans="3:14">
      <c r="C25" s="458"/>
      <c r="D25" s="459"/>
      <c r="E25" s="459"/>
      <c r="F25" s="459"/>
      <c r="G25" s="459"/>
      <c r="H25" s="460"/>
      <c r="J25" s="458"/>
      <c r="K25" s="459"/>
      <c r="L25" s="459"/>
      <c r="M25" s="459"/>
      <c r="N25" s="460"/>
    </row>
    <row r="26" ht="15.6" customHeight="1" spans="3:14">
      <c r="C26" s="479" t="s">
        <v>26</v>
      </c>
      <c r="D26" s="462"/>
      <c r="E26" s="47">
        <f>G8</f>
        <v>2026</v>
      </c>
      <c r="G26" s="47" t="s">
        <v>27</v>
      </c>
      <c r="H26" s="464"/>
      <c r="J26" s="494"/>
      <c r="N26" s="464"/>
    </row>
    <row r="27" ht="14.1" customHeight="1" spans="3:14">
      <c r="C27" s="495" t="s">
        <v>28</v>
      </c>
      <c r="D27" s="462"/>
      <c r="E27" s="496">
        <v>29000</v>
      </c>
      <c r="F27" s="445" t="s">
        <v>29</v>
      </c>
      <c r="G27" s="445" t="s">
        <v>30</v>
      </c>
      <c r="H27" s="464"/>
      <c r="J27" s="484" t="s">
        <v>31</v>
      </c>
      <c r="M27" s="497"/>
      <c r="N27" s="498">
        <v>0.042</v>
      </c>
    </row>
    <row r="28" ht="14.1" customHeight="1" spans="3:14">
      <c r="C28" s="495" t="s">
        <v>32</v>
      </c>
      <c r="D28" s="462"/>
      <c r="E28" s="496">
        <v>1500</v>
      </c>
      <c r="F28" s="445" t="s">
        <v>29</v>
      </c>
      <c r="G28" s="445" t="s">
        <v>30</v>
      </c>
      <c r="H28" s="464"/>
      <c r="J28" s="499" t="s">
        <v>33</v>
      </c>
      <c r="N28" s="498">
        <v>0.055</v>
      </c>
    </row>
    <row r="29" ht="14.1" customHeight="1" spans="3:14">
      <c r="C29" s="495" t="s">
        <v>34</v>
      </c>
      <c r="D29" s="462"/>
      <c r="E29" s="496">
        <v>1500</v>
      </c>
      <c r="F29" s="445" t="s">
        <v>35</v>
      </c>
      <c r="G29" s="445" t="s">
        <v>36</v>
      </c>
      <c r="H29" s="464"/>
      <c r="J29" s="499" t="s">
        <v>37</v>
      </c>
      <c r="N29" s="498">
        <v>0.055</v>
      </c>
    </row>
    <row r="30" ht="15.6" customHeight="1" spans="3:14">
      <c r="C30" s="495" t="s">
        <v>38</v>
      </c>
      <c r="D30" s="462"/>
      <c r="E30" s="496">
        <v>4500</v>
      </c>
      <c r="F30" s="445" t="s">
        <v>35</v>
      </c>
      <c r="G30" s="445" t="s">
        <v>36</v>
      </c>
      <c r="H30" s="464"/>
      <c r="J30" s="465"/>
      <c r="N30" s="464"/>
    </row>
    <row r="31" ht="14.1" customHeight="1" spans="3:14">
      <c r="C31" s="495" t="s">
        <v>39</v>
      </c>
      <c r="D31" s="462"/>
      <c r="E31" s="496">
        <v>500</v>
      </c>
      <c r="F31" s="445" t="s">
        <v>35</v>
      </c>
      <c r="G31" s="445" t="s">
        <v>36</v>
      </c>
      <c r="H31" s="464"/>
      <c r="J31" s="465"/>
      <c r="N31" s="464"/>
    </row>
    <row r="32" ht="15.6" customHeight="1" spans="3:14">
      <c r="C32" s="500" t="s">
        <v>40</v>
      </c>
      <c r="D32" s="472"/>
      <c r="E32" s="501">
        <v>5834</v>
      </c>
      <c r="F32" s="473" t="s">
        <v>35</v>
      </c>
      <c r="G32" s="473" t="s">
        <v>36</v>
      </c>
      <c r="H32" s="474"/>
      <c r="J32" s="475"/>
      <c r="K32" s="473"/>
      <c r="L32" s="473"/>
      <c r="M32" s="473"/>
      <c r="N32" s="474"/>
    </row>
    <row r="33" ht="14.1" customHeight="1"/>
    <row r="34" ht="6" customHeight="1"/>
    <row r="35" s="443" customFormat="1" ht="15.95" customHeight="1" spans="2:17">
      <c r="C35" s="452" t="s">
        <v>41</v>
      </c>
      <c r="D35" s="502"/>
      <c r="E35" s="502"/>
      <c r="F35" s="502"/>
      <c r="G35" s="502"/>
      <c r="H35" s="503"/>
      <c r="J35" s="452" t="s">
        <v>42</v>
      </c>
      <c r="K35" s="502"/>
      <c r="L35" s="502"/>
      <c r="M35" s="502"/>
      <c r="N35" s="503"/>
    </row>
    <row r="36" ht="3" customHeight="1" spans="2:17">
      <c r="C36" s="455"/>
      <c r="D36" s="456"/>
      <c r="E36" s="456"/>
      <c r="F36" s="456"/>
      <c r="G36" s="456"/>
      <c r="H36" s="457"/>
      <c r="J36" s="455"/>
      <c r="K36" s="456"/>
      <c r="L36" s="456"/>
      <c r="M36" s="456"/>
      <c r="N36" s="457"/>
    </row>
    <row r="37" ht="3" customHeight="1" spans="2:17">
      <c r="C37" s="458"/>
      <c r="D37" s="459"/>
      <c r="E37" s="459"/>
      <c r="F37" s="459"/>
      <c r="G37" s="459"/>
      <c r="H37" s="460"/>
      <c r="J37" s="458"/>
      <c r="K37" s="459"/>
      <c r="L37" s="459"/>
      <c r="M37" s="459"/>
      <c r="N37" s="460"/>
    </row>
    <row r="38" ht="14.1" customHeight="1" spans="2:17">
      <c r="C38" s="461" t="s">
        <v>8</v>
      </c>
      <c r="D38" s="545" t="s">
        <v>43</v>
      </c>
      <c r="H38" s="504" t="s">
        <v>44</v>
      </c>
      <c r="J38" s="465"/>
      <c r="N38" s="464"/>
    </row>
    <row r="39" ht="14.1" customHeight="1" spans="2:17">
      <c r="C39" s="461" t="s">
        <v>8</v>
      </c>
      <c r="D39" s="548" t="s">
        <v>45</v>
      </c>
      <c r="H39" s="506">
        <v>15</v>
      </c>
      <c r="J39" s="546" t="s">
        <v>46</v>
      </c>
      <c r="N39" s="498">
        <v>0.27</v>
      </c>
    </row>
    <row r="40" ht="14.1" customHeight="1" spans="2:17">
      <c r="C40" s="471" t="s">
        <v>8</v>
      </c>
      <c r="D40" s="549" t="s">
        <v>47</v>
      </c>
      <c r="E40" s="473"/>
      <c r="F40" s="473"/>
      <c r="G40" s="473"/>
      <c r="H40" s="508">
        <v>15</v>
      </c>
      <c r="J40" s="550" t="s">
        <v>48</v>
      </c>
      <c r="K40" s="473"/>
      <c r="L40" s="473"/>
      <c r="M40" s="473"/>
      <c r="N40" s="510"/>
    </row>
    <row r="41" ht="15" customHeight="1" spans="2:17">
      <c r="B41" s="511"/>
      <c r="C41" s="511"/>
      <c r="D41" s="512"/>
      <c r="E41" s="513"/>
      <c r="F41" s="513"/>
      <c r="G41" s="513"/>
      <c r="H41" s="513"/>
      <c r="I41" s="511"/>
      <c r="J41" s="511"/>
      <c r="K41" s="511"/>
      <c r="L41" s="511"/>
      <c r="M41" s="511"/>
      <c r="N41" s="511"/>
      <c r="O41" s="511"/>
    </row>
    <row r="42" ht="14.1" customHeight="1" spans="2:17">
      <c r="C42" s="514"/>
      <c r="D42" s="505"/>
      <c r="H42" s="515"/>
    </row>
    <row r="43" ht="14.1" customHeight="1" spans="2:17">
      <c r="C43" s="514"/>
    </row>
    <row r="44" ht="22.5" customHeight="1" spans="2:17">
      <c r="B44" s="446" t="str">
        <f>Summary!B1</f>
        <v>Tesla</v>
      </c>
      <c r="C44" s="447"/>
      <c r="D44" s="448"/>
      <c r="E44" s="448"/>
      <c r="F44" s="448"/>
      <c r="G44" s="448"/>
      <c r="H44" s="448"/>
      <c r="I44" s="448"/>
      <c r="J44" s="448"/>
      <c r="K44" s="448"/>
      <c r="L44" s="448"/>
      <c r="M44" s="448"/>
      <c r="N44" s="448"/>
      <c r="O44" s="448"/>
    </row>
    <row r="45" ht="18.75" customHeight="1" spans="2:17">
      <c r="B45" s="449" t="s">
        <v>5</v>
      </c>
      <c r="C45" s="449"/>
      <c r="D45" s="448"/>
      <c r="E45" s="448"/>
      <c r="F45" s="448"/>
      <c r="G45" s="448"/>
      <c r="H45" s="448"/>
      <c r="I45" s="448"/>
      <c r="J45" s="448"/>
      <c r="K45" s="448"/>
      <c r="L45" s="448"/>
      <c r="M45" s="448"/>
      <c r="N45" s="448"/>
      <c r="O45" s="448"/>
    </row>
    <row r="46" ht="3" customHeight="1" spans="2:17">
      <c r="B46" s="450"/>
      <c r="C46" s="450"/>
      <c r="D46" s="451"/>
      <c r="E46" s="451"/>
      <c r="F46" s="451"/>
      <c r="G46" s="451"/>
      <c r="H46" s="451"/>
      <c r="I46" s="451"/>
      <c r="J46" s="451"/>
      <c r="K46" s="451"/>
      <c r="L46" s="451"/>
      <c r="M46" s="451"/>
      <c r="N46" s="451"/>
      <c r="O46" s="451"/>
    </row>
    <row r="47" ht="12" customHeight="1" spans="2:17">
      <c r="C47" s="514"/>
    </row>
    <row r="48" s="443" customFormat="1" ht="15.95" customHeight="1" spans="2:17">
      <c r="C48" s="452" t="s">
        <v>49</v>
      </c>
      <c r="D48" s="502"/>
      <c r="E48" s="502"/>
      <c r="F48" s="502"/>
      <c r="G48" s="502"/>
      <c r="H48" s="502"/>
      <c r="I48" s="502"/>
      <c r="J48" s="516">
        <f>G8</f>
        <v>2026</v>
      </c>
      <c r="K48" s="516">
        <f>J48+1</f>
        <v>2027</v>
      </c>
      <c r="L48" s="516">
        <f>K48+1</f>
        <v>2028</v>
      </c>
      <c r="M48" s="516">
        <f>L48+1</f>
        <v>2029</v>
      </c>
      <c r="N48" s="517">
        <f>M48+1</f>
        <v>2030</v>
      </c>
      <c r="Q48" s="518"/>
    </row>
    <row r="49" s="443" customFormat="1" ht="3" customHeight="1" spans="3:17">
      <c r="C49" s="455"/>
      <c r="D49" s="456"/>
      <c r="E49" s="456"/>
      <c r="F49" s="456"/>
      <c r="G49" s="456"/>
      <c r="H49" s="457"/>
      <c r="I49" s="457"/>
      <c r="J49" s="457"/>
      <c r="K49" s="457"/>
      <c r="L49" s="457"/>
      <c r="M49" s="457"/>
      <c r="N49" s="457"/>
      <c r="Q49" s="518"/>
    </row>
    <row r="50" s="443" customFormat="1" ht="3" customHeight="1" spans="3:17">
      <c r="C50" s="458"/>
      <c r="D50" s="459"/>
      <c r="E50" s="459"/>
      <c r="F50" s="459"/>
      <c r="G50" s="459"/>
      <c r="H50" s="459"/>
      <c r="I50" s="459"/>
      <c r="J50" s="459"/>
      <c r="K50" s="459"/>
      <c r="L50" s="459"/>
      <c r="M50" s="459"/>
      <c r="N50" s="460"/>
      <c r="Q50" s="518"/>
    </row>
    <row r="51" ht="8.1" customHeight="1" spans="3:17">
      <c r="C51" s="465"/>
      <c r="N51" s="464"/>
    </row>
    <row r="52" ht="14.1" customHeight="1" spans="3:17">
      <c r="C52" s="519" t="s">
        <v>50</v>
      </c>
      <c r="J52" s="520"/>
      <c r="K52" s="520"/>
      <c r="L52" s="520"/>
      <c r="M52" s="520"/>
      <c r="N52" s="521"/>
      <c r="Q52" s="522"/>
    </row>
    <row r="53" ht="14.1" customHeight="1" spans="3:17">
      <c r="C53" s="519"/>
      <c r="D53" s="445" t="s">
        <v>51</v>
      </c>
      <c r="G53" s="445" t="s">
        <v>35</v>
      </c>
      <c r="J53" s="520">
        <v>0</v>
      </c>
      <c r="K53" s="520">
        <v>0</v>
      </c>
      <c r="L53" s="520">
        <v>0</v>
      </c>
      <c r="M53" s="520">
        <v>0</v>
      </c>
      <c r="N53" s="521">
        <v>0</v>
      </c>
    </row>
    <row r="54" ht="6" customHeight="1" spans="3:17">
      <c r="C54" s="465"/>
      <c r="N54" s="464"/>
    </row>
    <row r="55" ht="14.1" customHeight="1" spans="3:17">
      <c r="C55" s="519" t="s">
        <v>52</v>
      </c>
      <c r="J55" s="520"/>
      <c r="K55" s="520"/>
      <c r="L55" s="520"/>
      <c r="M55" s="520"/>
      <c r="N55" s="521"/>
      <c r="Q55" s="522"/>
    </row>
    <row r="56" ht="14.1" customHeight="1" spans="3:17">
      <c r="C56" s="519"/>
      <c r="D56" s="445" t="s">
        <v>53</v>
      </c>
      <c r="G56" s="445" t="s">
        <v>35</v>
      </c>
      <c r="J56" s="520">
        <v>0</v>
      </c>
      <c r="K56" s="520">
        <v>0</v>
      </c>
      <c r="L56" s="520">
        <v>0</v>
      </c>
      <c r="M56" s="520">
        <v>0</v>
      </c>
      <c r="N56" s="521">
        <v>0</v>
      </c>
    </row>
    <row r="57" ht="6" customHeight="1" spans="3:17">
      <c r="C57" s="465"/>
      <c r="N57" s="464"/>
    </row>
    <row r="58" ht="14.1" customHeight="1" spans="3:17">
      <c r="C58" s="519" t="s">
        <v>54</v>
      </c>
      <c r="G58" s="445" t="s">
        <v>35</v>
      </c>
      <c r="J58" s="520">
        <v>25500</v>
      </c>
      <c r="K58" s="520">
        <v>20000</v>
      </c>
      <c r="L58" s="520">
        <v>18500</v>
      </c>
      <c r="M58" s="520">
        <v>18500</v>
      </c>
      <c r="N58" s="521">
        <v>18500</v>
      </c>
      <c r="Q58" s="522"/>
    </row>
    <row r="59" ht="6" customHeight="1" spans="3:17">
      <c r="C59" s="465"/>
      <c r="N59" s="464"/>
    </row>
    <row r="60" ht="14.25" customHeight="1" spans="3:17">
      <c r="C60" s="519" t="s">
        <v>55</v>
      </c>
      <c r="N60" s="464"/>
    </row>
    <row r="61" ht="14.25" customHeight="1" spans="3:17">
      <c r="C61" s="465"/>
      <c r="D61" s="445" t="s">
        <v>56</v>
      </c>
      <c r="G61" s="445" t="s">
        <v>35</v>
      </c>
      <c r="J61" s="520">
        <v>100</v>
      </c>
      <c r="K61" s="520">
        <v>100</v>
      </c>
      <c r="L61" s="520">
        <v>100</v>
      </c>
      <c r="M61" s="520">
        <v>100</v>
      </c>
      <c r="N61" s="521">
        <v>100</v>
      </c>
    </row>
    <row r="62" ht="6" customHeight="1" spans="3:17">
      <c r="C62" s="465"/>
      <c r="N62" s="464"/>
    </row>
    <row r="63" ht="14.25" customHeight="1" spans="3:17">
      <c r="C63" s="519" t="s">
        <v>57</v>
      </c>
      <c r="N63" s="464"/>
    </row>
    <row r="64" ht="14.1" customHeight="1" spans="3:17">
      <c r="C64" s="465"/>
      <c r="D64" s="445" t="s">
        <v>58</v>
      </c>
      <c r="G64" s="445" t="s">
        <v>59</v>
      </c>
      <c r="J64" s="523">
        <v>18</v>
      </c>
      <c r="K64" s="523">
        <v>18</v>
      </c>
      <c r="L64" s="523">
        <v>17</v>
      </c>
      <c r="M64" s="523">
        <v>17</v>
      </c>
      <c r="N64" s="524">
        <v>17</v>
      </c>
    </row>
    <row r="65" ht="14.1" customHeight="1" spans="2:15">
      <c r="C65" s="494"/>
      <c r="D65" s="445" t="s">
        <v>60</v>
      </c>
      <c r="G65" s="445" t="s">
        <v>59</v>
      </c>
      <c r="J65" s="523">
        <v>58</v>
      </c>
      <c r="K65" s="523">
        <v>57</v>
      </c>
      <c r="L65" s="523">
        <v>55</v>
      </c>
      <c r="M65" s="523">
        <v>55</v>
      </c>
      <c r="N65" s="524">
        <v>55</v>
      </c>
    </row>
    <row r="66" ht="14.1" customHeight="1" spans="2:15">
      <c r="C66" s="494"/>
      <c r="D66" s="445" t="s">
        <v>61</v>
      </c>
      <c r="G66" s="445" t="s">
        <v>59</v>
      </c>
      <c r="J66" s="523">
        <v>36</v>
      </c>
      <c r="K66" s="523">
        <v>36</v>
      </c>
      <c r="L66" s="523">
        <v>36</v>
      </c>
      <c r="M66" s="523">
        <v>36</v>
      </c>
      <c r="N66" s="524">
        <v>36</v>
      </c>
    </row>
    <row r="67" ht="14.1" customHeight="1" spans="2:15">
      <c r="C67" s="494"/>
      <c r="D67" s="445" t="s">
        <v>62</v>
      </c>
      <c r="G67" s="445" t="s">
        <v>59</v>
      </c>
      <c r="J67" s="523">
        <v>3</v>
      </c>
      <c r="K67" s="523">
        <v>3</v>
      </c>
      <c r="L67" s="523">
        <v>3</v>
      </c>
      <c r="M67" s="523">
        <v>3</v>
      </c>
      <c r="N67" s="524">
        <v>3</v>
      </c>
    </row>
    <row r="68" ht="14.1" customHeight="1" spans="2:15">
      <c r="C68" s="461"/>
      <c r="D68" s="445" t="s">
        <v>63</v>
      </c>
      <c r="G68" s="445" t="s">
        <v>59</v>
      </c>
      <c r="J68" s="523">
        <v>63</v>
      </c>
      <c r="K68" s="523">
        <v>62</v>
      </c>
      <c r="L68" s="523">
        <v>60</v>
      </c>
      <c r="M68" s="523">
        <v>58</v>
      </c>
      <c r="N68" s="524">
        <v>57</v>
      </c>
    </row>
    <row r="69" ht="14.1" customHeight="1" spans="2:15">
      <c r="C69" s="461"/>
      <c r="D69" s="445" t="s">
        <v>64</v>
      </c>
      <c r="G69" s="445" t="s">
        <v>59</v>
      </c>
      <c r="J69" s="523">
        <v>75</v>
      </c>
      <c r="K69" s="523">
        <v>74</v>
      </c>
      <c r="L69" s="523">
        <v>72</v>
      </c>
      <c r="M69" s="523">
        <v>70</v>
      </c>
      <c r="N69" s="524">
        <v>70</v>
      </c>
    </row>
    <row r="70" ht="6" customHeight="1" spans="2:15">
      <c r="C70" s="461"/>
      <c r="N70" s="464"/>
    </row>
    <row r="71" ht="14.1" customHeight="1" spans="2:15">
      <c r="C71" s="525" t="s">
        <v>65</v>
      </c>
      <c r="N71" s="464"/>
    </row>
    <row r="72" ht="14.1" customHeight="1" spans="2:15">
      <c r="C72" s="495"/>
      <c r="D72" s="445" t="s">
        <v>66</v>
      </c>
      <c r="G72" s="445" t="s">
        <v>35</v>
      </c>
      <c r="J72" s="520">
        <v>0</v>
      </c>
      <c r="K72" s="520">
        <v>0</v>
      </c>
      <c r="L72" s="520">
        <v>0</v>
      </c>
      <c r="M72" s="520">
        <v>0</v>
      </c>
      <c r="N72" s="521">
        <v>0</v>
      </c>
    </row>
    <row r="73" ht="14.1" customHeight="1" spans="2:15">
      <c r="C73" s="461"/>
      <c r="D73" s="445" t="s">
        <v>67</v>
      </c>
      <c r="G73" s="445" t="s">
        <v>35</v>
      </c>
      <c r="J73" s="520">
        <v>0</v>
      </c>
      <c r="K73" s="520">
        <v>0</v>
      </c>
      <c r="L73" s="520">
        <v>0</v>
      </c>
      <c r="M73" s="520">
        <v>0</v>
      </c>
      <c r="N73" s="521">
        <v>0</v>
      </c>
    </row>
    <row r="74" ht="12" customHeight="1" spans="2:15">
      <c r="C74" s="471"/>
      <c r="D74" s="473"/>
      <c r="E74" s="473"/>
      <c r="F74" s="473"/>
      <c r="G74" s="473"/>
      <c r="H74" s="473"/>
      <c r="I74" s="473"/>
      <c r="J74" s="526"/>
      <c r="K74" s="526"/>
      <c r="L74" s="526"/>
      <c r="M74" s="526"/>
      <c r="N74" s="527"/>
    </row>
    <row r="75" ht="9" customHeight="1" spans="2:15">
      <c r="B75" s="511"/>
      <c r="C75" s="511"/>
      <c r="D75" s="512"/>
      <c r="E75" s="513"/>
      <c r="F75" s="513"/>
      <c r="G75" s="513"/>
      <c r="H75" s="513"/>
      <c r="I75" s="511"/>
      <c r="J75" s="511"/>
      <c r="K75" s="511"/>
      <c r="L75" s="511"/>
      <c r="M75" s="511"/>
      <c r="N75" s="511"/>
      <c r="O75" s="511"/>
    </row>
    <row r="76" ht="12.75" customHeight="1" spans="2:15">
      <c r="D76" s="528"/>
      <c r="E76" s="448"/>
      <c r="F76" s="448"/>
      <c r="G76" s="448"/>
      <c r="H76" s="448"/>
    </row>
  </sheetData>
  <conditionalFormatting sqref="J349:N353">
    <cfRule type="cellIs" dxfId="0" priority="1" stopIfTrue="1" operator="greaterThan">
      <formula>330</formula>
    </cfRule>
  </conditionalFormatting>
  <printOptions horizontalCentered="1"/>
  <pageMargins left="0.251388888888889" right="0.251388888888889" top="0.35" bottom="0.5" header="0.251388888888889" footer="0.251388888888889"/>
  <pageSetup paperSize="1" scale="95" orientation="landscape" horizontalDpi="600"/>
  <headerFooter alignWithMargins="0">
    <oddFooter>&amp;L&amp;Z
&amp;F&amp;C&amp;9Page &amp;P of &amp;N&amp;R&amp;9&amp;D 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42"/>
  <sheetViews>
    <sheetView showGridLines="0" view="pageBreakPreview" zoomScale="62" zoomScaleNormal="110" workbookViewId="0">
      <selection activeCell="G14" sqref="G14"/>
    </sheetView>
  </sheetViews>
  <sheetFormatPr defaultColWidth="10.5714285714286" defaultRowHeight="15.2"/>
  <cols>
    <col min="1" max="1" width="4.28571428571429" style="374" customWidth="1"/>
    <col min="2" max="2" width="1.57142857142857" style="374" customWidth="1"/>
    <col min="3" max="3" width="18.5714285714286" style="374" customWidth="1"/>
    <col min="4" max="4" width="11.5714285714286" style="375" customWidth="1"/>
    <col min="5" max="5" width="1.57142857142857" style="375" customWidth="1"/>
    <col min="6" max="6" width="6.71428571428571" style="374" customWidth="1"/>
    <col min="7" max="11" width="12.7142857142857" style="374" customWidth="1"/>
    <col min="12" max="12" width="13.5714285714286" style="374" customWidth="1"/>
    <col min="13" max="13" width="10.4285714285714" style="374" customWidth="1"/>
    <col min="14" max="17" width="13.5714285714286" style="374" customWidth="1"/>
    <col min="18" max="16384" width="10.5714285714286" style="374"/>
  </cols>
  <sheetData>
    <row r="1" s="372" customFormat="1" ht="22.7" customHeight="1" spans="1:11">
      <c r="B1" s="376" t="str">
        <f>Assumptions!B1</f>
        <v>Tesla</v>
      </c>
      <c r="C1" s="377"/>
      <c r="D1" s="377"/>
      <c r="E1" s="377"/>
      <c r="F1" s="377"/>
      <c r="G1" s="377"/>
      <c r="H1" s="377"/>
      <c r="I1" s="377"/>
      <c r="J1" s="377"/>
      <c r="K1" s="377"/>
    </row>
    <row r="2" ht="20.4" spans="1:11">
      <c r="B2" s="378" t="s">
        <v>68</v>
      </c>
      <c r="C2" s="378"/>
      <c r="D2" s="378"/>
      <c r="E2" s="378"/>
      <c r="F2" s="378"/>
      <c r="G2" s="378"/>
      <c r="H2" s="378"/>
      <c r="I2" s="378"/>
      <c r="J2" s="378"/>
      <c r="K2" s="378"/>
    </row>
    <row r="3" ht="3" customHeight="1" spans="1:11">
      <c r="B3" s="379"/>
      <c r="C3" s="379"/>
      <c r="D3" s="380"/>
      <c r="E3" s="380"/>
      <c r="F3" s="379"/>
      <c r="G3" s="379"/>
      <c r="H3" s="379"/>
      <c r="I3" s="379"/>
      <c r="J3" s="379"/>
      <c r="K3" s="379"/>
    </row>
    <row r="4" ht="12.75" customHeight="1" spans="1:11">
      <c r="C4" s="381"/>
      <c r="D4" s="382"/>
      <c r="E4" s="382"/>
      <c r="F4" s="381"/>
    </row>
    <row r="5" ht="6" customHeight="1" spans="1:11">
      <c r="B5" s="383"/>
      <c r="C5" s="384"/>
      <c r="D5" s="385"/>
      <c r="E5" s="386"/>
      <c r="G5" s="387"/>
      <c r="H5" s="387"/>
      <c r="I5" s="387"/>
      <c r="J5" s="387"/>
      <c r="K5" s="387"/>
    </row>
    <row r="6" ht="16.15" customHeight="1" spans="1:11">
      <c r="B6" s="388" t="s">
        <v>69</v>
      </c>
      <c r="C6" s="389"/>
      <c r="D6" s="390">
        <v>3</v>
      </c>
      <c r="E6" s="391"/>
      <c r="F6" s="389"/>
      <c r="G6" s="392">
        <f>Assumptions!G8</f>
        <v>2026</v>
      </c>
      <c r="H6" s="392">
        <f>G6+1</f>
        <v>2027</v>
      </c>
      <c r="I6" s="392">
        <f>H6+1</f>
        <v>2028</v>
      </c>
      <c r="J6" s="392">
        <f>I6+1</f>
        <v>2029</v>
      </c>
      <c r="K6" s="392">
        <f>J6+1</f>
        <v>2030</v>
      </c>
    </row>
    <row r="7" ht="6" customHeight="1" spans="1:11">
      <c r="B7" s="393"/>
      <c r="C7" s="394"/>
      <c r="D7" s="395"/>
      <c r="E7" s="396"/>
      <c r="F7" s="389"/>
      <c r="G7" s="397"/>
      <c r="H7" s="397"/>
      <c r="I7" s="397"/>
      <c r="J7" s="397"/>
      <c r="K7" s="397"/>
    </row>
    <row r="8" spans="1:11">
      <c r="B8" s="389"/>
      <c r="C8" s="389"/>
      <c r="D8" s="398"/>
      <c r="E8" s="398"/>
      <c r="F8" s="389"/>
      <c r="G8" s="397"/>
      <c r="H8" s="397"/>
      <c r="I8" s="397"/>
      <c r="J8" s="397"/>
      <c r="K8" s="397"/>
    </row>
    <row r="9" spans="1:11">
      <c r="B9" s="389"/>
      <c r="C9" s="389"/>
      <c r="D9" s="398"/>
      <c r="E9" s="398"/>
      <c r="F9" s="389"/>
      <c r="G9" s="397"/>
      <c r="H9" s="397"/>
      <c r="I9" s="397"/>
      <c r="J9" s="397"/>
      <c r="K9" s="397"/>
    </row>
    <row r="10" ht="17.6" spans="1:11">
      <c r="A10" s="399"/>
      <c r="B10" s="400" t="s">
        <v>70</v>
      </c>
    </row>
    <row r="11" ht="12.75" customHeight="1"/>
    <row r="12" ht="16.15" customHeight="1" spans="1:11">
      <c r="B12" s="401" t="s">
        <v>71</v>
      </c>
      <c r="D12" s="402"/>
      <c r="E12" s="402"/>
      <c r="G12" s="403">
        <f>CHOOSE($D$6,G14,G15,G16)</f>
        <v>0.028</v>
      </c>
      <c r="H12" s="404">
        <f>CHOOSE($D$6,H14,H15,H16)</f>
        <v>0.028</v>
      </c>
      <c r="I12" s="404">
        <f>CHOOSE($D$6,I14,I15,I16)</f>
        <v>0.028</v>
      </c>
      <c r="J12" s="404">
        <f>CHOOSE($D$6,J14,J15,J16)</f>
        <v>0.028</v>
      </c>
      <c r="K12" s="405">
        <f>CHOOSE($D$6,K14,K15,K16)</f>
        <v>0.028</v>
      </c>
    </row>
    <row r="13" ht="4.35" customHeight="1" spans="1:11">
      <c r="B13" s="406"/>
      <c r="D13" s="402"/>
      <c r="E13" s="402"/>
      <c r="G13" s="191"/>
      <c r="H13" s="407"/>
      <c r="I13" s="407"/>
      <c r="J13" s="407"/>
      <c r="K13" s="407"/>
    </row>
    <row r="14" spans="1:11">
      <c r="B14" s="406"/>
      <c r="C14" s="374" t="str">
        <f>Assumptions!C18</f>
        <v>Base Case</v>
      </c>
      <c r="D14" s="402"/>
      <c r="E14" s="402"/>
      <c r="G14" s="408">
        <v>0.02</v>
      </c>
      <c r="H14" s="409">
        <v>0.02</v>
      </c>
      <c r="I14" s="409">
        <v>0.02</v>
      </c>
      <c r="J14" s="409">
        <v>0.022</v>
      </c>
      <c r="K14" s="410">
        <v>0.022</v>
      </c>
    </row>
    <row r="15" spans="1:11">
      <c r="B15" s="406"/>
      <c r="C15" s="374" t="str">
        <f>Assumptions!C19</f>
        <v>Best Case</v>
      </c>
      <c r="D15" s="402"/>
      <c r="E15" s="402"/>
      <c r="G15" s="411">
        <v>0.015</v>
      </c>
      <c r="H15" s="412">
        <v>0.015</v>
      </c>
      <c r="I15" s="412">
        <v>0.015</v>
      </c>
      <c r="J15" s="412">
        <v>0.017</v>
      </c>
      <c r="K15" s="413">
        <v>0.017</v>
      </c>
    </row>
    <row r="16" spans="1:11">
      <c r="B16" s="406"/>
      <c r="C16" s="374" t="str">
        <f>Assumptions!C20</f>
        <v>Worst Case</v>
      </c>
      <c r="D16" s="402"/>
      <c r="E16" s="402"/>
      <c r="G16" s="414">
        <v>0.028</v>
      </c>
      <c r="H16" s="415">
        <v>0.028</v>
      </c>
      <c r="I16" s="415">
        <v>0.028</v>
      </c>
      <c r="J16" s="415">
        <v>0.028</v>
      </c>
      <c r="K16" s="416">
        <v>0.028</v>
      </c>
    </row>
    <row r="17" spans="1:13">
      <c r="C17" s="417"/>
      <c r="D17" s="418"/>
      <c r="E17" s="418"/>
      <c r="G17" s="419"/>
      <c r="H17" s="419"/>
      <c r="I17" s="419"/>
      <c r="J17" s="419"/>
      <c r="K17" s="420"/>
    </row>
    <row r="18" spans="1:13">
      <c r="B18" s="421"/>
      <c r="C18" s="421"/>
      <c r="D18" s="422"/>
      <c r="E18" s="422"/>
      <c r="F18" s="421"/>
      <c r="G18" s="421"/>
      <c r="H18" s="421"/>
      <c r="I18" s="421"/>
      <c r="J18" s="421"/>
      <c r="K18" s="421"/>
    </row>
    <row r="20" ht="12.75" customHeight="1"/>
    <row r="21" ht="12.75" customHeight="1" spans="1:13">
      <c r="B21" s="400" t="s">
        <v>72</v>
      </c>
    </row>
    <row r="22" ht="12.75" customHeight="1"/>
    <row r="23" s="373" customFormat="1" ht="16.15" customHeight="1" spans="1:13">
      <c r="B23" s="401" t="s">
        <v>73</v>
      </c>
      <c r="D23" s="390"/>
      <c r="E23" s="390"/>
      <c r="G23" s="423">
        <f>CHOOSE($D$6,G25,G26,G27)</f>
        <v>40800</v>
      </c>
      <c r="H23" s="424">
        <f t="shared" ref="H23:K23" si="0">CHOOSE($D$6,H25,H26,H27)</f>
        <v>40800</v>
      </c>
      <c r="I23" s="424">
        <f t="shared" si="0"/>
        <v>40800</v>
      </c>
      <c r="J23" s="424">
        <f t="shared" si="0"/>
        <v>40800</v>
      </c>
      <c r="K23" s="425">
        <f t="shared" si="0"/>
        <v>40800</v>
      </c>
    </row>
    <row r="24" ht="4.35" customHeight="1" spans="1:13">
      <c r="B24" s="406"/>
      <c r="D24" s="402"/>
      <c r="E24" s="402"/>
      <c r="G24" s="426"/>
      <c r="H24" s="426"/>
      <c r="I24" s="426"/>
      <c r="J24" s="426"/>
      <c r="K24" s="426"/>
    </row>
    <row r="25" spans="1:13">
      <c r="C25" s="417" t="str">
        <f>C14</f>
        <v>Base Case</v>
      </c>
      <c r="D25" s="418"/>
      <c r="E25" s="418"/>
      <c r="G25" s="427">
        <v>42500</v>
      </c>
      <c r="H25" s="428">
        <v>42500</v>
      </c>
      <c r="I25" s="428">
        <v>42500</v>
      </c>
      <c r="J25" s="428">
        <v>42500</v>
      </c>
      <c r="K25" s="429">
        <v>42500</v>
      </c>
      <c r="L25" s="430"/>
      <c r="M25" s="431"/>
    </row>
    <row r="26" spans="1:13">
      <c r="A26" s="432">
        <f>Assumptions!F19</f>
        <v>0.04</v>
      </c>
      <c r="C26" s="417" t="str">
        <f>CONCATENATE(C15,": ",TEXT(A26,"+0.0%;-0.0%"))</f>
        <v>Best Case: +4.0%</v>
      </c>
      <c r="D26" s="418"/>
      <c r="E26" s="418"/>
      <c r="G26" s="433">
        <f>G$25*(1+$A26)</f>
        <v>44200</v>
      </c>
      <c r="H26" s="434">
        <f t="shared" ref="H26:K27" si="1">H$25*(1+$A26)</f>
        <v>44200</v>
      </c>
      <c r="I26" s="434">
        <f t="shared" si="1"/>
        <v>44200</v>
      </c>
      <c r="J26" s="434">
        <f t="shared" si="1"/>
        <v>44200</v>
      </c>
      <c r="K26" s="435">
        <f t="shared" si="1"/>
        <v>44200</v>
      </c>
      <c r="L26" s="430"/>
      <c r="M26" s="431"/>
    </row>
    <row r="27" spans="1:13">
      <c r="A27" s="432">
        <f>Assumptions!F20</f>
        <v>-0.04</v>
      </c>
      <c r="C27" s="417" t="str">
        <f>CONCATENATE(C16,": ",TEXT(A27,"+0.0%;-0.0%"))</f>
        <v>Worst Case: -4.0%</v>
      </c>
      <c r="D27" s="418"/>
      <c r="E27" s="418"/>
      <c r="G27" s="436">
        <f>G$25*(1+$A27)</f>
        <v>40800</v>
      </c>
      <c r="H27" s="437">
        <f t="shared" si="1"/>
        <v>40800</v>
      </c>
      <c r="I27" s="437">
        <f t="shared" si="1"/>
        <v>40800</v>
      </c>
      <c r="J27" s="437">
        <f t="shared" si="1"/>
        <v>40800</v>
      </c>
      <c r="K27" s="438">
        <f t="shared" si="1"/>
        <v>40800</v>
      </c>
      <c r="L27" s="430"/>
      <c r="M27" s="431"/>
    </row>
    <row r="28" spans="1:13">
      <c r="C28" s="417"/>
      <c r="D28" s="418"/>
      <c r="E28" s="418"/>
      <c r="G28" s="323"/>
      <c r="H28" s="323"/>
      <c r="I28" s="323"/>
      <c r="J28" s="323"/>
      <c r="K28" s="439"/>
      <c r="L28" s="430"/>
    </row>
    <row r="29" spans="1:13">
      <c r="C29" s="417"/>
      <c r="D29" s="418"/>
      <c r="E29" s="418"/>
      <c r="G29" s="323"/>
      <c r="H29" s="323"/>
      <c r="I29" s="323"/>
      <c r="J29" s="323"/>
      <c r="K29" s="439"/>
      <c r="L29" s="430"/>
    </row>
    <row r="30" ht="16.15" customHeight="1" spans="1:13">
      <c r="B30" s="401" t="s">
        <v>74</v>
      </c>
      <c r="D30" s="402"/>
      <c r="E30" s="402"/>
      <c r="G30" s="403">
        <f>CHOOSE($D$6,G32,G33,G34)</f>
        <v>0.01</v>
      </c>
      <c r="H30" s="404">
        <f>CHOOSE($D$6,H32,H33,H34)</f>
        <v>0.02</v>
      </c>
      <c r="I30" s="404">
        <f>CHOOSE($D$6,I32,I33,I34)</f>
        <v>0.01</v>
      </c>
      <c r="J30" s="404">
        <f>CHOOSE($D$6,J32,J33,J34)</f>
        <v>0.01</v>
      </c>
      <c r="K30" s="405">
        <f>CHOOSE($D$6,K32,K33,K34)</f>
        <v>0.02</v>
      </c>
    </row>
    <row r="31" ht="4.35" customHeight="1" spans="1:13">
      <c r="B31" s="406"/>
      <c r="D31" s="402"/>
      <c r="E31" s="402"/>
      <c r="G31" s="191"/>
      <c r="H31" s="407"/>
      <c r="I31" s="407"/>
      <c r="J31" s="407"/>
      <c r="K31" s="407"/>
    </row>
    <row r="32" spans="1:13">
      <c r="B32" s="406"/>
      <c r="C32" s="374" t="str">
        <f>C14</f>
        <v>Base Case</v>
      </c>
      <c r="D32" s="402"/>
      <c r="E32" s="402"/>
      <c r="G32" s="408">
        <v>0.02</v>
      </c>
      <c r="H32" s="409">
        <v>0.05</v>
      </c>
      <c r="I32" s="409">
        <v>0.07</v>
      </c>
      <c r="J32" s="409">
        <v>0.07</v>
      </c>
      <c r="K32" s="410">
        <v>0.06</v>
      </c>
    </row>
    <row r="33" spans="2:12">
      <c r="B33" s="406"/>
      <c r="C33" s="374" t="str">
        <f>C15</f>
        <v>Best Case</v>
      </c>
      <c r="D33" s="402"/>
      <c r="E33" s="402"/>
      <c r="G33" s="411">
        <v>0.05</v>
      </c>
      <c r="H33" s="412">
        <v>0.08</v>
      </c>
      <c r="I33" s="412">
        <v>0.1</v>
      </c>
      <c r="J33" s="412">
        <v>0.1</v>
      </c>
      <c r="K33" s="413">
        <v>0.08</v>
      </c>
    </row>
    <row r="34" spans="2:12">
      <c r="B34" s="406"/>
      <c r="C34" s="374" t="str">
        <f>C16</f>
        <v>Worst Case</v>
      </c>
      <c r="D34" s="402"/>
      <c r="E34" s="402"/>
      <c r="G34" s="414">
        <v>0.01</v>
      </c>
      <c r="H34" s="415">
        <v>0.02</v>
      </c>
      <c r="I34" s="415">
        <v>0.01</v>
      </c>
      <c r="J34" s="415">
        <v>0.01</v>
      </c>
      <c r="K34" s="416">
        <v>0.02</v>
      </c>
    </row>
    <row r="35" spans="2:12">
      <c r="C35" s="417"/>
      <c r="D35" s="418"/>
      <c r="E35" s="418"/>
      <c r="G35" s="323"/>
      <c r="H35" s="323"/>
      <c r="I35" s="323"/>
      <c r="J35" s="323"/>
      <c r="K35" s="439"/>
      <c r="L35" s="430"/>
    </row>
    <row r="36" spans="2:12">
      <c r="B36" s="440"/>
      <c r="C36" s="440"/>
      <c r="D36" s="441"/>
      <c r="E36" s="441"/>
      <c r="F36" s="440"/>
      <c r="G36" s="440"/>
      <c r="H36" s="440"/>
      <c r="I36" s="440"/>
      <c r="J36" s="440"/>
      <c r="K36" s="440"/>
    </row>
    <row r="39" spans="2:12">
      <c r="C39" s="389"/>
      <c r="D39" s="402"/>
      <c r="E39" s="402"/>
      <c r="G39" s="442"/>
    </row>
    <row r="40" spans="2:12">
      <c r="D40" s="418"/>
      <c r="E40" s="418"/>
      <c r="H40" s="431"/>
    </row>
    <row r="41" spans="2:12">
      <c r="D41" s="418"/>
      <c r="E41" s="418"/>
    </row>
    <row r="42" spans="2:12">
      <c r="G42" s="442"/>
    </row>
  </sheetData>
  <conditionalFormatting sqref="J348:M352">
    <cfRule type="cellIs" dxfId="0" priority="1" stopIfTrue="1" operator="greaterThan">
      <formula>330</formula>
    </cfRule>
  </conditionalFormatting>
  <printOptions horizontalCentered="1"/>
  <pageMargins left="0.251388888888889" right="0.251388888888889" top="0.35" bottom="0.5" header="0.251388888888889" footer="0.251388888888889"/>
  <pageSetup paperSize="1" scale="95" orientation="landscape" horizontalDpi="600"/>
  <headerFooter alignWithMargins="0">
    <oddFooter>&amp;L&amp;Z
&amp;F&amp;C&amp;9Page &amp;P of &amp;N&amp;R&amp;9&amp;D  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50" name="Drop Down 58" r:id="rId3">
              <controlPr defaultSize="0">
                <anchor moveWithCells="1">
                  <from>
                    <xdr:col>2</xdr:col>
                    <xdr:colOff>1181100</xdr:colOff>
                    <xdr:row>4</xdr:row>
                    <xdr:rowOff>66675</xdr:rowOff>
                  </from>
                  <to>
                    <xdr:col>4</xdr:col>
                    <xdr:colOff>66675</xdr:colOff>
                    <xdr:row>6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pageSetUpPr autoPageBreaks="0"/>
  </sheetPr>
  <dimension ref="A1:II345"/>
  <sheetViews>
    <sheetView showGridLines="0" zoomScale="85" zoomScaleNormal="85" zoomScaleSheetLayoutView="73" topLeftCell="A144" workbookViewId="0">
      <selection activeCell="R99" sqref="R99"/>
    </sheetView>
  </sheetViews>
  <sheetFormatPr defaultColWidth="9.42857142857143" defaultRowHeight="15.2"/>
  <cols>
    <col min="1" max="1" width="3.57142857142857" customWidth="1"/>
    <col min="2" max="2" width="1.85714285714286" customWidth="1"/>
    <col min="3" max="3" width="2.42857142857143" customWidth="1"/>
    <col min="4" max="4" width="11.4285714285714" customWidth="1"/>
    <col min="5" max="5" width="12.5714285714286" customWidth="1"/>
    <col min="6" max="6" width="10.4285714285714" style="90" customWidth="1"/>
    <col min="7" max="7" width="1.85714285714286" customWidth="1"/>
    <col min="8" max="10" width="10.7142857142857" customWidth="1"/>
    <col min="11" max="11" width="12.4285714285714" customWidth="1"/>
    <col min="12" max="12" width="12.0892857142857" customWidth="1"/>
    <col min="13" max="13" width="11.6071428571429" customWidth="1"/>
    <col min="14" max="15" width="10.7142857142857" customWidth="1"/>
  </cols>
  <sheetData>
    <row r="1" ht="12.75" customHeight="1" spans="1:15">
      <c r="A1" s="91"/>
      <c r="B1" s="92"/>
      <c r="C1" s="93"/>
      <c r="D1" s="93"/>
      <c r="E1" s="93"/>
      <c r="F1" s="94"/>
      <c r="G1" s="93"/>
      <c r="H1" s="93"/>
      <c r="I1" s="93"/>
      <c r="J1" s="93"/>
      <c r="K1" s="93"/>
      <c r="L1" s="93"/>
      <c r="M1" s="93"/>
      <c r="N1" s="93"/>
      <c r="O1" s="95" t="str">
        <f>"CURRENTLY RUNNING: "&amp;UPPER(CHOOSE(Scenarios!$D$6,Scenarios!C14,Scenarios!C15,Scenarios!C16))&amp;" SCENARIO"</f>
        <v>CURRENTLY RUNNING: WORST CASE SCENARIO</v>
      </c>
    </row>
    <row r="2" ht="26" spans="1:15">
      <c r="A2" s="96"/>
      <c r="B2" s="97" t="str">
        <f>Scenarios!B1</f>
        <v>Tesla</v>
      </c>
      <c r="C2" s="93"/>
      <c r="D2" s="93"/>
      <c r="E2" s="93"/>
      <c r="F2" s="94"/>
      <c r="G2" s="93"/>
      <c r="H2" s="93"/>
      <c r="I2" s="93"/>
      <c r="J2" s="93"/>
      <c r="K2" s="93"/>
      <c r="L2" s="93"/>
      <c r="M2" s="93"/>
      <c r="N2" s="93"/>
      <c r="O2" s="93"/>
    </row>
    <row r="3" ht="20.4" spans="1:15">
      <c r="A3" s="98"/>
      <c r="B3" s="99" t="s">
        <v>75</v>
      </c>
      <c r="C3" s="100"/>
      <c r="D3" s="100"/>
      <c r="E3" s="100"/>
      <c r="F3" s="101"/>
      <c r="G3" s="100"/>
      <c r="H3" s="100"/>
      <c r="I3" s="100"/>
      <c r="J3" s="100"/>
      <c r="K3" s="100"/>
      <c r="L3" s="100"/>
      <c r="M3" s="100"/>
      <c r="N3" s="100"/>
      <c r="O3" s="100"/>
    </row>
    <row r="4" ht="3" customHeight="1" spans="1:15">
      <c r="A4" s="98"/>
      <c r="B4" s="102"/>
      <c r="C4" s="103"/>
      <c r="D4" s="103"/>
      <c r="E4" s="103"/>
      <c r="F4" s="104"/>
      <c r="G4" s="103"/>
      <c r="H4" s="103"/>
      <c r="I4" s="103"/>
      <c r="J4" s="103"/>
      <c r="K4" s="103"/>
      <c r="L4" s="103"/>
      <c r="M4" s="103"/>
      <c r="N4" s="103"/>
      <c r="O4" s="103"/>
    </row>
    <row r="5" ht="12.75" customHeight="1" spans="1:15">
      <c r="A5" s="99"/>
      <c r="B5" s="100"/>
      <c r="C5" s="100"/>
      <c r="D5" s="100"/>
      <c r="E5" s="100"/>
      <c r="F5" s="101"/>
      <c r="G5" s="100"/>
      <c r="H5" s="100"/>
      <c r="I5" s="100"/>
      <c r="J5" s="100"/>
      <c r="K5" s="100"/>
      <c r="L5" s="100"/>
      <c r="M5" s="100"/>
      <c r="N5" s="100"/>
      <c r="O5" s="100"/>
    </row>
    <row r="6" spans="1:15">
      <c r="G6" s="105"/>
      <c r="K6" s="106" t="s">
        <v>76</v>
      </c>
      <c r="L6" s="107"/>
      <c r="M6" s="107"/>
      <c r="N6" s="107"/>
      <c r="O6" s="107"/>
    </row>
    <row r="7" spans="1:15">
      <c r="G7" s="108"/>
      <c r="H7" s="109">
        <f>I7-1</f>
        <v>2023</v>
      </c>
      <c r="I7" s="109">
        <f>J7-1</f>
        <v>2024</v>
      </c>
      <c r="J7" s="109">
        <f>K7-1</f>
        <v>2025</v>
      </c>
      <c r="K7" s="110">
        <f>Scenarios!G6</f>
        <v>2026</v>
      </c>
      <c r="L7" s="110">
        <f>Scenarios!H6</f>
        <v>2027</v>
      </c>
      <c r="M7" s="110">
        <f>Scenarios!I6</f>
        <v>2028</v>
      </c>
      <c r="N7" s="110">
        <f>Scenarios!J6</f>
        <v>2029</v>
      </c>
      <c r="O7" s="110">
        <f>Scenarios!K6</f>
        <v>2030</v>
      </c>
    </row>
    <row r="8" ht="12.75" customHeight="1" spans="1:15">
      <c r="H8" s="111"/>
      <c r="I8" s="111"/>
      <c r="J8" s="111"/>
    </row>
    <row r="9" spans="1:15">
      <c r="B9" s="551" t="s">
        <v>77</v>
      </c>
      <c r="F9" s="113"/>
      <c r="H9" s="111"/>
      <c r="I9" s="111"/>
      <c r="J9" s="111"/>
      <c r="K9" s="114"/>
    </row>
    <row r="10" spans="1:15">
      <c r="C10" s="552" t="s">
        <v>78</v>
      </c>
      <c r="F10" s="553" t="s">
        <v>79</v>
      </c>
      <c r="H10" s="117"/>
      <c r="I10" s="117"/>
      <c r="J10" s="118">
        <v>40230</v>
      </c>
      <c r="K10" s="119">
        <f>Scenarios!G23</f>
        <v>40800</v>
      </c>
      <c r="L10" s="119">
        <f>Scenarios!H23</f>
        <v>40800</v>
      </c>
      <c r="M10" s="119">
        <f>Scenarios!I23</f>
        <v>40800</v>
      </c>
      <c r="N10" s="119">
        <f>Scenarios!J23</f>
        <v>40800</v>
      </c>
      <c r="O10" s="119">
        <f>Scenarios!K23</f>
        <v>40800</v>
      </c>
    </row>
    <row r="11" spans="1:15">
      <c r="C11" t="s">
        <v>71</v>
      </c>
      <c r="F11" s="113" t="s">
        <v>80</v>
      </c>
      <c r="H11" s="120"/>
      <c r="I11" s="121"/>
      <c r="J11" s="121"/>
      <c r="K11" s="122">
        <f>Scenarios!G12</f>
        <v>0.028</v>
      </c>
      <c r="L11" s="122">
        <f>Scenarios!H12</f>
        <v>0.028</v>
      </c>
      <c r="M11" s="122">
        <f>Scenarios!I12</f>
        <v>0.028</v>
      </c>
      <c r="N11" s="122">
        <f>Scenarios!J12</f>
        <v>0.028</v>
      </c>
      <c r="O11" s="122">
        <f>Scenarios!K12</f>
        <v>0.028</v>
      </c>
    </row>
    <row r="12" spans="1:15">
      <c r="C12" s="115" t="s">
        <v>81</v>
      </c>
      <c r="F12" s="553" t="s">
        <v>79</v>
      </c>
      <c r="H12" s="123"/>
      <c r="I12" s="123"/>
      <c r="J12" s="124">
        <v>0</v>
      </c>
      <c r="K12" s="125">
        <f>J12*(1+K$11)</f>
        <v>0</v>
      </c>
      <c r="L12" s="125">
        <f>K12*(1+L$11)</f>
        <v>0</v>
      </c>
      <c r="M12" s="125">
        <f>L12*(1+M$11)</f>
        <v>0</v>
      </c>
      <c r="N12" s="125">
        <f>M12*(1+N$11)</f>
        <v>0</v>
      </c>
      <c r="O12" s="125">
        <f>N12*(1+O$11)</f>
        <v>0</v>
      </c>
    </row>
    <row r="13" spans="1:15">
      <c r="C13" s="112" t="s">
        <v>82</v>
      </c>
      <c r="F13" s="554" t="s">
        <v>79</v>
      </c>
      <c r="H13" s="127"/>
      <c r="I13" s="127"/>
      <c r="J13" s="128">
        <f t="shared" ref="J13:O13" si="0">J10-J12</f>
        <v>40230</v>
      </c>
      <c r="K13" s="128">
        <f t="shared" si="0"/>
        <v>40800</v>
      </c>
      <c r="L13" s="128">
        <f t="shared" si="0"/>
        <v>40800</v>
      </c>
      <c r="M13" s="128">
        <f t="shared" si="0"/>
        <v>40800</v>
      </c>
      <c r="N13" s="128">
        <f t="shared" si="0"/>
        <v>40800</v>
      </c>
      <c r="O13" s="128">
        <f t="shared" si="0"/>
        <v>40800</v>
      </c>
    </row>
    <row r="14" spans="1:15">
      <c r="B14" s="129"/>
      <c r="C14" s="130"/>
      <c r="D14" s="129"/>
      <c r="E14" s="129"/>
      <c r="F14" s="131"/>
      <c r="G14" s="129"/>
      <c r="H14" s="132"/>
      <c r="I14" s="132"/>
      <c r="J14" s="132"/>
      <c r="K14" s="133"/>
      <c r="L14" s="133"/>
      <c r="M14" s="133"/>
      <c r="N14" s="133"/>
      <c r="O14" s="133"/>
    </row>
    <row r="15" spans="1:15">
      <c r="C15" s="112"/>
      <c r="F15" s="126"/>
      <c r="H15" s="134"/>
      <c r="I15" s="134"/>
      <c r="J15" s="134"/>
      <c r="K15" s="135"/>
      <c r="L15" s="135"/>
      <c r="M15" s="135"/>
      <c r="N15" s="135"/>
      <c r="O15" s="135"/>
    </row>
    <row r="16" spans="1:15">
      <c r="B16" s="112" t="s">
        <v>83</v>
      </c>
      <c r="F16" s="113"/>
    </row>
    <row r="17" spans="1:15">
      <c r="B17" s="112"/>
      <c r="C17" t="s">
        <v>84</v>
      </c>
      <c r="F17" s="113" t="s">
        <v>85</v>
      </c>
      <c r="H17" s="118"/>
      <c r="I17" s="118"/>
      <c r="J17" s="118"/>
      <c r="K17" s="119">
        <f>Assumptions!N17</f>
        <v>2350</v>
      </c>
      <c r="L17" s="136">
        <f>K17</f>
        <v>2350</v>
      </c>
      <c r="M17" s="136">
        <f>L17</f>
        <v>2350</v>
      </c>
      <c r="N17" s="136">
        <f>M17</f>
        <v>2350</v>
      </c>
      <c r="O17" s="136">
        <f>N17</f>
        <v>2350</v>
      </c>
    </row>
    <row r="18" spans="1:15">
      <c r="B18" s="112"/>
      <c r="F18" s="113"/>
    </row>
    <row r="19" spans="1:15">
      <c r="C19" t="s">
        <v>74</v>
      </c>
      <c r="F19" s="113" t="s">
        <v>80</v>
      </c>
      <c r="H19" s="120"/>
      <c r="I19" s="121"/>
      <c r="J19" s="137"/>
      <c r="K19" s="138">
        <f>Scenarios!G30</f>
        <v>0.01</v>
      </c>
      <c r="L19" s="138">
        <f>Scenarios!H30</f>
        <v>0.02</v>
      </c>
      <c r="M19" s="138">
        <f>Scenarios!I30</f>
        <v>0.01</v>
      </c>
      <c r="N19" s="138">
        <f>Scenarios!J30</f>
        <v>0.01</v>
      </c>
      <c r="O19" s="138">
        <f>Scenarios!K30</f>
        <v>0.02</v>
      </c>
    </row>
    <row r="20" spans="1:15">
      <c r="C20" s="110" t="s">
        <v>86</v>
      </c>
      <c r="F20" s="139" t="s">
        <v>85</v>
      </c>
      <c r="H20" s="140"/>
      <c r="I20" s="140"/>
      <c r="J20" s="128">
        <f>+J26*1000/J10</f>
        <v>1636.11732537907</v>
      </c>
      <c r="K20" s="128">
        <f>MIN(K17,J20*(1+K19))</f>
        <v>1652.47849863286</v>
      </c>
      <c r="L20" s="128">
        <f>MIN(L17,K20*(1+L19))</f>
        <v>1685.52806860552</v>
      </c>
      <c r="M20" s="128">
        <f>MIN(M17,L20*(1+M19))</f>
        <v>1702.38334929157</v>
      </c>
      <c r="N20" s="128">
        <f>MIN(N17,M20*(1+N19))</f>
        <v>1719.40718278449</v>
      </c>
      <c r="O20" s="128">
        <f>MIN(O17,N20*(1+O19))</f>
        <v>1753.79532644018</v>
      </c>
    </row>
    <row r="21" ht="6" customHeight="1" spans="1:15">
      <c r="C21" s="110"/>
      <c r="F21" s="139"/>
      <c r="H21" s="135"/>
      <c r="I21" s="135"/>
      <c r="J21" s="135"/>
      <c r="K21" s="135"/>
      <c r="L21" s="135"/>
      <c r="M21" s="135"/>
      <c r="N21" s="135"/>
      <c r="O21" s="135"/>
    </row>
    <row r="22" spans="1:15">
      <c r="C22" t="s">
        <v>87</v>
      </c>
      <c r="F22" s="139"/>
      <c r="H22" s="141"/>
      <c r="I22" s="141"/>
      <c r="J22" s="141"/>
      <c r="K22" s="141">
        <f>K20/K17</f>
        <v>0.703182339843771</v>
      </c>
      <c r="L22" s="141">
        <f>L20/L17</f>
        <v>0.717245986640646</v>
      </c>
      <c r="M22" s="141">
        <f>M20/M17</f>
        <v>0.724418446507052</v>
      </c>
      <c r="N22" s="141">
        <f>N20/N17</f>
        <v>0.731662630972123</v>
      </c>
      <c r="O22" s="141">
        <f>O20/O17</f>
        <v>0.746295883591566</v>
      </c>
    </row>
    <row r="23" ht="12.75" customHeight="1" spans="1:15">
      <c r="B23" s="129"/>
      <c r="C23" s="129"/>
      <c r="D23" s="129"/>
      <c r="E23" s="129"/>
      <c r="F23" s="142"/>
      <c r="G23" s="129"/>
      <c r="H23" s="129"/>
      <c r="I23" s="129"/>
      <c r="J23" s="129"/>
      <c r="K23" s="129"/>
      <c r="L23" s="129"/>
      <c r="M23" s="129"/>
      <c r="N23" s="129"/>
      <c r="O23" s="129"/>
    </row>
    <row r="24" ht="12.75" customHeight="1" spans="1:15">
      <c r="F24" s="113"/>
    </row>
    <row r="25" spans="1:15">
      <c r="B25" s="110" t="s">
        <v>88</v>
      </c>
      <c r="F25" s="113"/>
    </row>
    <row r="26" spans="1:15">
      <c r="A26" s="143"/>
      <c r="C26" s="552" t="s">
        <v>89</v>
      </c>
      <c r="F26" s="113" t="s">
        <v>90</v>
      </c>
      <c r="H26" s="144"/>
      <c r="I26" s="144"/>
      <c r="J26" s="145">
        <f>+J84</f>
        <v>65821</v>
      </c>
      <c r="K26" s="145">
        <f>K$20*K10/1000</f>
        <v>67421.1227442207</v>
      </c>
      <c r="L26" s="145">
        <f>L$20*L10/1000</f>
        <v>68769.5451991051</v>
      </c>
      <c r="M26" s="145">
        <f>M$20*M10/1000</f>
        <v>69457.2406510962</v>
      </c>
      <c r="N26" s="145">
        <f>N$20*N10/1000</f>
        <v>70151.8130576072</v>
      </c>
      <c r="O26" s="145">
        <f>O$20*O10/1000</f>
        <v>71554.8493187593</v>
      </c>
    </row>
    <row r="27" spans="1:15">
      <c r="C27" s="115" t="s">
        <v>81</v>
      </c>
      <c r="F27" s="113" t="s">
        <v>90</v>
      </c>
      <c r="H27" s="144"/>
      <c r="I27" s="144"/>
      <c r="J27" s="145">
        <f>+J85</f>
        <v>0</v>
      </c>
      <c r="K27" s="145">
        <f>K$20*K12/1000</f>
        <v>0</v>
      </c>
      <c r="L27" s="145">
        <f>L$20*L12/1000</f>
        <v>0</v>
      </c>
      <c r="M27" s="145">
        <f>M$20*M12/1000</f>
        <v>0</v>
      </c>
      <c r="N27" s="145">
        <f>N$20*N12/1000</f>
        <v>0</v>
      </c>
      <c r="O27" s="145">
        <f>O$20*O12/1000</f>
        <v>0</v>
      </c>
    </row>
    <row r="28" spans="1:15">
      <c r="C28" s="110" t="s">
        <v>91</v>
      </c>
      <c r="F28" s="139" t="s">
        <v>90</v>
      </c>
      <c r="H28" s="146"/>
      <c r="I28" s="146"/>
      <c r="J28" s="128">
        <f>J86</f>
        <v>29006</v>
      </c>
      <c r="K28" s="147">
        <f>J28*(1+5%)</f>
        <v>30456.3</v>
      </c>
      <c r="L28" s="147">
        <f>K28*(1+5%)</f>
        <v>31979.115</v>
      </c>
      <c r="M28" s="147">
        <f>L28*(1+5%)</f>
        <v>33578.07075</v>
      </c>
      <c r="N28" s="147">
        <f>M28*(1+5%)</f>
        <v>35256.9742875</v>
      </c>
      <c r="O28" s="147">
        <f>N28*(1+5%)</f>
        <v>37019.823001875</v>
      </c>
    </row>
    <row r="29" spans="1:15">
      <c r="C29" s="110" t="s">
        <v>92</v>
      </c>
      <c r="F29" s="139" t="s">
        <v>90</v>
      </c>
      <c r="H29" s="146"/>
      <c r="I29" s="146"/>
      <c r="J29" s="148">
        <f t="shared" ref="J29:O29" si="1">J26-J27+J28</f>
        <v>94827</v>
      </c>
      <c r="K29" s="148">
        <f t="shared" si="1"/>
        <v>97877.4227442207</v>
      </c>
      <c r="L29" s="148">
        <f t="shared" si="1"/>
        <v>100748.660199105</v>
      </c>
      <c r="M29" s="148">
        <f t="shared" si="1"/>
        <v>103035.311401096</v>
      </c>
      <c r="N29" s="148">
        <f t="shared" si="1"/>
        <v>105408.787345107</v>
      </c>
      <c r="O29" s="148">
        <f t="shared" si="1"/>
        <v>108574.672320634</v>
      </c>
    </row>
    <row r="30" ht="12.75" customHeight="1" spans="1:15">
      <c r="B30" s="149"/>
      <c r="C30" s="149"/>
      <c r="D30" s="149"/>
      <c r="E30" s="149"/>
      <c r="F30" s="150"/>
      <c r="G30" s="149"/>
      <c r="H30" s="149"/>
      <c r="I30" s="149"/>
      <c r="J30" s="149"/>
      <c r="K30" s="149"/>
      <c r="L30" s="149"/>
      <c r="M30" s="149"/>
      <c r="N30" s="149"/>
      <c r="O30" s="149"/>
    </row>
    <row r="31" ht="12.75" customHeight="1"/>
    <row r="32" ht="12.75" customHeight="1" spans="1:15">
      <c r="A32" s="96"/>
      <c r="B32" s="97"/>
      <c r="C32" s="93"/>
      <c r="D32" s="93"/>
      <c r="E32" s="93"/>
      <c r="F32" s="94"/>
      <c r="G32" s="93"/>
      <c r="H32" s="93"/>
      <c r="I32" s="93"/>
      <c r="J32" s="93"/>
      <c r="K32" s="93"/>
      <c r="L32" s="93"/>
      <c r="M32" s="93"/>
      <c r="N32" s="93"/>
      <c r="O32" s="151" t="str">
        <f>$O$1</f>
        <v>CURRENTLY RUNNING: WORST CASE SCENARIO</v>
      </c>
    </row>
    <row r="33" ht="26" spans="1:15">
      <c r="A33" s="96"/>
      <c r="B33" s="97" t="str">
        <f>B$2</f>
        <v>Tesla</v>
      </c>
      <c r="C33" s="93"/>
      <c r="D33" s="93"/>
      <c r="E33" s="93"/>
      <c r="F33" s="94"/>
      <c r="G33" s="93"/>
      <c r="H33" s="93"/>
      <c r="I33" s="93"/>
      <c r="J33" s="93"/>
      <c r="K33" s="93"/>
      <c r="L33" s="93"/>
      <c r="M33" s="93"/>
      <c r="N33" s="93"/>
      <c r="O33" s="93"/>
    </row>
    <row r="34" ht="20.4" spans="1:15">
      <c r="A34" s="98"/>
      <c r="B34" s="99" t="s">
        <v>93</v>
      </c>
      <c r="C34" s="100"/>
      <c r="D34" s="100"/>
      <c r="E34" s="100"/>
      <c r="F34" s="101"/>
      <c r="G34" s="100"/>
      <c r="H34" s="100"/>
      <c r="I34" s="100"/>
      <c r="J34" s="100"/>
      <c r="K34" s="100"/>
      <c r="L34" s="100"/>
      <c r="M34" s="100"/>
      <c r="N34" s="100"/>
      <c r="O34" s="100"/>
    </row>
    <row r="35" ht="3" customHeight="1" spans="1:15">
      <c r="A35" s="98"/>
      <c r="B35" s="102"/>
      <c r="C35" s="103"/>
      <c r="D35" s="103"/>
      <c r="E35" s="103"/>
      <c r="F35" s="104"/>
      <c r="G35" s="103"/>
      <c r="H35" s="103"/>
      <c r="I35" s="103"/>
      <c r="J35" s="103"/>
      <c r="K35" s="103"/>
      <c r="L35" s="103"/>
      <c r="M35" s="103"/>
      <c r="N35" s="103"/>
      <c r="O35" s="103"/>
    </row>
    <row r="36" ht="12.75" customHeight="1" spans="1:15">
      <c r="A36" s="99"/>
      <c r="B36" s="100"/>
      <c r="C36" s="100"/>
      <c r="D36" s="100"/>
      <c r="E36" s="100"/>
      <c r="F36" s="101"/>
      <c r="G36" s="100"/>
      <c r="H36" s="100"/>
      <c r="I36" s="100"/>
      <c r="J36" s="100"/>
      <c r="K36" s="100"/>
      <c r="L36" s="100"/>
      <c r="M36" s="100"/>
      <c r="N36" s="100"/>
      <c r="O36" s="100"/>
    </row>
    <row r="37" spans="1:15">
      <c r="G37" s="105"/>
      <c r="K37" s="106" t="s">
        <v>76</v>
      </c>
      <c r="L37" s="107"/>
      <c r="M37" s="107"/>
      <c r="N37" s="107"/>
      <c r="O37" s="107"/>
    </row>
    <row r="38" spans="1:15">
      <c r="G38" s="108"/>
      <c r="H38" s="109">
        <f t="shared" ref="H38:O38" si="2">H$7</f>
        <v>2023</v>
      </c>
      <c r="I38" s="109">
        <f t="shared" si="2"/>
        <v>2024</v>
      </c>
      <c r="J38" s="109">
        <f t="shared" si="2"/>
        <v>2025</v>
      </c>
      <c r="K38" s="152">
        <f t="shared" si="2"/>
        <v>2026</v>
      </c>
      <c r="L38" s="152">
        <f t="shared" si="2"/>
        <v>2027</v>
      </c>
      <c r="M38" s="152">
        <f t="shared" si="2"/>
        <v>2028</v>
      </c>
      <c r="N38" s="152">
        <f t="shared" si="2"/>
        <v>2029</v>
      </c>
      <c r="O38" s="152">
        <f t="shared" si="2"/>
        <v>2030</v>
      </c>
    </row>
    <row r="39" ht="12.95" customHeight="1" spans="1:15">
      <c r="G39" s="108"/>
      <c r="H39" s="108"/>
      <c r="I39" s="108"/>
      <c r="J39" s="108"/>
      <c r="K39" s="108"/>
      <c r="L39" s="108"/>
      <c r="M39" s="108"/>
      <c r="N39" s="108"/>
      <c r="O39" s="108"/>
    </row>
    <row r="40" ht="12.95" customHeight="1" spans="1:15">
      <c r="B40" s="153" t="s">
        <v>86</v>
      </c>
      <c r="C40" s="154"/>
      <c r="D40" s="154"/>
      <c r="E40" s="154"/>
      <c r="F40" s="155" t="s">
        <v>85</v>
      </c>
      <c r="G40" s="156"/>
      <c r="H40" s="157"/>
      <c r="I40" s="157"/>
      <c r="J40" s="157">
        <f t="shared" ref="J40:O40" si="3">J20</f>
        <v>1636.11732537907</v>
      </c>
      <c r="K40" s="157">
        <f t="shared" si="3"/>
        <v>1652.47849863286</v>
      </c>
      <c r="L40" s="157">
        <f t="shared" si="3"/>
        <v>1685.52806860552</v>
      </c>
      <c r="M40" s="157">
        <f t="shared" si="3"/>
        <v>1702.38334929157</v>
      </c>
      <c r="N40" s="157">
        <f t="shared" si="3"/>
        <v>1719.40718278449</v>
      </c>
      <c r="O40" s="158">
        <f t="shared" si="3"/>
        <v>1753.79532644018</v>
      </c>
    </row>
    <row r="41" spans="1:15">
      <c r="B41" s="159" t="s">
        <v>71</v>
      </c>
      <c r="C41" s="129"/>
      <c r="D41" s="129"/>
      <c r="E41" s="129"/>
      <c r="F41" s="142" t="s">
        <v>80</v>
      </c>
      <c r="G41" s="160"/>
      <c r="H41" s="161"/>
      <c r="I41" s="161"/>
      <c r="J41" s="161"/>
      <c r="K41" s="161"/>
      <c r="L41" s="162">
        <f>L11</f>
        <v>0.028</v>
      </c>
      <c r="M41" s="162">
        <f>M11</f>
        <v>0.028</v>
      </c>
      <c r="N41" s="162">
        <f>N11</f>
        <v>0.028</v>
      </c>
      <c r="O41" s="163">
        <f>O11</f>
        <v>0.028</v>
      </c>
    </row>
    <row r="42" ht="12.95" customHeight="1" spans="1:15">
      <c r="B42" s="164"/>
      <c r="G42" s="108"/>
      <c r="H42" s="108"/>
      <c r="I42" s="108"/>
      <c r="J42" s="108"/>
      <c r="K42" s="108"/>
      <c r="L42" s="108"/>
      <c r="M42" s="108"/>
      <c r="N42" s="108"/>
      <c r="O42" s="108"/>
    </row>
    <row r="43" ht="12.75" customHeight="1" spans="1:15">
      <c r="B43" s="165" t="s">
        <v>94</v>
      </c>
      <c r="G43" s="108"/>
      <c r="H43" s="108"/>
      <c r="I43" s="108"/>
      <c r="J43" s="108"/>
      <c r="K43" s="108"/>
      <c r="M43" s="108"/>
      <c r="N43" s="108"/>
      <c r="O43" s="108"/>
    </row>
    <row r="44" spans="1:15">
      <c r="A44" s="143"/>
      <c r="C44" s="110" t="s">
        <v>95</v>
      </c>
    </row>
    <row r="45" spans="1:15">
      <c r="D45" s="115" t="str">
        <f>Assumptions!C27</f>
        <v>Raw Materials</v>
      </c>
      <c r="F45" s="90" t="s">
        <v>79</v>
      </c>
      <c r="H45" s="166"/>
      <c r="I45" s="166"/>
      <c r="J45" s="166"/>
      <c r="K45" s="167">
        <f>Assumptions!E27</f>
        <v>29000</v>
      </c>
      <c r="L45" s="168">
        <f t="shared" ref="L45:O46" si="4">K45*(1+L$41)</f>
        <v>29812</v>
      </c>
      <c r="M45" s="168">
        <f t="shared" si="4"/>
        <v>30646.736</v>
      </c>
      <c r="N45" s="168">
        <f t="shared" si="4"/>
        <v>31504.844608</v>
      </c>
      <c r="O45" s="168">
        <f t="shared" si="4"/>
        <v>32386.980257024</v>
      </c>
    </row>
    <row r="46" spans="1:15">
      <c r="D46" s="115" t="str">
        <f>Assumptions!C28</f>
        <v>Utilities</v>
      </c>
      <c r="F46" s="90" t="s">
        <v>79</v>
      </c>
      <c r="H46" s="166"/>
      <c r="I46" s="166"/>
      <c r="J46" s="166"/>
      <c r="K46" s="169">
        <f>Assumptions!E28</f>
        <v>1500</v>
      </c>
      <c r="L46" s="170">
        <f t="shared" si="4"/>
        <v>1542</v>
      </c>
      <c r="M46" s="170">
        <f t="shared" si="4"/>
        <v>1585.176</v>
      </c>
      <c r="N46" s="170">
        <f t="shared" si="4"/>
        <v>1629.560928</v>
      </c>
      <c r="O46" s="170">
        <f t="shared" si="4"/>
        <v>1675.188633984</v>
      </c>
    </row>
    <row r="47" spans="1:15">
      <c r="D47" s="110" t="s">
        <v>96</v>
      </c>
      <c r="F47" s="171" t="s">
        <v>79</v>
      </c>
      <c r="H47" s="172"/>
      <c r="I47" s="172"/>
      <c r="J47" s="172"/>
      <c r="K47" s="172">
        <f>K46+K45</f>
        <v>30500</v>
      </c>
      <c r="L47" s="172">
        <f>L46+L45</f>
        <v>31354</v>
      </c>
      <c r="M47" s="172">
        <f>M46+M45</f>
        <v>32231.912</v>
      </c>
      <c r="N47" s="172">
        <f>N46+N45</f>
        <v>33134.405536</v>
      </c>
      <c r="O47" s="172">
        <f>O46+O45</f>
        <v>34062.168891008</v>
      </c>
    </row>
    <row r="48" ht="6" customHeight="1" spans="1:15">
      <c r="D48" s="115"/>
      <c r="H48" s="173"/>
      <c r="I48" s="173"/>
      <c r="J48" s="173"/>
      <c r="K48" s="173"/>
      <c r="L48" s="173"/>
      <c r="M48" s="173"/>
      <c r="N48" s="173"/>
      <c r="O48" s="173"/>
    </row>
    <row r="49" ht="12.75" customHeight="1" spans="2:16">
      <c r="C49" s="112" t="s">
        <v>97</v>
      </c>
      <c r="D49" s="115"/>
      <c r="H49" s="174"/>
      <c r="I49" s="174"/>
      <c r="J49" s="174"/>
      <c r="K49" s="174"/>
      <c r="L49" s="175"/>
      <c r="M49" s="175"/>
      <c r="N49" s="175"/>
      <c r="O49" s="175"/>
    </row>
    <row r="50" ht="12.75" customHeight="1" spans="2:16">
      <c r="D50" s="115" t="str">
        <f>Assumptions!C29</f>
        <v>Rent</v>
      </c>
      <c r="F50" s="90" t="s">
        <v>79</v>
      </c>
      <c r="H50" s="168"/>
      <c r="I50" s="168"/>
      <c r="J50" s="168"/>
      <c r="K50" s="168">
        <f t="shared" ref="K50:O52" si="5">K65*1000/K$40</f>
        <v>907.727393270769</v>
      </c>
      <c r="L50" s="168">
        <f t="shared" si="5"/>
        <v>914.846823806226</v>
      </c>
      <c r="M50" s="168">
        <f t="shared" si="5"/>
        <v>931.151024626535</v>
      </c>
      <c r="N50" s="168">
        <f t="shared" si="5"/>
        <v>947.745795362453</v>
      </c>
      <c r="O50" s="168">
        <f t="shared" si="5"/>
        <v>955.179095718237</v>
      </c>
    </row>
    <row r="51" spans="2:16">
      <c r="D51" s="115" t="str">
        <f>Assumptions!C30</f>
        <v>Operating Labour</v>
      </c>
      <c r="F51" s="90" t="s">
        <v>79</v>
      </c>
      <c r="H51" s="168"/>
      <c r="I51" s="168"/>
      <c r="J51" s="168"/>
      <c r="K51" s="168">
        <f t="shared" si="5"/>
        <v>2723.18217981231</v>
      </c>
      <c r="L51" s="168">
        <f t="shared" si="5"/>
        <v>2744.54047141868</v>
      </c>
      <c r="M51" s="168">
        <f t="shared" si="5"/>
        <v>2793.4530738796</v>
      </c>
      <c r="N51" s="168">
        <f t="shared" si="5"/>
        <v>2843.23738608736</v>
      </c>
      <c r="O51" s="168">
        <f t="shared" si="5"/>
        <v>2865.53728715471</v>
      </c>
    </row>
    <row r="52" ht="12.75" customHeight="1" spans="2:16">
      <c r="D52" t="s">
        <v>39</v>
      </c>
      <c r="F52" s="90" t="s">
        <v>79</v>
      </c>
      <c r="H52" s="168"/>
      <c r="I52" s="168"/>
      <c r="J52" s="168"/>
      <c r="K52" s="170">
        <f t="shared" si="5"/>
        <v>302.575797756923</v>
      </c>
      <c r="L52" s="170">
        <f t="shared" si="5"/>
        <v>304.948941268742</v>
      </c>
      <c r="M52" s="170">
        <f t="shared" si="5"/>
        <v>310.383674875511</v>
      </c>
      <c r="N52" s="170">
        <f t="shared" si="5"/>
        <v>315.915265120818</v>
      </c>
      <c r="O52" s="170">
        <f t="shared" si="5"/>
        <v>318.393031906079</v>
      </c>
    </row>
    <row r="53" spans="2:16">
      <c r="D53" s="551" t="s">
        <v>98</v>
      </c>
      <c r="F53" s="171" t="s">
        <v>79</v>
      </c>
      <c r="H53" s="172"/>
      <c r="I53" s="172"/>
      <c r="J53" s="172"/>
      <c r="K53" s="172">
        <f>SUM(K50:K52)</f>
        <v>3933.48537084</v>
      </c>
      <c r="L53" s="172">
        <f>SUM(L50:L52)</f>
        <v>3964.33623649364</v>
      </c>
      <c r="M53" s="172">
        <f>SUM(M50:M52)</f>
        <v>4034.98777338165</v>
      </c>
      <c r="N53" s="172">
        <f>SUM(N50:N52)</f>
        <v>4106.89844657063</v>
      </c>
      <c r="O53" s="172">
        <f>SUM(O50:O52)</f>
        <v>4139.10941477903</v>
      </c>
      <c r="P53" s="176"/>
    </row>
    <row r="54" ht="6" customHeight="1" spans="2:16">
      <c r="C54" s="110"/>
      <c r="F54" s="171"/>
      <c r="H54" s="177"/>
      <c r="I54" s="177"/>
      <c r="J54" s="177"/>
      <c r="K54" s="177"/>
      <c r="L54" s="177"/>
      <c r="M54" s="177"/>
      <c r="N54" s="177"/>
      <c r="O54" s="177"/>
      <c r="P54" s="176"/>
    </row>
    <row r="55" ht="15.95" spans="2:16">
      <c r="C55" s="551" t="s">
        <v>99</v>
      </c>
      <c r="F55" s="171" t="s">
        <v>79</v>
      </c>
      <c r="H55" s="178"/>
      <c r="I55" s="178"/>
      <c r="J55" s="178"/>
      <c r="K55" s="179">
        <f>K53+K47</f>
        <v>34433.48537084</v>
      </c>
      <c r="L55" s="179">
        <f>L53+L47</f>
        <v>35318.3362364936</v>
      </c>
      <c r="M55" s="179">
        <f>M53+M47</f>
        <v>36266.8997733817</v>
      </c>
      <c r="N55" s="179">
        <f>N53+N47</f>
        <v>37241.3039825706</v>
      </c>
      <c r="O55" s="179">
        <f>O53+O47</f>
        <v>38201.278305787</v>
      </c>
    </row>
    <row r="56" ht="12.95" customHeight="1" spans="2:16">
      <c r="B56" s="130"/>
      <c r="C56" s="180"/>
      <c r="D56" s="129"/>
      <c r="E56" s="129"/>
      <c r="F56" s="181"/>
      <c r="G56" s="182"/>
      <c r="H56" s="182"/>
      <c r="I56" s="182"/>
      <c r="J56" s="182"/>
      <c r="K56" s="182"/>
      <c r="L56" s="182"/>
      <c r="M56" s="182"/>
      <c r="N56" s="182"/>
      <c r="O56" s="182"/>
    </row>
    <row r="57" ht="12.95" customHeight="1" spans="2:16">
      <c r="B57" s="112"/>
      <c r="C57" s="110"/>
      <c r="F57" s="171"/>
      <c r="H57" s="177"/>
      <c r="I57" s="177"/>
      <c r="J57" s="177"/>
      <c r="K57" s="177"/>
      <c r="L57" s="177"/>
      <c r="M57" s="177"/>
      <c r="N57" s="177"/>
      <c r="O57" s="177"/>
    </row>
    <row r="58" spans="2:16">
      <c r="B58" s="165" t="s">
        <v>100</v>
      </c>
      <c r="C58" s="110"/>
      <c r="F58" s="171"/>
      <c r="H58" s="177"/>
      <c r="I58" s="177"/>
      <c r="J58" s="177"/>
      <c r="K58" s="177"/>
      <c r="L58" s="177"/>
      <c r="M58" s="177"/>
      <c r="N58" s="177"/>
      <c r="O58" s="177"/>
    </row>
    <row r="59" spans="2:16">
      <c r="C59" s="110" t="s">
        <v>95</v>
      </c>
      <c r="F59" s="171"/>
      <c r="H59" s="177"/>
      <c r="I59" s="177"/>
      <c r="J59" s="177"/>
      <c r="K59" s="177"/>
      <c r="L59" s="177"/>
      <c r="M59" s="177"/>
      <c r="N59" s="177"/>
      <c r="O59" s="177"/>
    </row>
    <row r="60" spans="2:16">
      <c r="D60" s="115" t="str">
        <f>D45</f>
        <v>Raw Materials</v>
      </c>
      <c r="F60" s="90" t="s">
        <v>90</v>
      </c>
      <c r="H60" s="168"/>
      <c r="I60" s="168"/>
      <c r="J60" s="168"/>
      <c r="K60" s="168">
        <f t="shared" ref="K60:O61" si="6">K45*K$40/1000</f>
        <v>47921.876460353</v>
      </c>
      <c r="L60" s="168">
        <f t="shared" si="6"/>
        <v>50248.9627812677</v>
      </c>
      <c r="M60" s="168">
        <f t="shared" si="6"/>
        <v>52172.4930765346</v>
      </c>
      <c r="N60" s="168">
        <f t="shared" si="6"/>
        <v>54169.6561115044</v>
      </c>
      <c r="O60" s="168">
        <f t="shared" si="6"/>
        <v>56800.134612279</v>
      </c>
    </row>
    <row r="61" spans="2:16">
      <c r="D61" s="115" t="str">
        <f>D46</f>
        <v>Utilities</v>
      </c>
      <c r="F61" s="90" t="s">
        <v>90</v>
      </c>
      <c r="H61" s="168"/>
      <c r="I61" s="168"/>
      <c r="J61" s="168"/>
      <c r="K61" s="170">
        <f t="shared" si="6"/>
        <v>2478.71774794929</v>
      </c>
      <c r="L61" s="170">
        <f t="shared" si="6"/>
        <v>2599.08428178971</v>
      </c>
      <c r="M61" s="170">
        <f t="shared" si="6"/>
        <v>2698.57722809662</v>
      </c>
      <c r="N61" s="170">
        <f t="shared" si="6"/>
        <v>2801.87876438816</v>
      </c>
      <c r="O61" s="170">
        <f t="shared" si="6"/>
        <v>2937.93799718685</v>
      </c>
    </row>
    <row r="62" ht="12.75" customHeight="1" spans="2:16">
      <c r="D62" s="110" t="s">
        <v>96</v>
      </c>
      <c r="F62" s="171" t="s">
        <v>90</v>
      </c>
      <c r="H62" s="172"/>
      <c r="I62" s="172"/>
      <c r="J62" s="172"/>
      <c r="K62" s="172">
        <f>SUM(K60:K61)</f>
        <v>50400.5942083022</v>
      </c>
      <c r="L62" s="172">
        <f>SUM(L60:L61)</f>
        <v>52848.0470630574</v>
      </c>
      <c r="M62" s="172">
        <f>SUM(M60:M61)</f>
        <v>54871.0703046313</v>
      </c>
      <c r="N62" s="172">
        <f>SUM(N60:N61)</f>
        <v>56971.5348758925</v>
      </c>
      <c r="O62" s="172">
        <f>SUM(O60:O61)</f>
        <v>59738.0726094659</v>
      </c>
    </row>
    <row r="63" ht="6" customHeight="1" spans="2:16">
      <c r="D63" s="115"/>
      <c r="F63" s="171"/>
      <c r="H63" s="177"/>
      <c r="I63" s="177"/>
      <c r="J63" s="177"/>
      <c r="K63" s="177"/>
      <c r="L63" s="177"/>
      <c r="M63" s="177"/>
      <c r="N63" s="177"/>
      <c r="O63" s="177"/>
    </row>
    <row r="64" ht="12.75" customHeight="1" spans="2:16">
      <c r="C64" s="112" t="s">
        <v>97</v>
      </c>
      <c r="D64" s="115"/>
      <c r="F64" s="171"/>
      <c r="H64" s="177"/>
      <c r="I64" s="177"/>
      <c r="J64" s="177"/>
      <c r="K64" s="177"/>
      <c r="L64" s="177"/>
      <c r="M64" s="177"/>
      <c r="N64" s="177"/>
      <c r="O64" s="177"/>
    </row>
    <row r="65" ht="12.75" customHeight="1" spans="1:15">
      <c r="A65" s="183"/>
      <c r="D65" s="115" t="str">
        <f>D50</f>
        <v>Rent</v>
      </c>
      <c r="F65" s="90" t="s">
        <v>90</v>
      </c>
      <c r="H65" s="166"/>
      <c r="I65" s="166"/>
      <c r="J65" s="166"/>
      <c r="K65" s="167">
        <f>Assumptions!E29</f>
        <v>1500</v>
      </c>
      <c r="L65" s="168">
        <f t="shared" ref="L65:O67" si="7">K65*(1+L$41)</f>
        <v>1542</v>
      </c>
      <c r="M65" s="168">
        <f t="shared" si="7"/>
        <v>1585.176</v>
      </c>
      <c r="N65" s="168">
        <f t="shared" si="7"/>
        <v>1629.560928</v>
      </c>
      <c r="O65" s="168">
        <f t="shared" si="7"/>
        <v>1675.188633984</v>
      </c>
    </row>
    <row r="66" ht="12.75" customHeight="1" spans="1:15">
      <c r="D66" s="115" t="str">
        <f>D51</f>
        <v>Operating Labour</v>
      </c>
      <c r="F66" s="90" t="s">
        <v>90</v>
      </c>
      <c r="H66" s="166"/>
      <c r="I66" s="166"/>
      <c r="J66" s="166"/>
      <c r="K66" s="167">
        <f>Assumptions!E30</f>
        <v>4500</v>
      </c>
      <c r="L66" s="168">
        <f t="shared" si="7"/>
        <v>4626</v>
      </c>
      <c r="M66" s="168">
        <f t="shared" si="7"/>
        <v>4755.528</v>
      </c>
      <c r="N66" s="168">
        <f t="shared" si="7"/>
        <v>4888.682784</v>
      </c>
      <c r="O66" s="168">
        <f t="shared" si="7"/>
        <v>5025.565901952</v>
      </c>
    </row>
    <row r="67" ht="12.95" customHeight="1" spans="1:15">
      <c r="D67" t="str">
        <f>D52</f>
        <v>Other</v>
      </c>
      <c r="F67" s="90" t="s">
        <v>90</v>
      </c>
      <c r="H67" s="166"/>
      <c r="I67" s="166"/>
      <c r="J67" s="166"/>
      <c r="K67" s="169">
        <f>Assumptions!E31</f>
        <v>500</v>
      </c>
      <c r="L67" s="170">
        <f t="shared" si="7"/>
        <v>514</v>
      </c>
      <c r="M67" s="170">
        <f t="shared" si="7"/>
        <v>528.392</v>
      </c>
      <c r="N67" s="170">
        <f t="shared" si="7"/>
        <v>543.186976</v>
      </c>
      <c r="O67" s="170">
        <f t="shared" si="7"/>
        <v>558.396211328</v>
      </c>
    </row>
    <row r="68" ht="12.95" customHeight="1" spans="1:15">
      <c r="D68" s="551" t="s">
        <v>98</v>
      </c>
      <c r="F68" s="171" t="s">
        <v>90</v>
      </c>
      <c r="H68" s="172"/>
      <c r="I68" s="172"/>
      <c r="J68" s="172"/>
      <c r="K68" s="172">
        <f>SUM(K65:K67)</f>
        <v>6500</v>
      </c>
      <c r="L68" s="172">
        <f>SUM(L65:L67)</f>
        <v>6682</v>
      </c>
      <c r="M68" s="172">
        <f>SUM(M65:M67)</f>
        <v>6869.096</v>
      </c>
      <c r="N68" s="172">
        <f>SUM(N65:N67)</f>
        <v>7061.430688</v>
      </c>
      <c r="O68" s="172">
        <f>SUM(O65:O67)</f>
        <v>7259.150747264</v>
      </c>
    </row>
    <row r="69" ht="6" customHeight="1" spans="1:15">
      <c r="C69" s="110"/>
      <c r="H69" s="173"/>
      <c r="I69" s="173"/>
      <c r="J69" s="173"/>
      <c r="K69" s="173"/>
      <c r="L69" s="173"/>
      <c r="M69" s="173"/>
      <c r="N69" s="173"/>
      <c r="O69" s="173"/>
    </row>
    <row r="70" ht="15.95" spans="1:15">
      <c r="C70" s="551" t="s">
        <v>99</v>
      </c>
      <c r="F70" s="171" t="s">
        <v>90</v>
      </c>
      <c r="H70" s="178"/>
      <c r="I70" s="178"/>
      <c r="J70" s="178"/>
      <c r="K70" s="179">
        <f>K68+K62</f>
        <v>56900.5942083022</v>
      </c>
      <c r="L70" s="179">
        <f>L68+L62</f>
        <v>59530.0470630574</v>
      </c>
      <c r="M70" s="179">
        <f>M68+M62</f>
        <v>61740.1663046313</v>
      </c>
      <c r="N70" s="179">
        <f>N68+N62</f>
        <v>64032.9655638925</v>
      </c>
      <c r="O70" s="179">
        <f>O68+O62</f>
        <v>66997.2233567299</v>
      </c>
    </row>
    <row r="71" ht="12.75" customHeight="1" spans="1:15">
      <c r="B71" s="184"/>
      <c r="C71" s="185"/>
      <c r="D71" s="149"/>
      <c r="E71" s="149"/>
      <c r="F71" s="186"/>
      <c r="G71" s="187"/>
      <c r="H71" s="187"/>
      <c r="I71" s="187"/>
      <c r="J71" s="187"/>
      <c r="K71" s="187"/>
      <c r="L71" s="187"/>
      <c r="M71" s="187"/>
      <c r="N71" s="187"/>
      <c r="O71" s="187"/>
    </row>
    <row r="72" spans="1:15">
      <c r="H72" s="188"/>
      <c r="I72" s="188"/>
      <c r="J72" s="188"/>
      <c r="K72" s="188"/>
      <c r="L72" s="188"/>
      <c r="M72" s="188"/>
      <c r="N72" s="188"/>
      <c r="O72" s="188"/>
    </row>
    <row r="73" ht="12.75" customHeight="1" spans="1:15">
      <c r="A73" s="96"/>
      <c r="B73" s="97"/>
      <c r="C73" s="93"/>
      <c r="D73" s="93"/>
      <c r="E73" s="93"/>
      <c r="F73" s="94"/>
      <c r="G73" s="93"/>
      <c r="H73" s="93"/>
      <c r="I73" s="93"/>
      <c r="J73" s="93"/>
      <c r="K73" s="93"/>
      <c r="L73" s="93"/>
      <c r="M73" s="93"/>
      <c r="N73" s="93"/>
      <c r="O73" s="151" t="str">
        <f>$O$1</f>
        <v>CURRENTLY RUNNING: WORST CASE SCENARIO</v>
      </c>
    </row>
    <row r="74" ht="26" spans="1:15">
      <c r="A74" s="96"/>
      <c r="B74" s="97" t="str">
        <f>B$2</f>
        <v>Tesla</v>
      </c>
      <c r="C74" s="93"/>
      <c r="D74" s="93"/>
      <c r="E74" s="93"/>
      <c r="F74" s="94"/>
      <c r="G74" s="93"/>
      <c r="H74" s="93"/>
      <c r="I74" s="93"/>
      <c r="J74" s="93"/>
      <c r="K74" s="93"/>
      <c r="L74" s="93"/>
      <c r="M74" s="93"/>
      <c r="N74" s="93"/>
      <c r="O74" s="93"/>
    </row>
    <row r="75" ht="20.4" spans="1:15">
      <c r="A75" s="98"/>
      <c r="B75" s="99" t="s">
        <v>50</v>
      </c>
      <c r="C75" s="100"/>
      <c r="D75" s="100"/>
      <c r="E75" s="100"/>
      <c r="F75" s="101"/>
      <c r="G75" s="100"/>
      <c r="H75" s="100"/>
      <c r="I75" s="100"/>
      <c r="J75" s="100"/>
      <c r="K75" s="100"/>
      <c r="L75" s="100"/>
      <c r="M75" s="100"/>
      <c r="N75" s="100"/>
      <c r="O75" s="100"/>
    </row>
    <row r="76" ht="3" customHeight="1" spans="1:15">
      <c r="A76" s="98"/>
      <c r="B76" s="102"/>
      <c r="C76" s="103"/>
      <c r="D76" s="103"/>
      <c r="E76" s="103"/>
      <c r="F76" s="104"/>
      <c r="G76" s="103"/>
      <c r="H76" s="103"/>
      <c r="I76" s="103"/>
      <c r="J76" s="103"/>
      <c r="K76" s="103"/>
      <c r="L76" s="103"/>
      <c r="M76" s="103"/>
      <c r="N76" s="103"/>
      <c r="O76" s="103"/>
    </row>
    <row r="77" ht="15" customHeight="1" spans="1:15">
      <c r="A77" s="99"/>
      <c r="B77" s="555" t="s">
        <v>101</v>
      </c>
      <c r="C77" s="100"/>
      <c r="D77" s="100"/>
      <c r="E77" s="100"/>
      <c r="F77" s="101"/>
      <c r="G77" s="100"/>
      <c r="H77" s="100"/>
      <c r="I77" s="100"/>
      <c r="J77" s="100"/>
      <c r="K77" s="100"/>
      <c r="L77" s="100"/>
      <c r="M77" s="100"/>
      <c r="N77" s="100"/>
      <c r="O77" s="100"/>
    </row>
    <row r="78" spans="1:15">
      <c r="G78" s="105"/>
      <c r="K78" s="106" t="s">
        <v>76</v>
      </c>
      <c r="L78" s="107"/>
      <c r="M78" s="107"/>
      <c r="N78" s="107"/>
      <c r="O78" s="107"/>
    </row>
    <row r="79" spans="1:15">
      <c r="G79" s="108"/>
      <c r="H79" s="109">
        <f t="shared" ref="H79:O79" si="8">H$7</f>
        <v>2023</v>
      </c>
      <c r="I79" s="109">
        <f t="shared" si="8"/>
        <v>2024</v>
      </c>
      <c r="J79" s="109">
        <f t="shared" si="8"/>
        <v>2025</v>
      </c>
      <c r="K79" s="152">
        <f t="shared" si="8"/>
        <v>2026</v>
      </c>
      <c r="L79" s="152">
        <f t="shared" si="8"/>
        <v>2027</v>
      </c>
      <c r="M79" s="152">
        <f t="shared" si="8"/>
        <v>2028</v>
      </c>
      <c r="N79" s="152">
        <f t="shared" si="8"/>
        <v>2029</v>
      </c>
      <c r="O79" s="152">
        <f t="shared" si="8"/>
        <v>2030</v>
      </c>
    </row>
    <row r="80" ht="6" customHeight="1" spans="1:15">
      <c r="G80" s="108"/>
      <c r="H80" s="108"/>
      <c r="I80" s="108"/>
      <c r="J80" s="108"/>
      <c r="K80" s="190"/>
      <c r="L80" s="190"/>
      <c r="M80" s="190"/>
      <c r="N80" s="191"/>
      <c r="O80" s="114"/>
    </row>
    <row r="81" spans="1:15">
      <c r="B81" s="192" t="s">
        <v>83</v>
      </c>
      <c r="C81" s="193"/>
      <c r="D81" s="193"/>
      <c r="E81" s="193"/>
      <c r="F81" s="193" t="s">
        <v>85</v>
      </c>
      <c r="G81" s="194"/>
      <c r="H81" s="195"/>
      <c r="I81" s="195"/>
      <c r="J81" s="195">
        <f t="shared" ref="J81:O81" si="9">J20</f>
        <v>1636.11732537907</v>
      </c>
      <c r="K81" s="195">
        <f t="shared" si="9"/>
        <v>1652.47849863286</v>
      </c>
      <c r="L81" s="195">
        <f t="shared" si="9"/>
        <v>1685.52806860552</v>
      </c>
      <c r="M81" s="195">
        <f t="shared" si="9"/>
        <v>1702.38334929157</v>
      </c>
      <c r="N81" s="195">
        <f t="shared" si="9"/>
        <v>1719.40718278449</v>
      </c>
      <c r="O81" s="196">
        <f t="shared" si="9"/>
        <v>1753.79532644018</v>
      </c>
    </row>
    <row r="82" ht="6" customHeight="1" spans="1:15">
      <c r="F82" s="113"/>
      <c r="G82" s="108"/>
      <c r="H82" s="108"/>
      <c r="I82" s="108"/>
      <c r="J82" s="108"/>
      <c r="K82" s="190"/>
      <c r="L82" s="190"/>
      <c r="M82" s="190"/>
      <c r="N82" s="191"/>
      <c r="O82" s="114"/>
    </row>
    <row r="83" spans="1:15">
      <c r="B83" s="110" t="s">
        <v>88</v>
      </c>
      <c r="F83" s="113"/>
      <c r="G83" s="108"/>
      <c r="H83" s="108"/>
      <c r="I83" s="108"/>
      <c r="J83" s="108"/>
      <c r="K83" s="190"/>
      <c r="L83" s="190"/>
      <c r="M83" s="190"/>
      <c r="N83" s="191"/>
      <c r="O83" s="114"/>
    </row>
    <row r="84" spans="1:15">
      <c r="C84" t="s">
        <v>89</v>
      </c>
      <c r="F84" s="113"/>
      <c r="G84" s="108"/>
      <c r="H84" s="166">
        <v>78509</v>
      </c>
      <c r="I84" s="166">
        <v>72480</v>
      </c>
      <c r="J84" s="166">
        <v>65821</v>
      </c>
      <c r="K84" s="197">
        <f t="shared" ref="K84:O85" si="10">K26</f>
        <v>67421.1227442207</v>
      </c>
      <c r="L84" s="197">
        <f t="shared" si="10"/>
        <v>68769.5451991051</v>
      </c>
      <c r="M84" s="197">
        <f t="shared" si="10"/>
        <v>69457.2406510962</v>
      </c>
      <c r="N84" s="197">
        <f t="shared" si="10"/>
        <v>70151.8130576072</v>
      </c>
      <c r="O84" s="197">
        <f t="shared" si="10"/>
        <v>71554.8493187593</v>
      </c>
    </row>
    <row r="85" spans="1:15">
      <c r="C85" s="115" t="s">
        <v>81</v>
      </c>
      <c r="F85" s="113"/>
      <c r="G85" s="108"/>
      <c r="H85" s="166">
        <v>0</v>
      </c>
      <c r="I85" s="166">
        <v>0</v>
      </c>
      <c r="J85" s="166">
        <v>0</v>
      </c>
      <c r="K85" s="197">
        <f t="shared" si="10"/>
        <v>0</v>
      </c>
      <c r="L85" s="197">
        <f t="shared" si="10"/>
        <v>0</v>
      </c>
      <c r="M85" s="197">
        <f t="shared" si="10"/>
        <v>0</v>
      </c>
      <c r="N85" s="197">
        <f t="shared" si="10"/>
        <v>0</v>
      </c>
      <c r="O85" s="197">
        <f t="shared" si="10"/>
        <v>0</v>
      </c>
    </row>
    <row r="86" spans="1:15">
      <c r="C86" s="110" t="s">
        <v>91</v>
      </c>
      <c r="F86" s="139"/>
      <c r="G86" s="108"/>
      <c r="H86" s="198">
        <v>18264</v>
      </c>
      <c r="I86" s="198">
        <v>25210</v>
      </c>
      <c r="J86" s="198">
        <v>29006</v>
      </c>
      <c r="K86" s="199">
        <f>K28</f>
        <v>30456.3</v>
      </c>
      <c r="L86" s="199">
        <f>L28</f>
        <v>31979.115</v>
      </c>
      <c r="M86" s="199">
        <f>M28</f>
        <v>33578.07075</v>
      </c>
      <c r="N86" s="199">
        <f>N28</f>
        <v>35256.9742875</v>
      </c>
      <c r="O86" s="199">
        <f>O28</f>
        <v>37019.823001875</v>
      </c>
    </row>
    <row r="87" spans="1:15">
      <c r="C87" s="110" t="s">
        <v>92</v>
      </c>
      <c r="F87" s="139"/>
      <c r="G87" s="108"/>
      <c r="H87" s="200">
        <f>+H84-H85+H86</f>
        <v>96773</v>
      </c>
      <c r="I87" s="200">
        <f t="shared" ref="I87:O87" si="11">+I84-I85+I86</f>
        <v>97690</v>
      </c>
      <c r="J87" s="200">
        <f t="shared" si="11"/>
        <v>94827</v>
      </c>
      <c r="K87" s="200">
        <f t="shared" si="11"/>
        <v>97877.4227442207</v>
      </c>
      <c r="L87" s="200">
        <f t="shared" si="11"/>
        <v>100748.660199105</v>
      </c>
      <c r="M87" s="200">
        <f t="shared" si="11"/>
        <v>103035.311401096</v>
      </c>
      <c r="N87" s="200">
        <f t="shared" si="11"/>
        <v>105408.787345107</v>
      </c>
      <c r="O87" s="200">
        <f t="shared" si="11"/>
        <v>108574.672320634</v>
      </c>
    </row>
    <row r="88" spans="1:15">
      <c r="F88" s="113"/>
      <c r="G88" s="108"/>
      <c r="H88" s="201"/>
      <c r="I88" s="201"/>
      <c r="J88" s="201"/>
      <c r="K88" s="202"/>
      <c r="L88" s="202"/>
      <c r="M88" s="202"/>
      <c r="N88" s="202"/>
      <c r="O88" s="176"/>
    </row>
    <row r="89" spans="1:15">
      <c r="C89" t="s">
        <v>102</v>
      </c>
      <c r="F89" s="113"/>
      <c r="G89" s="108"/>
      <c r="H89" s="203">
        <v>60454</v>
      </c>
      <c r="I89" s="203">
        <v>56502</v>
      </c>
      <c r="J89" s="203">
        <v>50119</v>
      </c>
      <c r="K89" s="197">
        <f>K70</f>
        <v>56900.5942083022</v>
      </c>
      <c r="L89" s="197">
        <f>L70</f>
        <v>59530.0470630574</v>
      </c>
      <c r="M89" s="197">
        <f>M70</f>
        <v>61740.1663046313</v>
      </c>
      <c r="N89" s="197">
        <f>N70</f>
        <v>64032.9655638925</v>
      </c>
      <c r="O89" s="197">
        <f>O70</f>
        <v>66997.2233567299</v>
      </c>
    </row>
    <row r="90" spans="1:15">
      <c r="A90" s="143"/>
      <c r="C90" s="552" t="s">
        <v>103</v>
      </c>
      <c r="F90" s="113"/>
      <c r="G90" s="108"/>
      <c r="H90" s="204">
        <v>13992</v>
      </c>
      <c r="I90" s="204">
        <v>18370</v>
      </c>
      <c r="J90" s="204">
        <v>21466</v>
      </c>
      <c r="K90" s="197">
        <f>J90*(1+5%)</f>
        <v>22539.3</v>
      </c>
      <c r="L90" s="197">
        <f>K90*(1+5%)</f>
        <v>23666.265</v>
      </c>
      <c r="M90" s="197">
        <f>L90*(1+5%)</f>
        <v>24849.57825</v>
      </c>
      <c r="N90" s="197">
        <f>M90*(1+5%)</f>
        <v>26092.0571625</v>
      </c>
      <c r="O90" s="197">
        <f>N90*(1+5%)</f>
        <v>27396.660020625</v>
      </c>
    </row>
    <row r="91" spans="1:15">
      <c r="A91" s="143"/>
      <c r="C91" s="552" t="s">
        <v>20</v>
      </c>
      <c r="F91" s="113"/>
      <c r="G91" s="108"/>
      <c r="H91" s="204">
        <v>0</v>
      </c>
      <c r="I91" s="204">
        <v>684</v>
      </c>
      <c r="J91" s="204">
        <v>494</v>
      </c>
      <c r="K91" s="197">
        <f>Assumptions!$N$18</f>
        <v>0</v>
      </c>
      <c r="L91" s="197">
        <f>Assumptions!$N$18</f>
        <v>0</v>
      </c>
      <c r="M91" s="197">
        <f>Assumptions!$N$18</f>
        <v>0</v>
      </c>
      <c r="N91" s="197">
        <f>Assumptions!$N$18</f>
        <v>0</v>
      </c>
      <c r="O91" s="197">
        <f>Assumptions!$N$18</f>
        <v>0</v>
      </c>
    </row>
    <row r="92" spans="1:15">
      <c r="A92" s="143"/>
      <c r="C92" s="115" t="s">
        <v>104</v>
      </c>
      <c r="F92" s="113"/>
      <c r="G92" s="108"/>
      <c r="H92" s="204">
        <v>3969</v>
      </c>
      <c r="I92" s="204">
        <v>4540</v>
      </c>
      <c r="J92" s="204">
        <v>6411</v>
      </c>
      <c r="K92" s="197">
        <f>J92*(1+10%)</f>
        <v>7052.1</v>
      </c>
      <c r="L92" s="197">
        <f>K92*(1+10%)</f>
        <v>7757.31</v>
      </c>
      <c r="M92" s="197">
        <f>L92*(1+10%)</f>
        <v>8533.041</v>
      </c>
      <c r="N92" s="197">
        <f>M92*(1+10%)</f>
        <v>9386.3451</v>
      </c>
      <c r="O92" s="197">
        <f>N92*(1+10%)</f>
        <v>10324.97961</v>
      </c>
    </row>
    <row r="93" spans="1:15">
      <c r="A93" s="143"/>
      <c r="C93" s="552" t="s">
        <v>105</v>
      </c>
      <c r="F93" s="113"/>
      <c r="G93" s="108"/>
      <c r="H93" s="205">
        <v>4800</v>
      </c>
      <c r="I93" s="205">
        <v>5150</v>
      </c>
      <c r="J93" s="205">
        <v>5834</v>
      </c>
      <c r="K93" s="206">
        <f>Assumptions!E32</f>
        <v>5834</v>
      </c>
      <c r="L93" s="207">
        <f>K93*(1+L$11)</f>
        <v>5997.352</v>
      </c>
      <c r="M93" s="207">
        <f>L93*(1+M$11)</f>
        <v>6165.277856</v>
      </c>
      <c r="N93" s="207">
        <f>M93*(1+N$11)</f>
        <v>6337.905635968</v>
      </c>
      <c r="O93" s="207">
        <f>N93*(1+O$11)</f>
        <v>6515.3669937751</v>
      </c>
    </row>
    <row r="94" spans="1:15">
      <c r="C94" s="551" t="s">
        <v>106</v>
      </c>
      <c r="F94" s="139"/>
      <c r="G94" s="108"/>
      <c r="H94" s="200">
        <f>SUM(H89:H93)</f>
        <v>83215</v>
      </c>
      <c r="I94" s="200">
        <f>SUM(I89:I93)</f>
        <v>85246</v>
      </c>
      <c r="J94" s="200">
        <f t="shared" ref="H94:O94" si="12">SUM(J89:J93)</f>
        <v>84324</v>
      </c>
      <c r="K94" s="200">
        <f t="shared" si="12"/>
        <v>92325.9942083022</v>
      </c>
      <c r="L94" s="200">
        <f t="shared" si="12"/>
        <v>96950.9740630574</v>
      </c>
      <c r="M94" s="200">
        <f t="shared" si="12"/>
        <v>101288.063410631</v>
      </c>
      <c r="N94" s="200">
        <f t="shared" si="12"/>
        <v>105849.273462361</v>
      </c>
      <c r="O94" s="200">
        <f t="shared" si="12"/>
        <v>111234.22998113</v>
      </c>
    </row>
    <row r="95" spans="1:15">
      <c r="C95" s="112"/>
      <c r="F95" s="139"/>
      <c r="G95" s="108"/>
      <c r="H95" s="208"/>
      <c r="I95" s="208"/>
      <c r="J95" s="208"/>
      <c r="K95" s="208"/>
      <c r="L95" s="208"/>
      <c r="M95" s="208"/>
      <c r="N95" s="208"/>
      <c r="O95" s="208"/>
    </row>
    <row r="96" spans="1:15">
      <c r="A96" s="143"/>
      <c r="C96" s="552" t="s">
        <v>51</v>
      </c>
      <c r="F96" s="113"/>
      <c r="G96" s="108"/>
      <c r="H96" s="209">
        <v>0</v>
      </c>
      <c r="I96" s="209">
        <v>0</v>
      </c>
      <c r="J96" s="209">
        <v>0</v>
      </c>
      <c r="K96" s="210">
        <f>Assumptions!J53</f>
        <v>0</v>
      </c>
      <c r="L96" s="210">
        <f>Assumptions!K53</f>
        <v>0</v>
      </c>
      <c r="M96" s="210">
        <f>Assumptions!L53</f>
        <v>0</v>
      </c>
      <c r="N96" s="210">
        <f>Assumptions!M53</f>
        <v>0</v>
      </c>
      <c r="O96" s="210">
        <f>Assumptions!N53</f>
        <v>0</v>
      </c>
    </row>
    <row r="97" spans="2:15">
      <c r="B97" s="110"/>
      <c r="C97" s="110" t="s">
        <v>107</v>
      </c>
      <c r="F97" s="139"/>
      <c r="H97" s="211">
        <f>H87-H94</f>
        <v>13558</v>
      </c>
      <c r="I97" s="211">
        <f t="shared" ref="I97:O97" si="13">I87-I94</f>
        <v>12444</v>
      </c>
      <c r="J97" s="211">
        <f t="shared" si="13"/>
        <v>10503</v>
      </c>
      <c r="K97" s="211">
        <f t="shared" si="13"/>
        <v>5551.42853591847</v>
      </c>
      <c r="L97" s="211">
        <f t="shared" si="13"/>
        <v>3797.68613604772</v>
      </c>
      <c r="M97" s="211">
        <f t="shared" si="13"/>
        <v>1747.24799046494</v>
      </c>
      <c r="N97" s="211">
        <f t="shared" si="13"/>
        <v>-440.4861172534</v>
      </c>
      <c r="O97" s="211">
        <f t="shared" si="13"/>
        <v>-2659.55766049569</v>
      </c>
    </row>
    <row r="98" spans="2:15">
      <c r="F98" s="113"/>
      <c r="H98" s="173"/>
      <c r="I98" s="173"/>
      <c r="J98" s="212"/>
      <c r="K98" s="212"/>
      <c r="L98" s="212"/>
      <c r="M98" s="212"/>
      <c r="N98" s="212"/>
      <c r="O98" s="212"/>
    </row>
    <row r="99" spans="2:15">
      <c r="C99" t="s">
        <v>108</v>
      </c>
      <c r="F99" s="113"/>
      <c r="H99" s="213">
        <v>4667</v>
      </c>
      <c r="I99" s="213">
        <v>5368</v>
      </c>
      <c r="J99" s="213">
        <v>6148</v>
      </c>
      <c r="K99" s="170">
        <f>K216</f>
        <v>3559.53333333333</v>
      </c>
      <c r="L99" s="170">
        <f>L216</f>
        <v>5076.2</v>
      </c>
      <c r="M99" s="170">
        <f>M216</f>
        <v>6359.53333333333</v>
      </c>
      <c r="N99" s="170">
        <f>N216</f>
        <v>7592.86666666666</v>
      </c>
      <c r="O99" s="170">
        <f>O216</f>
        <v>8826.2</v>
      </c>
    </row>
    <row r="100" spans="2:15">
      <c r="C100" s="551" t="s">
        <v>109</v>
      </c>
      <c r="F100" s="139"/>
      <c r="H100" s="172">
        <f>H97-H99</f>
        <v>8891</v>
      </c>
      <c r="I100" s="172">
        <f t="shared" ref="I100:O100" si="14">I97-I99</f>
        <v>7076</v>
      </c>
      <c r="J100" s="172">
        <f t="shared" si="14"/>
        <v>4355</v>
      </c>
      <c r="K100" s="172">
        <f t="shared" si="14"/>
        <v>1991.89520258514</v>
      </c>
      <c r="L100" s="172">
        <f t="shared" si="14"/>
        <v>-1278.51386395228</v>
      </c>
      <c r="M100" s="172">
        <f t="shared" si="14"/>
        <v>-4612.28534286839</v>
      </c>
      <c r="N100" s="172">
        <f t="shared" si="14"/>
        <v>-8033.35278392006</v>
      </c>
      <c r="O100" s="172">
        <f t="shared" si="14"/>
        <v>-11485.7576604957</v>
      </c>
    </row>
    <row r="101" ht="6" customHeight="1" spans="2:15">
      <c r="C101" s="112"/>
      <c r="F101" s="139"/>
      <c r="H101" s="177"/>
      <c r="I101" s="177"/>
      <c r="J101" s="177"/>
      <c r="K101" s="177"/>
      <c r="L101" s="177"/>
      <c r="M101" s="177"/>
      <c r="N101" s="177"/>
      <c r="O101" s="177"/>
    </row>
    <row r="102" spans="2:15">
      <c r="C102" s="115" t="s">
        <v>110</v>
      </c>
      <c r="F102" s="113"/>
      <c r="H102" s="214">
        <v>-1082</v>
      </c>
      <c r="I102" s="214">
        <v>-1914</v>
      </c>
      <c r="J102" s="214">
        <v>-923</v>
      </c>
      <c r="K102" s="215">
        <f>K320</f>
        <v>-573.048</v>
      </c>
      <c r="L102" s="215">
        <f>L320</f>
        <v>502.459286252396</v>
      </c>
      <c r="M102" s="215">
        <f>M320</f>
        <v>1183.12130297371</v>
      </c>
      <c r="N102" s="215">
        <f>N320</f>
        <v>2049.06316989236</v>
      </c>
      <c r="O102" s="215">
        <f>O320</f>
        <v>3083.58131373615</v>
      </c>
    </row>
    <row r="103" spans="2:15">
      <c r="C103" s="112" t="s">
        <v>111</v>
      </c>
      <c r="F103" s="139"/>
      <c r="H103" s="168">
        <f t="shared" ref="H103:O103" si="15">H100-H102</f>
        <v>9973</v>
      </c>
      <c r="I103" s="168">
        <f t="shared" si="15"/>
        <v>8990</v>
      </c>
      <c r="J103" s="168">
        <f t="shared" si="15"/>
        <v>5278</v>
      </c>
      <c r="K103" s="168">
        <f t="shared" si="15"/>
        <v>2564.94320258514</v>
      </c>
      <c r="L103" s="168">
        <f t="shared" si="15"/>
        <v>-1780.97315020467</v>
      </c>
      <c r="M103" s="168">
        <f t="shared" si="15"/>
        <v>-5795.4066458421</v>
      </c>
      <c r="N103" s="168">
        <f t="shared" si="15"/>
        <v>-10082.4159538124</v>
      </c>
      <c r="O103" s="168">
        <f t="shared" si="15"/>
        <v>-14569.3389742318</v>
      </c>
    </row>
    <row r="104" ht="6" customHeight="1" spans="2:15">
      <c r="C104" s="112"/>
      <c r="F104" s="139"/>
      <c r="H104" s="216"/>
      <c r="I104" s="216"/>
      <c r="J104" s="216"/>
      <c r="K104" s="216"/>
      <c r="L104" s="177"/>
      <c r="M104" s="172"/>
      <c r="N104" s="172"/>
      <c r="O104" s="177"/>
    </row>
    <row r="105" spans="2:15">
      <c r="C105" t="s">
        <v>112</v>
      </c>
      <c r="F105" s="113"/>
      <c r="H105" s="166">
        <v>1348</v>
      </c>
      <c r="I105" s="166">
        <v>1360</v>
      </c>
      <c r="J105" s="166">
        <v>1300</v>
      </c>
      <c r="K105" s="168">
        <f t="shared" ref="K105:O106" si="16">K236</f>
        <v>665.534664697988</v>
      </c>
      <c r="L105" s="168">
        <f t="shared" si="16"/>
        <v>-507.862750555262</v>
      </c>
      <c r="M105" s="168">
        <f t="shared" si="16"/>
        <v>-1591.75979437737</v>
      </c>
      <c r="N105" s="168">
        <f t="shared" si="16"/>
        <v>-2749.25230752936</v>
      </c>
      <c r="O105" s="168">
        <f t="shared" si="16"/>
        <v>-3960.72152304259</v>
      </c>
    </row>
    <row r="106" spans="2:15">
      <c r="C106" t="s">
        <v>113</v>
      </c>
      <c r="F106" s="113"/>
      <c r="H106" s="198">
        <v>-6349</v>
      </c>
      <c r="I106" s="198">
        <v>477</v>
      </c>
      <c r="J106" s="198">
        <v>123</v>
      </c>
      <c r="K106" s="170">
        <f t="shared" si="16"/>
        <v>27</v>
      </c>
      <c r="L106" s="170">
        <f t="shared" si="16"/>
        <v>27</v>
      </c>
      <c r="M106" s="170">
        <f t="shared" si="16"/>
        <v>27</v>
      </c>
      <c r="N106" s="170">
        <f t="shared" si="16"/>
        <v>27</v>
      </c>
      <c r="O106" s="170">
        <f t="shared" si="16"/>
        <v>27</v>
      </c>
    </row>
    <row r="107" spans="2:15">
      <c r="C107" s="110" t="s">
        <v>114</v>
      </c>
      <c r="F107" s="139"/>
      <c r="H107" s="217">
        <f t="shared" ref="H107:O107" si="17">SUM(H105:H106)</f>
        <v>-5001</v>
      </c>
      <c r="I107" s="217">
        <f t="shared" si="17"/>
        <v>1837</v>
      </c>
      <c r="J107" s="217">
        <f t="shared" si="17"/>
        <v>1423</v>
      </c>
      <c r="K107" s="217">
        <f t="shared" si="17"/>
        <v>692.534664697988</v>
      </c>
      <c r="L107" s="217">
        <f t="shared" si="17"/>
        <v>-480.862750555262</v>
      </c>
      <c r="M107" s="217">
        <f t="shared" si="17"/>
        <v>-1564.75979437737</v>
      </c>
      <c r="N107" s="217">
        <f t="shared" si="17"/>
        <v>-2722.25230752936</v>
      </c>
      <c r="O107" s="217">
        <f t="shared" si="17"/>
        <v>-3933.72152304259</v>
      </c>
    </row>
    <row r="108" spans="2:15">
      <c r="F108" s="113"/>
    </row>
    <row r="109" ht="15.95" spans="2:15">
      <c r="C109" s="556" t="s">
        <v>115</v>
      </c>
      <c r="D109" s="110"/>
      <c r="E109" s="110"/>
      <c r="F109" s="139"/>
      <c r="H109" s="219">
        <f t="shared" ref="H109:O109" si="18">H103-H107</f>
        <v>14974</v>
      </c>
      <c r="I109" s="219">
        <f t="shared" si="18"/>
        <v>7153</v>
      </c>
      <c r="J109" s="219">
        <f t="shared" si="18"/>
        <v>3855</v>
      </c>
      <c r="K109" s="219">
        <f t="shared" si="18"/>
        <v>1872.40853788715</v>
      </c>
      <c r="L109" s="219">
        <f t="shared" si="18"/>
        <v>-1300.11039964941</v>
      </c>
      <c r="M109" s="219">
        <f t="shared" si="18"/>
        <v>-4230.64685146473</v>
      </c>
      <c r="N109" s="219">
        <f t="shared" si="18"/>
        <v>-7360.16364628307</v>
      </c>
      <c r="O109" s="219">
        <f t="shared" si="18"/>
        <v>-10635.6174511892</v>
      </c>
    </row>
    <row r="110" ht="15.95" spans="2:15">
      <c r="C110" s="218"/>
      <c r="F110"/>
      <c r="H110" s="220"/>
      <c r="I110" s="220"/>
      <c r="J110" s="220"/>
      <c r="K110" s="220"/>
      <c r="L110" s="220"/>
      <c r="M110" s="220"/>
      <c r="N110" s="220"/>
      <c r="O110" s="220"/>
    </row>
    <row r="111" spans="2:15">
      <c r="H111" s="188"/>
      <c r="I111" s="188"/>
      <c r="J111" s="188"/>
      <c r="K111" s="221"/>
      <c r="L111" s="221"/>
      <c r="M111" s="221"/>
      <c r="N111" s="221"/>
      <c r="O111" s="221"/>
    </row>
    <row r="112" spans="2:15">
      <c r="B112" s="222" t="s">
        <v>116</v>
      </c>
      <c r="C112" s="223"/>
      <c r="D112" s="223"/>
      <c r="E112" s="223"/>
      <c r="F112" s="224"/>
      <c r="G112" s="223"/>
      <c r="H112" s="225"/>
      <c r="I112" s="225"/>
      <c r="J112" s="225"/>
      <c r="K112" s="225"/>
      <c r="L112" s="225"/>
      <c r="M112" s="225"/>
      <c r="N112" s="225"/>
      <c r="O112" s="226"/>
    </row>
    <row r="113" spans="1:16">
      <c r="B113" s="227"/>
      <c r="C113" t="s">
        <v>117</v>
      </c>
      <c r="H113" s="228">
        <f t="shared" ref="H113:O113" si="19">H97/H87</f>
        <v>0.140101061246422</v>
      </c>
      <c r="I113" s="228">
        <f t="shared" si="19"/>
        <v>0.127382536595353</v>
      </c>
      <c r="J113" s="228">
        <f t="shared" si="19"/>
        <v>0.11075959378658</v>
      </c>
      <c r="K113" s="228">
        <f t="shared" si="19"/>
        <v>0.0567181723861468</v>
      </c>
      <c r="L113" s="228">
        <f t="shared" si="19"/>
        <v>0.0376946564702947</v>
      </c>
      <c r="M113" s="228">
        <f t="shared" si="19"/>
        <v>0.0169577591090422</v>
      </c>
      <c r="N113" s="228">
        <f t="shared" si="19"/>
        <v>-0.00417883677772759</v>
      </c>
      <c r="O113" s="229">
        <f t="shared" si="19"/>
        <v>-0.0244951939863257</v>
      </c>
      <c r="P113" s="230"/>
    </row>
    <row r="114" spans="1:16">
      <c r="B114" s="227"/>
      <c r="C114" t="s">
        <v>118</v>
      </c>
      <c r="H114" s="228">
        <f t="shared" ref="H114:O114" si="20">H100/H87</f>
        <v>0.0918747997891974</v>
      </c>
      <c r="I114" s="228">
        <f t="shared" si="20"/>
        <v>0.0724332070836319</v>
      </c>
      <c r="J114" s="228">
        <f t="shared" si="20"/>
        <v>0.0459257384500195</v>
      </c>
      <c r="K114" s="228">
        <f t="shared" si="20"/>
        <v>0.0203509159389136</v>
      </c>
      <c r="L114" s="228">
        <f t="shared" si="20"/>
        <v>-0.0126901326670311</v>
      </c>
      <c r="M114" s="228">
        <f t="shared" si="20"/>
        <v>-0.04476412290262</v>
      </c>
      <c r="N114" s="228">
        <f t="shared" si="20"/>
        <v>-0.0762114144963926</v>
      </c>
      <c r="O114" s="229">
        <f t="shared" si="20"/>
        <v>-0.105786712637519</v>
      </c>
    </row>
    <row r="115" spans="1:16">
      <c r="B115" s="231"/>
      <c r="C115" s="149" t="s">
        <v>119</v>
      </c>
      <c r="D115" s="149"/>
      <c r="E115" s="149"/>
      <c r="F115" s="150"/>
      <c r="G115" s="149"/>
      <c r="H115" s="232"/>
      <c r="I115" s="232"/>
      <c r="J115" s="233">
        <f t="shared" ref="J115:O115" si="21">J109/J189</f>
        <v>0.0465208891463326</v>
      </c>
      <c r="K115" s="233">
        <f t="shared" si="21"/>
        <v>0.0220963382507943</v>
      </c>
      <c r="L115" s="233">
        <f t="shared" si="21"/>
        <v>-0.0155816984365553</v>
      </c>
      <c r="M115" s="233">
        <f t="shared" si="21"/>
        <v>-0.0534120982346463</v>
      </c>
      <c r="N115" s="233">
        <f t="shared" si="21"/>
        <v>-0.102441489438181</v>
      </c>
      <c r="O115" s="234">
        <f t="shared" si="21"/>
        <v>-0.17375089861326</v>
      </c>
    </row>
    <row r="116" spans="1:16"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</row>
    <row r="117" spans="1:16">
      <c r="C117" s="235"/>
      <c r="H117" s="236"/>
      <c r="I117" s="236"/>
      <c r="J117" s="236"/>
      <c r="K117" s="236"/>
      <c r="L117" s="236"/>
      <c r="M117" s="236"/>
      <c r="N117" s="236"/>
      <c r="O117" s="236"/>
    </row>
    <row r="118" ht="12.75" customHeight="1" spans="1:16">
      <c r="A118" s="96"/>
      <c r="B118" s="97"/>
      <c r="C118" s="93"/>
      <c r="D118" s="93"/>
      <c r="E118" s="93"/>
      <c r="F118" s="94"/>
      <c r="G118" s="93"/>
      <c r="H118" s="93"/>
      <c r="I118" s="93"/>
      <c r="J118" s="93"/>
      <c r="K118" s="93"/>
      <c r="L118" s="93"/>
      <c r="M118" s="93"/>
      <c r="N118" s="93"/>
      <c r="O118" s="151" t="str">
        <f>$O$1</f>
        <v>CURRENTLY RUNNING: WORST CASE SCENARIO</v>
      </c>
    </row>
    <row r="119" ht="26" spans="1:16">
      <c r="B119" s="97" t="str">
        <f>B$2</f>
        <v>Tesla</v>
      </c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</row>
    <row r="120" ht="20.4" spans="1:16">
      <c r="B120" s="99" t="s">
        <v>52</v>
      </c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</row>
    <row r="121" ht="3" customHeight="1" spans="1:16">
      <c r="A121" s="98"/>
      <c r="B121" s="102"/>
      <c r="C121" s="103"/>
      <c r="D121" s="103"/>
      <c r="E121" s="103"/>
      <c r="F121" s="104"/>
      <c r="G121" s="103"/>
      <c r="H121" s="103"/>
      <c r="I121" s="103"/>
      <c r="J121" s="103"/>
      <c r="K121" s="103"/>
      <c r="L121" s="103"/>
      <c r="M121" s="103"/>
      <c r="N121" s="103"/>
      <c r="O121" s="103"/>
    </row>
    <row r="122" spans="1:16">
      <c r="B122" s="555" t="s">
        <v>101</v>
      </c>
      <c r="F122"/>
    </row>
    <row r="123" spans="1:16">
      <c r="F123"/>
      <c r="K123" s="106" t="s">
        <v>76</v>
      </c>
      <c r="L123" s="107"/>
      <c r="M123" s="107"/>
      <c r="N123" s="107"/>
      <c r="O123" s="107"/>
    </row>
    <row r="124" spans="1:16">
      <c r="B124" s="237"/>
      <c r="F124" s="238"/>
      <c r="G124" s="239"/>
      <c r="H124" s="109">
        <f t="shared" ref="H124:O124" si="22">H$7</f>
        <v>2023</v>
      </c>
      <c r="I124" s="109">
        <f t="shared" si="22"/>
        <v>2024</v>
      </c>
      <c r="J124" s="109">
        <f t="shared" si="22"/>
        <v>2025</v>
      </c>
      <c r="K124" s="152">
        <f t="shared" si="22"/>
        <v>2026</v>
      </c>
      <c r="L124" s="152">
        <f t="shared" si="22"/>
        <v>2027</v>
      </c>
      <c r="M124" s="152">
        <f t="shared" si="22"/>
        <v>2028</v>
      </c>
      <c r="N124" s="152">
        <f t="shared" si="22"/>
        <v>2029</v>
      </c>
      <c r="O124" s="152">
        <f t="shared" si="22"/>
        <v>2030</v>
      </c>
    </row>
    <row r="125" spans="1:16">
      <c r="B125" s="110" t="s">
        <v>120</v>
      </c>
      <c r="F125"/>
    </row>
    <row r="126" spans="1:16">
      <c r="C126" t="s">
        <v>115</v>
      </c>
      <c r="F126"/>
      <c r="G126" s="240"/>
      <c r="H126" s="241">
        <v>14974</v>
      </c>
      <c r="I126" s="241">
        <v>7153</v>
      </c>
      <c r="J126" s="241">
        <v>3855</v>
      </c>
      <c r="K126" s="242">
        <f>K109</f>
        <v>1872.40853788715</v>
      </c>
      <c r="L126" s="242">
        <f>L109</f>
        <v>-1300.11039964941</v>
      </c>
      <c r="M126" s="242">
        <f>M109</f>
        <v>-4230.64685146473</v>
      </c>
      <c r="N126" s="242">
        <f>N109</f>
        <v>-7360.16364628307</v>
      </c>
      <c r="O126" s="242">
        <f>O109</f>
        <v>-10635.6174511892</v>
      </c>
    </row>
    <row r="127" spans="1:16">
      <c r="C127" t="s">
        <v>121</v>
      </c>
      <c r="F127"/>
      <c r="G127" s="240"/>
      <c r="H127" s="241">
        <v>4667</v>
      </c>
      <c r="I127" s="241">
        <v>5368</v>
      </c>
      <c r="J127" s="241">
        <v>6148</v>
      </c>
      <c r="K127" s="242">
        <f>K99</f>
        <v>3559.53333333333</v>
      </c>
      <c r="L127" s="242">
        <f>L99</f>
        <v>5076.2</v>
      </c>
      <c r="M127" s="242">
        <f>M99</f>
        <v>6359.53333333333</v>
      </c>
      <c r="N127" s="242">
        <f>N99</f>
        <v>7592.86666666666</v>
      </c>
      <c r="O127" s="242">
        <f>O99</f>
        <v>8826.2</v>
      </c>
    </row>
    <row r="128" spans="1:16">
      <c r="C128" t="s">
        <v>113</v>
      </c>
      <c r="F128"/>
      <c r="G128" s="243"/>
      <c r="H128" s="241">
        <v>-6349</v>
      </c>
      <c r="I128" s="241">
        <v>477</v>
      </c>
      <c r="J128" s="241">
        <v>123</v>
      </c>
      <c r="K128" s="244">
        <f>K106</f>
        <v>27</v>
      </c>
      <c r="L128" s="244">
        <f>L106</f>
        <v>27</v>
      </c>
      <c r="M128" s="244">
        <f>M106</f>
        <v>27</v>
      </c>
      <c r="N128" s="244">
        <f>N106</f>
        <v>27</v>
      </c>
      <c r="O128" s="244">
        <f>O106</f>
        <v>27</v>
      </c>
    </row>
    <row r="129" spans="1:15">
      <c r="C129" t="s">
        <v>122</v>
      </c>
      <c r="F129"/>
      <c r="G129" s="245"/>
      <c r="H129" s="246">
        <v>-36</v>
      </c>
      <c r="I129" s="246">
        <v>1925</v>
      </c>
      <c r="J129" s="247">
        <v>4621</v>
      </c>
      <c r="K129" s="170">
        <f>K274</f>
        <v>-5566.25821056324</v>
      </c>
      <c r="L129" s="170">
        <f>L274</f>
        <v>-9.32809371510666</v>
      </c>
      <c r="M129" s="170">
        <f>M274</f>
        <v>68.9743527957035</v>
      </c>
      <c r="N129" s="170">
        <f>N274</f>
        <v>-569.123817543317</v>
      </c>
      <c r="O129" s="170">
        <f>O274</f>
        <v>-54.8835698197836</v>
      </c>
    </row>
    <row r="130" spans="1:15">
      <c r="C130" s="551" t="s">
        <v>123</v>
      </c>
      <c r="F130"/>
      <c r="G130" s="177"/>
      <c r="H130" s="248">
        <f t="shared" ref="H130:O130" si="23">SUM(H126:H129)</f>
        <v>13256</v>
      </c>
      <c r="I130" s="248">
        <f t="shared" si="23"/>
        <v>14923</v>
      </c>
      <c r="J130" s="248">
        <f t="shared" si="23"/>
        <v>14747</v>
      </c>
      <c r="K130" s="248">
        <f t="shared" si="23"/>
        <v>-107.316339342755</v>
      </c>
      <c r="L130" s="248">
        <f t="shared" si="23"/>
        <v>3793.76150663548</v>
      </c>
      <c r="M130" s="248">
        <f t="shared" si="23"/>
        <v>2224.8608346643</v>
      </c>
      <c r="N130" s="248">
        <f t="shared" si="23"/>
        <v>-309.420797159724</v>
      </c>
      <c r="O130" s="248">
        <f t="shared" si="23"/>
        <v>-1837.30102100903</v>
      </c>
    </row>
    <row r="131" spans="1:15">
      <c r="B131" s="115"/>
      <c r="F131"/>
      <c r="G131" s="188"/>
      <c r="H131" s="249"/>
      <c r="I131" s="249"/>
      <c r="J131" s="249"/>
      <c r="K131" s="249"/>
      <c r="L131" s="249"/>
      <c r="M131" s="249"/>
      <c r="N131" s="249"/>
      <c r="O131" s="249"/>
    </row>
    <row r="132" spans="1:15">
      <c r="B132" s="115"/>
      <c r="F132"/>
      <c r="G132" s="188"/>
      <c r="H132" s="249"/>
      <c r="I132" s="249"/>
      <c r="J132" s="249"/>
      <c r="K132" s="249"/>
      <c r="L132" s="249"/>
      <c r="M132" s="249"/>
      <c r="N132" s="249"/>
      <c r="O132" s="249"/>
    </row>
    <row r="133" spans="1:15">
      <c r="B133" s="110" t="s">
        <v>124</v>
      </c>
      <c r="F133"/>
      <c r="G133" s="250"/>
      <c r="H133" s="251"/>
      <c r="I133" s="251"/>
      <c r="J133" s="251"/>
      <c r="K133" s="243"/>
      <c r="L133" s="243"/>
      <c r="M133" s="243"/>
      <c r="N133" s="243"/>
      <c r="O133" s="243"/>
    </row>
    <row r="134" spans="1:15">
      <c r="C134" t="s">
        <v>125</v>
      </c>
      <c r="H134" s="252">
        <v>-8899</v>
      </c>
      <c r="I134" s="252">
        <v>-11342</v>
      </c>
      <c r="J134" s="252">
        <v>-8527</v>
      </c>
      <c r="K134" s="167">
        <f>-Assumptions!J58</f>
        <v>-25500</v>
      </c>
      <c r="L134" s="167">
        <f>-Assumptions!K58</f>
        <v>-20000</v>
      </c>
      <c r="M134" s="167">
        <f>-Assumptions!L58</f>
        <v>-18500</v>
      </c>
      <c r="N134" s="167">
        <f>-Assumptions!M58</f>
        <v>-18500</v>
      </c>
      <c r="O134" s="167">
        <f>-Assumptions!N58</f>
        <v>-18500</v>
      </c>
    </row>
    <row r="135" spans="1:15">
      <c r="C135" t="s">
        <v>39</v>
      </c>
      <c r="H135" s="213">
        <v>-37</v>
      </c>
      <c r="I135" s="213">
        <v>35</v>
      </c>
      <c r="J135" s="213">
        <v>137</v>
      </c>
      <c r="K135" s="210">
        <f>Assumptions!J56</f>
        <v>0</v>
      </c>
      <c r="L135" s="210">
        <f>Assumptions!K56</f>
        <v>0</v>
      </c>
      <c r="M135" s="210">
        <f>Assumptions!L56</f>
        <v>0</v>
      </c>
      <c r="N135" s="210">
        <f>Assumptions!M56</f>
        <v>0</v>
      </c>
      <c r="O135" s="210">
        <f>Assumptions!N56</f>
        <v>0</v>
      </c>
    </row>
    <row r="136" spans="1:15">
      <c r="A136" s="110"/>
      <c r="C136" s="110" t="s">
        <v>126</v>
      </c>
      <c r="F136"/>
      <c r="G136" s="177"/>
      <c r="H136" s="253">
        <f t="shared" ref="H136:O136" si="24">SUM(H134:H135)</f>
        <v>-8936</v>
      </c>
      <c r="I136" s="253">
        <f t="shared" si="24"/>
        <v>-11307</v>
      </c>
      <c r="J136" s="253">
        <f t="shared" si="24"/>
        <v>-8390</v>
      </c>
      <c r="K136" s="253">
        <f t="shared" si="24"/>
        <v>-25500</v>
      </c>
      <c r="L136" s="253">
        <f t="shared" si="24"/>
        <v>-20000</v>
      </c>
      <c r="M136" s="253">
        <f t="shared" si="24"/>
        <v>-18500</v>
      </c>
      <c r="N136" s="253">
        <f t="shared" si="24"/>
        <v>-18500</v>
      </c>
      <c r="O136" s="253">
        <f t="shared" si="24"/>
        <v>-18500</v>
      </c>
    </row>
    <row r="137" spans="1:15">
      <c r="A137" s="110"/>
      <c r="B137" s="112"/>
      <c r="F137"/>
      <c r="G137" s="177"/>
      <c r="H137" s="254"/>
      <c r="I137" s="254"/>
      <c r="J137" s="255"/>
      <c r="K137" s="256"/>
      <c r="L137" s="256"/>
      <c r="M137" s="256"/>
      <c r="N137" s="256"/>
      <c r="O137" s="256"/>
    </row>
    <row r="138" spans="1:15">
      <c r="A138" s="110"/>
      <c r="B138" s="112"/>
      <c r="F138"/>
      <c r="G138" s="177"/>
      <c r="H138" s="254"/>
      <c r="I138" s="254"/>
      <c r="J138" s="254"/>
      <c r="K138" s="256"/>
      <c r="L138" s="256"/>
      <c r="M138" s="256"/>
      <c r="N138" s="256"/>
      <c r="O138" s="256"/>
    </row>
    <row r="139" spans="1:15">
      <c r="A139" s="110"/>
      <c r="B139" s="112" t="s">
        <v>127</v>
      </c>
      <c r="F139"/>
      <c r="G139" s="177"/>
      <c r="H139" s="257"/>
      <c r="I139" s="257"/>
      <c r="J139" s="257"/>
      <c r="K139" s="258"/>
      <c r="L139" s="258"/>
      <c r="M139" s="258"/>
      <c r="N139" s="258"/>
      <c r="O139" s="258"/>
    </row>
    <row r="140" spans="1:15">
      <c r="A140" s="110"/>
      <c r="B140" s="112"/>
      <c r="C140" t="s">
        <v>128</v>
      </c>
      <c r="F140"/>
      <c r="G140" s="177"/>
      <c r="H140" s="252">
        <v>0</v>
      </c>
      <c r="I140" s="252">
        <v>0</v>
      </c>
      <c r="J140" s="252">
        <v>0</v>
      </c>
      <c r="K140" s="242">
        <f>K305</f>
        <v>0</v>
      </c>
      <c r="L140" s="242">
        <f>L305</f>
        <v>0</v>
      </c>
      <c r="M140" s="242">
        <f>M305</f>
        <v>14029.693998043</v>
      </c>
      <c r="N140" s="242">
        <f>N305</f>
        <v>18809.4207971597</v>
      </c>
      <c r="O140" s="242">
        <f>O305</f>
        <v>20337.301021009</v>
      </c>
    </row>
    <row r="141" spans="1:15">
      <c r="A141" s="110"/>
      <c r="B141" s="112"/>
      <c r="C141" t="s">
        <v>129</v>
      </c>
      <c r="F141"/>
      <c r="G141" s="177"/>
      <c r="H141" s="252">
        <v>1889</v>
      </c>
      <c r="I141" s="252">
        <v>2612</v>
      </c>
      <c r="J141" s="252">
        <v>-47</v>
      </c>
      <c r="K141" s="242">
        <f>K314</f>
        <v>0</v>
      </c>
      <c r="L141" s="242">
        <f>L314</f>
        <v>0</v>
      </c>
      <c r="M141" s="242">
        <f>M314</f>
        <v>0</v>
      </c>
      <c r="N141" s="242">
        <f>N314</f>
        <v>0</v>
      </c>
      <c r="O141" s="242">
        <f>O314</f>
        <v>0</v>
      </c>
    </row>
    <row r="142" spans="1:15">
      <c r="A142" s="110"/>
      <c r="B142" s="112"/>
      <c r="C142" t="s">
        <v>130</v>
      </c>
      <c r="F142"/>
      <c r="G142" s="177"/>
      <c r="H142" s="252">
        <v>700</v>
      </c>
      <c r="I142" s="252">
        <v>1241</v>
      </c>
      <c r="J142" s="252">
        <v>1186</v>
      </c>
      <c r="K142" s="242">
        <f>K332</f>
        <v>0</v>
      </c>
      <c r="L142" s="242">
        <f>L332</f>
        <v>0</v>
      </c>
      <c r="M142" s="242">
        <f>M332</f>
        <v>0</v>
      </c>
      <c r="N142" s="242">
        <f>N332</f>
        <v>0</v>
      </c>
      <c r="O142" s="242">
        <f>O332</f>
        <v>0</v>
      </c>
    </row>
    <row r="143" spans="1:15">
      <c r="A143" s="110"/>
      <c r="B143" s="112"/>
      <c r="C143" t="s">
        <v>131</v>
      </c>
      <c r="F143"/>
      <c r="G143" s="177"/>
      <c r="H143" s="213">
        <v>0</v>
      </c>
      <c r="I143" s="213">
        <v>0</v>
      </c>
      <c r="J143" s="213">
        <v>0</v>
      </c>
      <c r="K143" s="242">
        <f>-K337</f>
        <v>0</v>
      </c>
      <c r="L143" s="242">
        <f>-L337</f>
        <v>0</v>
      </c>
      <c r="M143" s="242">
        <f>-M337</f>
        <v>0</v>
      </c>
      <c r="N143" s="242">
        <f>-N337</f>
        <v>0</v>
      </c>
      <c r="O143" s="242">
        <f>-O337</f>
        <v>0</v>
      </c>
    </row>
    <row r="144" spans="1:15">
      <c r="A144" s="110"/>
      <c r="B144" s="112"/>
      <c r="C144" s="110" t="s">
        <v>132</v>
      </c>
      <c r="F144"/>
      <c r="G144" s="177"/>
      <c r="H144" s="253">
        <f t="shared" ref="H144:O144" si="25">SUM(H140:H143)</f>
        <v>2589</v>
      </c>
      <c r="I144" s="253">
        <f t="shared" si="25"/>
        <v>3853</v>
      </c>
      <c r="J144" s="253">
        <f t="shared" si="25"/>
        <v>1139</v>
      </c>
      <c r="K144" s="253">
        <f t="shared" si="25"/>
        <v>0</v>
      </c>
      <c r="L144" s="253">
        <f t="shared" si="25"/>
        <v>0</v>
      </c>
      <c r="M144" s="253">
        <f t="shared" si="25"/>
        <v>14029.693998043</v>
      </c>
      <c r="N144" s="253">
        <f t="shared" si="25"/>
        <v>18809.4207971597</v>
      </c>
      <c r="O144" s="253">
        <f t="shared" si="25"/>
        <v>20337.301021009</v>
      </c>
    </row>
    <row r="145" spans="1:15">
      <c r="A145" s="110"/>
      <c r="B145" s="112"/>
      <c r="F145"/>
      <c r="G145" s="177"/>
      <c r="H145" s="257"/>
      <c r="I145" s="257"/>
      <c r="J145" s="257"/>
      <c r="K145" s="257"/>
      <c r="L145" s="257"/>
      <c r="M145" s="257"/>
      <c r="N145" s="257"/>
      <c r="O145" s="257"/>
    </row>
    <row r="146" spans="1:15">
      <c r="A146" s="110"/>
      <c r="C146" s="112"/>
      <c r="F146"/>
      <c r="G146" s="177"/>
      <c r="H146" s="257"/>
      <c r="I146" s="257"/>
      <c r="J146" s="257"/>
      <c r="K146" s="257"/>
      <c r="L146" s="257"/>
      <c r="M146" s="257"/>
      <c r="N146" s="257"/>
      <c r="O146" s="257"/>
    </row>
    <row r="147" spans="1:15">
      <c r="A147" s="110"/>
      <c r="B147" s="259" t="s">
        <v>133</v>
      </c>
      <c r="C147" s="260"/>
      <c r="D147" s="223"/>
      <c r="E147" s="223"/>
      <c r="F147" s="223"/>
      <c r="G147" s="261"/>
      <c r="H147" s="262">
        <f t="shared" ref="H147:O147" si="26">H144+H136+H130</f>
        <v>6909</v>
      </c>
      <c r="I147" s="262">
        <f t="shared" si="26"/>
        <v>7469</v>
      </c>
      <c r="J147" s="262">
        <f t="shared" si="26"/>
        <v>7496</v>
      </c>
      <c r="K147" s="262">
        <f t="shared" si="26"/>
        <v>-25607.3163393428</v>
      </c>
      <c r="L147" s="262">
        <f t="shared" si="26"/>
        <v>-16206.2384933645</v>
      </c>
      <c r="M147" s="262">
        <f t="shared" si="26"/>
        <v>-2245.44516729273</v>
      </c>
      <c r="N147" s="262">
        <f t="shared" si="26"/>
        <v>0</v>
      </c>
      <c r="O147" s="263">
        <f t="shared" si="26"/>
        <v>0</v>
      </c>
    </row>
    <row r="148" spans="1:15">
      <c r="A148" s="110"/>
      <c r="B148" s="227" t="s">
        <v>134</v>
      </c>
      <c r="C148" s="112"/>
      <c r="F148"/>
      <c r="G148" s="177"/>
      <c r="H148" s="264">
        <v>22185</v>
      </c>
      <c r="I148" s="265">
        <f t="shared" ref="I148:O148" si="27">+H149</f>
        <v>29094</v>
      </c>
      <c r="J148" s="265">
        <f t="shared" si="27"/>
        <v>36563</v>
      </c>
      <c r="K148" s="265">
        <f t="shared" si="27"/>
        <v>44059</v>
      </c>
      <c r="L148" s="265">
        <f t="shared" si="27"/>
        <v>18451.6836606572</v>
      </c>
      <c r="M148" s="265">
        <f t="shared" si="27"/>
        <v>2245.44516729273</v>
      </c>
      <c r="N148" s="265">
        <f t="shared" si="27"/>
        <v>0</v>
      </c>
      <c r="O148" s="266">
        <f t="shared" si="27"/>
        <v>0</v>
      </c>
    </row>
    <row r="149" spans="1:15">
      <c r="A149" s="110"/>
      <c r="B149" s="267" t="s">
        <v>135</v>
      </c>
      <c r="C149" s="184"/>
      <c r="D149" s="149"/>
      <c r="E149" s="149"/>
      <c r="F149" s="149"/>
      <c r="G149" s="187"/>
      <c r="H149" s="268">
        <f t="shared" ref="H149:O149" si="28">H148+H147</f>
        <v>29094</v>
      </c>
      <c r="I149" s="268">
        <f t="shared" si="28"/>
        <v>36563</v>
      </c>
      <c r="J149" s="268">
        <f t="shared" si="28"/>
        <v>44059</v>
      </c>
      <c r="K149" s="268">
        <f t="shared" si="28"/>
        <v>18451.6836606572</v>
      </c>
      <c r="L149" s="268">
        <f t="shared" si="28"/>
        <v>2245.44516729273</v>
      </c>
      <c r="M149" s="268">
        <f t="shared" si="28"/>
        <v>0</v>
      </c>
      <c r="N149" s="268">
        <f t="shared" si="28"/>
        <v>0</v>
      </c>
      <c r="O149" s="269">
        <f t="shared" si="28"/>
        <v>0</v>
      </c>
    </row>
    <row r="150" spans="1:15"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</row>
    <row r="151" spans="1:15">
      <c r="F151"/>
    </row>
    <row r="152" ht="12.75" customHeight="1" spans="1:15">
      <c r="A152" s="96"/>
      <c r="B152" s="97"/>
      <c r="C152" s="93"/>
      <c r="D152" s="93"/>
      <c r="E152" s="93"/>
      <c r="F152" s="94"/>
      <c r="G152" s="93"/>
      <c r="H152" s="93"/>
      <c r="I152" s="93"/>
      <c r="J152" s="93"/>
      <c r="K152" s="93"/>
      <c r="L152" s="93"/>
      <c r="M152" s="93"/>
      <c r="N152" s="93"/>
      <c r="O152" s="151" t="str">
        <f>$O$1</f>
        <v>CURRENTLY RUNNING: WORST CASE SCENARIO</v>
      </c>
    </row>
    <row r="153" ht="26" spans="1:15">
      <c r="B153" s="97" t="str">
        <f>B$2</f>
        <v>Tesla</v>
      </c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</row>
    <row r="154" ht="20.4" spans="1:15">
      <c r="B154" s="99" t="s">
        <v>136</v>
      </c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</row>
    <row r="155" ht="3" customHeight="1" spans="1:15">
      <c r="A155" s="98"/>
      <c r="B155" s="102"/>
      <c r="C155" s="103"/>
      <c r="D155" s="103"/>
      <c r="E155" s="103"/>
      <c r="F155" s="104"/>
      <c r="G155" s="103"/>
      <c r="H155" s="103"/>
      <c r="I155" s="103"/>
      <c r="J155" s="103"/>
      <c r="K155" s="103"/>
      <c r="L155" s="103"/>
      <c r="M155" s="103"/>
      <c r="N155" s="103"/>
      <c r="O155" s="103"/>
    </row>
    <row r="156" spans="1:15">
      <c r="B156" s="555" t="s">
        <v>101</v>
      </c>
      <c r="F156"/>
      <c r="O156" s="115"/>
    </row>
    <row r="157" spans="1:15">
      <c r="F157"/>
      <c r="H157" s="270"/>
      <c r="I157" s="270"/>
      <c r="J157" s="270"/>
      <c r="K157" s="106" t="s">
        <v>76</v>
      </c>
      <c r="L157" s="107"/>
      <c r="M157" s="107"/>
      <c r="N157" s="107"/>
      <c r="O157" s="107"/>
    </row>
    <row r="158" spans="1:15">
      <c r="B158" s="237"/>
      <c r="F158" s="271"/>
      <c r="G158" s="239"/>
      <c r="H158" s="109">
        <f t="shared" ref="H158:O158" si="29">H$7</f>
        <v>2023</v>
      </c>
      <c r="I158" s="109">
        <f t="shared" si="29"/>
        <v>2024</v>
      </c>
      <c r="J158" s="109">
        <f t="shared" si="29"/>
        <v>2025</v>
      </c>
      <c r="K158" s="152">
        <f t="shared" si="29"/>
        <v>2026</v>
      </c>
      <c r="L158" s="152">
        <f t="shared" si="29"/>
        <v>2027</v>
      </c>
      <c r="M158" s="152">
        <f t="shared" si="29"/>
        <v>2028</v>
      </c>
      <c r="N158" s="152">
        <f t="shared" si="29"/>
        <v>2029</v>
      </c>
      <c r="O158" s="152">
        <f t="shared" si="29"/>
        <v>2030</v>
      </c>
    </row>
    <row r="159" spans="1:15">
      <c r="B159" s="237"/>
      <c r="F159"/>
      <c r="G159" s="239"/>
      <c r="H159" s="271"/>
      <c r="I159" s="271"/>
      <c r="J159" s="271"/>
      <c r="K159" s="271"/>
      <c r="L159" s="271"/>
      <c r="M159" s="271"/>
      <c r="N159" s="271"/>
      <c r="O159" s="271"/>
    </row>
    <row r="160" spans="1:15">
      <c r="B160" s="110" t="s">
        <v>137</v>
      </c>
      <c r="F160"/>
    </row>
    <row r="161" spans="2:19">
      <c r="C161" t="s">
        <v>138</v>
      </c>
      <c r="F161" s="113"/>
      <c r="G161" s="245"/>
      <c r="H161" s="252">
        <v>29094</v>
      </c>
      <c r="I161" s="252">
        <v>36563</v>
      </c>
      <c r="J161" s="252">
        <v>44059</v>
      </c>
      <c r="K161" s="272">
        <f>K149</f>
        <v>18451.6836606572</v>
      </c>
      <c r="L161" s="272">
        <f>L149</f>
        <v>2245.44516729273</v>
      </c>
      <c r="M161" s="272">
        <f>M149</f>
        <v>0</v>
      </c>
      <c r="N161" s="272">
        <f>N149</f>
        <v>0</v>
      </c>
      <c r="O161" s="272">
        <f>O149</f>
        <v>0</v>
      </c>
      <c r="R161" s="217"/>
      <c r="S161" s="217"/>
    </row>
    <row r="162" spans="2:19">
      <c r="C162" t="s">
        <v>58</v>
      </c>
      <c r="F162" s="113"/>
      <c r="G162" s="245"/>
      <c r="H162" s="252">
        <v>3508</v>
      </c>
      <c r="I162" s="252">
        <v>4418</v>
      </c>
      <c r="J162" s="252">
        <v>4576</v>
      </c>
      <c r="K162" s="242">
        <f t="shared" ref="K162:O165" si="30">K266</f>
        <v>4826.83180656431</v>
      </c>
      <c r="L162" s="242">
        <f t="shared" si="30"/>
        <v>4968.42707831203</v>
      </c>
      <c r="M162" s="242">
        <f t="shared" si="30"/>
        <v>4785.79315250993</v>
      </c>
      <c r="N162" s="242">
        <f t="shared" si="30"/>
        <v>4909.45036949814</v>
      </c>
      <c r="O162" s="242">
        <f t="shared" si="30"/>
        <v>5056.9025464405</v>
      </c>
    </row>
    <row r="163" spans="2:19">
      <c r="C163" t="s">
        <v>139</v>
      </c>
      <c r="F163" s="113"/>
      <c r="G163" s="245"/>
      <c r="H163" s="252">
        <v>13626</v>
      </c>
      <c r="I163" s="252">
        <v>12017</v>
      </c>
      <c r="J163" s="252">
        <v>12392</v>
      </c>
      <c r="K163" s="242">
        <f t="shared" si="30"/>
        <v>9041.73825775762</v>
      </c>
      <c r="L163" s="242">
        <f t="shared" si="30"/>
        <v>9296.473102998</v>
      </c>
      <c r="M163" s="242">
        <f t="shared" si="30"/>
        <v>9277.89384359213</v>
      </c>
      <c r="N163" s="242">
        <f t="shared" si="30"/>
        <v>9648.80303017559</v>
      </c>
      <c r="O163" s="242">
        <f t="shared" si="30"/>
        <v>10095.4720126579</v>
      </c>
    </row>
    <row r="164" spans="2:19">
      <c r="C164" t="s">
        <v>61</v>
      </c>
      <c r="F164" s="113"/>
      <c r="G164" s="273"/>
      <c r="H164" s="252">
        <v>3388</v>
      </c>
      <c r="I164" s="252">
        <v>5362</v>
      </c>
      <c r="J164" s="252">
        <v>7615</v>
      </c>
      <c r="K164" s="244">
        <f t="shared" si="30"/>
        <v>5612.1134013668</v>
      </c>
      <c r="L164" s="244">
        <f t="shared" si="30"/>
        <v>5871.45669663032</v>
      </c>
      <c r="M164" s="244">
        <f t="shared" si="30"/>
        <v>6072.80324307848</v>
      </c>
      <c r="N164" s="244">
        <f t="shared" si="30"/>
        <v>6315.58016520584</v>
      </c>
      <c r="O164" s="244">
        <f t="shared" si="30"/>
        <v>6607.9453173761</v>
      </c>
    </row>
    <row r="165" spans="2:19">
      <c r="C165" s="115" t="s">
        <v>39</v>
      </c>
      <c r="F165" s="113"/>
      <c r="G165" s="273"/>
      <c r="H165" s="213">
        <v>0</v>
      </c>
      <c r="I165" s="213">
        <v>0</v>
      </c>
      <c r="J165" s="213">
        <v>0</v>
      </c>
      <c r="K165" s="215">
        <f t="shared" si="30"/>
        <v>467.676116780566</v>
      </c>
      <c r="L165" s="215">
        <f t="shared" si="30"/>
        <v>489.288058052527</v>
      </c>
      <c r="M165" s="215">
        <f t="shared" si="30"/>
        <v>506.066936923207</v>
      </c>
      <c r="N165" s="215">
        <f t="shared" si="30"/>
        <v>526.298347100487</v>
      </c>
      <c r="O165" s="215">
        <f t="shared" si="30"/>
        <v>550.662109781342</v>
      </c>
    </row>
    <row r="166" spans="2:19">
      <c r="C166" s="551" t="s">
        <v>140</v>
      </c>
      <c r="F166" s="139"/>
      <c r="G166" s="173"/>
      <c r="H166" s="242">
        <f t="shared" ref="H166:O166" si="31">SUM(H161:H165)</f>
        <v>49616</v>
      </c>
      <c r="I166" s="242">
        <f t="shared" si="31"/>
        <v>58360</v>
      </c>
      <c r="J166" s="242">
        <f t="shared" si="31"/>
        <v>68642</v>
      </c>
      <c r="K166" s="242">
        <f t="shared" si="31"/>
        <v>38400.0432431265</v>
      </c>
      <c r="L166" s="242">
        <f t="shared" si="31"/>
        <v>22871.0901032856</v>
      </c>
      <c r="M166" s="242">
        <f t="shared" si="31"/>
        <v>20642.5571761037</v>
      </c>
      <c r="N166" s="242">
        <f t="shared" si="31"/>
        <v>21400.1319119801</v>
      </c>
      <c r="O166" s="242">
        <f t="shared" si="31"/>
        <v>22310.9819862559</v>
      </c>
    </row>
    <row r="167" spans="2:19">
      <c r="F167" s="173"/>
      <c r="G167" s="240"/>
      <c r="H167" s="173"/>
      <c r="I167" s="173"/>
      <c r="J167" s="274"/>
      <c r="K167" s="274"/>
      <c r="L167" s="274"/>
      <c r="M167" s="274"/>
      <c r="N167" s="274"/>
      <c r="O167" s="274"/>
    </row>
    <row r="168" spans="2:19">
      <c r="C168" t="s">
        <v>141</v>
      </c>
      <c r="F168" s="113"/>
      <c r="G168" s="273"/>
      <c r="H168" s="252">
        <v>29725</v>
      </c>
      <c r="I168" s="252">
        <v>35836</v>
      </c>
      <c r="J168" s="252">
        <v>40643</v>
      </c>
      <c r="K168" s="244">
        <f>J168-K134-K127</f>
        <v>62583.4666666667</v>
      </c>
      <c r="L168" s="244">
        <f>K168-L134-L127</f>
        <v>77507.2666666667</v>
      </c>
      <c r="M168" s="244">
        <f>L168-M134-M127</f>
        <v>89647.7333333334</v>
      </c>
      <c r="N168" s="244">
        <f>M168-N134-N127</f>
        <v>100554.866666667</v>
      </c>
      <c r="O168" s="244">
        <f>N168-O134-O127</f>
        <v>110228.666666667</v>
      </c>
    </row>
    <row r="169" spans="2:19">
      <c r="C169" s="115" t="s">
        <v>39</v>
      </c>
      <c r="F169" s="113"/>
      <c r="G169" s="273"/>
      <c r="H169" s="213">
        <v>27277</v>
      </c>
      <c r="I169" s="213">
        <v>27874</v>
      </c>
      <c r="J169" s="213">
        <v>28521</v>
      </c>
      <c r="K169" s="215">
        <f>J169-K135</f>
        <v>28521</v>
      </c>
      <c r="L169" s="215">
        <f>K169-L135</f>
        <v>28521</v>
      </c>
      <c r="M169" s="215">
        <f>L169-M135</f>
        <v>28521</v>
      </c>
      <c r="N169" s="215">
        <f>M169-N135</f>
        <v>28521</v>
      </c>
      <c r="O169" s="215">
        <f>N169-O135</f>
        <v>28521</v>
      </c>
    </row>
    <row r="170" spans="2:19">
      <c r="C170" s="112" t="s">
        <v>142</v>
      </c>
      <c r="F170" s="113"/>
      <c r="G170" s="273"/>
      <c r="H170" s="275">
        <f>SUM(H168:H169)</f>
        <v>57002</v>
      </c>
      <c r="I170" s="275">
        <f t="shared" ref="I170:O170" si="32">SUM(I168:I169)</f>
        <v>63710</v>
      </c>
      <c r="J170" s="275">
        <f t="shared" si="32"/>
        <v>69164</v>
      </c>
      <c r="K170" s="275">
        <f t="shared" si="32"/>
        <v>91104.4666666667</v>
      </c>
      <c r="L170" s="275">
        <f t="shared" si="32"/>
        <v>106028.266666667</v>
      </c>
      <c r="M170" s="275">
        <f t="shared" si="32"/>
        <v>118168.733333333</v>
      </c>
      <c r="N170" s="275">
        <f t="shared" si="32"/>
        <v>129075.866666667</v>
      </c>
      <c r="O170" s="275">
        <f t="shared" si="32"/>
        <v>138749.666666667</v>
      </c>
    </row>
    <row r="171" spans="2:19">
      <c r="C171" s="115"/>
      <c r="F171" s="113"/>
      <c r="G171" s="273"/>
      <c r="H171" s="252"/>
      <c r="I171" s="252"/>
      <c r="J171" s="252"/>
      <c r="K171" s="244"/>
      <c r="L171" s="244"/>
      <c r="M171" s="244"/>
      <c r="N171" s="244"/>
      <c r="O171" s="244"/>
    </row>
    <row r="172" ht="15.95" spans="2:19">
      <c r="C172" s="110" t="s">
        <v>143</v>
      </c>
      <c r="F172" s="139"/>
      <c r="G172" s="177"/>
      <c r="H172" s="179">
        <f>+H166+H170</f>
        <v>106618</v>
      </c>
      <c r="I172" s="179">
        <f t="shared" ref="I172:O172" si="33">+I166+I170</f>
        <v>122070</v>
      </c>
      <c r="J172" s="179">
        <f t="shared" si="33"/>
        <v>137806</v>
      </c>
      <c r="K172" s="179">
        <f t="shared" si="33"/>
        <v>129504.509909793</v>
      </c>
      <c r="L172" s="179">
        <f t="shared" si="33"/>
        <v>128899.356769952</v>
      </c>
      <c r="M172" s="179">
        <f t="shared" si="33"/>
        <v>138811.290509437</v>
      </c>
      <c r="N172" s="179">
        <f t="shared" si="33"/>
        <v>150475.998578647</v>
      </c>
      <c r="O172" s="179">
        <f t="shared" si="33"/>
        <v>161060.648652923</v>
      </c>
    </row>
    <row r="173" ht="15.95" spans="2:19">
      <c r="F173" s="173"/>
      <c r="G173" s="240"/>
      <c r="H173" s="173"/>
      <c r="I173" s="173"/>
      <c r="J173" s="240"/>
      <c r="K173" s="240"/>
      <c r="L173" s="240"/>
      <c r="M173" s="240"/>
      <c r="N173" s="240"/>
      <c r="O173" s="240"/>
    </row>
    <row r="174" spans="2:19">
      <c r="F174" s="173"/>
      <c r="G174" s="240"/>
      <c r="H174" s="173"/>
      <c r="I174" s="173"/>
      <c r="J174" s="240"/>
      <c r="K174" s="240"/>
      <c r="L174" s="240"/>
      <c r="M174" s="240"/>
      <c r="N174" s="240"/>
      <c r="O174" s="240"/>
    </row>
    <row r="175" spans="2:19">
      <c r="B175" s="551" t="s">
        <v>144</v>
      </c>
      <c r="F175" s="173"/>
      <c r="G175" s="240"/>
      <c r="H175" s="173"/>
      <c r="I175" s="173"/>
      <c r="J175" s="240"/>
      <c r="K175" s="240"/>
      <c r="L175" s="240"/>
      <c r="M175" s="240"/>
      <c r="N175" s="240"/>
      <c r="O175" s="240"/>
    </row>
    <row r="176" spans="2:19">
      <c r="C176" s="115" t="s">
        <v>145</v>
      </c>
      <c r="F176" s="113"/>
      <c r="G176" s="245"/>
      <c r="H176" s="252">
        <v>0</v>
      </c>
      <c r="I176" s="252">
        <v>0</v>
      </c>
      <c r="J176" s="252">
        <v>0</v>
      </c>
      <c r="K176" s="242">
        <f>K306</f>
        <v>0</v>
      </c>
      <c r="L176" s="242">
        <f>L306</f>
        <v>0</v>
      </c>
      <c r="M176" s="242">
        <f>M306</f>
        <v>14029.693998043</v>
      </c>
      <c r="N176" s="242">
        <f>N306</f>
        <v>32839.1147952027</v>
      </c>
      <c r="O176" s="242">
        <f>O306</f>
        <v>53176.4158162117</v>
      </c>
    </row>
    <row r="177" spans="2:15">
      <c r="C177" s="115" t="s">
        <v>63</v>
      </c>
      <c r="F177" s="113"/>
      <c r="G177" s="245"/>
      <c r="H177" s="276">
        <v>14431</v>
      </c>
      <c r="I177" s="276">
        <v>12474</v>
      </c>
      <c r="J177" s="276">
        <v>13371</v>
      </c>
      <c r="K177" s="168">
        <f t="shared" ref="K177:O178" si="34">K270</f>
        <v>9821.19845239189</v>
      </c>
      <c r="L177" s="168">
        <f t="shared" si="34"/>
        <v>10111.9531997522</v>
      </c>
      <c r="M177" s="168">
        <f t="shared" si="34"/>
        <v>10121.3387384641</v>
      </c>
      <c r="N177" s="168">
        <f t="shared" si="34"/>
        <v>10175.1013772761</v>
      </c>
      <c r="O177" s="168">
        <f t="shared" si="34"/>
        <v>10462.5800858455</v>
      </c>
    </row>
    <row r="178" spans="2:15">
      <c r="C178" s="115" t="s">
        <v>39</v>
      </c>
      <c r="F178" s="113"/>
      <c r="G178" s="273"/>
      <c r="H178" s="213">
        <v>14317</v>
      </c>
      <c r="I178" s="213">
        <v>16347</v>
      </c>
      <c r="J178" s="213">
        <v>18343</v>
      </c>
      <c r="K178" s="215">
        <f t="shared" si="34"/>
        <v>11691.9029195142</v>
      </c>
      <c r="L178" s="215">
        <f t="shared" si="34"/>
        <v>12069.1054319623</v>
      </c>
      <c r="M178" s="215">
        <f t="shared" si="34"/>
        <v>12145.606486157</v>
      </c>
      <c r="N178" s="215">
        <f t="shared" si="34"/>
        <v>12280.294765678</v>
      </c>
      <c r="O178" s="215">
        <f t="shared" si="34"/>
        <v>12848.7825615646</v>
      </c>
    </row>
    <row r="179" spans="2:15">
      <c r="C179" s="551" t="s">
        <v>146</v>
      </c>
      <c r="F179" s="139"/>
      <c r="G179" s="173"/>
      <c r="H179" s="168">
        <f t="shared" ref="H179:O179" si="35">SUM(H176:H178)</f>
        <v>28748</v>
      </c>
      <c r="I179" s="168">
        <f t="shared" si="35"/>
        <v>28821</v>
      </c>
      <c r="J179" s="168">
        <f t="shared" si="35"/>
        <v>31714</v>
      </c>
      <c r="K179" s="168">
        <f t="shared" si="35"/>
        <v>21513.1013719061</v>
      </c>
      <c r="L179" s="168">
        <f t="shared" si="35"/>
        <v>22181.0586317145</v>
      </c>
      <c r="M179" s="168">
        <f t="shared" si="35"/>
        <v>36296.6392226641</v>
      </c>
      <c r="N179" s="168">
        <f t="shared" si="35"/>
        <v>55294.5109381568</v>
      </c>
      <c r="O179" s="168">
        <f t="shared" si="35"/>
        <v>76487.7784636219</v>
      </c>
    </row>
    <row r="180" spans="2:15">
      <c r="F180" s="173"/>
      <c r="G180" s="240"/>
      <c r="H180" s="173"/>
      <c r="I180" s="173"/>
      <c r="J180" s="240"/>
      <c r="K180" s="240"/>
      <c r="L180" s="240"/>
      <c r="M180" s="242"/>
      <c r="N180" s="240"/>
      <c r="O180" s="240"/>
    </row>
    <row r="181" spans="2:15">
      <c r="C181" t="s">
        <v>113</v>
      </c>
      <c r="F181" s="113"/>
      <c r="G181" s="240"/>
      <c r="H181" s="277">
        <v>0</v>
      </c>
      <c r="I181" s="277">
        <v>0</v>
      </c>
      <c r="J181" s="277">
        <v>0</v>
      </c>
      <c r="K181" s="242">
        <f>J181+K237</f>
        <v>27</v>
      </c>
      <c r="L181" s="242">
        <f>K181+L237</f>
        <v>54</v>
      </c>
      <c r="M181" s="242">
        <f>L181+M237</f>
        <v>81</v>
      </c>
      <c r="N181" s="242">
        <f>M181+N237</f>
        <v>108</v>
      </c>
      <c r="O181" s="242">
        <f>N181+O237</f>
        <v>135</v>
      </c>
    </row>
    <row r="182" spans="2:15">
      <c r="C182" s="115" t="s">
        <v>147</v>
      </c>
      <c r="F182" s="113"/>
      <c r="G182" s="278"/>
      <c r="H182" s="213">
        <v>14261</v>
      </c>
      <c r="I182" s="213">
        <v>19569</v>
      </c>
      <c r="J182" s="213">
        <v>23226</v>
      </c>
      <c r="K182" s="170">
        <f>K315</f>
        <v>23226</v>
      </c>
      <c r="L182" s="170">
        <f>L315</f>
        <v>23226</v>
      </c>
      <c r="M182" s="170">
        <f>M315</f>
        <v>23226</v>
      </c>
      <c r="N182" s="170">
        <f>N315</f>
        <v>23226</v>
      </c>
      <c r="O182" s="170">
        <f>O315</f>
        <v>23226</v>
      </c>
    </row>
    <row r="183" spans="2:15">
      <c r="C183" s="112" t="s">
        <v>148</v>
      </c>
      <c r="F183" s="139"/>
      <c r="G183" s="245"/>
      <c r="H183" s="242">
        <f t="shared" ref="H183:O183" si="36">SUM(H181:H182)</f>
        <v>14261</v>
      </c>
      <c r="I183" s="242">
        <f t="shared" si="36"/>
        <v>19569</v>
      </c>
      <c r="J183" s="242">
        <f t="shared" si="36"/>
        <v>23226</v>
      </c>
      <c r="K183" s="242">
        <f t="shared" si="36"/>
        <v>23253</v>
      </c>
      <c r="L183" s="242">
        <f t="shared" si="36"/>
        <v>23280</v>
      </c>
      <c r="M183" s="242">
        <f t="shared" si="36"/>
        <v>23307</v>
      </c>
      <c r="N183" s="242">
        <f t="shared" si="36"/>
        <v>23334</v>
      </c>
      <c r="O183" s="242">
        <f t="shared" si="36"/>
        <v>23361</v>
      </c>
    </row>
    <row r="184" spans="2:15">
      <c r="C184" s="112"/>
      <c r="F184" s="173"/>
      <c r="G184" s="240"/>
      <c r="H184" s="173"/>
      <c r="I184" s="173"/>
      <c r="J184" s="240"/>
      <c r="K184" s="240"/>
      <c r="L184" s="240"/>
      <c r="M184" s="240"/>
      <c r="N184" s="240"/>
      <c r="O184" s="240"/>
    </row>
    <row r="185" spans="2:15">
      <c r="C185" s="112" t="s">
        <v>149</v>
      </c>
      <c r="F185" s="139"/>
      <c r="G185" s="177"/>
      <c r="H185" s="172">
        <f t="shared" ref="H185:O185" si="37">H183+H179</f>
        <v>43009</v>
      </c>
      <c r="I185" s="172">
        <f t="shared" si="37"/>
        <v>48390</v>
      </c>
      <c r="J185" s="172">
        <f t="shared" si="37"/>
        <v>54940</v>
      </c>
      <c r="K185" s="172">
        <f t="shared" si="37"/>
        <v>44766.1013719061</v>
      </c>
      <c r="L185" s="172">
        <f t="shared" si="37"/>
        <v>45461.0586317145</v>
      </c>
      <c r="M185" s="172">
        <f t="shared" si="37"/>
        <v>59603.6392226641</v>
      </c>
      <c r="N185" s="172">
        <f t="shared" si="37"/>
        <v>78628.5109381568</v>
      </c>
      <c r="O185" s="172">
        <f t="shared" si="37"/>
        <v>99848.7784636219</v>
      </c>
    </row>
    <row r="186" spans="2:15">
      <c r="F186" s="173"/>
      <c r="G186" s="173"/>
      <c r="H186" s="173"/>
      <c r="I186" s="173"/>
      <c r="J186" s="240"/>
      <c r="K186" s="240"/>
      <c r="L186" s="240"/>
      <c r="M186" s="240"/>
      <c r="N186" s="240"/>
      <c r="O186" s="240"/>
    </row>
    <row r="187" spans="2:15">
      <c r="C187" t="s">
        <v>150</v>
      </c>
      <c r="F187" s="113"/>
      <c r="G187" s="173"/>
      <c r="H187" s="252">
        <v>35727</v>
      </c>
      <c r="I187" s="252">
        <v>38471</v>
      </c>
      <c r="J187" s="252">
        <v>43863</v>
      </c>
      <c r="K187" s="242">
        <f>K333</f>
        <v>43863</v>
      </c>
      <c r="L187" s="242">
        <f>L333</f>
        <v>43863</v>
      </c>
      <c r="M187" s="242">
        <f>M333</f>
        <v>43863</v>
      </c>
      <c r="N187" s="242">
        <f>N333</f>
        <v>43863</v>
      </c>
      <c r="O187" s="242">
        <f>O333</f>
        <v>43863</v>
      </c>
    </row>
    <row r="188" spans="2:15">
      <c r="C188" t="s">
        <v>151</v>
      </c>
      <c r="F188" s="113"/>
      <c r="G188" s="279"/>
      <c r="H188" s="213">
        <v>27882</v>
      </c>
      <c r="I188" s="213">
        <v>35209</v>
      </c>
      <c r="J188" s="213">
        <v>39003</v>
      </c>
      <c r="K188" s="215">
        <f>K344</f>
        <v>40875.4085378872</v>
      </c>
      <c r="L188" s="215">
        <f>L344</f>
        <v>39575.2981382377</v>
      </c>
      <c r="M188" s="215">
        <f>M344</f>
        <v>35344.651286773</v>
      </c>
      <c r="N188" s="215">
        <f>N344</f>
        <v>27984.4876404899</v>
      </c>
      <c r="O188" s="215">
        <f>O344</f>
        <v>17348.8701893007</v>
      </c>
    </row>
    <row r="189" spans="2:15">
      <c r="C189" s="551" t="s">
        <v>152</v>
      </c>
      <c r="F189" s="139"/>
      <c r="G189" s="245"/>
      <c r="H189" s="248">
        <f>SUM(H187:H188)</f>
        <v>63609</v>
      </c>
      <c r="I189" s="248">
        <f>SUM(I187:I188)</f>
        <v>73680</v>
      </c>
      <c r="J189" s="248">
        <f t="shared" ref="J189:O189" si="38">SUM(J187:J188)</f>
        <v>82866</v>
      </c>
      <c r="K189" s="248">
        <f t="shared" si="38"/>
        <v>84738.4085378872</v>
      </c>
      <c r="L189" s="248">
        <f t="shared" si="38"/>
        <v>83438.2981382377</v>
      </c>
      <c r="M189" s="248">
        <f t="shared" si="38"/>
        <v>79207.651286773</v>
      </c>
      <c r="N189" s="248">
        <f t="shared" si="38"/>
        <v>71847.4876404899</v>
      </c>
      <c r="O189" s="248">
        <f t="shared" si="38"/>
        <v>61211.8701893007</v>
      </c>
    </row>
    <row r="190" spans="2:15">
      <c r="F190" s="173"/>
      <c r="G190" s="173"/>
      <c r="H190" s="240"/>
      <c r="I190" s="240"/>
      <c r="J190" s="240"/>
      <c r="K190" s="240"/>
      <c r="L190" s="240"/>
      <c r="M190" s="240"/>
      <c r="N190" s="240"/>
      <c r="O190" s="240"/>
    </row>
    <row r="191" ht="15.95" spans="2:15">
      <c r="B191" s="551" t="s">
        <v>153</v>
      </c>
      <c r="F191" s="139"/>
      <c r="G191" s="177"/>
      <c r="H191" s="179">
        <f>H189+H185</f>
        <v>106618</v>
      </c>
      <c r="I191" s="179">
        <f>I189+I185</f>
        <v>122070</v>
      </c>
      <c r="J191" s="179">
        <f t="shared" ref="J191:O191" si="39">J189+J185</f>
        <v>137806</v>
      </c>
      <c r="K191" s="179">
        <f t="shared" si="39"/>
        <v>129504.509909793</v>
      </c>
      <c r="L191" s="179">
        <f t="shared" si="39"/>
        <v>128899.356769952</v>
      </c>
      <c r="M191" s="179">
        <f t="shared" si="39"/>
        <v>138811.290509437</v>
      </c>
      <c r="N191" s="179">
        <f t="shared" si="39"/>
        <v>150475.998578647</v>
      </c>
      <c r="O191" s="179">
        <f t="shared" si="39"/>
        <v>161060.648652923</v>
      </c>
    </row>
    <row r="192" ht="15.95" spans="2:15">
      <c r="F192" s="280"/>
      <c r="G192" s="280"/>
      <c r="H192" s="281"/>
      <c r="I192" s="281"/>
      <c r="J192" s="281"/>
      <c r="K192" s="281"/>
      <c r="L192" s="281"/>
      <c r="M192" s="281"/>
      <c r="N192" s="281"/>
      <c r="O192" s="281"/>
    </row>
    <row r="193" spans="1:243">
      <c r="B193" s="237"/>
      <c r="D193" s="189" t="s">
        <v>154</v>
      </c>
      <c r="F193" s="282"/>
      <c r="G193" s="282"/>
      <c r="H193" s="283">
        <f>ROUND(H172-H191,3)</f>
        <v>0</v>
      </c>
      <c r="I193" s="283">
        <f t="shared" ref="I193:O193" si="40">ROUND(I172-I191,3)</f>
        <v>0</v>
      </c>
      <c r="J193" s="283">
        <f t="shared" si="40"/>
        <v>0</v>
      </c>
      <c r="K193" s="283">
        <f t="shared" si="40"/>
        <v>0</v>
      </c>
      <c r="L193" s="283">
        <f t="shared" si="40"/>
        <v>0</v>
      </c>
      <c r="M193" s="283">
        <f t="shared" si="40"/>
        <v>0</v>
      </c>
      <c r="N193" s="283">
        <f t="shared" si="40"/>
        <v>0</v>
      </c>
      <c r="O193" s="283">
        <f t="shared" si="40"/>
        <v>0</v>
      </c>
    </row>
    <row r="194" spans="1:243">
      <c r="B194" s="284"/>
      <c r="C194" s="149"/>
      <c r="D194" s="149"/>
      <c r="E194" s="149"/>
      <c r="F194" s="149"/>
      <c r="G194" s="149"/>
      <c r="H194" s="149"/>
      <c r="I194" s="149"/>
      <c r="J194" s="149"/>
      <c r="K194" s="285"/>
      <c r="L194" s="285"/>
      <c r="M194" s="285"/>
      <c r="N194" s="285"/>
      <c r="O194" s="285"/>
    </row>
    <row r="195" spans="1:243">
      <c r="F195"/>
    </row>
    <row r="196" ht="12.75" customHeight="1" spans="1:243">
      <c r="A196" s="96"/>
      <c r="B196" s="97"/>
      <c r="C196" s="93"/>
      <c r="D196" s="93"/>
      <c r="E196" s="93"/>
      <c r="F196" s="94"/>
      <c r="G196" s="93"/>
      <c r="H196" s="93"/>
      <c r="I196" s="93"/>
      <c r="J196" s="93"/>
      <c r="K196" s="93"/>
      <c r="L196" s="93"/>
      <c r="M196" s="93"/>
      <c r="N196" s="93"/>
      <c r="O196" s="151" t="str">
        <f>$O$1</f>
        <v>CURRENTLY RUNNING: WORST CASE SCENARIO</v>
      </c>
    </row>
    <row r="197" ht="22.7" customHeight="1" spans="1:243">
      <c r="B197" s="286" t="str">
        <f>B$2</f>
        <v>Tesla</v>
      </c>
      <c r="C197" s="287"/>
      <c r="D197" s="287"/>
      <c r="E197" s="288"/>
      <c r="F197" s="288"/>
      <c r="G197" s="289"/>
      <c r="H197" s="289"/>
      <c r="I197" s="289"/>
      <c r="J197" s="289"/>
      <c r="K197" s="289"/>
      <c r="L197" s="289"/>
      <c r="M197" s="289"/>
      <c r="N197" s="289"/>
      <c r="O197" s="289"/>
    </row>
    <row r="198" ht="20.4" spans="1:243">
      <c r="B198" s="99" t="s">
        <v>155</v>
      </c>
      <c r="C198" s="99"/>
      <c r="D198" s="99"/>
      <c r="E198" s="290"/>
      <c r="F198" s="290"/>
      <c r="G198" s="99"/>
      <c r="H198" s="99"/>
      <c r="I198" s="99"/>
      <c r="J198" s="99"/>
      <c r="K198" s="99"/>
      <c r="L198" s="99"/>
      <c r="M198" s="99"/>
      <c r="N198" s="99"/>
      <c r="O198" s="99"/>
    </row>
    <row r="199" ht="3" customHeight="1" spans="1:243">
      <c r="A199" s="98"/>
      <c r="B199" s="102"/>
      <c r="C199" s="103"/>
      <c r="D199" s="103"/>
      <c r="E199" s="103"/>
      <c r="F199" s="104"/>
      <c r="G199" s="103"/>
      <c r="H199" s="103"/>
      <c r="I199" s="103"/>
      <c r="J199" s="103"/>
      <c r="K199" s="103"/>
      <c r="L199" s="103"/>
      <c r="M199" s="103"/>
      <c r="N199" s="103"/>
      <c r="O199" s="103"/>
    </row>
    <row r="200" spans="1:243">
      <c r="B200" s="555" t="s">
        <v>101</v>
      </c>
      <c r="C200" s="237"/>
      <c r="E200" s="90"/>
      <c r="G200" s="237"/>
    </row>
    <row r="201" spans="1:243">
      <c r="E201" s="90"/>
      <c r="K201" s="106" t="s">
        <v>76</v>
      </c>
      <c r="L201" s="291"/>
      <c r="M201" s="291"/>
      <c r="N201" s="291"/>
      <c r="O201" s="291"/>
    </row>
    <row r="202" spans="1:243">
      <c r="C202" s="110"/>
      <c r="D202" s="110"/>
      <c r="E202" s="171"/>
      <c r="F202" s="292"/>
      <c r="G202" s="271"/>
      <c r="H202" s="109">
        <f t="shared" ref="H202:O202" si="41">H$7</f>
        <v>2023</v>
      </c>
      <c r="I202" s="109">
        <f t="shared" si="41"/>
        <v>2024</v>
      </c>
      <c r="J202" s="109">
        <f t="shared" si="41"/>
        <v>2025</v>
      </c>
      <c r="K202" s="293">
        <f t="shared" si="41"/>
        <v>2026</v>
      </c>
      <c r="L202" s="293">
        <f t="shared" si="41"/>
        <v>2027</v>
      </c>
      <c r="M202" s="293">
        <f t="shared" si="41"/>
        <v>2028</v>
      </c>
      <c r="N202" s="293">
        <f t="shared" si="41"/>
        <v>2029</v>
      </c>
      <c r="O202" s="293">
        <f t="shared" si="41"/>
        <v>2030</v>
      </c>
    </row>
    <row r="204" ht="13.35" customHeight="1" spans="1:243">
      <c r="A204" s="294"/>
      <c r="B204" s="295" t="s">
        <v>156</v>
      </c>
      <c r="C204" s="223"/>
      <c r="D204" s="223"/>
      <c r="E204" s="223"/>
      <c r="F204" s="296">
        <f>Assumptions!H39</f>
        <v>15</v>
      </c>
      <c r="K204" s="297"/>
      <c r="L204" s="298"/>
      <c r="M204" s="298"/>
      <c r="N204" s="298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299"/>
      <c r="AH204" s="299"/>
      <c r="AI204" s="299"/>
      <c r="AJ204" s="299"/>
      <c r="AK204" s="299"/>
      <c r="AL204" s="299"/>
      <c r="AM204" s="299"/>
      <c r="AN204" s="299"/>
      <c r="AO204" s="299"/>
      <c r="AP204" s="299"/>
      <c r="AQ204" s="299"/>
      <c r="AR204" s="299"/>
      <c r="AS204" s="299"/>
      <c r="AT204" s="299"/>
      <c r="AU204" s="299"/>
      <c r="AV204" s="299"/>
      <c r="AW204" s="299"/>
      <c r="AX204" s="299"/>
      <c r="AY204" s="299"/>
      <c r="AZ204" s="299"/>
      <c r="BA204" s="299"/>
      <c r="BB204" s="299"/>
      <c r="BC204" s="299"/>
      <c r="BD204" s="299"/>
      <c r="BE204" s="299"/>
      <c r="BF204" s="299"/>
      <c r="BG204" s="299"/>
      <c r="BH204" s="299"/>
      <c r="BI204" s="299"/>
      <c r="BJ204" s="299"/>
      <c r="BK204" s="299"/>
      <c r="BL204" s="299"/>
      <c r="BM204" s="299"/>
      <c r="BN204" s="299"/>
      <c r="BO204" s="299"/>
      <c r="BP204" s="299"/>
      <c r="BQ204" s="299"/>
      <c r="BR204" s="299"/>
      <c r="BS204" s="299"/>
      <c r="BT204" s="299"/>
      <c r="BU204" s="299"/>
      <c r="BV204" s="299"/>
      <c r="BW204" s="299"/>
      <c r="BX204" s="299"/>
      <c r="BY204" s="299"/>
      <c r="BZ204" s="299"/>
      <c r="CA204" s="299"/>
      <c r="CB204" s="299"/>
      <c r="CC204" s="299"/>
      <c r="CD204" s="299"/>
      <c r="CE204" s="299"/>
      <c r="CF204" s="299"/>
      <c r="CG204" s="299"/>
      <c r="CH204" s="299"/>
      <c r="CI204" s="299"/>
      <c r="CJ204" s="299"/>
      <c r="CK204" s="299"/>
      <c r="CL204" s="299"/>
      <c r="CM204" s="299"/>
      <c r="CN204" s="299"/>
      <c r="CO204" s="299"/>
      <c r="CP204" s="299"/>
      <c r="CQ204" s="299"/>
      <c r="CR204" s="299"/>
      <c r="CS204" s="299"/>
      <c r="CT204" s="299"/>
      <c r="CU204" s="299"/>
      <c r="CV204" s="299"/>
      <c r="CW204" s="299"/>
      <c r="CX204" s="299"/>
      <c r="CY204" s="299"/>
      <c r="CZ204" s="299"/>
      <c r="DA204" s="299"/>
      <c r="DB204" s="299"/>
      <c r="DC204" s="299"/>
      <c r="DD204" s="299"/>
      <c r="DE204" s="299"/>
      <c r="DF204" s="299"/>
      <c r="DG204" s="299"/>
      <c r="DH204" s="299"/>
      <c r="DI204" s="299"/>
      <c r="DJ204" s="299"/>
      <c r="DK204" s="299"/>
      <c r="DL204" s="299"/>
      <c r="DM204" s="299"/>
      <c r="DN204" s="299"/>
      <c r="DO204" s="299"/>
      <c r="DP204" s="299"/>
      <c r="DQ204" s="299"/>
      <c r="DR204" s="299"/>
      <c r="DS204" s="299"/>
      <c r="DT204" s="299"/>
      <c r="DU204" s="299"/>
      <c r="DV204" s="299"/>
      <c r="DW204" s="299"/>
      <c r="DX204" s="299"/>
      <c r="DY204" s="299"/>
      <c r="DZ204" s="299"/>
      <c r="EA204" s="299"/>
      <c r="EB204" s="299"/>
      <c r="EC204" s="299"/>
      <c r="ED204" s="299"/>
      <c r="EE204" s="299"/>
      <c r="EF204" s="299"/>
      <c r="EG204" s="299"/>
      <c r="EH204" s="299"/>
      <c r="EI204" s="299"/>
      <c r="EJ204" s="299"/>
      <c r="EK204" s="299"/>
      <c r="EL204" s="299"/>
      <c r="EM204" s="299"/>
      <c r="EN204" s="299"/>
      <c r="EO204" s="299"/>
      <c r="EP204" s="299"/>
      <c r="EQ204" s="299"/>
      <c r="ER204" s="299"/>
      <c r="ES204" s="299"/>
      <c r="ET204" s="299"/>
      <c r="EU204" s="299"/>
      <c r="EV204" s="299"/>
      <c r="EW204" s="299"/>
      <c r="EX204" s="299"/>
      <c r="EY204" s="299"/>
      <c r="EZ204" s="299"/>
      <c r="FA204" s="299"/>
      <c r="FB204" s="299"/>
      <c r="FC204" s="299"/>
      <c r="FD204" s="299"/>
      <c r="FE204" s="299"/>
      <c r="FF204" s="299"/>
      <c r="FG204" s="299"/>
      <c r="FH204" s="299"/>
      <c r="FI204" s="299"/>
      <c r="FJ204" s="299"/>
      <c r="FK204" s="299"/>
      <c r="FL204" s="299"/>
      <c r="FM204" s="299"/>
      <c r="FN204" s="299"/>
      <c r="FO204" s="299"/>
      <c r="FP204" s="299"/>
      <c r="FQ204" s="299"/>
      <c r="FR204" s="299"/>
      <c r="FS204" s="299"/>
      <c r="FT204" s="299"/>
      <c r="FU204" s="299"/>
      <c r="FV204" s="299"/>
      <c r="FW204" s="299"/>
      <c r="FX204" s="299"/>
      <c r="FY204" s="299"/>
      <c r="FZ204" s="299"/>
      <c r="GA204" s="299"/>
      <c r="GB204" s="299"/>
      <c r="GC204" s="299"/>
      <c r="GD204" s="299"/>
      <c r="GE204" s="299"/>
      <c r="GF204" s="299"/>
      <c r="GG204" s="299"/>
      <c r="GH204" s="299"/>
      <c r="GI204" s="299"/>
      <c r="GJ204" s="299"/>
      <c r="GK204" s="299"/>
      <c r="GL204" s="299"/>
      <c r="GM204" s="299"/>
      <c r="GN204" s="299"/>
      <c r="GO204" s="299"/>
      <c r="GP204" s="299"/>
      <c r="GQ204" s="299"/>
      <c r="GR204" s="299"/>
      <c r="GS204" s="299"/>
      <c r="GT204" s="299"/>
      <c r="GU204" s="299"/>
      <c r="GV204" s="299"/>
      <c r="GW204" s="299"/>
      <c r="GX204" s="299"/>
      <c r="GY204" s="299"/>
      <c r="GZ204" s="299"/>
      <c r="HA204" s="299"/>
      <c r="HB204" s="299"/>
      <c r="HC204" s="299"/>
      <c r="HD204" s="299"/>
      <c r="HE204" s="299"/>
      <c r="HF204" s="299"/>
      <c r="HG204" s="299"/>
      <c r="HH204" s="299"/>
      <c r="HI204" s="299"/>
      <c r="HJ204" s="299"/>
      <c r="HK204" s="299"/>
      <c r="HL204" s="299"/>
      <c r="HM204" s="299"/>
      <c r="HN204" s="299"/>
      <c r="HO204" s="299"/>
      <c r="HP204" s="299"/>
      <c r="HQ204" s="299"/>
      <c r="HR204" s="299"/>
      <c r="HS204" s="299"/>
      <c r="HT204" s="299"/>
      <c r="HU204" s="299"/>
      <c r="HV204" s="299"/>
      <c r="HW204" s="299"/>
      <c r="HX204" s="299"/>
      <c r="HY204" s="299"/>
      <c r="HZ204" s="299"/>
      <c r="IA204" s="299"/>
      <c r="IB204" s="299"/>
      <c r="IC204" s="299"/>
      <c r="ID204" s="299"/>
      <c r="IE204" s="299"/>
      <c r="IF204" s="299"/>
      <c r="IG204" s="299"/>
      <c r="IH204" s="299"/>
      <c r="II204" s="299"/>
    </row>
    <row r="205" ht="13.35" customHeight="1" spans="1:243">
      <c r="A205" s="294"/>
      <c r="B205" s="300" t="s">
        <v>157</v>
      </c>
      <c r="C205" s="149"/>
      <c r="D205" s="301"/>
      <c r="E205" s="302"/>
      <c r="F205" s="303">
        <f>Assumptions!H40</f>
        <v>15</v>
      </c>
      <c r="K205" s="297"/>
      <c r="L205" s="298"/>
      <c r="M205" s="298"/>
      <c r="N205" s="298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299"/>
      <c r="AH205" s="299"/>
      <c r="AI205" s="299"/>
      <c r="AJ205" s="299"/>
      <c r="AK205" s="299"/>
      <c r="AL205" s="299"/>
      <c r="AM205" s="299"/>
      <c r="AN205" s="299"/>
      <c r="AO205" s="299"/>
      <c r="AP205" s="299"/>
      <c r="AQ205" s="299"/>
      <c r="AR205" s="299"/>
      <c r="AS205" s="299"/>
      <c r="AT205" s="299"/>
      <c r="AU205" s="299"/>
      <c r="AV205" s="299"/>
      <c r="AW205" s="299"/>
      <c r="AX205" s="299"/>
      <c r="AY205" s="299"/>
      <c r="AZ205" s="299"/>
      <c r="BA205" s="299"/>
      <c r="BB205" s="299"/>
      <c r="BC205" s="299"/>
      <c r="BD205" s="299"/>
      <c r="BE205" s="299"/>
      <c r="BF205" s="299"/>
      <c r="BG205" s="299"/>
      <c r="BH205" s="299"/>
      <c r="BI205" s="299"/>
      <c r="BJ205" s="299"/>
      <c r="BK205" s="299"/>
      <c r="BL205" s="299"/>
      <c r="BM205" s="299"/>
      <c r="BN205" s="299"/>
      <c r="BO205" s="299"/>
      <c r="BP205" s="299"/>
      <c r="BQ205" s="299"/>
      <c r="BR205" s="299"/>
      <c r="BS205" s="299"/>
      <c r="BT205" s="299"/>
      <c r="BU205" s="299"/>
      <c r="BV205" s="299"/>
      <c r="BW205" s="299"/>
      <c r="BX205" s="299"/>
      <c r="BY205" s="299"/>
      <c r="BZ205" s="299"/>
      <c r="CA205" s="299"/>
      <c r="CB205" s="299"/>
      <c r="CC205" s="299"/>
      <c r="CD205" s="299"/>
      <c r="CE205" s="299"/>
      <c r="CF205" s="299"/>
      <c r="CG205" s="299"/>
      <c r="CH205" s="299"/>
      <c r="CI205" s="299"/>
      <c r="CJ205" s="299"/>
      <c r="CK205" s="299"/>
      <c r="CL205" s="299"/>
      <c r="CM205" s="299"/>
      <c r="CN205" s="299"/>
      <c r="CO205" s="299"/>
      <c r="CP205" s="299"/>
      <c r="CQ205" s="299"/>
      <c r="CR205" s="299"/>
      <c r="CS205" s="299"/>
      <c r="CT205" s="299"/>
      <c r="CU205" s="299"/>
      <c r="CV205" s="299"/>
      <c r="CW205" s="299"/>
      <c r="CX205" s="299"/>
      <c r="CY205" s="299"/>
      <c r="CZ205" s="299"/>
      <c r="DA205" s="299"/>
      <c r="DB205" s="299"/>
      <c r="DC205" s="299"/>
      <c r="DD205" s="299"/>
      <c r="DE205" s="299"/>
      <c r="DF205" s="299"/>
      <c r="DG205" s="299"/>
      <c r="DH205" s="299"/>
      <c r="DI205" s="299"/>
      <c r="DJ205" s="299"/>
      <c r="DK205" s="299"/>
      <c r="DL205" s="299"/>
      <c r="DM205" s="299"/>
      <c r="DN205" s="299"/>
      <c r="DO205" s="299"/>
      <c r="DP205" s="299"/>
      <c r="DQ205" s="299"/>
      <c r="DR205" s="299"/>
      <c r="DS205" s="299"/>
      <c r="DT205" s="299"/>
      <c r="DU205" s="299"/>
      <c r="DV205" s="299"/>
      <c r="DW205" s="299"/>
      <c r="DX205" s="299"/>
      <c r="DY205" s="299"/>
      <c r="DZ205" s="299"/>
      <c r="EA205" s="299"/>
      <c r="EB205" s="299"/>
      <c r="EC205" s="299"/>
      <c r="ED205" s="299"/>
      <c r="EE205" s="299"/>
      <c r="EF205" s="299"/>
      <c r="EG205" s="299"/>
      <c r="EH205" s="299"/>
      <c r="EI205" s="299"/>
      <c r="EJ205" s="299"/>
      <c r="EK205" s="299"/>
      <c r="EL205" s="299"/>
      <c r="EM205" s="299"/>
      <c r="EN205" s="299"/>
      <c r="EO205" s="299"/>
      <c r="EP205" s="299"/>
      <c r="EQ205" s="299"/>
      <c r="ER205" s="299"/>
      <c r="ES205" s="299"/>
      <c r="ET205" s="299"/>
      <c r="EU205" s="299"/>
      <c r="EV205" s="299"/>
      <c r="EW205" s="299"/>
      <c r="EX205" s="299"/>
      <c r="EY205" s="299"/>
      <c r="EZ205" s="299"/>
      <c r="FA205" s="299"/>
      <c r="FB205" s="299"/>
      <c r="FC205" s="299"/>
      <c r="FD205" s="299"/>
      <c r="FE205" s="299"/>
      <c r="FF205" s="299"/>
      <c r="FG205" s="299"/>
      <c r="FH205" s="299"/>
      <c r="FI205" s="299"/>
      <c r="FJ205" s="299"/>
      <c r="FK205" s="299"/>
      <c r="FL205" s="299"/>
      <c r="FM205" s="299"/>
      <c r="FN205" s="299"/>
      <c r="FO205" s="299"/>
      <c r="FP205" s="299"/>
      <c r="FQ205" s="299"/>
      <c r="FR205" s="299"/>
      <c r="FS205" s="299"/>
      <c r="FT205" s="299"/>
      <c r="FU205" s="299"/>
      <c r="FV205" s="299"/>
      <c r="FW205" s="299"/>
      <c r="FX205" s="299"/>
      <c r="FY205" s="299"/>
      <c r="FZ205" s="299"/>
      <c r="GA205" s="299"/>
      <c r="GB205" s="299"/>
      <c r="GC205" s="299"/>
      <c r="GD205" s="299"/>
      <c r="GE205" s="299"/>
      <c r="GF205" s="299"/>
      <c r="GG205" s="299"/>
      <c r="GH205" s="299"/>
      <c r="GI205" s="299"/>
      <c r="GJ205" s="299"/>
      <c r="GK205" s="299"/>
      <c r="GL205" s="299"/>
      <c r="GM205" s="299"/>
      <c r="GN205" s="299"/>
      <c r="GO205" s="299"/>
      <c r="GP205" s="299"/>
      <c r="GQ205" s="299"/>
      <c r="GR205" s="299"/>
      <c r="GS205" s="299"/>
      <c r="GT205" s="299"/>
      <c r="GU205" s="299"/>
      <c r="GV205" s="299"/>
      <c r="GW205" s="299"/>
      <c r="GX205" s="299"/>
      <c r="GY205" s="299"/>
      <c r="GZ205" s="299"/>
      <c r="HA205" s="299"/>
      <c r="HB205" s="299"/>
      <c r="HC205" s="299"/>
      <c r="HD205" s="299"/>
      <c r="HE205" s="299"/>
      <c r="HF205" s="299"/>
      <c r="HG205" s="299"/>
      <c r="HH205" s="299"/>
      <c r="HI205" s="299"/>
      <c r="HJ205" s="299"/>
      <c r="HK205" s="299"/>
      <c r="HL205" s="299"/>
      <c r="HM205" s="299"/>
      <c r="HN205" s="299"/>
      <c r="HO205" s="299"/>
      <c r="HP205" s="299"/>
      <c r="HQ205" s="299"/>
      <c r="HR205" s="299"/>
      <c r="HS205" s="299"/>
      <c r="HT205" s="299"/>
      <c r="HU205" s="299"/>
      <c r="HV205" s="299"/>
      <c r="HW205" s="299"/>
      <c r="HX205" s="299"/>
      <c r="HY205" s="299"/>
      <c r="HZ205" s="299"/>
      <c r="IA205" s="299"/>
      <c r="IB205" s="299"/>
      <c r="IC205" s="299"/>
      <c r="ID205" s="299"/>
      <c r="IE205" s="299"/>
      <c r="IF205" s="299"/>
      <c r="IG205" s="299"/>
      <c r="IH205" s="299"/>
      <c r="II205" s="299"/>
    </row>
    <row r="206" ht="12.75" customHeight="1" spans="1:243">
      <c r="F206"/>
      <c r="K206" s="304"/>
    </row>
    <row r="207" spans="1:243">
      <c r="D207" t="s">
        <v>158</v>
      </c>
      <c r="F207"/>
      <c r="H207" s="305"/>
      <c r="I207" s="305"/>
      <c r="J207" s="305"/>
      <c r="K207" s="306">
        <f>J168/F204</f>
        <v>2709.53333333333</v>
      </c>
      <c r="L207" s="306">
        <f>K207</f>
        <v>2709.53333333333</v>
      </c>
      <c r="M207" s="306">
        <f>L207</f>
        <v>2709.53333333333</v>
      </c>
      <c r="N207" s="306">
        <f>M207</f>
        <v>2709.53333333333</v>
      </c>
      <c r="O207" s="306">
        <f>N207</f>
        <v>2709.53333333333</v>
      </c>
    </row>
    <row r="208" spans="1:243">
      <c r="F208"/>
    </row>
    <row r="209" spans="1:15">
      <c r="D209" s="307" t="s">
        <v>125</v>
      </c>
      <c r="F209"/>
    </row>
    <row r="210" spans="1:15">
      <c r="D210" s="308">
        <f>K202</f>
        <v>2026</v>
      </c>
      <c r="E210" s="309">
        <f>-HLOOKUP(D210,$K$124:$O$134,ROWS($K$124:$K$134),FALSE)</f>
        <v>25500</v>
      </c>
      <c r="F210" s="310"/>
      <c r="H210" s="298"/>
      <c r="I210" s="298"/>
      <c r="J210" s="298"/>
      <c r="K210" s="311">
        <f>IF(K$202=$D210,$E210/$F$205/2,($E210/$F$205))</f>
        <v>850</v>
      </c>
      <c r="L210" s="311">
        <f>IF(L$202=$D210,$E210/$F$205/2,($E210/$F$205))</f>
        <v>1700</v>
      </c>
      <c r="M210" s="311">
        <f>IF(M$202=$D210,$E210/$F$205/2,($E210/$F$205))</f>
        <v>1700</v>
      </c>
      <c r="N210" s="311">
        <f>IF(N$202=$D210,$E210/$F$205/2,($E210/$F$205))</f>
        <v>1700</v>
      </c>
      <c r="O210" s="311">
        <f>IF(O$202=$D210,$E210/$F$205/2,($E210/$F$205))</f>
        <v>1700</v>
      </c>
    </row>
    <row r="211" spans="1:15">
      <c r="D211" s="308">
        <f>D210+1</f>
        <v>2027</v>
      </c>
      <c r="E211" s="309">
        <f>-HLOOKUP(D211,$K$124:$O$134,ROWS($K$124:$K$134),FALSE)</f>
        <v>20000</v>
      </c>
      <c r="F211" s="310"/>
      <c r="H211" s="298"/>
      <c r="I211" s="298"/>
      <c r="J211" s="298"/>
      <c r="K211" s="311"/>
      <c r="L211" s="311">
        <f>IF(L$202=$D211,$E211/$F$205/2,($E211/$F$205))</f>
        <v>666.666666666667</v>
      </c>
      <c r="M211" s="311">
        <f>IF(M$202=$D211,$E211/$F$205/2,($E211/$F$205))</f>
        <v>1333.33333333333</v>
      </c>
      <c r="N211" s="311">
        <f>IF(N$202=$D211,$E211/$F$205/2,($E211/$F$205))</f>
        <v>1333.33333333333</v>
      </c>
      <c r="O211" s="311">
        <f>IF(O$202=$D211,$E211/$F$205/2,($E211/$F$205))</f>
        <v>1333.33333333333</v>
      </c>
    </row>
    <row r="212" spans="1:15">
      <c r="D212" s="308">
        <f>D211+1</f>
        <v>2028</v>
      </c>
      <c r="E212" s="309">
        <f>-HLOOKUP(D212,$K$124:$O$134,ROWS($K$124:$K$134),FALSE)</f>
        <v>18500</v>
      </c>
      <c r="F212" s="310"/>
      <c r="H212" s="176"/>
      <c r="I212" s="176"/>
      <c r="J212" s="176"/>
      <c r="K212" s="311"/>
      <c r="L212" s="311"/>
      <c r="M212" s="311">
        <f>IF(M$202=$D212,$E212/$F$205/2,($E212/$F$205))</f>
        <v>616.666666666667</v>
      </c>
      <c r="N212" s="311">
        <f>IF(N$202=$D212,$E212/$F$205/2,($E212/$F$205))</f>
        <v>1233.33333333333</v>
      </c>
      <c r="O212" s="311">
        <f>IF(O$202=$D212,$E212/$F$205/2,($E212/$F$205))</f>
        <v>1233.33333333333</v>
      </c>
    </row>
    <row r="213" spans="1:15">
      <c r="D213" s="308">
        <f>D212+1</f>
        <v>2029</v>
      </c>
      <c r="E213" s="309">
        <f>-HLOOKUP(D213,$K$124:$O$134,ROWS($K$124:$K$134),FALSE)</f>
        <v>18500</v>
      </c>
      <c r="F213" s="310"/>
      <c r="H213" s="176"/>
      <c r="I213" s="176"/>
      <c r="J213" s="176"/>
      <c r="K213" s="217"/>
      <c r="L213" s="311"/>
      <c r="M213" s="311"/>
      <c r="N213" s="311">
        <f>IF(N$202=$D213,$E213/$F$205/2,($E213/$F$205))</f>
        <v>616.666666666667</v>
      </c>
      <c r="O213" s="311">
        <f>IF(O$202=$D213,$E213/$F$205/2,($E213/$F$205))</f>
        <v>1233.33333333333</v>
      </c>
    </row>
    <row r="214" spans="1:15">
      <c r="D214" s="308">
        <f>D213+1</f>
        <v>2030</v>
      </c>
      <c r="E214" s="312">
        <f>-HLOOKUP(D214,$K$124:$O$134,ROWS($K$124:$K$134),FALSE)</f>
        <v>18500</v>
      </c>
      <c r="F214" s="310"/>
      <c r="H214" s="176"/>
      <c r="I214" s="176"/>
      <c r="J214" s="176"/>
      <c r="K214" s="217"/>
      <c r="L214" s="217"/>
      <c r="M214" s="311"/>
      <c r="N214" s="311"/>
      <c r="O214" s="311">
        <f>IF(O$202=$D214,$E214/$F$205/2,($E214/$F$205))</f>
        <v>616.666666666667</v>
      </c>
    </row>
    <row r="216" ht="15.95" spans="1:15">
      <c r="D216" s="313" t="s">
        <v>159</v>
      </c>
      <c r="H216" s="314"/>
      <c r="I216" s="314"/>
      <c r="J216" s="314"/>
      <c r="K216" s="314">
        <f>SUM(K207:K214)</f>
        <v>3559.53333333333</v>
      </c>
      <c r="L216" s="314">
        <f>SUM(L207:L214)</f>
        <v>5076.2</v>
      </c>
      <c r="M216" s="314">
        <f>SUM(M207:M214)</f>
        <v>6359.53333333333</v>
      </c>
      <c r="N216" s="314">
        <f>SUM(N207:N214)</f>
        <v>7592.86666666666</v>
      </c>
      <c r="O216" s="314">
        <f>SUM(O207:O214)</f>
        <v>8826.2</v>
      </c>
    </row>
    <row r="217" ht="15.95" spans="1:15">
      <c r="B217" s="149"/>
      <c r="C217" s="149"/>
      <c r="D217" s="149"/>
      <c r="E217" s="149"/>
      <c r="F217" s="150"/>
      <c r="G217" s="149"/>
      <c r="H217" s="315"/>
      <c r="I217" s="315"/>
      <c r="J217" s="315"/>
      <c r="K217" s="315"/>
      <c r="L217" s="315"/>
      <c r="M217" s="315"/>
      <c r="N217" s="315"/>
      <c r="O217" s="149"/>
    </row>
    <row r="218" spans="1:15">
      <c r="F218"/>
    </row>
    <row r="219" ht="12.75" customHeight="1" spans="1:15">
      <c r="A219" s="96"/>
      <c r="B219" s="97"/>
      <c r="C219" s="93"/>
      <c r="D219" s="93"/>
      <c r="E219" s="93"/>
      <c r="F219" s="94"/>
      <c r="G219" s="93"/>
      <c r="H219" s="93"/>
      <c r="I219" s="93"/>
      <c r="J219" s="93"/>
      <c r="K219" s="93"/>
      <c r="L219" s="93"/>
      <c r="M219" s="93"/>
      <c r="N219" s="93"/>
      <c r="O219" s="151" t="str">
        <f>$O$1</f>
        <v>CURRENTLY RUNNING: WORST CASE SCENARIO</v>
      </c>
    </row>
    <row r="220" ht="26" spans="1:15">
      <c r="B220" s="97" t="str">
        <f>B$2</f>
        <v>Tesla</v>
      </c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</row>
    <row r="221" ht="20.4" spans="1:15">
      <c r="B221" s="99" t="s">
        <v>160</v>
      </c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</row>
    <row r="222" ht="3" customHeight="1" spans="1:15">
      <c r="A222" s="98"/>
      <c r="B222" s="102"/>
      <c r="C222" s="103"/>
      <c r="D222" s="103"/>
      <c r="E222" s="103"/>
      <c r="F222" s="104"/>
      <c r="G222" s="103"/>
      <c r="H222" s="103"/>
      <c r="I222" s="103"/>
      <c r="J222" s="103"/>
      <c r="K222" s="103"/>
      <c r="L222" s="103"/>
      <c r="M222" s="103"/>
      <c r="N222" s="103"/>
      <c r="O222" s="103"/>
    </row>
    <row r="223" spans="1:15">
      <c r="B223" s="555" t="s">
        <v>101</v>
      </c>
      <c r="F223"/>
    </row>
    <row r="224" spans="1:15">
      <c r="F224"/>
      <c r="H224" s="270"/>
      <c r="I224" s="270"/>
      <c r="J224" s="270"/>
      <c r="K224" s="106" t="s">
        <v>76</v>
      </c>
      <c r="L224" s="107"/>
      <c r="M224" s="107"/>
      <c r="N224" s="107"/>
      <c r="O224" s="107"/>
    </row>
    <row r="225" spans="2:16">
      <c r="B225" s="316"/>
      <c r="C225" s="317" t="s">
        <v>161</v>
      </c>
      <c r="D225" s="318"/>
      <c r="E225" s="319">
        <f>Assumptions!N39</f>
        <v>0.27</v>
      </c>
      <c r="F225"/>
      <c r="H225" s="271"/>
      <c r="I225" s="271"/>
      <c r="J225" s="271"/>
      <c r="K225" s="152">
        <f>K$7</f>
        <v>2026</v>
      </c>
      <c r="L225" s="152">
        <f>L$7</f>
        <v>2027</v>
      </c>
      <c r="M225" s="152">
        <f>M$7</f>
        <v>2028</v>
      </c>
      <c r="N225" s="152">
        <f>N$7</f>
        <v>2029</v>
      </c>
      <c r="O225" s="152">
        <f>O$7</f>
        <v>2030</v>
      </c>
    </row>
    <row r="226" spans="2:16">
      <c r="B226" s="316"/>
      <c r="C226" s="110"/>
      <c r="E226" s="320"/>
      <c r="F226"/>
      <c r="H226" s="271"/>
      <c r="I226" s="271"/>
      <c r="J226" s="271"/>
      <c r="K226" s="152"/>
      <c r="L226" s="152"/>
      <c r="M226" s="152"/>
      <c r="N226" s="152"/>
      <c r="O226" s="152"/>
    </row>
    <row r="227" spans="2:16">
      <c r="F227"/>
    </row>
    <row r="228" spans="2:16">
      <c r="D228" s="551" t="s">
        <v>162</v>
      </c>
      <c r="F228"/>
      <c r="H228" s="321" t="s">
        <v>163</v>
      </c>
      <c r="I228" s="298"/>
      <c r="J228" s="298"/>
      <c r="K228" s="322">
        <f>K103</f>
        <v>2564.94320258514</v>
      </c>
      <c r="L228" s="322">
        <f>L103</f>
        <v>-1780.97315020467</v>
      </c>
      <c r="M228" s="322">
        <f>M103</f>
        <v>-5795.4066458421</v>
      </c>
      <c r="N228" s="322">
        <f>N103</f>
        <v>-10082.4159538124</v>
      </c>
      <c r="O228" s="322">
        <f>O103</f>
        <v>-14569.3389742318</v>
      </c>
    </row>
    <row r="229" ht="6" customHeight="1" spans="2:16">
      <c r="E229" s="323"/>
      <c r="F229" s="323"/>
      <c r="H229" s="202"/>
      <c r="I229" s="202"/>
      <c r="J229" s="202"/>
      <c r="K229" s="202"/>
      <c r="L229" s="202"/>
      <c r="M229" s="202"/>
      <c r="N229" s="202"/>
      <c r="O229" s="202"/>
    </row>
    <row r="230" ht="16" spans="2:16">
      <c r="D230" t="s">
        <v>164</v>
      </c>
      <c r="F230"/>
      <c r="K230" s="324">
        <f>Assumptions!J61</f>
        <v>100</v>
      </c>
      <c r="L230" s="324">
        <f>Assumptions!K61</f>
        <v>100</v>
      </c>
      <c r="M230" s="324">
        <f>Assumptions!L61</f>
        <v>100</v>
      </c>
      <c r="N230" s="324">
        <f>Assumptions!M61</f>
        <v>100</v>
      </c>
      <c r="O230" s="324">
        <f>Assumptions!N61</f>
        <v>100</v>
      </c>
    </row>
    <row r="231" spans="2:16">
      <c r="D231" s="551" t="s">
        <v>165</v>
      </c>
      <c r="F231" s="323"/>
      <c r="H231" s="321" t="s">
        <v>166</v>
      </c>
      <c r="I231" s="325"/>
      <c r="J231" s="325"/>
      <c r="K231" s="322">
        <f>K228-K230</f>
        <v>2464.94320258514</v>
      </c>
      <c r="L231" s="322">
        <f>L228-L230</f>
        <v>-1880.97315020467</v>
      </c>
      <c r="M231" s="322">
        <f>M228-M230</f>
        <v>-5895.4066458421</v>
      </c>
      <c r="N231" s="322">
        <f>N228-N230</f>
        <v>-10182.4159538124</v>
      </c>
      <c r="O231" s="322">
        <f>O228-O230</f>
        <v>-14669.3389742318</v>
      </c>
    </row>
    <row r="232" spans="2:16">
      <c r="E232" s="110"/>
      <c r="F232"/>
      <c r="H232" s="298"/>
      <c r="I232" s="298"/>
      <c r="J232" s="298"/>
      <c r="K232" s="311"/>
      <c r="L232" s="311"/>
      <c r="M232" s="311"/>
      <c r="N232" s="311"/>
      <c r="O232" s="311"/>
      <c r="P232" s="217"/>
    </row>
    <row r="233" spans="2:16">
      <c r="D233" s="115" t="str">
        <f>CONCATENATE("Accounting Taxes (",$E$225*100,"% of A)")</f>
        <v>Accounting Taxes (27% of A)</v>
      </c>
      <c r="E233" s="323"/>
      <c r="F233" s="202"/>
      <c r="G233" s="202"/>
      <c r="H233" s="298"/>
      <c r="I233" s="298"/>
      <c r="J233" s="298"/>
      <c r="K233" s="311">
        <f>$E$225*K228</f>
        <v>692.534664697988</v>
      </c>
      <c r="L233" s="311">
        <f>$E$225*L228</f>
        <v>-480.862750555262</v>
      </c>
      <c r="M233" s="311">
        <f>$E$225*M228</f>
        <v>-1564.75979437737</v>
      </c>
      <c r="N233" s="311">
        <f>$E$225*N228</f>
        <v>-2722.25230752936</v>
      </c>
      <c r="O233" s="311">
        <f>$E$225*O228</f>
        <v>-3933.72152304259</v>
      </c>
    </row>
    <row r="234" spans="2:16">
      <c r="F234" s="326"/>
      <c r="H234" s="298"/>
      <c r="I234" s="298"/>
      <c r="J234" s="298"/>
      <c r="K234" s="298"/>
      <c r="L234" s="298"/>
      <c r="M234" s="298"/>
      <c r="N234" s="298"/>
      <c r="O234" s="298"/>
    </row>
    <row r="235" spans="2:16">
      <c r="D235" s="222" t="s">
        <v>167</v>
      </c>
      <c r="E235" s="327"/>
      <c r="F235" s="328"/>
      <c r="G235" s="328"/>
      <c r="H235" s="328"/>
      <c r="I235" s="328"/>
      <c r="J235" s="328"/>
      <c r="K235" s="328"/>
      <c r="L235" s="328"/>
      <c r="M235" s="328"/>
      <c r="N235" s="328"/>
      <c r="O235" s="329"/>
    </row>
    <row r="236" spans="2:16">
      <c r="D236" s="330" t="str">
        <f>CONCATENATE("Current Tax (",$E$225*100,"% of B)")</f>
        <v>Current Tax (27% of B)</v>
      </c>
      <c r="E236" s="323"/>
      <c r="F236" s="202"/>
      <c r="G236" s="331"/>
      <c r="H236" s="298"/>
      <c r="I236" s="298"/>
      <c r="J236" s="298"/>
      <c r="K236" s="311">
        <f>$E$225*K231</f>
        <v>665.534664697988</v>
      </c>
      <c r="L236" s="311">
        <f>$E$225*L231</f>
        <v>-507.862750555262</v>
      </c>
      <c r="M236" s="311">
        <f>$E$225*M231</f>
        <v>-1591.75979437737</v>
      </c>
      <c r="N236" s="311">
        <f>$E$225*N231</f>
        <v>-2749.25230752936</v>
      </c>
      <c r="O236" s="332">
        <f>$E$225*O231</f>
        <v>-3960.72152304259</v>
      </c>
    </row>
    <row r="237" spans="2:16">
      <c r="D237" s="227" t="s">
        <v>168</v>
      </c>
      <c r="E237" s="323"/>
      <c r="F237" s="202"/>
      <c r="G237" s="202"/>
      <c r="H237" s="298"/>
      <c r="I237" s="298"/>
      <c r="J237" s="298"/>
      <c r="K237" s="333">
        <f>K233-K236</f>
        <v>27</v>
      </c>
      <c r="L237" s="333">
        <f>L233-L236</f>
        <v>27</v>
      </c>
      <c r="M237" s="333">
        <f>M233-M236</f>
        <v>27</v>
      </c>
      <c r="N237" s="333">
        <f>N233-N236</f>
        <v>27</v>
      </c>
      <c r="O237" s="334">
        <f>O233-O236</f>
        <v>27</v>
      </c>
    </row>
    <row r="238" spans="2:16">
      <c r="D238" s="335" t="s">
        <v>169</v>
      </c>
      <c r="E238" s="336"/>
      <c r="F238" s="337"/>
      <c r="G238" s="337"/>
      <c r="H238" s="338"/>
      <c r="I238" s="338"/>
      <c r="J238" s="338"/>
      <c r="K238" s="339">
        <f>SUM(K236:K237)</f>
        <v>692.534664697988</v>
      </c>
      <c r="L238" s="339">
        <f>SUM(L236:L237)</f>
        <v>-480.862750555262</v>
      </c>
      <c r="M238" s="339">
        <f>SUM(M236:M237)</f>
        <v>-1564.75979437737</v>
      </c>
      <c r="N238" s="339">
        <f>SUM(N236:N237)</f>
        <v>-2722.25230752936</v>
      </c>
      <c r="O238" s="340">
        <f>SUM(O236:O237)</f>
        <v>-3933.72152304259</v>
      </c>
    </row>
    <row r="239" spans="2:16">
      <c r="E239" s="323"/>
      <c r="F239" s="202"/>
      <c r="G239" s="202"/>
      <c r="H239" s="202"/>
      <c r="I239" s="202"/>
      <c r="J239" s="202"/>
      <c r="K239" s="202"/>
      <c r="L239" s="202"/>
      <c r="M239" s="202"/>
      <c r="N239" s="202"/>
      <c r="O239" s="202"/>
    </row>
    <row r="240" spans="2:16">
      <c r="C240" s="341" t="s">
        <v>170</v>
      </c>
      <c r="E240" s="323"/>
      <c r="F240" s="202"/>
      <c r="G240" s="202"/>
      <c r="H240" s="202"/>
      <c r="I240" s="202"/>
      <c r="J240" s="202"/>
      <c r="K240" s="202"/>
      <c r="L240" s="202"/>
      <c r="M240" s="202"/>
      <c r="N240" s="202"/>
      <c r="O240" s="202"/>
    </row>
    <row r="241" ht="6" customHeight="1" spans="1:15">
      <c r="B241" s="149"/>
      <c r="C241" s="149"/>
      <c r="D241" s="149"/>
      <c r="E241" s="342"/>
      <c r="F241" s="342"/>
      <c r="G241" s="343"/>
      <c r="H241" s="343"/>
      <c r="I241" s="343"/>
      <c r="J241" s="343"/>
      <c r="K241" s="343"/>
      <c r="L241" s="343"/>
      <c r="M241" s="343"/>
      <c r="N241" s="343"/>
      <c r="O241" s="149"/>
    </row>
    <row r="243" ht="12.75" customHeight="1" spans="1:15">
      <c r="A243" s="96"/>
      <c r="B243" s="97"/>
      <c r="C243" s="93"/>
      <c r="D243" s="93"/>
      <c r="E243" s="93"/>
      <c r="F243" s="94"/>
      <c r="G243" s="93"/>
      <c r="H243" s="93"/>
      <c r="I243" s="93"/>
      <c r="J243" s="93"/>
      <c r="K243" s="93"/>
      <c r="L243" s="93"/>
      <c r="M243" s="93"/>
      <c r="N243" s="93"/>
      <c r="O243" s="151" t="str">
        <f>$O$1</f>
        <v>CURRENTLY RUNNING: WORST CASE SCENARIO</v>
      </c>
    </row>
    <row r="244" ht="26" spans="1:15">
      <c r="B244" s="97" t="str">
        <f>B$2</f>
        <v>Tesla</v>
      </c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</row>
    <row r="245" ht="20.4" spans="1:15">
      <c r="B245" s="99" t="s">
        <v>171</v>
      </c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</row>
    <row r="246" ht="3" customHeight="1" spans="1:15">
      <c r="A246" s="98"/>
      <c r="B246" s="102"/>
      <c r="C246" s="103"/>
      <c r="D246" s="103"/>
      <c r="E246" s="103"/>
      <c r="F246" s="104"/>
      <c r="G246" s="103"/>
      <c r="H246" s="103"/>
      <c r="I246" s="103"/>
      <c r="J246" s="103"/>
      <c r="K246" s="103"/>
      <c r="L246" s="103"/>
      <c r="M246" s="103"/>
      <c r="N246" s="103"/>
      <c r="O246" s="103"/>
    </row>
    <row r="247" spans="1:15">
      <c r="B247" s="555" t="s">
        <v>101</v>
      </c>
      <c r="F247"/>
      <c r="O247" s="115"/>
    </row>
    <row r="248" spans="1:15">
      <c r="F248"/>
      <c r="H248" s="93"/>
      <c r="I248" s="93"/>
      <c r="J248" s="93"/>
      <c r="K248" s="106" t="s">
        <v>76</v>
      </c>
      <c r="L248" s="107"/>
      <c r="M248" s="107"/>
      <c r="N248" s="107"/>
      <c r="O248" s="107"/>
    </row>
    <row r="249" ht="12" customHeight="1" spans="1:15">
      <c r="F249"/>
      <c r="G249" s="239"/>
      <c r="H249" s="109">
        <f t="shared" ref="H249:O249" si="42">H$7</f>
        <v>2023</v>
      </c>
      <c r="I249" s="109">
        <f t="shared" si="42"/>
        <v>2024</v>
      </c>
      <c r="J249" s="109">
        <f t="shared" si="42"/>
        <v>2025</v>
      </c>
      <c r="K249" s="152">
        <f t="shared" si="42"/>
        <v>2026</v>
      </c>
      <c r="L249" s="152">
        <f t="shared" si="42"/>
        <v>2027</v>
      </c>
      <c r="M249" s="152">
        <f t="shared" si="42"/>
        <v>2028</v>
      </c>
      <c r="N249" s="152">
        <f t="shared" si="42"/>
        <v>2029</v>
      </c>
      <c r="O249" s="152">
        <f t="shared" si="42"/>
        <v>2030</v>
      </c>
    </row>
    <row r="250" ht="12" customHeight="1" spans="1:15">
      <c r="F250"/>
    </row>
    <row r="251" spans="1:15">
      <c r="B251" s="192" t="s">
        <v>172</v>
      </c>
      <c r="C251" s="193"/>
      <c r="D251" s="193"/>
      <c r="E251" s="193"/>
      <c r="F251" s="344" t="s">
        <v>173</v>
      </c>
      <c r="G251" s="193"/>
      <c r="H251" s="193"/>
      <c r="I251" s="345">
        <f t="shared" ref="I251:O251" si="43">DATE(I249,12,31)-DATE(H249,12,31)</f>
        <v>366</v>
      </c>
      <c r="J251" s="345">
        <f t="shared" si="43"/>
        <v>365</v>
      </c>
      <c r="K251" s="345">
        <f t="shared" si="43"/>
        <v>365</v>
      </c>
      <c r="L251" s="345">
        <f t="shared" si="43"/>
        <v>365</v>
      </c>
      <c r="M251" s="345">
        <f t="shared" si="43"/>
        <v>366</v>
      </c>
      <c r="N251" s="345">
        <f t="shared" si="43"/>
        <v>365</v>
      </c>
      <c r="O251" s="346">
        <f t="shared" si="43"/>
        <v>365</v>
      </c>
    </row>
    <row r="252" spans="1:15">
      <c r="F252" s="113"/>
    </row>
    <row r="253" spans="1:15">
      <c r="B253" s="110" t="s">
        <v>174</v>
      </c>
      <c r="F253" s="113"/>
    </row>
    <row r="254" spans="1:15">
      <c r="C254" t="s">
        <v>92</v>
      </c>
      <c r="F254" s="113" t="s">
        <v>90</v>
      </c>
      <c r="I254" s="347">
        <f t="shared" ref="I254:O254" si="44">I87</f>
        <v>97690</v>
      </c>
      <c r="J254" s="347">
        <f t="shared" si="44"/>
        <v>94827</v>
      </c>
      <c r="K254" s="347">
        <f t="shared" si="44"/>
        <v>97877.4227442207</v>
      </c>
      <c r="L254" s="347">
        <f t="shared" si="44"/>
        <v>100748.660199105</v>
      </c>
      <c r="M254" s="347">
        <f t="shared" si="44"/>
        <v>103035.311401096</v>
      </c>
      <c r="N254" s="347">
        <f t="shared" si="44"/>
        <v>105408.787345107</v>
      </c>
      <c r="O254" s="347">
        <f t="shared" si="44"/>
        <v>108574.672320634</v>
      </c>
    </row>
    <row r="255" spans="1:15">
      <c r="C255" t="s">
        <v>175</v>
      </c>
      <c r="F255" s="113" t="s">
        <v>90</v>
      </c>
      <c r="I255" s="347">
        <f t="shared" ref="I255:O255" si="45">I89</f>
        <v>56502</v>
      </c>
      <c r="J255" s="347">
        <f t="shared" si="45"/>
        <v>50119</v>
      </c>
      <c r="K255" s="347">
        <f t="shared" si="45"/>
        <v>56900.5942083022</v>
      </c>
      <c r="L255" s="347">
        <f t="shared" si="45"/>
        <v>59530.0470630574</v>
      </c>
      <c r="M255" s="347">
        <f t="shared" si="45"/>
        <v>61740.1663046313</v>
      </c>
      <c r="N255" s="347">
        <f t="shared" si="45"/>
        <v>64032.9655638925</v>
      </c>
      <c r="O255" s="347">
        <f t="shared" si="45"/>
        <v>66997.2233567299</v>
      </c>
    </row>
    <row r="256" spans="1:15">
      <c r="F256" s="113"/>
    </row>
    <row r="257" spans="2:15">
      <c r="B257" s="348" t="s">
        <v>176</v>
      </c>
      <c r="C257" s="349"/>
      <c r="F257" s="113"/>
    </row>
    <row r="258" spans="2:15">
      <c r="B258" s="350"/>
      <c r="C258" s="349" t="s">
        <v>58</v>
      </c>
      <c r="F258" s="113" t="s">
        <v>173</v>
      </c>
      <c r="G258" s="351"/>
      <c r="H258" s="352"/>
      <c r="I258" s="347">
        <f>I266/I254*I251</f>
        <v>16.5522366670079</v>
      </c>
      <c r="J258" s="347">
        <f>J266/J254*J251</f>
        <v>17.6135488837567</v>
      </c>
      <c r="K258" s="353">
        <f>Assumptions!J64</f>
        <v>18</v>
      </c>
      <c r="L258" s="353">
        <f>Assumptions!K64</f>
        <v>18</v>
      </c>
      <c r="M258" s="353">
        <f>Assumptions!L64</f>
        <v>17</v>
      </c>
      <c r="N258" s="353">
        <f>Assumptions!M64</f>
        <v>17</v>
      </c>
      <c r="O258" s="353">
        <f>Assumptions!N64</f>
        <v>17</v>
      </c>
    </row>
    <row r="259" spans="2:15">
      <c r="B259" s="350"/>
      <c r="C259" s="354" t="s">
        <v>60</v>
      </c>
      <c r="F259" s="113" t="s">
        <v>173</v>
      </c>
      <c r="G259" s="351"/>
      <c r="H259" s="352"/>
      <c r="I259" s="347">
        <f>I267/I255*I251</f>
        <v>77.8418817033025</v>
      </c>
      <c r="J259" s="347">
        <f>J267/J255*J251</f>
        <v>90.2468125860452</v>
      </c>
      <c r="K259" s="353">
        <f>Assumptions!J65</f>
        <v>58</v>
      </c>
      <c r="L259" s="353">
        <f>Assumptions!K65</f>
        <v>57</v>
      </c>
      <c r="M259" s="353">
        <f>Assumptions!L65</f>
        <v>55</v>
      </c>
      <c r="N259" s="353">
        <f>Assumptions!M65</f>
        <v>55</v>
      </c>
      <c r="O259" s="353">
        <f>Assumptions!N65</f>
        <v>55</v>
      </c>
    </row>
    <row r="260" spans="2:15">
      <c r="B260" s="350"/>
      <c r="C260" s="354" t="s">
        <v>61</v>
      </c>
      <c r="F260" s="113" t="s">
        <v>173</v>
      </c>
      <c r="G260" s="355"/>
      <c r="H260" s="356"/>
      <c r="I260" s="145">
        <f>I268/I255*I251</f>
        <v>34.733142189657</v>
      </c>
      <c r="J260" s="145">
        <f>J268/J255*J251</f>
        <v>55.457511123526</v>
      </c>
      <c r="K260" s="357">
        <f>Assumptions!J66</f>
        <v>36</v>
      </c>
      <c r="L260" s="357">
        <f>Assumptions!K66</f>
        <v>36</v>
      </c>
      <c r="M260" s="357">
        <f>Assumptions!L66</f>
        <v>36</v>
      </c>
      <c r="N260" s="357">
        <f>Assumptions!M66</f>
        <v>36</v>
      </c>
      <c r="O260" s="357">
        <f>Assumptions!N66</f>
        <v>36</v>
      </c>
    </row>
    <row r="261" spans="2:15">
      <c r="B261" s="350"/>
      <c r="C261" s="354" t="s">
        <v>62</v>
      </c>
      <c r="F261" s="113" t="s">
        <v>173</v>
      </c>
      <c r="G261" s="355"/>
      <c r="H261" s="356"/>
      <c r="I261" s="145">
        <f>I269/I255*I251</f>
        <v>0</v>
      </c>
      <c r="J261" s="145">
        <f>J269/J255*J251</f>
        <v>0</v>
      </c>
      <c r="K261" s="357">
        <f>Assumptions!J67</f>
        <v>3</v>
      </c>
      <c r="L261" s="357">
        <f>Assumptions!K67</f>
        <v>3</v>
      </c>
      <c r="M261" s="357">
        <f>Assumptions!L67</f>
        <v>3</v>
      </c>
      <c r="N261" s="357">
        <f>Assumptions!M67</f>
        <v>3</v>
      </c>
      <c r="O261" s="357">
        <f>Assumptions!N67</f>
        <v>3</v>
      </c>
    </row>
    <row r="262" spans="2:15">
      <c r="B262" s="350"/>
      <c r="C262" s="349" t="s">
        <v>63</v>
      </c>
      <c r="F262" s="113" t="s">
        <v>173</v>
      </c>
      <c r="G262" s="355"/>
      <c r="H262" s="356"/>
      <c r="I262" s="145">
        <f>I270/I255*I251</f>
        <v>80.8021662949984</v>
      </c>
      <c r="J262" s="145">
        <f>J270/J255*J251</f>
        <v>97.3765438256948</v>
      </c>
      <c r="K262" s="357">
        <f>Assumptions!J68</f>
        <v>63</v>
      </c>
      <c r="L262" s="357">
        <f>Assumptions!K68</f>
        <v>62</v>
      </c>
      <c r="M262" s="357">
        <f>Assumptions!L68</f>
        <v>60</v>
      </c>
      <c r="N262" s="357">
        <f>Assumptions!M68</f>
        <v>58</v>
      </c>
      <c r="O262" s="357">
        <f>Assumptions!N68</f>
        <v>57</v>
      </c>
    </row>
    <row r="263" spans="2:15">
      <c r="B263" s="350"/>
      <c r="C263" s="349" t="s">
        <v>64</v>
      </c>
      <c r="F263" s="113" t="s">
        <v>173</v>
      </c>
      <c r="G263" s="355"/>
      <c r="H263" s="356"/>
      <c r="I263" s="145">
        <f>I271/I255*I251</f>
        <v>105.89009238611</v>
      </c>
      <c r="J263" s="145">
        <f>J271/J255*J251</f>
        <v>133.585965402342</v>
      </c>
      <c r="K263" s="357">
        <f>Assumptions!J69</f>
        <v>75</v>
      </c>
      <c r="L263" s="357">
        <f>Assumptions!K69</f>
        <v>74</v>
      </c>
      <c r="M263" s="357">
        <f>Assumptions!L69</f>
        <v>72</v>
      </c>
      <c r="N263" s="357">
        <f>Assumptions!M69</f>
        <v>70</v>
      </c>
      <c r="O263" s="357">
        <f>Assumptions!N69</f>
        <v>70</v>
      </c>
    </row>
    <row r="264" spans="2:15">
      <c r="B264" s="350"/>
      <c r="C264" s="349"/>
      <c r="F264" s="113"/>
      <c r="H264" s="308"/>
      <c r="I264" s="308"/>
      <c r="J264" s="308"/>
      <c r="K264" s="308"/>
      <c r="L264" s="308"/>
      <c r="M264" s="308"/>
      <c r="N264" s="308"/>
      <c r="O264" s="308"/>
    </row>
    <row r="265" spans="2:15">
      <c r="B265" s="348" t="s">
        <v>177</v>
      </c>
      <c r="C265" s="349"/>
      <c r="F265" s="113"/>
      <c r="H265" s="308"/>
      <c r="I265" s="308"/>
      <c r="J265" s="308"/>
      <c r="K265" s="308"/>
      <c r="L265" s="308"/>
      <c r="M265" s="308"/>
      <c r="N265" s="308"/>
      <c r="O265" s="308"/>
    </row>
    <row r="266" spans="2:15">
      <c r="B266" s="350"/>
      <c r="C266" s="349" t="s">
        <v>58</v>
      </c>
      <c r="F266" s="113" t="s">
        <v>90</v>
      </c>
      <c r="I266" s="145">
        <f t="shared" ref="I266:J269" si="46">I162</f>
        <v>4418</v>
      </c>
      <c r="J266" s="145">
        <f t="shared" si="46"/>
        <v>4576</v>
      </c>
      <c r="K266" s="145">
        <f>K254/K251*K258</f>
        <v>4826.83180656431</v>
      </c>
      <c r="L266" s="145">
        <f>L254/L251*L258</f>
        <v>4968.42707831203</v>
      </c>
      <c r="M266" s="145">
        <f>M254/M251*M258</f>
        <v>4785.79315250993</v>
      </c>
      <c r="N266" s="145">
        <f>N254/N251*N258</f>
        <v>4909.45036949814</v>
      </c>
      <c r="O266" s="145">
        <f>O254/O251*O258</f>
        <v>5056.9025464405</v>
      </c>
    </row>
    <row r="267" spans="2:15">
      <c r="B267" s="350"/>
      <c r="C267" s="354" t="s">
        <v>60</v>
      </c>
      <c r="F267" s="113" t="s">
        <v>90</v>
      </c>
      <c r="I267" s="145">
        <f t="shared" si="46"/>
        <v>12017</v>
      </c>
      <c r="J267" s="145">
        <f t="shared" si="46"/>
        <v>12392</v>
      </c>
      <c r="K267" s="145">
        <f>K255/K251*K259</f>
        <v>9041.73825775762</v>
      </c>
      <c r="L267" s="145">
        <f>L255/L251*L259</f>
        <v>9296.473102998</v>
      </c>
      <c r="M267" s="145">
        <f>M255/M251*M259</f>
        <v>9277.89384359213</v>
      </c>
      <c r="N267" s="145">
        <f>N255/N251*N259</f>
        <v>9648.80303017559</v>
      </c>
      <c r="O267" s="145">
        <f>O255/O251*O259</f>
        <v>10095.4720126579</v>
      </c>
    </row>
    <row r="268" spans="2:15">
      <c r="B268" s="350"/>
      <c r="C268" s="354" t="s">
        <v>61</v>
      </c>
      <c r="F268" s="113" t="s">
        <v>90</v>
      </c>
      <c r="I268" s="145">
        <f t="shared" si="46"/>
        <v>5362</v>
      </c>
      <c r="J268" s="145">
        <f t="shared" si="46"/>
        <v>7615</v>
      </c>
      <c r="K268" s="145">
        <f>K255/K251*K260</f>
        <v>5612.1134013668</v>
      </c>
      <c r="L268" s="145">
        <f>L255/L251*L260</f>
        <v>5871.45669663032</v>
      </c>
      <c r="M268" s="145">
        <f>M255/M251*M260</f>
        <v>6072.80324307848</v>
      </c>
      <c r="N268" s="145">
        <f>N255/N251*N260</f>
        <v>6315.58016520584</v>
      </c>
      <c r="O268" s="145">
        <f>O255/O251*O260</f>
        <v>6607.9453173761</v>
      </c>
    </row>
    <row r="269" spans="2:15">
      <c r="B269" s="350"/>
      <c r="C269" s="354" t="s">
        <v>62</v>
      </c>
      <c r="F269" s="113" t="s">
        <v>90</v>
      </c>
      <c r="I269" s="145">
        <f t="shared" si="46"/>
        <v>0</v>
      </c>
      <c r="J269" s="145">
        <f t="shared" si="46"/>
        <v>0</v>
      </c>
      <c r="K269" s="145">
        <f>K255/K251*K261</f>
        <v>467.676116780566</v>
      </c>
      <c r="L269" s="145">
        <f>L255/L251*L261</f>
        <v>489.288058052527</v>
      </c>
      <c r="M269" s="145">
        <f>M255/M251*M261</f>
        <v>506.066936923207</v>
      </c>
      <c r="N269" s="145">
        <f>N255/N251*N261</f>
        <v>526.298347100487</v>
      </c>
      <c r="O269" s="145">
        <f>O255/O251*O261</f>
        <v>550.662109781342</v>
      </c>
    </row>
    <row r="270" spans="2:15">
      <c r="B270" s="350"/>
      <c r="C270" s="349" t="s">
        <v>63</v>
      </c>
      <c r="F270" s="113" t="s">
        <v>90</v>
      </c>
      <c r="I270" s="144">
        <f>I177</f>
        <v>12474</v>
      </c>
      <c r="J270" s="144">
        <f>J177</f>
        <v>13371</v>
      </c>
      <c r="K270" s="144">
        <f>K255/K251*K262</f>
        <v>9821.19845239189</v>
      </c>
      <c r="L270" s="144">
        <f>L255/L251*L262</f>
        <v>10111.9531997522</v>
      </c>
      <c r="M270" s="144">
        <f>M255/M251*M262</f>
        <v>10121.3387384641</v>
      </c>
      <c r="N270" s="144">
        <f>N255/N251*N262</f>
        <v>10175.1013772761</v>
      </c>
      <c r="O270" s="144">
        <f>O255/O251*O262</f>
        <v>10462.5800858455</v>
      </c>
    </row>
    <row r="271" spans="2:15">
      <c r="B271" s="350"/>
      <c r="C271" s="349" t="s">
        <v>64</v>
      </c>
      <c r="F271" s="113" t="s">
        <v>90</v>
      </c>
      <c r="I271" s="358">
        <f>I178</f>
        <v>16347</v>
      </c>
      <c r="J271" s="358">
        <f>J178</f>
        <v>18343</v>
      </c>
      <c r="K271" s="358">
        <f>K255/K251*K263</f>
        <v>11691.9029195142</v>
      </c>
      <c r="L271" s="358">
        <f>L255/L251*L263</f>
        <v>12069.1054319623</v>
      </c>
      <c r="M271" s="358">
        <f>M255/M251*M263</f>
        <v>12145.606486157</v>
      </c>
      <c r="N271" s="358">
        <f>N255/N251*N263</f>
        <v>12280.294765678</v>
      </c>
      <c r="O271" s="358">
        <f>O255/O251*O263</f>
        <v>12848.7825615646</v>
      </c>
    </row>
    <row r="272" spans="2:15">
      <c r="B272" s="350"/>
      <c r="C272" s="359" t="s">
        <v>178</v>
      </c>
      <c r="D272" s="110"/>
      <c r="E272" s="110"/>
      <c r="F272" s="139" t="s">
        <v>90</v>
      </c>
      <c r="I272" s="360">
        <f>SUM(I266:I269)-SUM(I270:I271)</f>
        <v>-7024</v>
      </c>
      <c r="J272" s="360">
        <f t="shared" ref="J272:O272" si="47">SUM(J266:J269)-SUM(J270:J271)</f>
        <v>-7131</v>
      </c>
      <c r="K272" s="360">
        <f t="shared" si="47"/>
        <v>-1564.74178943676</v>
      </c>
      <c r="L272" s="360">
        <f t="shared" si="47"/>
        <v>-1555.41369572165</v>
      </c>
      <c r="M272" s="360">
        <f t="shared" si="47"/>
        <v>-1624.38804851736</v>
      </c>
      <c r="N272" s="360">
        <f t="shared" si="47"/>
        <v>-1055.26423097404</v>
      </c>
      <c r="O272" s="360">
        <f t="shared" si="47"/>
        <v>-1000.38066115426</v>
      </c>
    </row>
    <row r="273" spans="1:15">
      <c r="B273" s="350"/>
      <c r="C273" s="349"/>
      <c r="F273" s="113"/>
      <c r="H273" s="308"/>
      <c r="I273" s="308"/>
      <c r="J273" s="308"/>
      <c r="K273" s="308"/>
      <c r="L273" s="308"/>
      <c r="M273" s="308"/>
      <c r="N273" s="308"/>
      <c r="O273" s="308"/>
    </row>
    <row r="274" ht="15.95" spans="1:15">
      <c r="B274" s="359" t="s">
        <v>179</v>
      </c>
      <c r="C274" s="350"/>
      <c r="F274" s="139" t="s">
        <v>90</v>
      </c>
      <c r="H274" s="308"/>
      <c r="I274" s="308"/>
      <c r="J274" s="361">
        <f t="shared" ref="J274:O274" si="48">I272-J272</f>
        <v>107</v>
      </c>
      <c r="K274" s="361">
        <f t="shared" si="48"/>
        <v>-5566.25821056324</v>
      </c>
      <c r="L274" s="361">
        <f t="shared" si="48"/>
        <v>-9.32809371510666</v>
      </c>
      <c r="M274" s="361">
        <f t="shared" si="48"/>
        <v>68.9743527957035</v>
      </c>
      <c r="N274" s="361">
        <f t="shared" si="48"/>
        <v>-569.123817543317</v>
      </c>
      <c r="O274" s="361">
        <f t="shared" si="48"/>
        <v>-54.8835698197836</v>
      </c>
    </row>
    <row r="275" ht="15.95" spans="1:15">
      <c r="B275" s="149"/>
      <c r="C275" s="362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</row>
    <row r="277" ht="12.75" customHeight="1" spans="1:15">
      <c r="A277" s="96"/>
      <c r="B277" s="97"/>
      <c r="C277" s="93"/>
      <c r="D277" s="93"/>
      <c r="E277" s="93"/>
      <c r="F277" s="94"/>
      <c r="G277" s="93"/>
      <c r="H277" s="93"/>
      <c r="I277" s="93"/>
      <c r="J277" s="93"/>
      <c r="K277" s="93"/>
      <c r="L277" s="93"/>
      <c r="M277" s="93"/>
      <c r="N277" s="93"/>
      <c r="O277" s="151" t="str">
        <f>$O$1</f>
        <v>CURRENTLY RUNNING: WORST CASE SCENARIO</v>
      </c>
    </row>
    <row r="278" ht="26" spans="1:15">
      <c r="B278" s="97" t="str">
        <f>B$2</f>
        <v>Tesla</v>
      </c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</row>
    <row r="279" ht="20.4" spans="1:15">
      <c r="B279" s="99" t="s">
        <v>180</v>
      </c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</row>
    <row r="280" ht="3" customHeight="1" spans="1:15">
      <c r="A280" s="98"/>
      <c r="B280" s="102"/>
      <c r="C280" s="103"/>
      <c r="D280" s="103"/>
      <c r="E280" s="103"/>
      <c r="F280" s="104"/>
      <c r="G280" s="103"/>
      <c r="H280" s="103"/>
      <c r="I280" s="103"/>
      <c r="J280" s="103"/>
      <c r="K280" s="103"/>
      <c r="L280" s="103"/>
      <c r="M280" s="103"/>
      <c r="N280" s="103"/>
      <c r="O280" s="103"/>
    </row>
    <row r="281" spans="1:15">
      <c r="B281" s="555" t="s">
        <v>101</v>
      </c>
      <c r="F281"/>
      <c r="O281" s="115"/>
    </row>
    <row r="282" spans="1:15">
      <c r="F282"/>
      <c r="H282" s="93"/>
      <c r="I282" s="93"/>
      <c r="J282" s="93"/>
      <c r="K282" s="106" t="s">
        <v>76</v>
      </c>
      <c r="L282" s="107"/>
      <c r="M282" s="107"/>
      <c r="N282" s="107"/>
      <c r="O282" s="107"/>
    </row>
    <row r="283" spans="1:15">
      <c r="F283"/>
      <c r="G283" s="239"/>
      <c r="H283" s="239"/>
      <c r="I283" s="239"/>
      <c r="J283" s="109">
        <f t="shared" ref="J283:O283" si="49">J$7</f>
        <v>2025</v>
      </c>
      <c r="K283" s="152">
        <f t="shared" si="49"/>
        <v>2026</v>
      </c>
      <c r="L283" s="152">
        <f t="shared" si="49"/>
        <v>2027</v>
      </c>
      <c r="M283" s="152">
        <f t="shared" si="49"/>
        <v>2028</v>
      </c>
      <c r="N283" s="152">
        <f t="shared" si="49"/>
        <v>2029</v>
      </c>
      <c r="O283" s="152">
        <f t="shared" si="49"/>
        <v>2030</v>
      </c>
    </row>
    <row r="284" ht="6" customHeight="1"/>
    <row r="285" spans="1:15">
      <c r="B285" s="110" t="s">
        <v>181</v>
      </c>
      <c r="K285" s="363"/>
      <c r="L285" s="363"/>
      <c r="M285" s="363"/>
      <c r="N285" s="363"/>
      <c r="O285" s="363"/>
    </row>
    <row r="286" ht="6" customHeight="1"/>
    <row r="287" spans="1:15">
      <c r="C287" s="110" t="s">
        <v>138</v>
      </c>
    </row>
    <row r="288" spans="1:15">
      <c r="D288" t="s">
        <v>182</v>
      </c>
      <c r="K288" s="217">
        <f>J290</f>
        <v>44059</v>
      </c>
      <c r="L288" s="217">
        <f>K290</f>
        <v>18451.6836606572</v>
      </c>
      <c r="M288" s="217">
        <f>L290</f>
        <v>2245.44516729273</v>
      </c>
      <c r="N288" s="217">
        <f>M290</f>
        <v>0</v>
      </c>
      <c r="O288" s="217">
        <f>N290</f>
        <v>0</v>
      </c>
    </row>
    <row r="289" spans="2:15">
      <c r="D289" t="s">
        <v>183</v>
      </c>
      <c r="J289" s="149"/>
      <c r="K289" s="364">
        <f>K147</f>
        <v>-25607.3163393428</v>
      </c>
      <c r="L289" s="364">
        <f>L147</f>
        <v>-16206.2384933645</v>
      </c>
      <c r="M289" s="364">
        <f>M147</f>
        <v>-2245.44516729273</v>
      </c>
      <c r="N289" s="364">
        <f>N147</f>
        <v>0</v>
      </c>
      <c r="O289" s="364">
        <f>O147</f>
        <v>0</v>
      </c>
    </row>
    <row r="290" spans="2:15">
      <c r="D290" t="s">
        <v>184</v>
      </c>
      <c r="I290" s="365"/>
      <c r="J290" s="306">
        <f>J161</f>
        <v>44059</v>
      </c>
      <c r="K290" s="306">
        <f>SUM(K288:K289)</f>
        <v>18451.6836606572</v>
      </c>
      <c r="L290" s="306">
        <f>SUM(L288:L289)</f>
        <v>2245.44516729273</v>
      </c>
      <c r="M290" s="306">
        <f>SUM(M288:M289)</f>
        <v>0</v>
      </c>
      <c r="N290" s="306">
        <f>SUM(N288:N289)</f>
        <v>0</v>
      </c>
      <c r="O290" s="306">
        <f>SUM(O288:O289)</f>
        <v>0</v>
      </c>
    </row>
    <row r="291" ht="6" customHeight="1"/>
    <row r="292" spans="2:15">
      <c r="D292" t="s">
        <v>185</v>
      </c>
      <c r="K292" s="366">
        <f>Assumptions!N27</f>
        <v>0.042</v>
      </c>
      <c r="L292" s="367">
        <f>K292</f>
        <v>0.042</v>
      </c>
      <c r="M292" s="367">
        <f>L292</f>
        <v>0.042</v>
      </c>
      <c r="N292" s="367">
        <f>M292</f>
        <v>0.042</v>
      </c>
      <c r="O292" s="367">
        <f>N292</f>
        <v>0.042</v>
      </c>
    </row>
    <row r="293" spans="2:15">
      <c r="D293" s="110" t="s">
        <v>186</v>
      </c>
      <c r="K293" s="368">
        <f>K292*K288</f>
        <v>1850.478</v>
      </c>
      <c r="L293" s="368">
        <f t="shared" ref="L293:O293" si="50">L292*L288</f>
        <v>774.970713747604</v>
      </c>
      <c r="M293" s="368">
        <f t="shared" si="50"/>
        <v>94.3086970262945</v>
      </c>
      <c r="N293" s="368">
        <f t="shared" si="50"/>
        <v>0</v>
      </c>
      <c r="O293" s="368">
        <f t="shared" si="50"/>
        <v>0</v>
      </c>
    </row>
    <row r="294" ht="6" customHeight="1"/>
    <row r="296" spans="2:15">
      <c r="C296" s="110" t="s">
        <v>187</v>
      </c>
    </row>
    <row r="297" spans="2:15">
      <c r="B297" s="110"/>
      <c r="D297" t="s">
        <v>123</v>
      </c>
      <c r="H297" s="369"/>
      <c r="I297" s="369"/>
      <c r="J297" s="369"/>
      <c r="K297" s="242">
        <f>K130</f>
        <v>-107.316339342755</v>
      </c>
      <c r="L297" s="242">
        <f>L130</f>
        <v>3793.76150663548</v>
      </c>
      <c r="M297" s="242">
        <f>M130</f>
        <v>2224.8608346643</v>
      </c>
      <c r="N297" s="242">
        <f>N130</f>
        <v>-309.420797159724</v>
      </c>
      <c r="O297" s="242">
        <f>O130</f>
        <v>-1837.30102100903</v>
      </c>
    </row>
    <row r="298" spans="2:15">
      <c r="B298" s="110"/>
      <c r="D298" t="s">
        <v>126</v>
      </c>
      <c r="H298" s="369"/>
      <c r="I298" s="369"/>
      <c r="J298" s="369"/>
      <c r="K298" s="242">
        <f>K136</f>
        <v>-25500</v>
      </c>
      <c r="L298" s="242">
        <f>L136</f>
        <v>-20000</v>
      </c>
      <c r="M298" s="242">
        <f>M136</f>
        <v>-18500</v>
      </c>
      <c r="N298" s="242">
        <f>N136</f>
        <v>-18500</v>
      </c>
      <c r="O298" s="242">
        <f>O136</f>
        <v>-18500</v>
      </c>
    </row>
    <row r="299" spans="2:15">
      <c r="B299" s="110"/>
      <c r="D299" t="s">
        <v>188</v>
      </c>
      <c r="H299" s="369"/>
      <c r="I299" s="369"/>
      <c r="J299" s="369"/>
      <c r="K299" s="242">
        <f>K314</f>
        <v>0</v>
      </c>
      <c r="L299" s="242">
        <f>L314</f>
        <v>0</v>
      </c>
      <c r="M299" s="242">
        <f>M314</f>
        <v>0</v>
      </c>
      <c r="N299" s="242">
        <f>N314</f>
        <v>0</v>
      </c>
      <c r="O299" s="242">
        <f>O314</f>
        <v>0</v>
      </c>
    </row>
    <row r="300" spans="2:15">
      <c r="B300" s="110"/>
      <c r="D300" t="s">
        <v>67</v>
      </c>
      <c r="H300" s="369"/>
      <c r="I300" s="369"/>
      <c r="J300" s="369"/>
      <c r="K300" s="242">
        <f>K332</f>
        <v>0</v>
      </c>
      <c r="L300" s="242">
        <f>L332</f>
        <v>0</v>
      </c>
      <c r="M300" s="242">
        <f>M332</f>
        <v>0</v>
      </c>
      <c r="N300" s="242">
        <f>N332</f>
        <v>0</v>
      </c>
      <c r="O300" s="242">
        <f>O332</f>
        <v>0</v>
      </c>
    </row>
    <row r="301" spans="2:15">
      <c r="B301" s="110"/>
      <c r="D301" t="s">
        <v>189</v>
      </c>
      <c r="H301" s="369"/>
      <c r="I301" s="369"/>
      <c r="J301" s="369"/>
      <c r="K301" s="170">
        <f>K143</f>
        <v>0</v>
      </c>
      <c r="L301" s="170">
        <f>L143</f>
        <v>0</v>
      </c>
      <c r="M301" s="170">
        <f>M143</f>
        <v>0</v>
      </c>
      <c r="N301" s="170">
        <f>N143</f>
        <v>0</v>
      </c>
      <c r="O301" s="170">
        <f>O143</f>
        <v>0</v>
      </c>
    </row>
    <row r="302" spans="2:15">
      <c r="D302" s="110" t="s">
        <v>190</v>
      </c>
      <c r="K302" s="220">
        <f>SUM(K297:K301)</f>
        <v>-25607.3163393428</v>
      </c>
      <c r="L302" s="220">
        <f>SUM(L297:L301)</f>
        <v>-16206.2384933645</v>
      </c>
      <c r="M302" s="220">
        <f>SUM(M297:M301)</f>
        <v>-16275.1391653357</v>
      </c>
      <c r="N302" s="220">
        <f>SUM(N297:N301)</f>
        <v>-18809.4207971597</v>
      </c>
      <c r="O302" s="220">
        <f>SUM(O297:O301)</f>
        <v>-20337.301021009</v>
      </c>
    </row>
    <row r="303" spans="2:15">
      <c r="C303" s="110"/>
    </row>
    <row r="304" spans="2:15">
      <c r="D304" t="s">
        <v>191</v>
      </c>
      <c r="K304" s="217">
        <f>J306</f>
        <v>0</v>
      </c>
      <c r="L304" s="217">
        <f>K306</f>
        <v>0</v>
      </c>
      <c r="M304" s="217">
        <f>L306</f>
        <v>0</v>
      </c>
      <c r="N304" s="217">
        <f>M306</f>
        <v>14029.693998043</v>
      </c>
      <c r="O304" s="217">
        <f>N306</f>
        <v>32839.1147952027</v>
      </c>
    </row>
    <row r="305" spans="2:15">
      <c r="D305" t="s">
        <v>192</v>
      </c>
      <c r="J305" s="149"/>
      <c r="K305" s="364">
        <f>-MIN((K302+K288),K304)</f>
        <v>0</v>
      </c>
      <c r="L305" s="364">
        <f>-MIN((L302+L288),L304)</f>
        <v>0</v>
      </c>
      <c r="M305" s="364">
        <f>-MIN((M302+M288),M304)</f>
        <v>14029.693998043</v>
      </c>
      <c r="N305" s="364">
        <f>-MIN((N302+N288),N304)</f>
        <v>18809.4207971597</v>
      </c>
      <c r="O305" s="364">
        <f>-MIN((O302+O288),O304)</f>
        <v>20337.301021009</v>
      </c>
    </row>
    <row r="306" spans="2:15">
      <c r="D306" t="s">
        <v>193</v>
      </c>
      <c r="I306" s="365"/>
      <c r="J306" s="306">
        <f>J176</f>
        <v>0</v>
      </c>
      <c r="K306" s="306">
        <f>SUM(K304:K305)</f>
        <v>0</v>
      </c>
      <c r="L306" s="306">
        <f>SUM(L304:L305)</f>
        <v>0</v>
      </c>
      <c r="M306" s="306">
        <f>SUM(M304:M305)</f>
        <v>14029.693998043</v>
      </c>
      <c r="N306" s="306">
        <f>SUM(N304:N305)</f>
        <v>32839.1147952027</v>
      </c>
      <c r="O306" s="306">
        <f>SUM(O304:O305)</f>
        <v>53176.4158162117</v>
      </c>
    </row>
    <row r="307" ht="6" customHeight="1"/>
    <row r="308" spans="2:15">
      <c r="D308" t="s">
        <v>185</v>
      </c>
      <c r="K308" s="370">
        <f>Assumptions!N28</f>
        <v>0.055</v>
      </c>
      <c r="L308" s="141">
        <f>K308</f>
        <v>0.055</v>
      </c>
      <c r="M308" s="141">
        <f>L308</f>
        <v>0.055</v>
      </c>
      <c r="N308" s="141">
        <f>M308</f>
        <v>0.055</v>
      </c>
      <c r="O308" s="141">
        <f>N308</f>
        <v>0.055</v>
      </c>
    </row>
    <row r="309" spans="2:15">
      <c r="D309" s="110" t="s">
        <v>194</v>
      </c>
      <c r="K309" s="368">
        <f>K308*K304</f>
        <v>0</v>
      </c>
      <c r="L309" s="368">
        <f t="shared" ref="L309:O309" si="51">L308*L304</f>
        <v>0</v>
      </c>
      <c r="M309" s="368">
        <f t="shared" si="51"/>
        <v>0</v>
      </c>
      <c r="N309" s="368">
        <f t="shared" si="51"/>
        <v>771.633169892364</v>
      </c>
      <c r="O309" s="368">
        <f t="shared" si="51"/>
        <v>1806.15131373615</v>
      </c>
    </row>
    <row r="310" ht="6" customHeight="1"/>
    <row r="312" spans="2:15">
      <c r="C312" s="110" t="s">
        <v>147</v>
      </c>
    </row>
    <row r="313" spans="2:15">
      <c r="D313" t="s">
        <v>182</v>
      </c>
      <c r="K313" s="217">
        <f>J315</f>
        <v>23226</v>
      </c>
      <c r="L313" s="217">
        <f>K315</f>
        <v>23226</v>
      </c>
      <c r="M313" s="217">
        <f>L315</f>
        <v>23226</v>
      </c>
      <c r="N313" s="217">
        <f>M315</f>
        <v>23226</v>
      </c>
      <c r="O313" s="217">
        <f>N315</f>
        <v>23226</v>
      </c>
    </row>
    <row r="314" spans="2:15">
      <c r="D314" t="s">
        <v>192</v>
      </c>
      <c r="J314" s="149"/>
      <c r="K314" s="371">
        <f>Assumptions!J72</f>
        <v>0</v>
      </c>
      <c r="L314" s="371">
        <f>Assumptions!K72</f>
        <v>0</v>
      </c>
      <c r="M314" s="371">
        <f>Assumptions!L72</f>
        <v>0</v>
      </c>
      <c r="N314" s="371">
        <f>Assumptions!M72</f>
        <v>0</v>
      </c>
      <c r="O314" s="371">
        <f>Assumptions!N72</f>
        <v>0</v>
      </c>
    </row>
    <row r="315" spans="2:15">
      <c r="D315" t="s">
        <v>184</v>
      </c>
      <c r="I315" s="365"/>
      <c r="J315" s="306">
        <f>J182</f>
        <v>23226</v>
      </c>
      <c r="K315" s="306">
        <f>SUM(K313:K314)</f>
        <v>23226</v>
      </c>
      <c r="L315" s="306">
        <f>SUM(L313:L314)</f>
        <v>23226</v>
      </c>
      <c r="M315" s="306">
        <f>SUM(M313:M314)</f>
        <v>23226</v>
      </c>
      <c r="N315" s="306">
        <f>SUM(N313:N314)</f>
        <v>23226</v>
      </c>
      <c r="O315" s="306">
        <f>SUM(O313:O314)</f>
        <v>23226</v>
      </c>
    </row>
    <row r="316" ht="6" customHeight="1"/>
    <row r="317" spans="2:15">
      <c r="D317" t="s">
        <v>185</v>
      </c>
      <c r="K317" s="370">
        <f>Assumptions!N29</f>
        <v>0.055</v>
      </c>
      <c r="L317" s="141">
        <f>K317</f>
        <v>0.055</v>
      </c>
      <c r="M317" s="141">
        <f>L317</f>
        <v>0.055</v>
      </c>
      <c r="N317" s="141">
        <f>M317</f>
        <v>0.055</v>
      </c>
      <c r="O317" s="141">
        <f>N317</f>
        <v>0.055</v>
      </c>
    </row>
    <row r="318" spans="2:15">
      <c r="D318" s="110" t="s">
        <v>194</v>
      </c>
      <c r="K318" s="368">
        <f>K317*K313</f>
        <v>1277.43</v>
      </c>
      <c r="L318" s="368">
        <f t="shared" ref="L318:O318" si="52">L317*L313</f>
        <v>1277.43</v>
      </c>
      <c r="M318" s="368">
        <f t="shared" si="52"/>
        <v>1277.43</v>
      </c>
      <c r="N318" s="368">
        <f t="shared" si="52"/>
        <v>1277.43</v>
      </c>
      <c r="O318" s="368">
        <f t="shared" si="52"/>
        <v>1277.43</v>
      </c>
    </row>
    <row r="320" ht="15.95" spans="2:15">
      <c r="B320" s="149"/>
      <c r="C320" s="110" t="s">
        <v>195</v>
      </c>
      <c r="K320" s="219">
        <f>K318+K309-K293</f>
        <v>-573.048</v>
      </c>
      <c r="L320" s="219">
        <f>L318+L309-L293</f>
        <v>502.459286252396</v>
      </c>
      <c r="M320" s="219">
        <f>M318+M309-M293</f>
        <v>1183.12130297371</v>
      </c>
      <c r="N320" s="219">
        <f>N318+N309-N293</f>
        <v>2049.06316989236</v>
      </c>
      <c r="O320" s="219">
        <f>O318+O309-O293</f>
        <v>3083.58131373615</v>
      </c>
    </row>
    <row r="321" ht="15.95"/>
    <row r="322" ht="12.75" customHeight="1" spans="1:15">
      <c r="A322" s="96"/>
      <c r="B322" s="97"/>
      <c r="C322" s="93"/>
      <c r="D322" s="93"/>
      <c r="E322" s="93"/>
      <c r="F322" s="94"/>
      <c r="G322" s="93"/>
      <c r="H322" s="93"/>
      <c r="I322" s="93"/>
      <c r="J322" s="93"/>
      <c r="K322" s="93"/>
      <c r="L322" s="93"/>
      <c r="M322" s="93"/>
      <c r="N322" s="93"/>
      <c r="O322" s="151" t="str">
        <f>$O$1</f>
        <v>CURRENTLY RUNNING: WORST CASE SCENARIO</v>
      </c>
    </row>
    <row r="323" ht="26" spans="1:15">
      <c r="B323" s="97" t="str">
        <f>B$2</f>
        <v>Tesla</v>
      </c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</row>
    <row r="324" ht="20.4" spans="1:15">
      <c r="B324" s="99" t="s">
        <v>196</v>
      </c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</row>
    <row r="325" ht="3" customHeight="1" spans="1:15">
      <c r="A325" s="98"/>
      <c r="B325" s="102"/>
      <c r="C325" s="103"/>
      <c r="D325" s="103"/>
      <c r="E325" s="103"/>
      <c r="F325" s="104"/>
      <c r="G325" s="103"/>
      <c r="H325" s="103"/>
      <c r="I325" s="103"/>
      <c r="J325" s="103"/>
      <c r="K325" s="103"/>
      <c r="L325" s="103"/>
      <c r="M325" s="103"/>
      <c r="N325" s="103"/>
      <c r="O325" s="103"/>
    </row>
    <row r="326" spans="1:15">
      <c r="B326" s="555" t="s">
        <v>101</v>
      </c>
      <c r="F326"/>
      <c r="O326" s="115"/>
    </row>
    <row r="327" spans="1:15">
      <c r="F327"/>
      <c r="H327" s="93"/>
      <c r="I327" s="93"/>
      <c r="J327" s="93"/>
      <c r="K327" s="106" t="s">
        <v>76</v>
      </c>
      <c r="L327" s="107"/>
      <c r="M327" s="107"/>
      <c r="N327" s="107"/>
      <c r="O327" s="107"/>
    </row>
    <row r="328" spans="1:15">
      <c r="F328"/>
      <c r="G328" s="239"/>
      <c r="H328" s="239"/>
      <c r="I328" s="239"/>
      <c r="J328" s="109">
        <f t="shared" ref="J328:O328" si="53">J$7</f>
        <v>2025</v>
      </c>
      <c r="K328" s="152">
        <f t="shared" si="53"/>
        <v>2026</v>
      </c>
      <c r="L328" s="152">
        <f t="shared" si="53"/>
        <v>2027</v>
      </c>
      <c r="M328" s="152">
        <f t="shared" si="53"/>
        <v>2028</v>
      </c>
      <c r="N328" s="152">
        <f t="shared" si="53"/>
        <v>2029</v>
      </c>
      <c r="O328" s="152">
        <f t="shared" si="53"/>
        <v>2030</v>
      </c>
    </row>
    <row r="330" ht="13.35" customHeight="1" spans="1:15">
      <c r="B330" s="110"/>
      <c r="C330" s="110" t="s">
        <v>150</v>
      </c>
    </row>
    <row r="331" ht="13.35" customHeight="1" spans="1:15">
      <c r="D331" t="s">
        <v>182</v>
      </c>
      <c r="G331" s="113"/>
      <c r="K331" s="217">
        <f>J333</f>
        <v>43863</v>
      </c>
      <c r="L331" s="217">
        <f>K333</f>
        <v>43863</v>
      </c>
      <c r="M331" s="217">
        <f>L333</f>
        <v>43863</v>
      </c>
      <c r="N331" s="217">
        <f>M333</f>
        <v>43863</v>
      </c>
      <c r="O331" s="217">
        <f>N333</f>
        <v>43863</v>
      </c>
    </row>
    <row r="332" ht="13.35" customHeight="1" spans="1:15">
      <c r="D332" t="s">
        <v>197</v>
      </c>
      <c r="J332" s="149"/>
      <c r="K332" s="371">
        <f>Assumptions!J73</f>
        <v>0</v>
      </c>
      <c r="L332" s="371">
        <f>Assumptions!K73</f>
        <v>0</v>
      </c>
      <c r="M332" s="371">
        <f>Assumptions!L73</f>
        <v>0</v>
      </c>
      <c r="N332" s="371">
        <f>Assumptions!M73</f>
        <v>0</v>
      </c>
      <c r="O332" s="371">
        <f>Assumptions!N73</f>
        <v>0</v>
      </c>
    </row>
    <row r="333" ht="13.35" customHeight="1" spans="1:15">
      <c r="D333" t="s">
        <v>184</v>
      </c>
      <c r="J333" s="306">
        <f>J187</f>
        <v>43863</v>
      </c>
      <c r="K333" s="306">
        <f>SUM(K331:K332)</f>
        <v>43863</v>
      </c>
      <c r="L333" s="306">
        <f>SUM(L331:L332)</f>
        <v>43863</v>
      </c>
      <c r="M333" s="306">
        <f>SUM(M331:M332)</f>
        <v>43863</v>
      </c>
      <c r="N333" s="306">
        <f>SUM(N331:N332)</f>
        <v>43863</v>
      </c>
      <c r="O333" s="306">
        <f>SUM(O331:O332)</f>
        <v>43863</v>
      </c>
    </row>
    <row r="334" ht="6" customHeight="1"/>
    <row r="335" ht="13.35" customHeight="1" spans="1:15">
      <c r="D335" t="s">
        <v>198</v>
      </c>
      <c r="K335" s="370">
        <f>Assumptions!N10</f>
        <v>0</v>
      </c>
      <c r="L335" s="141">
        <f>K335</f>
        <v>0</v>
      </c>
      <c r="M335" s="141">
        <f>L335</f>
        <v>0</v>
      </c>
      <c r="N335" s="141">
        <f>M335</f>
        <v>0</v>
      </c>
      <c r="O335" s="141">
        <f>N335</f>
        <v>0</v>
      </c>
    </row>
    <row r="336" ht="13.35" customHeight="1" spans="1:15">
      <c r="D336" t="s">
        <v>115</v>
      </c>
      <c r="K336" s="217">
        <f>K109</f>
        <v>1872.40853788715</v>
      </c>
      <c r="L336" s="217">
        <f>L109</f>
        <v>-1300.11039964941</v>
      </c>
      <c r="M336" s="217">
        <f>M109</f>
        <v>-4230.64685146473</v>
      </c>
      <c r="N336" s="217">
        <f>N109</f>
        <v>-7360.16364628307</v>
      </c>
      <c r="O336" s="217">
        <f>O109</f>
        <v>-10635.6174511892</v>
      </c>
    </row>
    <row r="337" ht="13.35" customHeight="1" spans="2:15">
      <c r="C337" s="110"/>
      <c r="D337" s="110" t="s">
        <v>199</v>
      </c>
      <c r="K337" s="368">
        <f>MAX(K336*K335,0)</f>
        <v>0</v>
      </c>
      <c r="L337" s="368">
        <f>MAX(L336*L335,0)</f>
        <v>0</v>
      </c>
      <c r="M337" s="368">
        <f>MAX(M336*M335,0)</f>
        <v>0</v>
      </c>
      <c r="N337" s="368">
        <f>MAX(N336*N335,0)</f>
        <v>0</v>
      </c>
      <c r="O337" s="368">
        <f>MAX(O336*O335,0)</f>
        <v>0</v>
      </c>
    </row>
    <row r="340" ht="13.35" customHeight="1" spans="2:15">
      <c r="B340" s="110"/>
      <c r="C340" s="110" t="s">
        <v>151</v>
      </c>
    </row>
    <row r="341" ht="13.35" customHeight="1" spans="2:15">
      <c r="D341" t="s">
        <v>182</v>
      </c>
      <c r="K341" s="217">
        <f>J344</f>
        <v>39003</v>
      </c>
      <c r="L341" s="217">
        <f>K344</f>
        <v>40875.4085378872</v>
      </c>
      <c r="M341" s="217">
        <f>L344</f>
        <v>39575.2981382377</v>
      </c>
      <c r="N341" s="217">
        <f>M344</f>
        <v>35344.651286773</v>
      </c>
      <c r="O341" s="217">
        <f>N344</f>
        <v>27984.4876404899</v>
      </c>
    </row>
    <row r="342" ht="13.35" customHeight="1" spans="2:15">
      <c r="D342" t="s">
        <v>115</v>
      </c>
      <c r="K342" s="217">
        <f>K109</f>
        <v>1872.40853788715</v>
      </c>
      <c r="L342" s="217">
        <f>L109</f>
        <v>-1300.11039964941</v>
      </c>
      <c r="M342" s="217">
        <f>M109</f>
        <v>-4230.64685146473</v>
      </c>
      <c r="N342" s="217">
        <f>N109</f>
        <v>-7360.16364628307</v>
      </c>
      <c r="O342" s="217">
        <f>O109</f>
        <v>-10635.6174511892</v>
      </c>
    </row>
    <row r="343" ht="13.35" customHeight="1" spans="2:15">
      <c r="D343" t="s">
        <v>199</v>
      </c>
      <c r="J343" s="149"/>
      <c r="K343" s="364">
        <f>-K337</f>
        <v>0</v>
      </c>
      <c r="L343" s="364">
        <f>-L337</f>
        <v>0</v>
      </c>
      <c r="M343" s="364">
        <f>-M337</f>
        <v>0</v>
      </c>
      <c r="N343" s="364">
        <f>-N337</f>
        <v>0</v>
      </c>
      <c r="O343" s="364">
        <f>-O337</f>
        <v>0</v>
      </c>
    </row>
    <row r="344" ht="13.35" customHeight="1" spans="2:15">
      <c r="D344" s="110" t="s">
        <v>184</v>
      </c>
      <c r="E344" s="110"/>
      <c r="F344" s="171"/>
      <c r="G344" s="110"/>
      <c r="H344" s="110"/>
      <c r="I344" s="110"/>
      <c r="J344" s="220">
        <f>J188</f>
        <v>39003</v>
      </c>
      <c r="K344" s="220">
        <f>SUM(K341:K343)</f>
        <v>40875.4085378872</v>
      </c>
      <c r="L344" s="220">
        <f>SUM(L341:L343)</f>
        <v>39575.2981382377</v>
      </c>
      <c r="M344" s="220">
        <f>SUM(M341:M343)</f>
        <v>35344.651286773</v>
      </c>
      <c r="N344" s="220">
        <f>SUM(N341:N343)</f>
        <v>27984.4876404899</v>
      </c>
      <c r="O344" s="220">
        <f>SUM(O341:O343)</f>
        <v>17348.8701893007</v>
      </c>
    </row>
    <row r="345" spans="2:15">
      <c r="B345" s="149"/>
      <c r="C345" s="149"/>
      <c r="D345" s="149"/>
      <c r="E345" s="149"/>
      <c r="F345" s="150"/>
      <c r="G345" s="149"/>
      <c r="H345" s="149"/>
      <c r="I345" s="149"/>
      <c r="J345" s="149"/>
      <c r="K345" s="149"/>
      <c r="L345" s="149"/>
      <c r="M345" s="149"/>
      <c r="N345" s="149"/>
      <c r="O345" s="149"/>
    </row>
  </sheetData>
  <printOptions horizontalCentered="1"/>
  <pageMargins left="0.251388888888889" right="0.251388888888889" top="0.251388888888889" bottom="0.5" header="0.251388888888889" footer="0.251388888888889"/>
  <pageSetup paperSize="1" scale="91" orientation="landscape" horizontalDpi="600"/>
  <headerFooter alignWithMargins="0">
    <oddFooter>&amp;L&amp;Z
&amp;F&amp;C&amp;9Page &amp;P of &amp;N&amp;R&amp;9&amp;D  &amp;T</oddFooter>
  </headerFooter>
  <rowBreaks count="2" manualBreakCount="2">
    <brk id="110" max="14" man="1"/>
    <brk id="174" max="14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1:AF66"/>
  <sheetViews>
    <sheetView showGridLines="0" zoomScale="64" zoomScaleNormal="64" zoomScaleSheetLayoutView="58" workbookViewId="0">
      <selection activeCell="V38" sqref="V38"/>
    </sheetView>
  </sheetViews>
  <sheetFormatPr defaultColWidth="10.7142857142857" defaultRowHeight="15.2"/>
  <cols>
    <col min="1" max="1" width="2.57142857142857" style="7" customWidth="1"/>
    <col min="2" max="2" width="4.71428571428571" style="7" customWidth="1"/>
    <col min="3" max="4" width="1.71428571428571" style="7" customWidth="1"/>
    <col min="5" max="5" width="20.7142857142857" style="7" customWidth="1"/>
    <col min="6" max="6" width="9.28571428571429" style="7" customWidth="1"/>
    <col min="7" max="7" width="1.85714285714286" style="7" customWidth="1"/>
    <col min="8" max="15" width="9.28571428571429" style="7" customWidth="1"/>
    <col min="16" max="16" width="1.71428571428571" style="7" customWidth="1"/>
    <col min="17" max="17" width="4.71428571428571" style="7" customWidth="1"/>
    <col min="18" max="19" width="2.71428571428571" style="7" customWidth="1"/>
    <col min="20" max="21" width="1.71428571428571" style="7" customWidth="1"/>
    <col min="22" max="22" width="20.7142857142857" style="7" customWidth="1"/>
    <col min="23" max="31" width="9.28571428571429" style="7" customWidth="1"/>
    <col min="32" max="32" width="1.71428571428571" style="7" customWidth="1"/>
    <col min="33" max="16384" width="10.7142857142857" style="7"/>
  </cols>
  <sheetData>
    <row r="1" ht="22.7" customHeight="1" spans="2:32">
      <c r="B1" s="8" t="str">
        <f>Cover!B12</f>
        <v>Tesla</v>
      </c>
      <c r="C1" s="9"/>
      <c r="D1" s="9"/>
      <c r="E1" s="9"/>
      <c r="F1" s="9"/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T1" s="9"/>
      <c r="U1" s="9"/>
      <c r="V1" s="9"/>
      <c r="W1" s="9"/>
      <c r="X1" s="10"/>
      <c r="Y1" s="10"/>
      <c r="Z1" s="10"/>
      <c r="AA1" s="10"/>
      <c r="AB1" s="10"/>
      <c r="AC1" s="10"/>
      <c r="AD1" s="10"/>
      <c r="AE1" s="10"/>
    </row>
    <row r="2" ht="20.4" spans="2:32">
      <c r="B2" s="11" t="s">
        <v>200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ht="3" customHeight="1" spans="2:32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ht="9.95" customHeight="1" spans="2:32"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ht="15" customHeight="1" spans="2:32">
      <c r="C5" s="14" t="s">
        <v>201</v>
      </c>
      <c r="D5" s="15"/>
      <c r="E5" s="15"/>
      <c r="F5" s="15"/>
      <c r="G5" s="15"/>
      <c r="H5" s="13"/>
      <c r="I5" s="13"/>
      <c r="J5" s="13"/>
      <c r="K5" s="13"/>
      <c r="L5" s="13"/>
      <c r="M5" s="13"/>
      <c r="N5" s="13"/>
      <c r="O5" s="13"/>
      <c r="P5" s="13"/>
      <c r="T5" s="14" t="str">
        <f>"SUMMMARY VALUES - "&amp;UPPER(CHOOSE(Scenarios!$D$6,Scenarios!C14,Scenarios!C15,Scenarios!C16))</f>
        <v>SUMMMARY VALUES - WORST CASE</v>
      </c>
      <c r="U5" s="15"/>
      <c r="V5" s="15"/>
      <c r="W5" s="15"/>
      <c r="X5" s="13"/>
      <c r="Y5" s="13"/>
      <c r="Z5" s="13"/>
      <c r="AA5" s="13"/>
      <c r="AB5" s="13"/>
      <c r="AC5" s="13"/>
      <c r="AD5" s="13"/>
      <c r="AE5" s="13"/>
    </row>
    <row r="6" s="6" customFormat="1" ht="15" customHeight="1" spans="2:32">
      <c r="C6" s="16"/>
      <c r="D6" s="17"/>
      <c r="E6" s="17"/>
      <c r="F6" s="17"/>
      <c r="G6" s="17"/>
      <c r="H6" s="18"/>
      <c r="I6" s="18"/>
      <c r="J6" s="18"/>
      <c r="K6" s="19" t="s">
        <v>76</v>
      </c>
      <c r="L6" s="20"/>
      <c r="M6" s="20"/>
      <c r="N6" s="20"/>
      <c r="O6" s="20"/>
      <c r="P6" s="21"/>
      <c r="T6" s="22"/>
      <c r="U6" s="23"/>
      <c r="V6" s="23"/>
      <c r="W6" s="23"/>
      <c r="X6" s="23"/>
      <c r="Y6" s="23"/>
      <c r="Z6" s="23"/>
      <c r="AA6" s="24" t="s">
        <v>76</v>
      </c>
      <c r="AB6" s="25"/>
      <c r="AC6" s="25"/>
      <c r="AD6" s="25"/>
      <c r="AE6" s="25"/>
      <c r="AF6" s="26"/>
    </row>
    <row r="7" s="6" customFormat="1" ht="15" customHeight="1" spans="2:32">
      <c r="C7" s="27"/>
      <c r="D7" s="28" t="s">
        <v>101</v>
      </c>
      <c r="E7" s="29"/>
      <c r="F7" s="28" t="s">
        <v>202</v>
      </c>
      <c r="G7" s="29"/>
      <c r="H7" s="30">
        <f>X7</f>
        <v>2023</v>
      </c>
      <c r="I7" s="30">
        <f t="shared" ref="I7:O7" si="0">Y7</f>
        <v>2024</v>
      </c>
      <c r="J7" s="30">
        <f t="shared" si="0"/>
        <v>2025</v>
      </c>
      <c r="K7" s="31">
        <f t="shared" si="0"/>
        <v>2026</v>
      </c>
      <c r="L7" s="31">
        <f t="shared" si="0"/>
        <v>2027</v>
      </c>
      <c r="M7" s="31">
        <f t="shared" si="0"/>
        <v>2028</v>
      </c>
      <c r="N7" s="31">
        <f t="shared" si="0"/>
        <v>2029</v>
      </c>
      <c r="O7" s="31">
        <f t="shared" si="0"/>
        <v>2030</v>
      </c>
      <c r="P7" s="32"/>
      <c r="T7" s="33"/>
      <c r="U7" s="34"/>
      <c r="V7" s="34"/>
      <c r="W7" s="34"/>
      <c r="X7" s="35">
        <f>Model!H7</f>
        <v>2023</v>
      </c>
      <c r="Y7" s="35">
        <f>Model!I7</f>
        <v>2024</v>
      </c>
      <c r="Z7" s="35">
        <f>Model!J7</f>
        <v>2025</v>
      </c>
      <c r="AA7" s="36">
        <f>Model!K7</f>
        <v>2026</v>
      </c>
      <c r="AB7" s="36">
        <f>Model!L7</f>
        <v>2027</v>
      </c>
      <c r="AC7" s="36">
        <f>Model!M7</f>
        <v>2028</v>
      </c>
      <c r="AD7" s="36">
        <f>Model!N7</f>
        <v>2029</v>
      </c>
      <c r="AE7" s="36">
        <f>Model!O7</f>
        <v>2030</v>
      </c>
      <c r="AF7" s="37"/>
    </row>
    <row r="8" ht="3" customHeight="1" spans="2:32">
      <c r="C8" s="38"/>
      <c r="D8" s="39"/>
      <c r="E8" s="39"/>
      <c r="F8" s="39"/>
      <c r="G8" s="39"/>
      <c r="H8" s="40"/>
      <c r="I8" s="40"/>
      <c r="J8" s="41"/>
      <c r="K8" s="42"/>
      <c r="L8" s="42"/>
      <c r="M8" s="42"/>
      <c r="N8" s="42"/>
      <c r="O8" s="42"/>
      <c r="P8" s="43"/>
      <c r="T8" s="44"/>
      <c r="X8" s="45"/>
      <c r="Y8" s="45"/>
      <c r="Z8" s="46"/>
      <c r="AA8" s="47"/>
      <c r="AB8" s="47"/>
      <c r="AC8" s="47"/>
      <c r="AD8" s="47"/>
      <c r="AE8" s="47"/>
      <c r="AF8" s="48"/>
    </row>
    <row r="9" ht="3" customHeight="1" spans="2:32">
      <c r="C9" s="49"/>
      <c r="D9" s="50"/>
      <c r="E9" s="50"/>
      <c r="F9" s="50"/>
      <c r="G9" s="50"/>
      <c r="H9" s="51"/>
      <c r="I9" s="51"/>
      <c r="J9" s="52"/>
      <c r="K9" s="53"/>
      <c r="L9" s="53"/>
      <c r="M9" s="53"/>
      <c r="N9" s="53"/>
      <c r="O9" s="53"/>
      <c r="P9" s="54"/>
      <c r="T9" s="44"/>
      <c r="X9" s="45"/>
      <c r="Y9" s="45"/>
      <c r="Z9" s="46"/>
      <c r="AA9" s="47"/>
      <c r="AB9" s="47"/>
      <c r="AC9" s="47"/>
      <c r="AD9" s="47"/>
      <c r="AE9" s="47"/>
      <c r="AF9" s="48"/>
    </row>
    <row r="10" ht="12.95" customHeight="1" spans="2:32">
      <c r="C10" s="55"/>
      <c r="D10" s="56" t="s">
        <v>174</v>
      </c>
      <c r="P10" s="57"/>
      <c r="T10" s="44"/>
      <c r="U10" s="56" t="s">
        <v>174</v>
      </c>
      <c r="AF10" s="48"/>
    </row>
    <row r="11" ht="3" customHeight="1" spans="2:32">
      <c r="C11" s="55"/>
      <c r="D11" s="56"/>
      <c r="P11" s="57"/>
      <c r="T11" s="44"/>
      <c r="U11" s="56"/>
      <c r="AF11" s="48"/>
    </row>
    <row r="12" spans="2:32">
      <c r="C12" s="55"/>
      <c r="E12" s="7" t="s">
        <v>92</v>
      </c>
      <c r="F12" s="58"/>
      <c r="H12" s="59">
        <v>96773</v>
      </c>
      <c r="I12" s="59">
        <v>97690</v>
      </c>
      <c r="J12" s="59">
        <v>94827</v>
      </c>
      <c r="K12" s="59">
        <v>101381.986055183</v>
      </c>
      <c r="L12" s="59">
        <v>106451.085357942</v>
      </c>
      <c r="M12" s="59">
        <v>113263.079032998</v>
      </c>
      <c r="N12" s="59">
        <v>120519.933150308</v>
      </c>
      <c r="O12" s="59">
        <v>127398.559396451</v>
      </c>
      <c r="P12" s="57"/>
      <c r="T12" s="44"/>
      <c r="V12" s="7" t="s">
        <v>92</v>
      </c>
      <c r="W12" s="60" t="s">
        <v>203</v>
      </c>
      <c r="X12" s="61">
        <f>Model!H87</f>
        <v>96773</v>
      </c>
      <c r="Y12" s="61">
        <f>Model!I87</f>
        <v>97690</v>
      </c>
      <c r="Z12" s="61">
        <f>Model!J87</f>
        <v>94827</v>
      </c>
      <c r="AA12" s="61">
        <f>Model!K87</f>
        <v>97877.4227442207</v>
      </c>
      <c r="AB12" s="61">
        <f>Model!L87</f>
        <v>100748.660199105</v>
      </c>
      <c r="AC12" s="61">
        <f>Model!M87</f>
        <v>103035.311401096</v>
      </c>
      <c r="AD12" s="61">
        <f>Model!N87</f>
        <v>105408.787345107</v>
      </c>
      <c r="AE12" s="61">
        <f>Model!O87</f>
        <v>108574.672320634</v>
      </c>
      <c r="AF12" s="48"/>
    </row>
    <row r="13" spans="2:32">
      <c r="C13" s="55"/>
      <c r="E13" s="62" t="s">
        <v>204</v>
      </c>
      <c r="F13" s="63"/>
      <c r="G13" s="62"/>
      <c r="H13" s="64"/>
      <c r="I13" s="65">
        <v>0.0094757835346635</v>
      </c>
      <c r="J13" s="65">
        <v>-0.0293069915037363</v>
      </c>
      <c r="K13" s="65">
        <v>0.069125734813742</v>
      </c>
      <c r="L13" s="65">
        <v>0.05</v>
      </c>
      <c r="M13" s="65">
        <v>0.0639917728612214</v>
      </c>
      <c r="N13" s="65">
        <v>0.0640707826351397</v>
      </c>
      <c r="O13" s="65">
        <v>0.0570745939392843</v>
      </c>
      <c r="P13" s="57"/>
      <c r="T13" s="44"/>
      <c r="V13" s="62" t="s">
        <v>204</v>
      </c>
      <c r="W13" s="63" t="s">
        <v>80</v>
      </c>
      <c r="Y13" s="66">
        <f>Y12/X12-1</f>
        <v>0.0094757835346635</v>
      </c>
      <c r="Z13" s="66">
        <f t="shared" ref="Z13:AE13" si="1">Z12/Y12-1</f>
        <v>-0.0293069915037363</v>
      </c>
      <c r="AA13" s="66">
        <f t="shared" si="1"/>
        <v>0.0321682932521403</v>
      </c>
      <c r="AB13" s="66">
        <f t="shared" si="1"/>
        <v>0.0293350332935074</v>
      </c>
      <c r="AC13" s="66">
        <f t="shared" si="1"/>
        <v>0.0226965916715125</v>
      </c>
      <c r="AD13" s="66">
        <f t="shared" si="1"/>
        <v>0.023035558506457</v>
      </c>
      <c r="AE13" s="66">
        <f t="shared" si="1"/>
        <v>0.0300343553442284</v>
      </c>
      <c r="AF13" s="48"/>
    </row>
    <row r="14" ht="3" customHeight="1" spans="2:32">
      <c r="C14" s="55"/>
      <c r="E14" s="67"/>
      <c r="F14" s="67"/>
      <c r="G14" s="67"/>
      <c r="H14" s="68"/>
      <c r="I14" s="68"/>
      <c r="J14" s="68"/>
      <c r="K14" s="68"/>
      <c r="L14" s="68"/>
      <c r="M14" s="68"/>
      <c r="N14" s="68"/>
      <c r="O14" s="68"/>
      <c r="P14" s="57"/>
      <c r="T14" s="44"/>
      <c r="AF14" s="48"/>
    </row>
    <row r="15" ht="3" customHeight="1" spans="2:32">
      <c r="C15" s="55"/>
      <c r="H15" s="64"/>
      <c r="I15" s="64"/>
      <c r="J15" s="64"/>
      <c r="K15" s="64"/>
      <c r="L15" s="64"/>
      <c r="M15" s="64"/>
      <c r="N15" s="64"/>
      <c r="O15" s="64"/>
      <c r="P15" s="57"/>
      <c r="T15" s="44"/>
      <c r="AF15" s="48"/>
    </row>
    <row r="16" spans="2:32">
      <c r="C16" s="55"/>
      <c r="E16" s="7" t="s">
        <v>107</v>
      </c>
      <c r="F16" s="58"/>
      <c r="H16" s="59">
        <v>13558</v>
      </c>
      <c r="I16" s="59">
        <v>12444</v>
      </c>
      <c r="J16" s="59">
        <v>10503</v>
      </c>
      <c r="K16" s="59">
        <v>8556.9760626401</v>
      </c>
      <c r="L16" s="59">
        <v>7933.34805592863</v>
      </c>
      <c r="M16" s="59">
        <v>7552.15159858049</v>
      </c>
      <c r="N16" s="59">
        <v>6865.6550399641</v>
      </c>
      <c r="O16" s="59">
        <v>5791.61746324992</v>
      </c>
      <c r="P16" s="69"/>
      <c r="T16" s="44"/>
      <c r="V16" s="7" t="s">
        <v>107</v>
      </c>
      <c r="W16" s="60" t="s">
        <v>203</v>
      </c>
      <c r="X16" s="61">
        <f>Model!H97</f>
        <v>13558</v>
      </c>
      <c r="Y16" s="61">
        <f>Model!I97</f>
        <v>12444</v>
      </c>
      <c r="Z16" s="61">
        <f>Model!J97</f>
        <v>10503</v>
      </c>
      <c r="AA16" s="61">
        <f>Model!K97</f>
        <v>5551.42853591847</v>
      </c>
      <c r="AB16" s="61">
        <f>Model!L97</f>
        <v>3797.68613604772</v>
      </c>
      <c r="AC16" s="61">
        <f>Model!M97</f>
        <v>1747.24799046494</v>
      </c>
      <c r="AD16" s="61">
        <f>Model!N97</f>
        <v>-440.4861172534</v>
      </c>
      <c r="AE16" s="61">
        <f>Model!O97</f>
        <v>-2659.55766049569</v>
      </c>
      <c r="AF16" s="48"/>
    </row>
    <row r="17" spans="3:32">
      <c r="C17" s="55"/>
      <c r="E17" s="62" t="s">
        <v>205</v>
      </c>
      <c r="F17" s="63"/>
      <c r="G17" s="62"/>
      <c r="H17" s="65">
        <v>0.140101061246422</v>
      </c>
      <c r="I17" s="65">
        <v>0.127382536595353</v>
      </c>
      <c r="J17" s="65">
        <v>0.11075959378658</v>
      </c>
      <c r="K17" s="65">
        <v>0.0844033185341474</v>
      </c>
      <c r="L17" s="65">
        <v>0.0745257601578483</v>
      </c>
      <c r="M17" s="65">
        <v>0.0666779648148206</v>
      </c>
      <c r="N17" s="65">
        <v>0.0569669668784292</v>
      </c>
      <c r="O17" s="65">
        <v>0.0454606197329674</v>
      </c>
      <c r="P17" s="70"/>
      <c r="T17" s="44"/>
      <c r="V17" s="62" t="s">
        <v>205</v>
      </c>
      <c r="W17" s="63" t="s">
        <v>80</v>
      </c>
      <c r="X17" s="66">
        <f t="shared" ref="X17:AE17" si="2">X16/X12</f>
        <v>0.140101061246422</v>
      </c>
      <c r="Y17" s="66">
        <f t="shared" si="2"/>
        <v>0.127382536595353</v>
      </c>
      <c r="Z17" s="66">
        <f t="shared" si="2"/>
        <v>0.11075959378658</v>
      </c>
      <c r="AA17" s="66">
        <f t="shared" si="2"/>
        <v>0.0567181723861468</v>
      </c>
      <c r="AB17" s="66">
        <f t="shared" si="2"/>
        <v>0.0376946564702947</v>
      </c>
      <c r="AC17" s="66">
        <f t="shared" si="2"/>
        <v>0.0169577591090422</v>
      </c>
      <c r="AD17" s="66">
        <f t="shared" si="2"/>
        <v>-0.00417883677772759</v>
      </c>
      <c r="AE17" s="66">
        <f t="shared" si="2"/>
        <v>-0.0244951939863257</v>
      </c>
      <c r="AF17" s="48"/>
    </row>
    <row r="18" spans="3:32">
      <c r="C18" s="55"/>
      <c r="E18" s="62" t="s">
        <v>204</v>
      </c>
      <c r="F18" s="63"/>
      <c r="G18" s="62"/>
      <c r="H18" s="71"/>
      <c r="I18" s="65">
        <v>-0.0821655111373359</v>
      </c>
      <c r="J18" s="65">
        <v>-0.155978784956606</v>
      </c>
      <c r="K18" s="65">
        <v>-0.185282675174703</v>
      </c>
      <c r="L18" s="65">
        <v>-0.072879484779003</v>
      </c>
      <c r="M18" s="65">
        <v>-0.048049884444849</v>
      </c>
      <c r="N18" s="65">
        <v>-0.0909007916029418</v>
      </c>
      <c r="O18" s="65">
        <v>-0.156436286190079</v>
      </c>
      <c r="P18" s="70"/>
      <c r="T18" s="44"/>
      <c r="V18" s="62" t="s">
        <v>204</v>
      </c>
      <c r="W18" s="63" t="s">
        <v>80</v>
      </c>
      <c r="X18" s="63"/>
      <c r="Y18" s="66">
        <f t="shared" ref="Y18:AE18" si="3">Y16/X16-1</f>
        <v>-0.0821655111373359</v>
      </c>
      <c r="Z18" s="66">
        <f t="shared" si="3"/>
        <v>-0.155978784956606</v>
      </c>
      <c r="AA18" s="66">
        <f t="shared" si="3"/>
        <v>-0.471443536521139</v>
      </c>
      <c r="AB18" s="66">
        <f t="shared" si="3"/>
        <v>-0.315908308739599</v>
      </c>
      <c r="AC18" s="66">
        <f t="shared" si="3"/>
        <v>-0.539917747841239</v>
      </c>
      <c r="AD18" s="66">
        <f t="shared" si="3"/>
        <v>-1.25210280375609</v>
      </c>
      <c r="AE18" s="66">
        <f t="shared" si="3"/>
        <v>5.03777861849324</v>
      </c>
      <c r="AF18" s="48"/>
    </row>
    <row r="19" ht="3" customHeight="1" spans="3:32">
      <c r="C19" s="55"/>
      <c r="E19" s="67"/>
      <c r="F19" s="67"/>
      <c r="G19" s="67"/>
      <c r="H19" s="68"/>
      <c r="I19" s="68"/>
      <c r="J19" s="68"/>
      <c r="K19" s="68"/>
      <c r="L19" s="68"/>
      <c r="M19" s="68"/>
      <c r="N19" s="68"/>
      <c r="O19" s="68"/>
      <c r="P19" s="57"/>
      <c r="T19" s="44"/>
      <c r="AF19" s="48"/>
    </row>
    <row r="20" ht="3" customHeight="1" spans="3:32">
      <c r="C20" s="55"/>
      <c r="H20" s="64"/>
      <c r="I20" s="64"/>
      <c r="J20" s="64"/>
      <c r="K20" s="64"/>
      <c r="L20" s="64"/>
      <c r="M20" s="64"/>
      <c r="N20" s="64"/>
      <c r="O20" s="64"/>
      <c r="P20" s="57"/>
      <c r="T20" s="44"/>
      <c r="AF20" s="48"/>
    </row>
    <row r="21" spans="3:32">
      <c r="C21" s="55"/>
      <c r="E21" s="7" t="s">
        <v>115</v>
      </c>
      <c r="F21" s="58"/>
      <c r="H21" s="59">
        <v>14974</v>
      </c>
      <c r="I21" s="59">
        <v>7153</v>
      </c>
      <c r="J21" s="59">
        <v>3855</v>
      </c>
      <c r="K21" s="59">
        <v>4066.45823239394</v>
      </c>
      <c r="L21" s="59">
        <v>1782.61207613198</v>
      </c>
      <c r="M21" s="59">
        <v>165.517692763386</v>
      </c>
      <c r="N21" s="59">
        <v>-1638.55035159774</v>
      </c>
      <c r="O21" s="59">
        <v>-3846.73185463266</v>
      </c>
      <c r="P21" s="69"/>
      <c r="T21" s="44"/>
      <c r="V21" s="7" t="s">
        <v>115</v>
      </c>
      <c r="W21" s="60" t="s">
        <v>203</v>
      </c>
      <c r="X21" s="61">
        <f>Model!H109</f>
        <v>14974</v>
      </c>
      <c r="Y21" s="61">
        <f>Model!I109</f>
        <v>7153</v>
      </c>
      <c r="Z21" s="61">
        <f>Model!J109</f>
        <v>3855</v>
      </c>
      <c r="AA21" s="61">
        <f>Model!K109</f>
        <v>1872.40853788715</v>
      </c>
      <c r="AB21" s="61">
        <f>Model!L109</f>
        <v>-1300.11039964941</v>
      </c>
      <c r="AC21" s="61">
        <f>Model!M109</f>
        <v>-4230.64685146473</v>
      </c>
      <c r="AD21" s="61">
        <f>Model!N109</f>
        <v>-7360.16364628307</v>
      </c>
      <c r="AE21" s="61">
        <f>Model!O109</f>
        <v>-10635.6174511892</v>
      </c>
      <c r="AF21" s="48"/>
    </row>
    <row r="22" spans="3:32">
      <c r="C22" s="55"/>
      <c r="E22" s="62" t="s">
        <v>205</v>
      </c>
      <c r="F22" s="72"/>
      <c r="G22" s="62"/>
      <c r="H22" s="65">
        <v>0.154733241709981</v>
      </c>
      <c r="I22" s="65">
        <v>0.0732214146790869</v>
      </c>
      <c r="J22" s="65">
        <v>0.0406529785820494</v>
      </c>
      <c r="K22" s="65">
        <v>0.040110264067825</v>
      </c>
      <c r="L22" s="65">
        <v>0.0167458327938878</v>
      </c>
      <c r="M22" s="65">
        <v>0.00146135611159895</v>
      </c>
      <c r="N22" s="65">
        <v>-0.0135956792272213</v>
      </c>
      <c r="O22" s="65">
        <v>-0.0301944690179897</v>
      </c>
      <c r="P22" s="69"/>
      <c r="T22" s="44"/>
      <c r="V22" s="62" t="s">
        <v>205</v>
      </c>
      <c r="W22" s="63" t="s">
        <v>80</v>
      </c>
      <c r="X22" s="66">
        <f>X21/X12</f>
        <v>0.154733241709981</v>
      </c>
      <c r="Y22" s="66">
        <f>Y21/Y12</f>
        <v>0.0732214146790869</v>
      </c>
      <c r="Z22" s="66">
        <f t="shared" ref="Z22:AE22" si="4">Z21/Z12</f>
        <v>0.0406529785820494</v>
      </c>
      <c r="AA22" s="66">
        <f t="shared" si="4"/>
        <v>0.0191301373226821</v>
      </c>
      <c r="AB22" s="66">
        <f t="shared" si="4"/>
        <v>-0.0129044931920689</v>
      </c>
      <c r="AC22" s="66">
        <f t="shared" si="4"/>
        <v>-0.0410601646555486</v>
      </c>
      <c r="AD22" s="66">
        <f t="shared" si="4"/>
        <v>-0.0698249532288611</v>
      </c>
      <c r="AE22" s="66">
        <f t="shared" si="4"/>
        <v>-0.0979567078018063</v>
      </c>
      <c r="AF22" s="48"/>
    </row>
    <row r="23" spans="3:32">
      <c r="C23" s="55"/>
      <c r="E23" s="62" t="s">
        <v>204</v>
      </c>
      <c r="F23" s="72"/>
      <c r="G23" s="62"/>
      <c r="H23" s="71"/>
      <c r="I23" s="65">
        <v>-0.526789370726641</v>
      </c>
      <c r="J23" s="65">
        <v>-0.444793865835257</v>
      </c>
      <c r="K23" s="65">
        <v>-0.0133499323580703</v>
      </c>
      <c r="L23" s="65">
        <v>-0.582505047446927</v>
      </c>
      <c r="M23" s="65">
        <v>-0.912733148026395</v>
      </c>
      <c r="N23" s="65" t="s">
        <v>206</v>
      </c>
      <c r="O23" s="65" t="s">
        <v>206</v>
      </c>
      <c r="P23" s="69"/>
      <c r="T23" s="44"/>
      <c r="V23" s="62" t="s">
        <v>204</v>
      </c>
      <c r="W23" s="63" t="s">
        <v>80</v>
      </c>
      <c r="X23" s="63"/>
      <c r="Y23" s="66">
        <f>IF(OR(Y22&lt;=0,X22&lt;=0),"NM",(Y22-X22)/X22)</f>
        <v>-0.526789370726641</v>
      </c>
      <c r="Z23" s="66">
        <f t="shared" ref="Z23:AE23" si="5">IF(OR(Z22&lt;=0,Y22&lt;=0),"NM",(Z22-Y22)/Y22)</f>
        <v>-0.444793865835257</v>
      </c>
      <c r="AA23" s="66">
        <f t="shared" si="5"/>
        <v>-0.529428396394818</v>
      </c>
      <c r="AB23" s="66" t="str">
        <f t="shared" si="5"/>
        <v>NM</v>
      </c>
      <c r="AC23" s="66" t="str">
        <f t="shared" si="5"/>
        <v>NM</v>
      </c>
      <c r="AD23" s="66" t="str">
        <f t="shared" si="5"/>
        <v>NM</v>
      </c>
      <c r="AE23" s="66" t="str">
        <f t="shared" si="5"/>
        <v>NM</v>
      </c>
      <c r="AF23" s="48"/>
    </row>
    <row r="24" ht="3.95" customHeight="1" spans="3:32">
      <c r="C24" s="73"/>
      <c r="D24" s="74"/>
      <c r="E24" s="75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6"/>
      <c r="T24" s="77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9"/>
    </row>
    <row r="25" ht="9.95" customHeight="1"/>
    <row r="26" ht="15" customHeight="1" spans="3:32">
      <c r="C26" s="14" t="s">
        <v>207</v>
      </c>
      <c r="D26" s="15"/>
      <c r="E26" s="15"/>
      <c r="F26" s="15"/>
      <c r="G26" s="15"/>
      <c r="H26" s="13"/>
      <c r="I26" s="13"/>
      <c r="J26" s="13"/>
      <c r="K26" s="13"/>
      <c r="L26" s="13"/>
      <c r="M26" s="13"/>
      <c r="N26" s="13"/>
      <c r="O26" s="13"/>
      <c r="P26" s="13"/>
    </row>
    <row r="27" s="6" customFormat="1" ht="15" customHeight="1" spans="3:32">
      <c r="C27" s="16"/>
      <c r="D27" s="17"/>
      <c r="E27" s="17"/>
      <c r="F27" s="17"/>
      <c r="G27" s="17"/>
      <c r="H27" s="18"/>
      <c r="I27" s="18"/>
      <c r="J27" s="18"/>
      <c r="K27" s="19" t="s">
        <v>76</v>
      </c>
      <c r="L27" s="20"/>
      <c r="M27" s="20"/>
      <c r="N27" s="20"/>
      <c r="O27" s="20"/>
      <c r="P27" s="80"/>
    </row>
    <row r="28" s="6" customFormat="1" ht="15" customHeight="1" spans="3:32">
      <c r="C28" s="27"/>
      <c r="D28" s="28" t="s">
        <v>101</v>
      </c>
      <c r="E28" s="29"/>
      <c r="F28" s="28" t="s">
        <v>202</v>
      </c>
      <c r="G28" s="29"/>
      <c r="H28" s="30">
        <f t="shared" ref="H28:O28" si="6">H7</f>
        <v>2023</v>
      </c>
      <c r="I28" s="30">
        <f t="shared" si="6"/>
        <v>2024</v>
      </c>
      <c r="J28" s="30">
        <f t="shared" si="6"/>
        <v>2025</v>
      </c>
      <c r="K28" s="31">
        <f t="shared" si="6"/>
        <v>2026</v>
      </c>
      <c r="L28" s="31">
        <f t="shared" si="6"/>
        <v>2027</v>
      </c>
      <c r="M28" s="31">
        <f t="shared" si="6"/>
        <v>2028</v>
      </c>
      <c r="N28" s="31">
        <f t="shared" si="6"/>
        <v>2029</v>
      </c>
      <c r="O28" s="31">
        <f t="shared" si="6"/>
        <v>2030</v>
      </c>
      <c r="P28" s="81"/>
    </row>
    <row r="29" ht="3" customHeight="1" spans="3:32">
      <c r="C29" s="38"/>
      <c r="D29" s="39"/>
      <c r="E29" s="39"/>
      <c r="F29" s="39"/>
      <c r="G29" s="39"/>
      <c r="H29" s="40"/>
      <c r="I29" s="40"/>
      <c r="J29" s="41"/>
      <c r="K29" s="42"/>
      <c r="L29" s="42"/>
      <c r="M29" s="42"/>
      <c r="N29" s="42"/>
      <c r="O29" s="42"/>
      <c r="P29" s="43"/>
    </row>
    <row r="30" ht="3" customHeight="1" spans="3:32">
      <c r="C30" s="49"/>
      <c r="D30" s="50"/>
      <c r="E30" s="50"/>
      <c r="F30" s="50"/>
      <c r="G30" s="50"/>
      <c r="H30" s="51"/>
      <c r="I30" s="51"/>
      <c r="J30" s="52"/>
      <c r="K30" s="53"/>
      <c r="L30" s="53"/>
      <c r="M30" s="53"/>
      <c r="N30" s="53"/>
      <c r="O30" s="53"/>
      <c r="P30" s="54"/>
    </row>
    <row r="31" ht="12.95" customHeight="1" spans="3:32">
      <c r="C31" s="55"/>
      <c r="D31" s="56" t="s">
        <v>174</v>
      </c>
      <c r="P31" s="57"/>
    </row>
    <row r="32" ht="3" customHeight="1" spans="3:32">
      <c r="C32" s="55"/>
      <c r="D32" s="56"/>
      <c r="P32" s="57"/>
    </row>
    <row r="33" spans="3:31">
      <c r="C33" s="55"/>
      <c r="E33" s="7" t="s">
        <v>92</v>
      </c>
      <c r="F33" s="58"/>
      <c r="H33" s="59">
        <v>96773</v>
      </c>
      <c r="I33" s="59">
        <v>97690</v>
      </c>
      <c r="J33" s="59">
        <v>94827</v>
      </c>
      <c r="K33" s="59">
        <v>106388.505070843</v>
      </c>
      <c r="L33" s="59">
        <v>113985.89647651</v>
      </c>
      <c r="M33" s="59">
        <v>123785.530374161</v>
      </c>
      <c r="N33" s="59">
        <v>134485.179874077</v>
      </c>
      <c r="O33" s="59">
        <v>140889.823001875</v>
      </c>
      <c r="P33" s="57"/>
      <c r="W33" s="60"/>
      <c r="X33" s="61"/>
      <c r="Y33" s="61"/>
      <c r="Z33" s="61"/>
      <c r="AA33" s="61"/>
      <c r="AB33" s="61"/>
      <c r="AC33" s="61"/>
      <c r="AD33" s="61"/>
      <c r="AE33" s="61"/>
    </row>
    <row r="34" spans="3:31">
      <c r="C34" s="55"/>
      <c r="E34" s="62" t="s">
        <v>204</v>
      </c>
      <c r="F34" s="63"/>
      <c r="G34" s="62"/>
      <c r="H34" s="64"/>
      <c r="I34" s="65">
        <v>0.0094757835346635</v>
      </c>
      <c r="J34" s="65">
        <v>-0.0293069915037363</v>
      </c>
      <c r="K34" s="65">
        <v>0.121922079901744</v>
      </c>
      <c r="L34" s="65">
        <v>0.0714117695385268</v>
      </c>
      <c r="M34" s="65">
        <v>0.085972336934425</v>
      </c>
      <c r="N34" s="65">
        <v>0.0864369968571832</v>
      </c>
      <c r="O34" s="65">
        <v>0.0476234119907832</v>
      </c>
      <c r="P34" s="57"/>
      <c r="V34" s="82"/>
      <c r="W34" s="60"/>
      <c r="Y34" s="83"/>
      <c r="Z34" s="83"/>
      <c r="AA34" s="83"/>
      <c r="AB34" s="83"/>
      <c r="AC34" s="83"/>
      <c r="AD34" s="83"/>
      <c r="AE34" s="83"/>
    </row>
    <row r="35" ht="3" customHeight="1" spans="3:31">
      <c r="C35" s="55"/>
      <c r="H35" s="68"/>
      <c r="I35" s="68"/>
      <c r="J35" s="68"/>
      <c r="K35" s="68"/>
      <c r="L35" s="68"/>
      <c r="M35" s="68"/>
      <c r="N35" s="68"/>
      <c r="O35" s="68"/>
      <c r="P35" s="57"/>
    </row>
    <row r="36" ht="3" customHeight="1" spans="3:31">
      <c r="C36" s="55"/>
      <c r="H36" s="64"/>
      <c r="I36" s="64"/>
      <c r="J36" s="64"/>
      <c r="K36" s="64"/>
      <c r="L36" s="64"/>
      <c r="M36" s="64"/>
      <c r="N36" s="64"/>
      <c r="O36" s="64"/>
      <c r="P36" s="57"/>
    </row>
    <row r="37" spans="3:31">
      <c r="C37" s="55"/>
      <c r="E37" s="7" t="s">
        <v>107</v>
      </c>
      <c r="F37" s="58"/>
      <c r="H37" s="59">
        <v>13558</v>
      </c>
      <c r="I37" s="59">
        <v>12444</v>
      </c>
      <c r="J37" s="59">
        <v>10503</v>
      </c>
      <c r="K37" s="59">
        <v>12066.4477255779</v>
      </c>
      <c r="L37" s="59">
        <v>12606.0956946309</v>
      </c>
      <c r="M37" s="59">
        <v>13567.464553693</v>
      </c>
      <c r="N37" s="59">
        <v>14343.2445999495</v>
      </c>
      <c r="O37" s="59">
        <v>13652.3610756848</v>
      </c>
      <c r="P37" s="69"/>
      <c r="W37" s="60"/>
      <c r="X37" s="61"/>
      <c r="Y37" s="61"/>
      <c r="Z37" s="61"/>
      <c r="AA37" s="61"/>
      <c r="AB37" s="61"/>
      <c r="AC37" s="61"/>
      <c r="AD37" s="61"/>
      <c r="AE37" s="61"/>
    </row>
    <row r="38" spans="3:31">
      <c r="C38" s="55"/>
      <c r="E38" s="62" t="s">
        <v>205</v>
      </c>
      <c r="F38" s="63"/>
      <c r="G38" s="62"/>
      <c r="H38" s="65">
        <v>0.140101061246422</v>
      </c>
      <c r="I38" s="65">
        <v>0.127382536595353</v>
      </c>
      <c r="J38" s="65">
        <v>0.11075959378658</v>
      </c>
      <c r="K38" s="65">
        <v>0.113418716782824</v>
      </c>
      <c r="L38" s="65">
        <v>0.110593468879097</v>
      </c>
      <c r="M38" s="65">
        <v>0.109604608169333</v>
      </c>
      <c r="N38" s="65">
        <v>0.106652975542581</v>
      </c>
      <c r="O38" s="65">
        <v>0.09690097400082</v>
      </c>
      <c r="P38" s="70"/>
      <c r="V38" s="82"/>
      <c r="W38" s="60"/>
      <c r="X38" s="83"/>
      <c r="Y38" s="83"/>
      <c r="Z38" s="83"/>
      <c r="AA38" s="83"/>
      <c r="AB38" s="83"/>
      <c r="AC38" s="83"/>
      <c r="AD38" s="83"/>
      <c r="AE38" s="83"/>
    </row>
    <row r="39" spans="3:31">
      <c r="C39" s="55"/>
      <c r="E39" s="62" t="s">
        <v>204</v>
      </c>
      <c r="F39" s="63"/>
      <c r="G39" s="62"/>
      <c r="H39" s="71"/>
      <c r="I39" s="65">
        <v>-0.0821655111373359</v>
      </c>
      <c r="J39" s="65">
        <v>-0.155978784956606</v>
      </c>
      <c r="K39" s="65">
        <v>0.148857252744733</v>
      </c>
      <c r="L39" s="65">
        <v>0.0447230188474632</v>
      </c>
      <c r="M39" s="65">
        <v>0.0762622212578921</v>
      </c>
      <c r="N39" s="65">
        <v>0.0571794415372453</v>
      </c>
      <c r="O39" s="65">
        <v>-0.0481678688145034</v>
      </c>
      <c r="P39" s="70"/>
      <c r="V39" s="82"/>
      <c r="W39" s="60"/>
      <c r="Y39" s="83"/>
      <c r="Z39" s="83"/>
      <c r="AA39" s="83"/>
      <c r="AB39" s="83"/>
      <c r="AC39" s="83"/>
      <c r="AD39" s="83"/>
      <c r="AE39" s="83"/>
    </row>
    <row r="40" ht="3" customHeight="1" spans="3:31">
      <c r="C40" s="55"/>
      <c r="H40" s="68"/>
      <c r="I40" s="68"/>
      <c r="J40" s="68"/>
      <c r="K40" s="68"/>
      <c r="L40" s="68"/>
      <c r="M40" s="68"/>
      <c r="N40" s="68"/>
      <c r="O40" s="68"/>
      <c r="P40" s="57"/>
    </row>
    <row r="41" ht="3" customHeight="1" spans="3:31">
      <c r="C41" s="55"/>
      <c r="H41" s="64"/>
      <c r="I41" s="64"/>
      <c r="J41" s="64"/>
      <c r="K41" s="64"/>
      <c r="L41" s="64"/>
      <c r="M41" s="64"/>
      <c r="N41" s="64"/>
      <c r="O41" s="64"/>
      <c r="P41" s="57"/>
    </row>
    <row r="42" spans="3:31">
      <c r="C42" s="55"/>
      <c r="E42" s="7" t="s">
        <v>115</v>
      </c>
      <c r="F42" s="58"/>
      <c r="H42" s="59">
        <v>14974</v>
      </c>
      <c r="I42" s="59">
        <v>7153</v>
      </c>
      <c r="J42" s="59">
        <v>3855</v>
      </c>
      <c r="K42" s="59">
        <v>6628.37254633856</v>
      </c>
      <c r="L42" s="59">
        <v>5269.85211958127</v>
      </c>
      <c r="M42" s="59">
        <v>4740.48513267428</v>
      </c>
      <c r="N42" s="59">
        <v>4186.77895459799</v>
      </c>
      <c r="O42" s="59">
        <v>2550.54455806199</v>
      </c>
      <c r="P42" s="69"/>
      <c r="W42" s="60"/>
      <c r="X42" s="84"/>
      <c r="Y42" s="84"/>
      <c r="Z42" s="84"/>
      <c r="AA42" s="61"/>
      <c r="AB42" s="61"/>
      <c r="AC42" s="61"/>
      <c r="AD42" s="61"/>
      <c r="AE42" s="61"/>
    </row>
    <row r="43" spans="3:31">
      <c r="C43" s="55"/>
      <c r="E43" s="62" t="s">
        <v>205</v>
      </c>
      <c r="F43" s="63"/>
      <c r="G43" s="62"/>
      <c r="H43" s="65">
        <v>0.154733241709981</v>
      </c>
      <c r="I43" s="65">
        <v>0.0732214146790869</v>
      </c>
      <c r="J43" s="65">
        <v>0.0406529785820494</v>
      </c>
      <c r="K43" s="65">
        <v>0.0623034654159753</v>
      </c>
      <c r="L43" s="65">
        <v>0.0462324926370805</v>
      </c>
      <c r="M43" s="65">
        <v>0.0382959552570113</v>
      </c>
      <c r="N43" s="65">
        <v>0.0311318983884931</v>
      </c>
      <c r="O43" s="65">
        <v>0.018103114218747</v>
      </c>
      <c r="P43" s="69"/>
      <c r="W43" s="60"/>
      <c r="X43" s="84"/>
      <c r="Y43" s="84"/>
      <c r="Z43" s="84"/>
      <c r="AA43" s="61"/>
      <c r="AB43" s="61"/>
      <c r="AC43" s="61"/>
      <c r="AD43" s="61"/>
      <c r="AE43" s="61"/>
    </row>
    <row r="44" spans="3:31">
      <c r="C44" s="55"/>
      <c r="E44" s="62" t="s">
        <v>204</v>
      </c>
      <c r="F44" s="63"/>
      <c r="G44" s="62"/>
      <c r="H44" s="71"/>
      <c r="I44" s="65">
        <v>-0.526789370726641</v>
      </c>
      <c r="J44" s="65">
        <v>-0.444793865835257</v>
      </c>
      <c r="K44" s="65">
        <v>0.532568278858805</v>
      </c>
      <c r="L44" s="65">
        <v>-0.257946691594046</v>
      </c>
      <c r="M44" s="65">
        <v>-0.171665790169915</v>
      </c>
      <c r="N44" s="65">
        <v>-0.187070849138997</v>
      </c>
      <c r="O44" s="65">
        <v>-0.418502720494609</v>
      </c>
      <c r="P44" s="69"/>
      <c r="W44" s="60"/>
      <c r="X44" s="84"/>
      <c r="Y44" s="84"/>
      <c r="Z44" s="84"/>
      <c r="AA44" s="61"/>
      <c r="AB44" s="61"/>
      <c r="AC44" s="61"/>
      <c r="AD44" s="61"/>
      <c r="AE44" s="61"/>
    </row>
    <row r="45" ht="3.95" customHeight="1" spans="3:31">
      <c r="C45" s="73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6"/>
    </row>
    <row r="46" ht="9.95" customHeight="1"/>
    <row r="47" ht="15" customHeight="1" spans="3:31">
      <c r="C47" s="14" t="s">
        <v>208</v>
      </c>
      <c r="D47" s="15"/>
      <c r="E47" s="15"/>
      <c r="F47" s="15"/>
      <c r="G47" s="15"/>
      <c r="H47" s="13"/>
      <c r="I47" s="13"/>
      <c r="J47" s="13"/>
      <c r="K47" s="13"/>
      <c r="L47" s="13"/>
      <c r="M47" s="13"/>
      <c r="N47" s="13"/>
      <c r="O47" s="13"/>
      <c r="P47" s="13"/>
    </row>
    <row r="48" s="6" customFormat="1" ht="15" customHeight="1" spans="3:31">
      <c r="C48" s="16"/>
      <c r="D48" s="17"/>
      <c r="E48" s="17"/>
      <c r="F48" s="17"/>
      <c r="G48" s="17"/>
      <c r="H48" s="18"/>
      <c r="I48" s="18"/>
      <c r="J48" s="18"/>
      <c r="K48" s="19" t="s">
        <v>76</v>
      </c>
      <c r="L48" s="20"/>
      <c r="M48" s="20"/>
      <c r="N48" s="20"/>
      <c r="O48" s="20"/>
      <c r="P48" s="80"/>
    </row>
    <row r="49" s="6" customFormat="1" ht="15" customHeight="1" spans="3:31">
      <c r="C49" s="85"/>
      <c r="D49" s="28" t="s">
        <v>101</v>
      </c>
      <c r="E49" s="86"/>
      <c r="F49" s="28" t="s">
        <v>202</v>
      </c>
      <c r="G49" s="86"/>
      <c r="H49" s="87">
        <f>H28</f>
        <v>2023</v>
      </c>
      <c r="I49" s="87">
        <f t="shared" ref="I49:O49" si="7">I28</f>
        <v>2024</v>
      </c>
      <c r="J49" s="87">
        <f t="shared" si="7"/>
        <v>2025</v>
      </c>
      <c r="K49" s="88">
        <f t="shared" si="7"/>
        <v>2026</v>
      </c>
      <c r="L49" s="88">
        <f t="shared" si="7"/>
        <v>2027</v>
      </c>
      <c r="M49" s="88">
        <f t="shared" si="7"/>
        <v>2028</v>
      </c>
      <c r="N49" s="88">
        <f t="shared" si="7"/>
        <v>2029</v>
      </c>
      <c r="O49" s="88">
        <f t="shared" si="7"/>
        <v>2030</v>
      </c>
      <c r="P49" s="89"/>
    </row>
    <row r="50" ht="3" customHeight="1" spans="3:31">
      <c r="C50" s="38"/>
      <c r="D50" s="39"/>
      <c r="E50" s="39"/>
      <c r="F50" s="39"/>
      <c r="G50" s="39"/>
      <c r="H50" s="40"/>
      <c r="I50" s="40"/>
      <c r="J50" s="41"/>
      <c r="K50" s="42"/>
      <c r="L50" s="42"/>
      <c r="M50" s="42"/>
      <c r="N50" s="42"/>
      <c r="O50" s="42"/>
      <c r="P50" s="43"/>
      <c r="X50" s="6"/>
      <c r="Y50" s="6"/>
      <c r="Z50" s="6"/>
      <c r="AA50" s="6"/>
      <c r="AB50" s="6"/>
      <c r="AC50" s="6"/>
      <c r="AD50" s="6"/>
      <c r="AE50" s="6"/>
    </row>
    <row r="51" ht="3" customHeight="1" spans="3:31">
      <c r="C51" s="49"/>
      <c r="D51" s="50"/>
      <c r="E51" s="50"/>
      <c r="F51" s="50"/>
      <c r="G51" s="50"/>
      <c r="H51" s="51"/>
      <c r="I51" s="51"/>
      <c r="J51" s="52"/>
      <c r="K51" s="53"/>
      <c r="L51" s="53"/>
      <c r="M51" s="53"/>
      <c r="N51" s="53"/>
      <c r="O51" s="53"/>
      <c r="P51" s="54"/>
      <c r="X51" s="6"/>
      <c r="Y51" s="6"/>
      <c r="Z51" s="6"/>
      <c r="AA51" s="6"/>
      <c r="AB51" s="6"/>
      <c r="AC51" s="6"/>
      <c r="AD51" s="6"/>
      <c r="AE51" s="6"/>
    </row>
    <row r="52" ht="12.95" customHeight="1" spans="3:31">
      <c r="C52" s="55"/>
      <c r="D52" s="56" t="s">
        <v>174</v>
      </c>
      <c r="P52" s="57"/>
      <c r="X52" s="6"/>
      <c r="Y52" s="6"/>
      <c r="Z52" s="6"/>
      <c r="AA52" s="6"/>
      <c r="AB52" s="6"/>
      <c r="AC52" s="6"/>
      <c r="AD52" s="6"/>
      <c r="AE52" s="6"/>
    </row>
    <row r="53" spans="3:31">
      <c r="C53" s="55"/>
      <c r="E53" s="7" t="s">
        <v>92</v>
      </c>
      <c r="F53" s="58"/>
      <c r="H53" s="59">
        <v>96773</v>
      </c>
      <c r="I53" s="59">
        <v>97690</v>
      </c>
      <c r="J53" s="59">
        <v>94827</v>
      </c>
      <c r="K53" s="59">
        <v>97877.4227442207</v>
      </c>
      <c r="L53" s="59">
        <v>100748.660199105</v>
      </c>
      <c r="M53" s="59">
        <v>103035.311401096</v>
      </c>
      <c r="N53" s="59">
        <v>105408.787345107</v>
      </c>
      <c r="O53" s="59">
        <v>108574.672320634</v>
      </c>
      <c r="P53" s="57"/>
      <c r="W53" s="60"/>
      <c r="X53" s="6"/>
      <c r="Y53" s="6"/>
      <c r="Z53" s="6"/>
      <c r="AA53" s="6"/>
      <c r="AB53" s="6"/>
      <c r="AC53" s="6"/>
      <c r="AD53" s="6"/>
      <c r="AE53" s="6"/>
    </row>
    <row r="54" spans="3:31">
      <c r="C54" s="55"/>
      <c r="E54" s="62" t="s">
        <v>204</v>
      </c>
      <c r="F54" s="63"/>
      <c r="G54" s="62"/>
      <c r="H54" s="64"/>
      <c r="I54" s="65">
        <v>0.0094757835346635</v>
      </c>
      <c r="J54" s="65">
        <v>-0.0293069915037363</v>
      </c>
      <c r="K54" s="65">
        <v>0.0321682932521403</v>
      </c>
      <c r="L54" s="65">
        <v>0.0293350332935074</v>
      </c>
      <c r="M54" s="65">
        <v>0.0226965916715125</v>
      </c>
      <c r="N54" s="65">
        <v>0.023035558506457</v>
      </c>
      <c r="O54" s="65">
        <v>0.0300343553442284</v>
      </c>
      <c r="P54" s="57"/>
      <c r="V54" s="82"/>
      <c r="W54" s="60"/>
      <c r="X54" s="6"/>
      <c r="Y54" s="6"/>
      <c r="Z54" s="6"/>
      <c r="AA54" s="6"/>
      <c r="AB54" s="6"/>
      <c r="AC54" s="6"/>
      <c r="AD54" s="6"/>
      <c r="AE54" s="6"/>
    </row>
    <row r="55" ht="3" customHeight="1" spans="3:31">
      <c r="C55" s="55"/>
      <c r="H55" s="68"/>
      <c r="I55" s="68"/>
      <c r="J55" s="68"/>
      <c r="K55" s="68"/>
      <c r="L55" s="68"/>
      <c r="M55" s="68"/>
      <c r="N55" s="68"/>
      <c r="O55" s="68"/>
      <c r="P55" s="57"/>
      <c r="X55" s="6"/>
      <c r="Y55" s="6"/>
      <c r="Z55" s="6"/>
      <c r="AA55" s="6"/>
      <c r="AB55" s="6"/>
      <c r="AC55" s="6"/>
      <c r="AD55" s="6"/>
      <c r="AE55" s="6"/>
    </row>
    <row r="56" ht="3" customHeight="1" spans="3:31">
      <c r="C56" s="55"/>
      <c r="H56" s="64"/>
      <c r="I56" s="64"/>
      <c r="J56" s="64"/>
      <c r="K56" s="64"/>
      <c r="L56" s="64"/>
      <c r="M56" s="64"/>
      <c r="N56" s="64"/>
      <c r="O56" s="64"/>
      <c r="P56" s="57"/>
      <c r="X56" s="6"/>
      <c r="Y56" s="6"/>
      <c r="Z56" s="6"/>
      <c r="AA56" s="6"/>
      <c r="AB56" s="6"/>
      <c r="AC56" s="6"/>
      <c r="AD56" s="6"/>
      <c r="AE56" s="6"/>
    </row>
    <row r="57" spans="3:31">
      <c r="C57" s="55"/>
      <c r="E57" s="7" t="s">
        <v>107</v>
      </c>
      <c r="F57" s="58"/>
      <c r="H57" s="59">
        <v>13558</v>
      </c>
      <c r="I57" s="59">
        <v>12444</v>
      </c>
      <c r="J57" s="59">
        <v>10503</v>
      </c>
      <c r="K57" s="59">
        <v>5551.42853591847</v>
      </c>
      <c r="L57" s="59">
        <v>3797.68613604772</v>
      </c>
      <c r="M57" s="59">
        <v>1747.24799046494</v>
      </c>
      <c r="N57" s="59">
        <v>-440.4861172534</v>
      </c>
      <c r="O57" s="59">
        <v>-2659.55766049569</v>
      </c>
      <c r="P57" s="69"/>
      <c r="W57" s="60"/>
      <c r="X57" s="6"/>
      <c r="Y57" s="6"/>
      <c r="Z57" s="6"/>
      <c r="AA57" s="6"/>
      <c r="AB57" s="6"/>
      <c r="AC57" s="6"/>
      <c r="AD57" s="6"/>
      <c r="AE57" s="6"/>
    </row>
    <row r="58" spans="3:31">
      <c r="C58" s="55"/>
      <c r="E58" s="62" t="s">
        <v>205</v>
      </c>
      <c r="F58" s="63"/>
      <c r="G58" s="62"/>
      <c r="H58" s="65">
        <v>0.140101061246422</v>
      </c>
      <c r="I58" s="65">
        <v>0.127382536595353</v>
      </c>
      <c r="J58" s="65">
        <v>0.11075959378658</v>
      </c>
      <c r="K58" s="65">
        <v>0.0567181723861468</v>
      </c>
      <c r="L58" s="65">
        <v>0.0376946564702947</v>
      </c>
      <c r="M58" s="65">
        <v>0.0169577591090422</v>
      </c>
      <c r="N58" s="65">
        <v>-0.00417883677772759</v>
      </c>
      <c r="O58" s="65">
        <v>-0.0244951939863257</v>
      </c>
      <c r="P58" s="70"/>
      <c r="V58" s="82"/>
      <c r="W58" s="60"/>
      <c r="X58" s="6"/>
      <c r="Y58" s="6"/>
      <c r="Z58" s="6"/>
      <c r="AA58" s="6"/>
      <c r="AB58" s="6"/>
      <c r="AC58" s="6"/>
      <c r="AD58" s="6"/>
      <c r="AE58" s="6"/>
    </row>
    <row r="59" spans="3:31">
      <c r="C59" s="55"/>
      <c r="E59" s="62" t="s">
        <v>204</v>
      </c>
      <c r="F59" s="63"/>
      <c r="G59" s="62"/>
      <c r="H59" s="71"/>
      <c r="I59" s="65">
        <v>-0.0821655111373359</v>
      </c>
      <c r="J59" s="65">
        <v>-0.155978784956606</v>
      </c>
      <c r="K59" s="65">
        <v>-0.471443536521139</v>
      </c>
      <c r="L59" s="65">
        <v>-0.315908308739599</v>
      </c>
      <c r="M59" s="65">
        <v>-0.539917747841239</v>
      </c>
      <c r="N59" s="65">
        <v>-1.25210280375609</v>
      </c>
      <c r="O59" s="65">
        <v>5.03777861849324</v>
      </c>
      <c r="P59" s="70"/>
      <c r="V59" s="82"/>
      <c r="W59" s="60"/>
      <c r="X59" s="6"/>
      <c r="Y59" s="6"/>
      <c r="Z59" s="6"/>
      <c r="AA59" s="6"/>
      <c r="AB59" s="6"/>
      <c r="AC59" s="6"/>
      <c r="AD59" s="6"/>
      <c r="AE59" s="6"/>
    </row>
    <row r="60" ht="3" customHeight="1" spans="3:31">
      <c r="C60" s="55"/>
      <c r="H60" s="68"/>
      <c r="I60" s="68"/>
      <c r="J60" s="68"/>
      <c r="K60" s="68"/>
      <c r="L60" s="68"/>
      <c r="M60" s="68"/>
      <c r="N60" s="68"/>
      <c r="O60" s="68"/>
      <c r="P60" s="57"/>
      <c r="X60" s="6"/>
      <c r="Y60" s="6"/>
      <c r="Z60" s="6"/>
      <c r="AA60" s="6"/>
      <c r="AB60" s="6"/>
      <c r="AC60" s="6"/>
      <c r="AD60" s="6"/>
      <c r="AE60" s="6"/>
    </row>
    <row r="61" ht="3" customHeight="1" spans="3:31">
      <c r="C61" s="55"/>
      <c r="H61" s="64"/>
      <c r="I61" s="64"/>
      <c r="J61" s="64"/>
      <c r="K61" s="64"/>
      <c r="L61" s="64"/>
      <c r="M61" s="64"/>
      <c r="N61" s="64"/>
      <c r="O61" s="64"/>
      <c r="P61" s="57"/>
      <c r="X61" s="6"/>
      <c r="Y61" s="6"/>
      <c r="Z61" s="6"/>
      <c r="AA61" s="6"/>
      <c r="AB61" s="6"/>
      <c r="AC61" s="6"/>
      <c r="AD61" s="6"/>
      <c r="AE61" s="6"/>
    </row>
    <row r="62" spans="3:31">
      <c r="C62" s="55"/>
      <c r="E62" s="7" t="s">
        <v>115</v>
      </c>
      <c r="F62" s="58"/>
      <c r="H62" s="59">
        <v>14974</v>
      </c>
      <c r="I62" s="59">
        <v>7153</v>
      </c>
      <c r="J62" s="59">
        <v>3855</v>
      </c>
      <c r="K62" s="59">
        <v>1872.40853788715</v>
      </c>
      <c r="L62" s="59">
        <v>-1300.11039964941</v>
      </c>
      <c r="M62" s="59">
        <v>-4230.64685146473</v>
      </c>
      <c r="N62" s="59">
        <v>-7360.16364628307</v>
      </c>
      <c r="O62" s="59">
        <v>-10635.6174511892</v>
      </c>
      <c r="P62" s="69"/>
      <c r="W62" s="60"/>
      <c r="X62" s="6"/>
      <c r="Y62" s="6"/>
      <c r="Z62" s="6"/>
      <c r="AA62" s="6"/>
      <c r="AB62" s="6"/>
      <c r="AC62" s="6"/>
      <c r="AD62" s="6"/>
      <c r="AE62" s="6"/>
    </row>
    <row r="63" spans="3:31">
      <c r="C63" s="55"/>
      <c r="E63" s="62" t="s">
        <v>205</v>
      </c>
      <c r="F63" s="63"/>
      <c r="G63" s="62"/>
      <c r="H63" s="65">
        <v>0.154733241709981</v>
      </c>
      <c r="I63" s="65">
        <v>0.0732214146790869</v>
      </c>
      <c r="J63" s="65">
        <v>0.0406529785820494</v>
      </c>
      <c r="K63" s="65">
        <v>0.0191301373226821</v>
      </c>
      <c r="L63" s="65">
        <v>-0.0129044931920689</v>
      </c>
      <c r="M63" s="65">
        <v>-0.0410601646555486</v>
      </c>
      <c r="N63" s="65">
        <v>-0.0698249532288611</v>
      </c>
      <c r="O63" s="65">
        <v>-0.0979567078018063</v>
      </c>
      <c r="P63" s="69"/>
      <c r="W63" s="60"/>
      <c r="X63" s="6"/>
      <c r="Y63" s="6"/>
      <c r="Z63" s="6"/>
      <c r="AA63" s="6"/>
      <c r="AB63" s="6"/>
      <c r="AC63" s="6"/>
      <c r="AD63" s="6"/>
      <c r="AE63" s="6"/>
    </row>
    <row r="64" spans="3:31">
      <c r="C64" s="55"/>
      <c r="E64" s="62" t="s">
        <v>204</v>
      </c>
      <c r="F64" s="63"/>
      <c r="G64" s="62"/>
      <c r="H64" s="71"/>
      <c r="I64" s="65">
        <v>-0.526789370726641</v>
      </c>
      <c r="J64" s="65">
        <v>-0.444793865835257</v>
      </c>
      <c r="K64" s="65">
        <v>-0.529428396394818</v>
      </c>
      <c r="L64" s="65" t="s">
        <v>206</v>
      </c>
      <c r="M64" s="65" t="s">
        <v>206</v>
      </c>
      <c r="N64" s="65" t="s">
        <v>206</v>
      </c>
      <c r="O64" s="65" t="s">
        <v>206</v>
      </c>
      <c r="P64" s="69"/>
      <c r="W64" s="60"/>
      <c r="X64" s="6"/>
      <c r="Y64" s="6"/>
      <c r="Z64" s="6"/>
      <c r="AA64" s="6"/>
      <c r="AB64" s="6"/>
      <c r="AC64" s="6"/>
      <c r="AD64" s="6"/>
      <c r="AE64" s="6"/>
    </row>
    <row r="65" ht="3.95" customHeight="1" spans="2:31">
      <c r="C65" s="73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6"/>
      <c r="X65" s="6"/>
      <c r="Y65" s="6"/>
      <c r="Z65" s="6"/>
      <c r="AA65" s="6"/>
      <c r="AB65" s="6"/>
      <c r="AC65" s="6"/>
      <c r="AD65" s="6"/>
      <c r="AE65" s="6"/>
    </row>
    <row r="66" ht="12" customHeight="1" spans="2:31"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X66" s="6"/>
      <c r="Y66" s="6"/>
      <c r="Z66" s="6"/>
      <c r="AA66" s="6"/>
      <c r="AB66" s="6"/>
      <c r="AC66" s="6"/>
      <c r="AD66" s="6"/>
      <c r="AE66" s="6"/>
    </row>
  </sheetData>
  <printOptions horizontalCentered="1"/>
  <pageMargins left="0.251388888888889" right="0.251388888888889" top="0.35" bottom="0.5" header="0.251388888888889" footer="0.251388888888889"/>
  <pageSetup paperSize="1" scale="85" orientation="landscape" horizontalDpi="600"/>
  <headerFooter alignWithMargins="0">
    <oddFooter>&amp;L&amp;Z
&amp;F&amp;C&amp;9Page &amp;P of &amp;N&amp;R&amp;9&amp;D  &amp;T</oddFooter>
  </headerFooter>
  <rowBreaks count="1" manualBreakCount="1">
    <brk id="46" max="16" man="1"/>
  </rowBreaks>
  <extLst>
    <ext xmlns:x14="http://schemas.microsoft.com/office/spreadsheetml/2009/9/main" uri="{05C60535-1F16-4fd2-B633-F4F36F0B64E0}">
      <x14:sparklineGroups xmlns:xm="http://schemas.microsoft.com/office/excel/2006/main">
        <x14:sparklineGroup lineWeight="1" type="line" displayEmptyCellsAs="gap" high="1" low="1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Summary!H62:O62</xm:f>
              <xm:sqref>F62</xm:sqref>
            </x14:sparkline>
          </x14:sparklines>
        </x14:sparklineGroup>
        <x14:sparklineGroup lineWeight="1" type="line" displayEmptyCellsAs="gap" high="1" low="1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Summary!H57:O57</xm:f>
              <xm:sqref>F57</xm:sqref>
            </x14:sparkline>
          </x14:sparklines>
        </x14:sparklineGroup>
        <x14:sparklineGroup lineWeight="1" type="line" displayEmptyCellsAs="gap" high="1" low="1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Summary!H53:O53</xm:f>
              <xm:sqref>F53</xm:sqref>
            </x14:sparkline>
          </x14:sparklines>
        </x14:sparklineGroup>
        <x14:sparklineGroup lineWeight="1" type="line" displayEmptyCellsAs="gap" high="1" low="1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Summary!H42:O42</xm:f>
              <xm:sqref>F42</xm:sqref>
            </x14:sparkline>
          </x14:sparklines>
        </x14:sparklineGroup>
        <x14:sparklineGroup lineWeight="1" type="line" displayEmptyCellsAs="gap" high="1" low="1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Summary!H37:O37</xm:f>
              <xm:sqref>F37</xm:sqref>
            </x14:sparkline>
          </x14:sparklines>
        </x14:sparklineGroup>
        <x14:sparklineGroup lineWeight="1" type="line" displayEmptyCellsAs="gap" high="1" low="1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Summary!H33:O33</xm:f>
              <xm:sqref>F33</xm:sqref>
            </x14:sparkline>
          </x14:sparklines>
        </x14:sparklineGroup>
        <x14:sparklineGroup lineWeight="1" type="line" displayEmptyCellsAs="gap" high="1" low="1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Summary!H21:O21</xm:f>
              <xm:sqref>F21</xm:sqref>
            </x14:sparkline>
          </x14:sparklines>
        </x14:sparklineGroup>
        <x14:sparklineGroup lineWeight="1" type="line" displayEmptyCellsAs="gap" high="1" low="1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Summary!H12:O12</xm:f>
              <xm:sqref>F12</xm:sqref>
            </x14:sparkline>
          </x14:sparklines>
        </x14:sparklineGroup>
        <x14:sparklineGroup lineWeight="1" type="line" displayEmptyCellsAs="gap" high="1" low="1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Summary!H16:O16</xm:f>
              <xm:sqref>F16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tabSelected="1" view="pageBreakPreview" zoomScaleNormal="85" workbookViewId="0">
      <selection activeCell="B6" sqref="B6"/>
    </sheetView>
  </sheetViews>
  <sheetFormatPr defaultColWidth="9.14285714285714" defaultRowHeight="15.2"/>
  <cols>
    <col min="1" max="1" width="106.785714285714" customWidth="1"/>
  </cols>
  <sheetData>
    <row r="1" ht="16" spans="1:1">
      <c r="A1" s="557" t="s">
        <v>209</v>
      </c>
    </row>
    <row r="2" ht="16" spans="1:1">
      <c r="A2" s="557" t="s">
        <v>210</v>
      </c>
    </row>
    <row r="3" ht="16" spans="1:1">
      <c r="A3" s="557" t="s">
        <v>211</v>
      </c>
    </row>
    <row r="4" ht="16" spans="1:1">
      <c r="A4" s="558" t="s">
        <v>212</v>
      </c>
    </row>
    <row r="5" ht="16" spans="1:1">
      <c r="A5" s="557" t="s">
        <v>213</v>
      </c>
    </row>
    <row r="6" ht="46" spans="1:1">
      <c r="A6" s="558" t="s">
        <v>214</v>
      </c>
    </row>
    <row r="7" ht="16" spans="1:1">
      <c r="A7" s="557" t="s">
        <v>215</v>
      </c>
    </row>
    <row r="8" ht="31" spans="1:1">
      <c r="A8" s="558" t="s">
        <v>216</v>
      </c>
    </row>
    <row r="9" ht="46" spans="1:1">
      <c r="A9" s="559" t="s">
        <v>217</v>
      </c>
    </row>
    <row r="11" spans="1:1">
      <c r="A11" s="4"/>
    </row>
    <row r="12" spans="1:1">
      <c r="A12" s="1"/>
    </row>
    <row r="13" spans="1:1">
      <c r="A13" s="5"/>
    </row>
    <row r="14" spans="1:1">
      <c r="A14" s="3"/>
    </row>
  </sheetData>
  <pageMargins left="0.751388888888889" right="0.751388888888889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3615AED-38F7-4EDA-9D92-A04105A1B7CE}">
  <ds:schemaRefs/>
</ds:datastoreItem>
</file>

<file path=customXml/itemProps2.xml><?xml version="1.0" encoding="utf-8"?>
<ds:datastoreItem xmlns:ds="http://schemas.openxmlformats.org/officeDocument/2006/customXml" ds:itemID="{4F69792C-476E-49DF-BED4-2B4D63F9CCFE}">
  <ds:schemaRefs/>
</ds:datastoreItem>
</file>

<file path=customXml/itemProps3.xml><?xml version="1.0" encoding="utf-8"?>
<ds:datastoreItem xmlns:ds="http://schemas.openxmlformats.org/officeDocument/2006/customXml" ds:itemID="{6091E622-898E-4782-A1DE-86EE26A2A23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Financial Modeling Institute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Cover</vt:lpstr>
      <vt:lpstr>Assumptions</vt:lpstr>
      <vt:lpstr>Scenarios</vt:lpstr>
      <vt:lpstr>Model</vt:lpstr>
      <vt:lpstr>Summary</vt:lpstr>
      <vt:lpstr>備註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Schnoor</dc:creator>
  <cp:lastModifiedBy>yanagiakane</cp:lastModifiedBy>
  <dcterms:created xsi:type="dcterms:W3CDTF">2018-04-03T17:44:00Z</dcterms:created>
  <cp:lastPrinted>2023-01-26T03:01:00Z</cp:lastPrinted>
  <dcterms:modified xsi:type="dcterms:W3CDTF">2026-09-19T14:20:26Z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0x01010023898D8306A1034782492F3567A273F2</vt:lpwstr>
  </property>
  <property fmtid="{D5CDD505-2E9C-101B-9397-08002B2CF9AE}" pid="3" name="ICV">
    <vt:lpwstr>3E8EEC83C6A6A21B46E7AD6A77074482_43</vt:lpwstr>
  </property>
  <property fmtid="{D5CDD505-2E9C-101B-9397-08002B2CF9AE}" pid="4" name="KSOProductBuildVer">
    <vt:lpwstr>3076-12.1.25867.25867</vt:lpwstr>
  </property>
  <property fmtid="{D5CDD505-2E9C-101B-9397-08002B2CF9AE}" pid="5" name="CalculationRule">
    <vt:i4>0</vt:i4>
  </property>
</Properties>
</file>