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5250\OneDrive\Documents\ExcelVBA for Creative Problem Solving\Part3\Monte Carlo Simulation project\"/>
    </mc:Choice>
  </mc:AlternateContent>
  <xr:revisionPtr revIDLastSave="54" documentId="11_A9F55DE23F9FBB0561715D39A2870B09EE000DCB" xr6:coauthVersionLast="41" xr6:coauthVersionMax="41" xr10:uidLastSave="{C4FF8070-EEC2-405E-8A5C-EE707D00D31F}"/>
  <bookViews>
    <workbookView xWindow="-110" yWindow="-110" windowWidth="19420" windowHeight="10420" xr2:uid="{00000000-000D-0000-FFFF-FFFF00000000}"/>
  </bookViews>
  <sheets>
    <sheet name="Main" sheetId="1" r:id="rId1"/>
    <sheet name="Profitability" sheetId="4" r:id="rId2"/>
    <sheet name="Histogram" sheetId="2" r:id="rId3"/>
    <sheet name="Histogram Data" sheetId="3" r:id="rId4"/>
  </sheets>
  <definedNames>
    <definedName name="Cland">Profitability!$B$3</definedName>
    <definedName name="COS">Profitability!$H$3</definedName>
    <definedName name="Croyal">Profitability!$B$4</definedName>
    <definedName name="Cstart">Profitability!$B$7</definedName>
    <definedName name="CTDC">Profitability!$B$5</definedName>
    <definedName name="i">Profitability!$H$4</definedName>
    <definedName name="S">Profitability!$E$3</definedName>
    <definedName name="tax">Profitability!$E$4</definedName>
    <definedName name="WC">Profitability!$B$6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4" i="4" l="1"/>
  <c r="I24" i="4"/>
  <c r="K24" i="4" s="1"/>
  <c r="E24" i="4"/>
  <c r="C24" i="4"/>
  <c r="L24" i="4" s="1"/>
  <c r="M24" i="4" s="1"/>
  <c r="J23" i="4"/>
  <c r="I23" i="4"/>
  <c r="K23" i="4" s="1"/>
  <c r="L23" i="4" s="1"/>
  <c r="M23" i="4" s="1"/>
  <c r="E23" i="4"/>
  <c r="J22" i="4"/>
  <c r="I22" i="4"/>
  <c r="K22" i="4" s="1"/>
  <c r="L22" i="4" s="1"/>
  <c r="M22" i="4" s="1"/>
  <c r="E22" i="4"/>
  <c r="K21" i="4"/>
  <c r="L21" i="4" s="1"/>
  <c r="M21" i="4" s="1"/>
  <c r="J21" i="4"/>
  <c r="I21" i="4"/>
  <c r="E21" i="4"/>
  <c r="J20" i="4"/>
  <c r="K20" i="4" s="1"/>
  <c r="L20" i="4" s="1"/>
  <c r="M20" i="4" s="1"/>
  <c r="I20" i="4"/>
  <c r="E20" i="4"/>
  <c r="J19" i="4"/>
  <c r="I19" i="4"/>
  <c r="K19" i="4" s="1"/>
  <c r="L19" i="4" s="1"/>
  <c r="M19" i="4" s="1"/>
  <c r="H19" i="4"/>
  <c r="E19" i="4"/>
  <c r="J18" i="4"/>
  <c r="I18" i="4"/>
  <c r="K18" i="4" s="1"/>
  <c r="L18" i="4" s="1"/>
  <c r="M18" i="4" s="1"/>
  <c r="H18" i="4"/>
  <c r="E18" i="4"/>
  <c r="J17" i="4"/>
  <c r="I17" i="4"/>
  <c r="K17" i="4" s="1"/>
  <c r="L17" i="4" s="1"/>
  <c r="M17" i="4" s="1"/>
  <c r="H17" i="4"/>
  <c r="E17" i="4"/>
  <c r="J16" i="4"/>
  <c r="I16" i="4"/>
  <c r="K16" i="4" s="1"/>
  <c r="L16" i="4" s="1"/>
  <c r="M16" i="4" s="1"/>
  <c r="H16" i="4"/>
  <c r="E16" i="4"/>
  <c r="J15" i="4"/>
  <c r="I15" i="4"/>
  <c r="K15" i="4" s="1"/>
  <c r="L15" i="4" s="1"/>
  <c r="M15" i="4" s="1"/>
  <c r="H15" i="4"/>
  <c r="E15" i="4"/>
  <c r="J14" i="4"/>
  <c r="I14" i="4"/>
  <c r="K14" i="4" s="1"/>
  <c r="L14" i="4" s="1"/>
  <c r="M14" i="4" s="1"/>
  <c r="H14" i="4"/>
  <c r="E14" i="4"/>
  <c r="J13" i="4"/>
  <c r="I13" i="4"/>
  <c r="K13" i="4" s="1"/>
  <c r="L13" i="4" s="1"/>
  <c r="M13" i="4" s="1"/>
  <c r="H13" i="4"/>
  <c r="E13" i="4"/>
  <c r="J12" i="4"/>
  <c r="I12" i="4"/>
  <c r="K12" i="4" s="1"/>
  <c r="L12" i="4" s="1"/>
  <c r="M12" i="4" s="1"/>
  <c r="H12" i="4"/>
  <c r="E12" i="4"/>
  <c r="F11" i="4"/>
  <c r="C11" i="4"/>
  <c r="B11" i="4"/>
  <c r="L11" i="4" s="1"/>
  <c r="M11" i="4" s="1"/>
  <c r="D10" i="4"/>
  <c r="L10" i="4" s="1"/>
  <c r="M10" i="4" s="1"/>
  <c r="N10" i="4" s="1"/>
  <c r="B10" i="4"/>
  <c r="N11" i="4" l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N24" i="4" s="1"/>
  <c r="H11" i="1" l="1"/>
  <c r="H10" i="1"/>
  <c r="H9" i="1"/>
  <c r="H8" i="1"/>
  <c r="H7" i="1"/>
  <c r="H6" i="1"/>
  <c r="H5" i="1"/>
  <c r="H4" i="1"/>
  <c r="H3" i="1"/>
  <c r="H13" i="1" l="1"/>
  <c r="H16" i="1" s="1"/>
  <c r="H19" i="1" s="1"/>
</calcChain>
</file>

<file path=xl/sharedStrings.xml><?xml version="1.0" encoding="utf-8"?>
<sst xmlns="http://schemas.openxmlformats.org/spreadsheetml/2006/main" count="83" uniqueCount="66">
  <si>
    <t>1 batch of Cookies</t>
  </si>
  <si>
    <t>specific cost</t>
  </si>
  <si>
    <t>units</t>
  </si>
  <si>
    <t>amt.</t>
  </si>
  <si>
    <t>other</t>
  </si>
  <si>
    <t>total cost per batch</t>
  </si>
  <si>
    <t>Flour</t>
  </si>
  <si>
    <t>per lb</t>
  </si>
  <si>
    <t>cups</t>
  </si>
  <si>
    <t>g/cup</t>
  </si>
  <si>
    <t>Baking soda</t>
  </si>
  <si>
    <t>tsp</t>
  </si>
  <si>
    <t>g/cm^3</t>
  </si>
  <si>
    <t>Salt</t>
  </si>
  <si>
    <t>per oz.</t>
  </si>
  <si>
    <t>Butter</t>
  </si>
  <si>
    <t>per stick</t>
  </si>
  <si>
    <t>sticks</t>
  </si>
  <si>
    <t>Sugar</t>
  </si>
  <si>
    <t>cup</t>
  </si>
  <si>
    <t>Brown sugar</t>
  </si>
  <si>
    <t>Vanilla</t>
  </si>
  <si>
    <t>per fl. oz.</t>
  </si>
  <si>
    <t>Eggs</t>
  </si>
  <si>
    <t>per egg</t>
  </si>
  <si>
    <t>eggs, large</t>
  </si>
  <si>
    <t>Chocolate chips</t>
  </si>
  <si>
    <t>per bag</t>
  </si>
  <si>
    <t>bag</t>
  </si>
  <si>
    <t>Total:</t>
  </si>
  <si>
    <t>Total cookies:</t>
  </si>
  <si>
    <t>Per cookie:</t>
  </si>
  <si>
    <t>Selling price:</t>
  </si>
  <si>
    <t>per cookie</t>
  </si>
  <si>
    <t>*IMPORTANT: DO NOT DELETE THIS SHEET</t>
  </si>
  <si>
    <t>Profit:</t>
  </si>
  <si>
    <t>OR CHANGE ITS NAME!</t>
  </si>
  <si>
    <t>Uniform</t>
  </si>
  <si>
    <t>Discrete</t>
  </si>
  <si>
    <t>normal</t>
  </si>
  <si>
    <t>Triangular</t>
  </si>
  <si>
    <t>Beta</t>
  </si>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</sst>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.000_);_(&quot;$&quot;* \(#,##0.000\);_(&quot;$&quot;* &quot;-&quot;??_);_(@_)"/>
    <numFmt numFmtId="165" formatCode="&quot;$&quot;#,##0.000_);[Red]\(&quot;$&quot;#,##0.000\)"/>
    <numFmt numFmtId="166" formatCode="0.0"/>
    <numFmt numFmtId="167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22222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44" fontId="0" fillId="0" borderId="0" xfId="1" applyFont="1"/>
    <xf numFmtId="0" fontId="3" fillId="0" borderId="0" xfId="0" applyFont="1"/>
    <xf numFmtId="44" fontId="0" fillId="0" borderId="1" xfId="0" applyNumberFormat="1" applyBorder="1"/>
    <xf numFmtId="44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8" fontId="0" fillId="0" borderId="0" xfId="0" applyNumberFormat="1"/>
    <xf numFmtId="44" fontId="0" fillId="0" borderId="0" xfId="0" applyNumberFormat="1" applyAlignment="1">
      <alignment horizontal="right"/>
    </xf>
    <xf numFmtId="165" fontId="3" fillId="0" borderId="1" xfId="0" applyNumberFormat="1" applyFont="1" applyBorder="1"/>
    <xf numFmtId="9" fontId="0" fillId="0" borderId="0" xfId="0" quotePrefix="1" applyNumberFormat="1"/>
    <xf numFmtId="44" fontId="0" fillId="0" borderId="0" xfId="1" applyNumberFormat="1" applyFont="1"/>
    <xf numFmtId="0" fontId="0" fillId="0" borderId="0" xfId="0" quotePrefix="1"/>
    <xf numFmtId="2" fontId="0" fillId="2" borderId="2" xfId="0" applyNumberFormat="1" applyFill="1" applyBorder="1"/>
    <xf numFmtId="166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7" fontId="0" fillId="2" borderId="4" xfId="2" applyNumberFormat="1" applyFont="1" applyFill="1" applyBorder="1"/>
    <xf numFmtId="166" fontId="0" fillId="2" borderId="3" xfId="0" applyNumberFormat="1" applyFill="1" applyBorder="1"/>
    <xf numFmtId="0" fontId="0" fillId="0" borderId="0" xfId="0" applyFill="1"/>
    <xf numFmtId="166" fontId="0" fillId="2" borderId="4" xfId="0" applyNumberFormat="1" applyFill="1" applyBorder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Data'!$A$1:$A$17</c:f>
              <c:numCache>
                <c:formatCode>General</c:formatCode>
                <c:ptCount val="17"/>
                <c:pt idx="0">
                  <c:v>0.11970000000000001</c:v>
                </c:pt>
                <c:pt idx="1">
                  <c:v>0.11990000000000002</c:v>
                </c:pt>
                <c:pt idx="2">
                  <c:v>0.12010000000000003</c:v>
                </c:pt>
                <c:pt idx="3">
                  <c:v>0.12030000000000003</c:v>
                </c:pt>
                <c:pt idx="4">
                  <c:v>0.12050000000000004</c:v>
                </c:pt>
                <c:pt idx="5">
                  <c:v>0.12070000000000004</c:v>
                </c:pt>
                <c:pt idx="6">
                  <c:v>0.12090000000000005</c:v>
                </c:pt>
                <c:pt idx="7">
                  <c:v>0.12110000000000005</c:v>
                </c:pt>
                <c:pt idx="8">
                  <c:v>0.12130000000000006</c:v>
                </c:pt>
                <c:pt idx="9">
                  <c:v>0.12150000000000007</c:v>
                </c:pt>
                <c:pt idx="10">
                  <c:v>0.12170000000000007</c:v>
                </c:pt>
                <c:pt idx="11">
                  <c:v>0.12190000000000008</c:v>
                </c:pt>
                <c:pt idx="12">
                  <c:v>0.12210000000000008</c:v>
                </c:pt>
                <c:pt idx="13">
                  <c:v>0.12230000000000009</c:v>
                </c:pt>
                <c:pt idx="14">
                  <c:v>0.12250000000000009</c:v>
                </c:pt>
                <c:pt idx="15">
                  <c:v>0.1227000000000001</c:v>
                </c:pt>
                <c:pt idx="16">
                  <c:v>0.12290000000000011</c:v>
                </c:pt>
              </c:numCache>
            </c:numRef>
          </c:cat>
          <c:val>
            <c:numRef>
              <c:f>'Histogram Data'!$B$1:$B$17</c:f>
              <c:numCache>
                <c:formatCode>General</c:formatCode>
                <c:ptCount val="17"/>
                <c:pt idx="0">
                  <c:v>7</c:v>
                </c:pt>
                <c:pt idx="1">
                  <c:v>23</c:v>
                </c:pt>
                <c:pt idx="2">
                  <c:v>60</c:v>
                </c:pt>
                <c:pt idx="3">
                  <c:v>78</c:v>
                </c:pt>
                <c:pt idx="4">
                  <c:v>73</c:v>
                </c:pt>
                <c:pt idx="5">
                  <c:v>73</c:v>
                </c:pt>
                <c:pt idx="6">
                  <c:v>83</c:v>
                </c:pt>
                <c:pt idx="7">
                  <c:v>68</c:v>
                </c:pt>
                <c:pt idx="8">
                  <c:v>72</c:v>
                </c:pt>
                <c:pt idx="9">
                  <c:v>77</c:v>
                </c:pt>
                <c:pt idx="10">
                  <c:v>83</c:v>
                </c:pt>
                <c:pt idx="11">
                  <c:v>75</c:v>
                </c:pt>
                <c:pt idx="12">
                  <c:v>72</c:v>
                </c:pt>
                <c:pt idx="13">
                  <c:v>73</c:v>
                </c:pt>
                <c:pt idx="14">
                  <c:v>57</c:v>
                </c:pt>
                <c:pt idx="15">
                  <c:v>22</c:v>
                </c:pt>
                <c:pt idx="1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6A-49A6-99E4-11C7039CB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7559871"/>
        <c:axId val="453784271"/>
      </c:barChart>
      <c:catAx>
        <c:axId val="4475598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84271"/>
        <c:crosses val="autoZero"/>
        <c:auto val="1"/>
        <c:lblAlgn val="ctr"/>
        <c:lblOffset val="100"/>
        <c:noMultiLvlLbl val="0"/>
      </c:catAx>
      <c:valAx>
        <c:axId val="45378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3"/>
  <sheetViews>
    <sheetView zoomScale="55" workbookViewId="0" zoomToFit="1"/>
  </sheetViews>
  <pageMargins left="0.7" right="0.7" top="0.75" bottom="0.75" header="0.3" footer="0.3"/>
  <pageSetup paperSize="9" orientation="landscape" r:id="rId1"/>
  <headerFooter>
    <oddFooter>&amp;LINTERNAL</oddFooter>
    <evenFooter>&amp;LINTERNAL</evenFooter>
    <firstFooter>&amp;LINTERNAL</firstFooter>
  </headerFooter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698500</xdr:colOff>
          <xdr:row>13</xdr:row>
          <xdr:rowOff>76200</xdr:rowOff>
        </xdr:from>
        <xdr:to>
          <xdr:col>4</xdr:col>
          <xdr:colOff>203200</xdr:colOff>
          <xdr:row>15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25</xdr:row>
      <xdr:rowOff>0</xdr:rowOff>
    </xdr:from>
    <xdr:to>
      <xdr:col>5</xdr:col>
      <xdr:colOff>319594</xdr:colOff>
      <xdr:row>36</xdr:row>
      <xdr:rowOff>128170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800600"/>
          <a:ext cx="4558219" cy="22236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2</xdr:col>
      <xdr:colOff>459980</xdr:colOff>
      <xdr:row>41</xdr:row>
      <xdr:rowOff>52958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086600"/>
          <a:ext cx="2517380" cy="81495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12</xdr:col>
      <xdr:colOff>201597</xdr:colOff>
      <xdr:row>37</xdr:row>
      <xdr:rowOff>158872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3000" y="4800600"/>
          <a:ext cx="4725972" cy="244487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38</xdr:row>
      <xdr:rowOff>0</xdr:rowOff>
    </xdr:from>
    <xdr:to>
      <xdr:col>11</xdr:col>
      <xdr:colOff>22699</xdr:colOff>
      <xdr:row>46</xdr:row>
      <xdr:rowOff>131316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53000" y="7277100"/>
          <a:ext cx="3937474" cy="1655316"/>
        </a:xfrm>
        <a:prstGeom prst="rect">
          <a:avLst/>
        </a:prstGeom>
      </xdr:spPr>
    </xdr:pic>
    <xdr:clientData/>
  </xdr:twoCellAnchor>
  <xdr:twoCellAnchor editAs="oneCell">
    <xdr:from>
      <xdr:col>13</xdr:col>
      <xdr:colOff>19845</xdr:colOff>
      <xdr:row>25</xdr:row>
      <xdr:rowOff>6615</xdr:rowOff>
    </xdr:from>
    <xdr:to>
      <xdr:col>21</xdr:col>
      <xdr:colOff>492136</xdr:colOff>
      <xdr:row>37</xdr:row>
      <xdr:rowOff>178188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106820" y="4807215"/>
          <a:ext cx="5349091" cy="2457573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38</xdr:row>
      <xdr:rowOff>0</xdr:rowOff>
    </xdr:from>
    <xdr:to>
      <xdr:col>20</xdr:col>
      <xdr:colOff>414049</xdr:colOff>
      <xdr:row>42</xdr:row>
      <xdr:rowOff>110111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086975" y="7277100"/>
          <a:ext cx="4681249" cy="87211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6</xdr:col>
      <xdr:colOff>86523</xdr:colOff>
      <xdr:row>63</xdr:row>
      <xdr:rowOff>48820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9372600"/>
          <a:ext cx="5039523" cy="27158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6</xdr:col>
      <xdr:colOff>277033</xdr:colOff>
      <xdr:row>76</xdr:row>
      <xdr:rowOff>82668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12230100"/>
          <a:ext cx="5230033" cy="236866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49</xdr:row>
      <xdr:rowOff>13230</xdr:rowOff>
    </xdr:from>
    <xdr:to>
      <xdr:col>14</xdr:col>
      <xdr:colOff>293962</xdr:colOff>
      <xdr:row>62</xdr:row>
      <xdr:rowOff>101200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743575" y="9385830"/>
          <a:ext cx="5246962" cy="256447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63</xdr:row>
      <xdr:rowOff>6615</xdr:rowOff>
    </xdr:from>
    <xdr:to>
      <xdr:col>14</xdr:col>
      <xdr:colOff>281261</xdr:colOff>
      <xdr:row>76</xdr:row>
      <xdr:rowOff>177139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743575" y="12046215"/>
          <a:ext cx="5234261" cy="2647024"/>
        </a:xfrm>
        <a:prstGeom prst="rect">
          <a:avLst/>
        </a:prstGeom>
      </xdr:spPr>
    </xdr:pic>
    <xdr:clientData/>
  </xdr:twoCellAnchor>
  <xdr:twoCellAnchor editAs="oneCell">
    <xdr:from>
      <xdr:col>7</xdr:col>
      <xdr:colOff>99221</xdr:colOff>
      <xdr:row>77</xdr:row>
      <xdr:rowOff>26460</xdr:rowOff>
    </xdr:from>
    <xdr:to>
      <xdr:col>14</xdr:col>
      <xdr:colOff>215374</xdr:colOff>
      <xdr:row>86</xdr:row>
      <xdr:rowOff>86874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842796" y="14733060"/>
          <a:ext cx="5069153" cy="177491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</xdr:row>
      <xdr:rowOff>0</xdr:rowOff>
    </xdr:from>
    <xdr:to>
      <xdr:col>19</xdr:col>
      <xdr:colOff>454330</xdr:colOff>
      <xdr:row>27</xdr:row>
      <xdr:rowOff>47876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CE3AC04-C8E7-4975-B5D6-6BC766780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592344" y="185208"/>
          <a:ext cx="5931205" cy="48897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889000</xdr:colOff>
          <xdr:row>25</xdr:row>
          <xdr:rowOff>88900</xdr:rowOff>
        </xdr:from>
        <xdr:to>
          <xdr:col>4</xdr:col>
          <xdr:colOff>400050</xdr:colOff>
          <xdr:row>27</xdr:row>
          <xdr:rowOff>146050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31</xdr:row>
      <xdr:rowOff>0</xdr:rowOff>
    </xdr:from>
    <xdr:to>
      <xdr:col>5</xdr:col>
      <xdr:colOff>12931</xdr:colOff>
      <xdr:row>40</xdr:row>
      <xdr:rowOff>88990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953125"/>
          <a:ext cx="4308706" cy="18034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9919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9"/>
  <sheetViews>
    <sheetView tabSelected="1" topLeftCell="D1" zoomScale="96" zoomScaleNormal="145" workbookViewId="0">
      <selection activeCell="I8" sqref="I8"/>
    </sheetView>
  </sheetViews>
  <sheetFormatPr defaultRowHeight="14.5" x14ac:dyDescent="0.35"/>
  <cols>
    <col min="1" max="1" width="19.1796875" bestFit="1" customWidth="1"/>
    <col min="2" max="2" width="11.7265625" bestFit="1" customWidth="1"/>
    <col min="3" max="3" width="13.1796875" customWidth="1"/>
    <col min="5" max="5" width="10.453125" bestFit="1" customWidth="1"/>
    <col min="6" max="6" width="10.7265625" customWidth="1"/>
    <col min="7" max="7" width="11.81640625" bestFit="1" customWidth="1"/>
    <col min="8" max="8" width="17.54296875" customWidth="1"/>
    <col min="9" max="9" width="11" customWidth="1"/>
  </cols>
  <sheetData>
    <row r="1" spans="1:10" x14ac:dyDescent="0.35">
      <c r="A1" t="s">
        <v>0</v>
      </c>
    </row>
    <row r="2" spans="1:10" x14ac:dyDescent="0.35">
      <c r="B2" t="s">
        <v>1</v>
      </c>
      <c r="C2" t="s">
        <v>2</v>
      </c>
      <c r="D2" t="s">
        <v>3</v>
      </c>
      <c r="E2" t="s">
        <v>2</v>
      </c>
      <c r="F2" t="s">
        <v>4</v>
      </c>
      <c r="G2" t="s">
        <v>2</v>
      </c>
      <c r="H2" t="s">
        <v>5</v>
      </c>
    </row>
    <row r="3" spans="1:10" x14ac:dyDescent="0.35">
      <c r="A3" t="s">
        <v>6</v>
      </c>
      <c r="B3" s="1">
        <v>0.61576911509037013</v>
      </c>
      <c r="C3" t="s">
        <v>7</v>
      </c>
      <c r="D3">
        <v>2.25</v>
      </c>
      <c r="E3" t="s">
        <v>8</v>
      </c>
      <c r="F3">
        <v>125</v>
      </c>
      <c r="G3" t="s">
        <v>9</v>
      </c>
      <c r="H3" s="1">
        <f>B3*D3*F3/454</f>
        <v>0.38146489783957405</v>
      </c>
    </row>
    <row r="4" spans="1:10" x14ac:dyDescent="0.35">
      <c r="A4" t="s">
        <v>10</v>
      </c>
      <c r="B4" s="1">
        <v>2.7864048494631497</v>
      </c>
      <c r="C4" t="s">
        <v>7</v>
      </c>
      <c r="D4">
        <v>1</v>
      </c>
      <c r="E4" t="s">
        <v>11</v>
      </c>
      <c r="F4">
        <v>2.2000000000000002</v>
      </c>
      <c r="G4" t="s">
        <v>12</v>
      </c>
      <c r="H4" s="1">
        <f>B4*D4*F4/454*4.929</f>
        <v>6.6553341203983499E-2</v>
      </c>
    </row>
    <row r="5" spans="1:10" x14ac:dyDescent="0.35">
      <c r="A5" t="s">
        <v>13</v>
      </c>
      <c r="B5" s="1">
        <v>0.06</v>
      </c>
      <c r="C5" t="s">
        <v>14</v>
      </c>
      <c r="D5">
        <v>1</v>
      </c>
      <c r="E5" t="s">
        <v>11</v>
      </c>
      <c r="F5">
        <v>2.16</v>
      </c>
      <c r="G5" t="s">
        <v>12</v>
      </c>
      <c r="H5" s="1">
        <f>B5*D5*F5/454*4.929*16</f>
        <v>2.2512718942731276E-2</v>
      </c>
    </row>
    <row r="6" spans="1:10" x14ac:dyDescent="0.35">
      <c r="A6" t="s">
        <v>15</v>
      </c>
      <c r="B6" s="1">
        <v>1</v>
      </c>
      <c r="C6" t="s">
        <v>16</v>
      </c>
      <c r="D6">
        <v>2</v>
      </c>
      <c r="E6" t="s">
        <v>17</v>
      </c>
      <c r="H6" s="1">
        <f>B6*D6</f>
        <v>2</v>
      </c>
    </row>
    <row r="7" spans="1:10" x14ac:dyDescent="0.35">
      <c r="A7" s="2" t="s">
        <v>18</v>
      </c>
      <c r="B7" s="1">
        <v>0.65</v>
      </c>
      <c r="C7" t="s">
        <v>7</v>
      </c>
      <c r="D7">
        <v>0.75</v>
      </c>
      <c r="E7" t="s">
        <v>19</v>
      </c>
      <c r="F7">
        <v>1.59</v>
      </c>
      <c r="G7" t="s">
        <v>12</v>
      </c>
      <c r="H7" s="1">
        <f>B7*D7*F7*236.6/454</f>
        <v>0.40395280837004405</v>
      </c>
    </row>
    <row r="8" spans="1:10" x14ac:dyDescent="0.35">
      <c r="A8" s="2" t="s">
        <v>20</v>
      </c>
      <c r="B8" s="1">
        <v>2.95</v>
      </c>
      <c r="C8" t="s">
        <v>7</v>
      </c>
      <c r="D8">
        <v>0.75</v>
      </c>
      <c r="E8" t="s">
        <v>19</v>
      </c>
      <c r="F8">
        <v>0.93</v>
      </c>
      <c r="G8" t="s">
        <v>12</v>
      </c>
      <c r="H8" s="1">
        <f>B8*D8*F8*236.6/454</f>
        <v>1.0723217511013217</v>
      </c>
    </row>
    <row r="9" spans="1:10" x14ac:dyDescent="0.35">
      <c r="A9" t="s">
        <v>21</v>
      </c>
      <c r="B9" s="1">
        <v>2.08</v>
      </c>
      <c r="C9" t="s">
        <v>22</v>
      </c>
      <c r="D9">
        <v>1</v>
      </c>
      <c r="E9" t="s">
        <v>11</v>
      </c>
      <c r="H9" s="1">
        <f>B9*D9/6</f>
        <v>0.34666666666666668</v>
      </c>
    </row>
    <row r="10" spans="1:10" x14ac:dyDescent="0.35">
      <c r="A10" t="s">
        <v>23</v>
      </c>
      <c r="B10" s="1">
        <v>0.25</v>
      </c>
      <c r="C10" t="s">
        <v>24</v>
      </c>
      <c r="D10">
        <v>2</v>
      </c>
      <c r="E10" t="s">
        <v>25</v>
      </c>
      <c r="H10" s="1">
        <f>B10*D10</f>
        <v>0.5</v>
      </c>
    </row>
    <row r="11" spans="1:10" x14ac:dyDescent="0.35">
      <c r="A11" t="s">
        <v>26</v>
      </c>
      <c r="B11" s="1">
        <v>2.95</v>
      </c>
      <c r="C11" t="s">
        <v>27</v>
      </c>
      <c r="D11">
        <v>1</v>
      </c>
      <c r="E11" t="s">
        <v>28</v>
      </c>
      <c r="H11" s="1">
        <f>B11</f>
        <v>2.95</v>
      </c>
    </row>
    <row r="12" spans="1:10" ht="15" thickBot="1" x14ac:dyDescent="0.4">
      <c r="J12" t="s">
        <v>65</v>
      </c>
    </row>
    <row r="13" spans="1:10" ht="15" thickBot="1" x14ac:dyDescent="0.4">
      <c r="G13" t="s">
        <v>29</v>
      </c>
      <c r="H13" s="3">
        <f>SUM(H3:H11)</f>
        <v>7.7434721841243208</v>
      </c>
    </row>
    <row r="14" spans="1:10" x14ac:dyDescent="0.35">
      <c r="H14" s="4"/>
    </row>
    <row r="15" spans="1:10" x14ac:dyDescent="0.35">
      <c r="A15" s="5"/>
      <c r="B15" s="1"/>
      <c r="G15" t="s">
        <v>30</v>
      </c>
      <c r="H15">
        <v>60</v>
      </c>
    </row>
    <row r="16" spans="1:10" x14ac:dyDescent="0.35">
      <c r="A16" s="5"/>
      <c r="G16" t="s">
        <v>31</v>
      </c>
      <c r="H16" s="6">
        <f>H13/H15</f>
        <v>0.12905786973540534</v>
      </c>
    </row>
    <row r="17" spans="1:14" x14ac:dyDescent="0.35">
      <c r="A17" s="5"/>
    </row>
    <row r="18" spans="1:14" ht="15" thickBot="1" x14ac:dyDescent="0.4">
      <c r="G18" t="s">
        <v>32</v>
      </c>
      <c r="H18" s="7">
        <v>0.25</v>
      </c>
      <c r="I18" t="s">
        <v>33</v>
      </c>
    </row>
    <row r="19" spans="1:14" ht="15" thickBot="1" x14ac:dyDescent="0.4">
      <c r="A19" t="s">
        <v>34</v>
      </c>
      <c r="E19" s="4"/>
      <c r="G19" s="8" t="s">
        <v>35</v>
      </c>
      <c r="H19" s="9">
        <f>$H$18-H16</f>
        <v>0.12094213026459466</v>
      </c>
      <c r="I19" s="4" t="s">
        <v>33</v>
      </c>
    </row>
    <row r="20" spans="1:14" x14ac:dyDescent="0.35">
      <c r="A20" t="s">
        <v>36</v>
      </c>
      <c r="C20" s="10"/>
      <c r="D20" s="4"/>
      <c r="E20" s="11"/>
      <c r="F20" s="4"/>
      <c r="G20" s="1"/>
      <c r="H20" s="4"/>
      <c r="I20" s="1"/>
    </row>
    <row r="21" spans="1:14" x14ac:dyDescent="0.35">
      <c r="C21" s="12"/>
      <c r="D21" s="4"/>
      <c r="E21" s="11"/>
      <c r="F21" s="4"/>
      <c r="G21" s="1"/>
      <c r="H21" s="4"/>
      <c r="I21" s="1"/>
    </row>
    <row r="22" spans="1:14" x14ac:dyDescent="0.35">
      <c r="C22" s="12"/>
      <c r="D22" s="4"/>
      <c r="E22" s="11"/>
      <c r="F22" s="4"/>
      <c r="G22" s="1"/>
      <c r="H22" s="4"/>
      <c r="I22" s="1"/>
    </row>
    <row r="23" spans="1:14" x14ac:dyDescent="0.35">
      <c r="C23" s="12"/>
      <c r="D23" s="4"/>
      <c r="E23" s="11"/>
      <c r="F23" s="4"/>
      <c r="G23" s="1"/>
      <c r="H23" s="4"/>
      <c r="I23" s="1"/>
    </row>
    <row r="24" spans="1:14" x14ac:dyDescent="0.35">
      <c r="C24" s="10"/>
      <c r="D24" s="4"/>
      <c r="E24" s="11"/>
      <c r="F24" s="4"/>
      <c r="G24" s="1"/>
      <c r="H24" s="4"/>
      <c r="I24" s="1"/>
    </row>
    <row r="25" spans="1:14" x14ac:dyDescent="0.35">
      <c r="A25" t="s">
        <v>37</v>
      </c>
      <c r="C25" s="12"/>
      <c r="D25" s="4"/>
      <c r="E25" s="11"/>
      <c r="F25" s="4"/>
      <c r="G25" s="1" t="s">
        <v>38</v>
      </c>
      <c r="H25" s="4"/>
      <c r="I25" s="1"/>
      <c r="N25" t="s">
        <v>39</v>
      </c>
    </row>
    <row r="26" spans="1:14" x14ac:dyDescent="0.35">
      <c r="C26" s="12"/>
      <c r="D26" s="4"/>
      <c r="E26" s="11"/>
      <c r="F26" s="4"/>
      <c r="G26" s="1"/>
      <c r="H26" s="4"/>
      <c r="I26" s="1"/>
    </row>
    <row r="27" spans="1:14" x14ac:dyDescent="0.35">
      <c r="C27" s="12"/>
      <c r="D27" s="4"/>
      <c r="E27" s="11"/>
      <c r="F27" s="4"/>
      <c r="G27" s="1"/>
      <c r="H27" s="4"/>
      <c r="I27" s="1"/>
    </row>
    <row r="49" spans="1:8" x14ac:dyDescent="0.35">
      <c r="A49" t="s">
        <v>40</v>
      </c>
      <c r="H49" t="s">
        <v>41</v>
      </c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orm">
                <anchor moveWithCells="1" sizeWithCells="1">
                  <from>
                    <xdr:col>2</xdr:col>
                    <xdr:colOff>698500</xdr:colOff>
                    <xdr:row>13</xdr:row>
                    <xdr:rowOff>76200</xdr:rowOff>
                  </from>
                  <to>
                    <xdr:col>4</xdr:col>
                    <xdr:colOff>203200</xdr:colOff>
                    <xdr:row>15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27"/>
  <sheetViews>
    <sheetView zoomScaleNormal="100" workbookViewId="0">
      <selection activeCell="D6" sqref="D6"/>
    </sheetView>
  </sheetViews>
  <sheetFormatPr defaultRowHeight="14.5" x14ac:dyDescent="0.35"/>
  <cols>
    <col min="1" max="1" width="19.1796875" bestFit="1" customWidth="1"/>
    <col min="2" max="2" width="11.81640625" bestFit="1" customWidth="1"/>
    <col min="3" max="3" width="13.1796875" customWidth="1"/>
    <col min="4" max="4" width="9.81640625" bestFit="1" customWidth="1"/>
    <col min="5" max="5" width="10.453125" bestFit="1" customWidth="1"/>
    <col min="6" max="6" width="10.7265625" customWidth="1"/>
    <col min="7" max="7" width="11.81640625" bestFit="1" customWidth="1"/>
    <col min="8" max="8" width="11" customWidth="1"/>
    <col min="9" max="10" width="9.1796875" bestFit="1" customWidth="1"/>
  </cols>
  <sheetData>
    <row r="1" spans="1:16" x14ac:dyDescent="0.35">
      <c r="A1" t="s">
        <v>42</v>
      </c>
    </row>
    <row r="2" spans="1:16" ht="15" thickBot="1" x14ac:dyDescent="0.4"/>
    <row r="3" spans="1:16" x14ac:dyDescent="0.35">
      <c r="A3" t="s">
        <v>43</v>
      </c>
      <c r="B3" s="13">
        <v>-3</v>
      </c>
      <c r="D3" t="s">
        <v>44</v>
      </c>
      <c r="E3" s="14">
        <v>40.257877959204492</v>
      </c>
      <c r="G3" t="s">
        <v>45</v>
      </c>
      <c r="H3" s="13">
        <v>-5.6617071229527962</v>
      </c>
    </row>
    <row r="4" spans="1:16" ht="15" thickBot="1" x14ac:dyDescent="0.4">
      <c r="A4" t="s">
        <v>46</v>
      </c>
      <c r="B4" s="15">
        <v>-3.4588087190074326</v>
      </c>
      <c r="D4" t="s">
        <v>47</v>
      </c>
      <c r="E4" s="16">
        <v>0.4</v>
      </c>
      <c r="G4" t="s">
        <v>48</v>
      </c>
      <c r="H4" s="17">
        <v>0.10500414848327637</v>
      </c>
    </row>
    <row r="5" spans="1:16" x14ac:dyDescent="0.35">
      <c r="A5" t="s">
        <v>49</v>
      </c>
      <c r="B5" s="18">
        <v>-47.350857837510048</v>
      </c>
      <c r="H5" s="19"/>
    </row>
    <row r="6" spans="1:16" x14ac:dyDescent="0.35">
      <c r="A6" t="s">
        <v>50</v>
      </c>
      <c r="B6" s="18">
        <v>-26.271997690200806</v>
      </c>
      <c r="E6" t="s">
        <v>51</v>
      </c>
      <c r="H6" s="19"/>
    </row>
    <row r="7" spans="1:16" ht="15" thickBot="1" x14ac:dyDescent="0.4">
      <c r="A7" t="s">
        <v>52</v>
      </c>
      <c r="B7" s="20">
        <v>-10.71536671052981</v>
      </c>
      <c r="E7" t="s">
        <v>53</v>
      </c>
      <c r="H7" s="19"/>
    </row>
    <row r="8" spans="1:16" x14ac:dyDescent="0.35">
      <c r="M8" t="s">
        <v>54</v>
      </c>
    </row>
    <row r="9" spans="1:16" x14ac:dyDescent="0.35">
      <c r="A9" t="s">
        <v>55</v>
      </c>
      <c r="B9" t="s">
        <v>49</v>
      </c>
      <c r="C9" t="s">
        <v>50</v>
      </c>
      <c r="D9" t="s">
        <v>43</v>
      </c>
      <c r="E9" t="s">
        <v>56</v>
      </c>
      <c r="F9" t="s">
        <v>57</v>
      </c>
      <c r="G9" t="s">
        <v>58</v>
      </c>
      <c r="H9" t="s">
        <v>59</v>
      </c>
      <c r="I9" t="s">
        <v>44</v>
      </c>
      <c r="J9" t="s">
        <v>45</v>
      </c>
      <c r="K9" t="s">
        <v>60</v>
      </c>
      <c r="L9" t="s">
        <v>61</v>
      </c>
      <c r="M9" t="s">
        <v>62</v>
      </c>
      <c r="N9" t="s">
        <v>63</v>
      </c>
      <c r="P9" t="s">
        <v>64</v>
      </c>
    </row>
    <row r="10" spans="1:16" x14ac:dyDescent="0.35">
      <c r="A10">
        <v>1</v>
      </c>
      <c r="B10" s="21">
        <f>0.5*CTDC</f>
        <v>-23.675428918755024</v>
      </c>
      <c r="C10" s="21"/>
      <c r="D10" s="21">
        <f>Cland</f>
        <v>-3</v>
      </c>
      <c r="E10" s="21"/>
      <c r="F10" s="21"/>
      <c r="G10" s="21"/>
      <c r="H10" s="21"/>
      <c r="I10" s="21"/>
      <c r="J10" s="21"/>
      <c r="L10">
        <f>B10+D10</f>
        <v>-26.675428918755024</v>
      </c>
      <c r="M10" s="21">
        <f t="shared" ref="M10:M24" si="0">L10/(1+i)^(A10-1)</f>
        <v>-26.675428918755024</v>
      </c>
      <c r="N10" s="21">
        <f>M10</f>
        <v>-26.675428918755024</v>
      </c>
    </row>
    <row r="11" spans="1:16" x14ac:dyDescent="0.35">
      <c r="A11">
        <v>2</v>
      </c>
      <c r="B11" s="21">
        <f>0.5*CTDC</f>
        <v>-23.675428918755024</v>
      </c>
      <c r="C11" s="21">
        <f>WC</f>
        <v>-26.271997690200806</v>
      </c>
      <c r="D11" s="21"/>
      <c r="E11" s="21"/>
      <c r="F11" s="21">
        <f>Cstart</f>
        <v>-10.71536671052981</v>
      </c>
      <c r="G11" s="21"/>
      <c r="H11" s="21"/>
      <c r="I11" s="21"/>
      <c r="J11" s="21"/>
      <c r="L11">
        <f>B11+C11+F11</f>
        <v>-60.662793319485644</v>
      </c>
      <c r="M11" s="21">
        <f t="shared" si="0"/>
        <v>-54.898249389154884</v>
      </c>
      <c r="N11" s="21">
        <f>N10+M11</f>
        <v>-81.573678307909915</v>
      </c>
    </row>
    <row r="12" spans="1:16" x14ac:dyDescent="0.35">
      <c r="A12">
        <v>3</v>
      </c>
      <c r="B12" s="21"/>
      <c r="C12" s="21"/>
      <c r="D12" s="21"/>
      <c r="E12" s="21">
        <f t="shared" ref="E12:E24" si="1">Croyal</f>
        <v>-3.4588087190074326</v>
      </c>
      <c r="F12" s="21"/>
      <c r="G12" s="21"/>
      <c r="H12" s="21">
        <f>P12*-CTDC</f>
        <v>6.7664375849801859</v>
      </c>
      <c r="I12" s="21">
        <f>0.5*S</f>
        <v>20.128938979602246</v>
      </c>
      <c r="J12" s="21">
        <f>0.5*COS</f>
        <v>-2.8308535614763981</v>
      </c>
      <c r="K12" s="21">
        <f>(1-tax)*(I12-J12-H12)</f>
        <v>9.7160129736590761</v>
      </c>
      <c r="L12" s="21">
        <f t="shared" ref="L12:L23" si="2">K12+H12+E12</f>
        <v>13.023641839631829</v>
      </c>
      <c r="M12" s="21">
        <f t="shared" si="0"/>
        <v>10.666074856202755</v>
      </c>
      <c r="N12" s="21">
        <f>N11+M12</f>
        <v>-70.907603451707161</v>
      </c>
      <c r="P12" s="22">
        <v>0.1429</v>
      </c>
    </row>
    <row r="13" spans="1:16" x14ac:dyDescent="0.35">
      <c r="A13">
        <v>4</v>
      </c>
      <c r="B13" s="21"/>
      <c r="C13" s="21"/>
      <c r="D13" s="21"/>
      <c r="E13" s="21">
        <f t="shared" si="1"/>
        <v>-3.4588087190074326</v>
      </c>
      <c r="F13" s="21"/>
      <c r="G13" s="21"/>
      <c r="H13" s="21">
        <f t="shared" ref="H13:H19" si="3">P13*-CTDC</f>
        <v>11.59622508440621</v>
      </c>
      <c r="I13" s="21">
        <f>0.8*S</f>
        <v>32.206302367363598</v>
      </c>
      <c r="J13" s="21">
        <f>0.8*COS</f>
        <v>-4.5293656983622368</v>
      </c>
      <c r="K13" s="21">
        <f t="shared" ref="K13:K24" si="4">(1-tax)*(I13-J13-H13)</f>
        <v>15.083665788791773</v>
      </c>
      <c r="L13" s="21">
        <f t="shared" si="2"/>
        <v>23.221082154190551</v>
      </c>
      <c r="M13" s="21">
        <f t="shared" si="0"/>
        <v>17.210390699362893</v>
      </c>
      <c r="N13" s="21">
        <f t="shared" ref="N13:N23" si="5">N12+M13</f>
        <v>-53.697212752344271</v>
      </c>
      <c r="P13" s="22">
        <v>0.24490000000000001</v>
      </c>
    </row>
    <row r="14" spans="1:16" x14ac:dyDescent="0.35">
      <c r="A14">
        <v>5</v>
      </c>
      <c r="B14" s="21"/>
      <c r="C14" s="21"/>
      <c r="D14" s="21"/>
      <c r="E14" s="21">
        <f t="shared" si="1"/>
        <v>-3.4588087190074326</v>
      </c>
      <c r="F14" s="21"/>
      <c r="G14" s="21"/>
      <c r="H14" s="21">
        <f t="shared" si="3"/>
        <v>8.2816650357805077</v>
      </c>
      <c r="I14" s="21">
        <f t="shared" ref="I14:I24" si="6">S</f>
        <v>40.257877959204492</v>
      </c>
      <c r="J14" s="21">
        <f t="shared" ref="J14:J24" si="7">COS</f>
        <v>-5.6617071229527962</v>
      </c>
      <c r="K14" s="21">
        <f t="shared" si="4"/>
        <v>22.582752027826071</v>
      </c>
      <c r="L14" s="21">
        <f t="shared" si="2"/>
        <v>27.405608344599148</v>
      </c>
      <c r="M14" s="21">
        <f t="shared" si="0"/>
        <v>18.381621236136596</v>
      </c>
      <c r="N14" s="21">
        <f t="shared" si="5"/>
        <v>-35.315591516207675</v>
      </c>
      <c r="P14" s="22">
        <v>0.1749</v>
      </c>
    </row>
    <row r="15" spans="1:16" x14ac:dyDescent="0.35">
      <c r="A15">
        <v>6</v>
      </c>
      <c r="B15" s="21"/>
      <c r="C15" s="21"/>
      <c r="D15" s="21"/>
      <c r="E15" s="21">
        <f t="shared" si="1"/>
        <v>-3.4588087190074326</v>
      </c>
      <c r="F15" s="21"/>
      <c r="G15" s="21"/>
      <c r="H15" s="21">
        <f t="shared" si="3"/>
        <v>5.9141221439050051</v>
      </c>
      <c r="I15" s="21">
        <f t="shared" si="6"/>
        <v>40.257877959204492</v>
      </c>
      <c r="J15" s="21">
        <f t="shared" si="7"/>
        <v>-5.6617071229527962</v>
      </c>
      <c r="K15" s="21">
        <f t="shared" si="4"/>
        <v>24.00327776295137</v>
      </c>
      <c r="L15" s="21">
        <f t="shared" si="2"/>
        <v>26.458591187848942</v>
      </c>
      <c r="M15" s="21">
        <f t="shared" si="0"/>
        <v>16.060060376563094</v>
      </c>
      <c r="N15" s="21">
        <f t="shared" si="5"/>
        <v>-19.255531139644582</v>
      </c>
      <c r="P15" s="22">
        <v>0.1249</v>
      </c>
    </row>
    <row r="16" spans="1:16" x14ac:dyDescent="0.35">
      <c r="A16">
        <v>7</v>
      </c>
      <c r="B16" s="21"/>
      <c r="C16" s="21"/>
      <c r="D16" s="21"/>
      <c r="E16" s="21">
        <f t="shared" si="1"/>
        <v>-3.4588087190074326</v>
      </c>
      <c r="F16" s="21"/>
      <c r="G16" s="21"/>
      <c r="H16" s="21">
        <f t="shared" si="3"/>
        <v>4.2284316048896473</v>
      </c>
      <c r="I16" s="21">
        <f t="shared" si="6"/>
        <v>40.257877959204492</v>
      </c>
      <c r="J16" s="21">
        <f t="shared" si="7"/>
        <v>-5.6617071229527962</v>
      </c>
      <c r="K16" s="21">
        <f t="shared" si="4"/>
        <v>25.014692086360583</v>
      </c>
      <c r="L16" s="21">
        <f t="shared" si="2"/>
        <v>25.784314972242797</v>
      </c>
      <c r="M16" s="21">
        <f t="shared" si="0"/>
        <v>14.163550873960572</v>
      </c>
      <c r="N16" s="21">
        <f t="shared" si="5"/>
        <v>-5.0919802656840094</v>
      </c>
      <c r="P16" s="22">
        <v>8.9300000000000004E-2</v>
      </c>
    </row>
    <row r="17" spans="1:16" x14ac:dyDescent="0.35">
      <c r="A17">
        <v>8</v>
      </c>
      <c r="B17" s="21"/>
      <c r="C17" s="21"/>
      <c r="D17" s="21"/>
      <c r="E17" s="21">
        <f t="shared" si="1"/>
        <v>-3.4588087190074326</v>
      </c>
      <c r="F17" s="21"/>
      <c r="G17" s="21"/>
      <c r="H17" s="21">
        <f t="shared" si="3"/>
        <v>4.2236965191058964</v>
      </c>
      <c r="I17" s="21">
        <f t="shared" si="6"/>
        <v>40.257877959204492</v>
      </c>
      <c r="J17" s="21">
        <f t="shared" si="7"/>
        <v>-5.6617071229527962</v>
      </c>
      <c r="K17" s="21">
        <f t="shared" si="4"/>
        <v>25.017533137830839</v>
      </c>
      <c r="L17" s="21">
        <f t="shared" si="2"/>
        <v>25.782420937929302</v>
      </c>
      <c r="M17" s="21">
        <f t="shared" si="0"/>
        <v>12.816703433830417</v>
      </c>
      <c r="N17" s="21">
        <f t="shared" si="5"/>
        <v>7.7247231681464079</v>
      </c>
      <c r="P17" s="22">
        <v>8.9200000000000002E-2</v>
      </c>
    </row>
    <row r="18" spans="1:16" x14ac:dyDescent="0.35">
      <c r="A18">
        <v>9</v>
      </c>
      <c r="B18" s="21"/>
      <c r="C18" s="21"/>
      <c r="D18" s="21"/>
      <c r="E18" s="21">
        <f t="shared" si="1"/>
        <v>-3.4588087190074326</v>
      </c>
      <c r="F18" s="21"/>
      <c r="G18" s="21"/>
      <c r="H18" s="21">
        <f t="shared" si="3"/>
        <v>4.2284316048896473</v>
      </c>
      <c r="I18" s="21">
        <f t="shared" si="6"/>
        <v>40.257877959204492</v>
      </c>
      <c r="J18" s="21">
        <f t="shared" si="7"/>
        <v>-5.6617071229527962</v>
      </c>
      <c r="K18" s="21">
        <f t="shared" si="4"/>
        <v>25.014692086360583</v>
      </c>
      <c r="L18" s="21">
        <f t="shared" si="2"/>
        <v>25.784314972242797</v>
      </c>
      <c r="M18" s="21">
        <f t="shared" si="0"/>
        <v>11.599635164381185</v>
      </c>
      <c r="N18" s="21">
        <f t="shared" si="5"/>
        <v>19.324358332527595</v>
      </c>
      <c r="P18" s="22">
        <v>8.9300000000000004E-2</v>
      </c>
    </row>
    <row r="19" spans="1:16" x14ac:dyDescent="0.35">
      <c r="A19">
        <v>10</v>
      </c>
      <c r="B19" s="21"/>
      <c r="C19" s="21"/>
      <c r="D19" s="21"/>
      <c r="E19" s="21">
        <f t="shared" si="1"/>
        <v>-3.4588087190074326</v>
      </c>
      <c r="F19" s="21"/>
      <c r="G19" s="21"/>
      <c r="H19" s="21">
        <f t="shared" si="3"/>
        <v>2.1118482595529482</v>
      </c>
      <c r="I19" s="21">
        <f t="shared" si="6"/>
        <v>40.257877959204492</v>
      </c>
      <c r="J19" s="21">
        <f t="shared" si="7"/>
        <v>-5.6617071229527962</v>
      </c>
      <c r="K19" s="21">
        <f t="shared" si="4"/>
        <v>26.284642093562603</v>
      </c>
      <c r="L19" s="21">
        <f t="shared" si="2"/>
        <v>24.93768163410812</v>
      </c>
      <c r="M19" s="21">
        <f t="shared" si="0"/>
        <v>10.152684720355948</v>
      </c>
      <c r="N19" s="21">
        <f t="shared" si="5"/>
        <v>29.477043052883545</v>
      </c>
      <c r="P19" s="22">
        <v>4.4600000000000001E-2</v>
      </c>
    </row>
    <row r="20" spans="1:16" x14ac:dyDescent="0.35">
      <c r="A20">
        <v>11</v>
      </c>
      <c r="B20" s="21"/>
      <c r="C20" s="21"/>
      <c r="D20" s="21"/>
      <c r="E20" s="21">
        <f t="shared" si="1"/>
        <v>-3.4588087190074326</v>
      </c>
      <c r="F20" s="21"/>
      <c r="G20" s="21"/>
      <c r="H20" s="21"/>
      <c r="I20" s="21">
        <f t="shared" si="6"/>
        <v>40.257877959204492</v>
      </c>
      <c r="J20" s="21">
        <f t="shared" si="7"/>
        <v>-5.6617071229527962</v>
      </c>
      <c r="K20" s="21">
        <f t="shared" si="4"/>
        <v>27.551751049294374</v>
      </c>
      <c r="L20" s="21">
        <f t="shared" si="2"/>
        <v>24.092942330286942</v>
      </c>
      <c r="M20" s="21">
        <f t="shared" si="0"/>
        <v>8.8766839284507117</v>
      </c>
      <c r="N20" s="21">
        <f t="shared" si="5"/>
        <v>38.353726981334255</v>
      </c>
    </row>
    <row r="21" spans="1:16" x14ac:dyDescent="0.35">
      <c r="A21">
        <v>12</v>
      </c>
      <c r="B21" s="21"/>
      <c r="C21" s="21"/>
      <c r="D21" s="21"/>
      <c r="E21" s="21">
        <f t="shared" si="1"/>
        <v>-3.4588087190074326</v>
      </c>
      <c r="F21" s="21"/>
      <c r="G21" s="21"/>
      <c r="H21" s="21"/>
      <c r="I21" s="21">
        <f t="shared" si="6"/>
        <v>40.257877959204492</v>
      </c>
      <c r="J21" s="21">
        <f t="shared" si="7"/>
        <v>-5.6617071229527962</v>
      </c>
      <c r="K21" s="21">
        <f t="shared" si="4"/>
        <v>27.551751049294374</v>
      </c>
      <c r="L21" s="21">
        <f t="shared" si="2"/>
        <v>24.092942330286942</v>
      </c>
      <c r="M21" s="21">
        <f t="shared" si="0"/>
        <v>8.0331679665047471</v>
      </c>
      <c r="N21" s="21">
        <f t="shared" si="5"/>
        <v>46.386894947839004</v>
      </c>
    </row>
    <row r="22" spans="1:16" x14ac:dyDescent="0.35">
      <c r="A22">
        <v>13</v>
      </c>
      <c r="B22" s="21"/>
      <c r="C22" s="21"/>
      <c r="D22" s="21"/>
      <c r="E22" s="21">
        <f t="shared" si="1"/>
        <v>-3.4588087190074326</v>
      </c>
      <c r="F22" s="21"/>
      <c r="G22" s="21"/>
      <c r="H22" s="21"/>
      <c r="I22" s="21">
        <f t="shared" si="6"/>
        <v>40.257877959204492</v>
      </c>
      <c r="J22" s="21">
        <f t="shared" si="7"/>
        <v>-5.6617071229527962</v>
      </c>
      <c r="K22" s="21">
        <f t="shared" si="4"/>
        <v>27.551751049294374</v>
      </c>
      <c r="L22" s="21">
        <f t="shared" si="2"/>
        <v>24.092942330286942</v>
      </c>
      <c r="M22" s="21">
        <f t="shared" si="0"/>
        <v>7.2698079708850303</v>
      </c>
      <c r="N22" s="21">
        <f t="shared" si="5"/>
        <v>53.656702918724037</v>
      </c>
    </row>
    <row r="23" spans="1:16" ht="15" thickBot="1" x14ac:dyDescent="0.4">
      <c r="A23">
        <v>14</v>
      </c>
      <c r="B23" s="21"/>
      <c r="C23" s="21"/>
      <c r="D23" s="21"/>
      <c r="E23" s="21">
        <f t="shared" si="1"/>
        <v>-3.4588087190074326</v>
      </c>
      <c r="F23" s="21"/>
      <c r="G23" s="21"/>
      <c r="H23" s="21"/>
      <c r="I23" s="21">
        <f t="shared" si="6"/>
        <v>40.257877959204492</v>
      </c>
      <c r="J23" s="21">
        <f t="shared" si="7"/>
        <v>-5.6617071229527962</v>
      </c>
      <c r="K23" s="21">
        <f t="shared" si="4"/>
        <v>27.551751049294374</v>
      </c>
      <c r="L23" s="21">
        <f t="shared" si="2"/>
        <v>24.092942330286942</v>
      </c>
      <c r="M23" s="21">
        <f t="shared" si="0"/>
        <v>6.5789870389749527</v>
      </c>
      <c r="N23" s="21">
        <f t="shared" si="5"/>
        <v>60.235689957698987</v>
      </c>
    </row>
    <row r="24" spans="1:16" ht="15" thickBot="1" x14ac:dyDescent="0.4">
      <c r="A24">
        <v>15</v>
      </c>
      <c r="B24" s="21"/>
      <c r="C24" s="21">
        <f>-WC</f>
        <v>26.271997690200806</v>
      </c>
      <c r="D24" s="21"/>
      <c r="E24" s="21">
        <f t="shared" si="1"/>
        <v>-3.4588087190074326</v>
      </c>
      <c r="F24" s="21"/>
      <c r="G24" s="21"/>
      <c r="H24" s="21"/>
      <c r="I24" s="21">
        <f t="shared" si="6"/>
        <v>40.257877959204492</v>
      </c>
      <c r="J24" s="21">
        <f t="shared" si="7"/>
        <v>-5.6617071229527962</v>
      </c>
      <c r="K24" s="21">
        <f t="shared" si="4"/>
        <v>27.551751049294374</v>
      </c>
      <c r="L24" s="21">
        <f>C24+K24+G24+E24</f>
        <v>50.364940020487751</v>
      </c>
      <c r="M24" s="21">
        <f t="shared" si="0"/>
        <v>12.446109063577724</v>
      </c>
      <c r="N24" s="23">
        <f>N23+M24</f>
        <v>72.681799021276717</v>
      </c>
    </row>
    <row r="25" spans="1:16" x14ac:dyDescent="0.35">
      <c r="C25" s="12"/>
      <c r="D25" s="4"/>
      <c r="E25" s="11"/>
      <c r="F25" s="4"/>
      <c r="G25" s="1"/>
      <c r="H25" s="1"/>
    </row>
    <row r="26" spans="1:16" x14ac:dyDescent="0.35">
      <c r="C26" s="12"/>
      <c r="D26" s="4"/>
      <c r="E26" s="11"/>
      <c r="F26" s="4"/>
      <c r="G26" s="1"/>
      <c r="H26" s="1"/>
    </row>
    <row r="27" spans="1:16" x14ac:dyDescent="0.35">
      <c r="C27" s="12"/>
      <c r="D27" s="4"/>
      <c r="E27" s="11"/>
      <c r="F27" s="4"/>
      <c r="G27" s="1"/>
      <c r="H27" s="1"/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Form">
                <anchor moveWithCells="1" sizeWithCells="1">
                  <from>
                    <xdr:col>2</xdr:col>
                    <xdr:colOff>889000</xdr:colOff>
                    <xdr:row>25</xdr:row>
                    <xdr:rowOff>88900</xdr:rowOff>
                  </from>
                  <to>
                    <xdr:col>4</xdr:col>
                    <xdr:colOff>400050</xdr:colOff>
                    <xdr:row>27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7"/>
  <sheetViews>
    <sheetView workbookViewId="0"/>
  </sheetViews>
  <sheetFormatPr defaultRowHeight="14.5" x14ac:dyDescent="0.35"/>
  <sheetData>
    <row r="1" spans="1:2" x14ac:dyDescent="0.35">
      <c r="A1">
        <v>0.11970000000000001</v>
      </c>
      <c r="B1">
        <v>7</v>
      </c>
    </row>
    <row r="2" spans="1:2" x14ac:dyDescent="0.35">
      <c r="A2">
        <v>0.11990000000000002</v>
      </c>
      <c r="B2">
        <v>23</v>
      </c>
    </row>
    <row r="3" spans="1:2" x14ac:dyDescent="0.35">
      <c r="A3">
        <v>0.12010000000000003</v>
      </c>
      <c r="B3">
        <v>60</v>
      </c>
    </row>
    <row r="4" spans="1:2" x14ac:dyDescent="0.35">
      <c r="A4">
        <v>0.12030000000000003</v>
      </c>
      <c r="B4">
        <v>78</v>
      </c>
    </row>
    <row r="5" spans="1:2" x14ac:dyDescent="0.35">
      <c r="A5">
        <v>0.12050000000000004</v>
      </c>
      <c r="B5">
        <v>73</v>
      </c>
    </row>
    <row r="6" spans="1:2" x14ac:dyDescent="0.35">
      <c r="A6">
        <v>0.12070000000000004</v>
      </c>
      <c r="B6">
        <v>73</v>
      </c>
    </row>
    <row r="7" spans="1:2" x14ac:dyDescent="0.35">
      <c r="A7">
        <v>0.12090000000000005</v>
      </c>
      <c r="B7">
        <v>83</v>
      </c>
    </row>
    <row r="8" spans="1:2" x14ac:dyDescent="0.35">
      <c r="A8">
        <v>0.12110000000000005</v>
      </c>
      <c r="B8">
        <v>68</v>
      </c>
    </row>
    <row r="9" spans="1:2" x14ac:dyDescent="0.35">
      <c r="A9">
        <v>0.12130000000000006</v>
      </c>
      <c r="B9">
        <v>72</v>
      </c>
    </row>
    <row r="10" spans="1:2" x14ac:dyDescent="0.35">
      <c r="A10">
        <v>0.12150000000000007</v>
      </c>
      <c r="B10">
        <v>77</v>
      </c>
    </row>
    <row r="11" spans="1:2" x14ac:dyDescent="0.35">
      <c r="A11">
        <v>0.12170000000000007</v>
      </c>
      <c r="B11">
        <v>83</v>
      </c>
    </row>
    <row r="12" spans="1:2" x14ac:dyDescent="0.35">
      <c r="A12">
        <v>0.12190000000000008</v>
      </c>
      <c r="B12">
        <v>75</v>
      </c>
    </row>
    <row r="13" spans="1:2" x14ac:dyDescent="0.35">
      <c r="A13">
        <v>0.12210000000000008</v>
      </c>
      <c r="B13">
        <v>72</v>
      </c>
    </row>
    <row r="14" spans="1:2" x14ac:dyDescent="0.35">
      <c r="A14">
        <v>0.12230000000000009</v>
      </c>
      <c r="B14">
        <v>73</v>
      </c>
    </row>
    <row r="15" spans="1:2" x14ac:dyDescent="0.35">
      <c r="A15">
        <v>0.12250000000000009</v>
      </c>
      <c r="B15">
        <v>57</v>
      </c>
    </row>
    <row r="16" spans="1:2" x14ac:dyDescent="0.35">
      <c r="A16">
        <v>0.1227000000000001</v>
      </c>
      <c r="B16">
        <v>22</v>
      </c>
    </row>
    <row r="17" spans="1:2" x14ac:dyDescent="0.35">
      <c r="A17">
        <v>0.12290000000000011</v>
      </c>
      <c r="B17">
        <v>4</v>
      </c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Main</vt:lpstr>
      <vt:lpstr>Profitability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>HSBC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jason.x.long@hsi.com.hk</dc:creator>
  <cp:keywords>INTERNAL</cp:keywords>
  <dc:description>INTERNAL</dc:description>
  <cp:lastModifiedBy>Xinwei Long</cp:lastModifiedBy>
  <dcterms:created xsi:type="dcterms:W3CDTF">2019-11-25T01:31:46Z</dcterms:created>
  <dcterms:modified xsi:type="dcterms:W3CDTF">2019-12-05T17:04:07Z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INTERNAL</vt:lpwstr>
  </property>
  <property fmtid="{D5CDD505-2E9C-101B-9397-08002B2CF9AE}" pid="3" name="Source">
    <vt:lpwstr>Internal</vt:lpwstr>
  </property>
  <property fmtid="{D5CDD505-2E9C-101B-9397-08002B2CF9AE}" pid="4" name="Footers">
    <vt:lpwstr>Footers</vt:lpwstr>
  </property>
  <property fmtid="{D5CDD505-2E9C-101B-9397-08002B2CF9AE}" pid="5" name="DocClassification">
    <vt:lpwstr>CLAINTERN</vt:lpwstr>
  </property>
</Properties>
</file>