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作业归档\机械设计课程设计答辩资料\"/>
    </mc:Choice>
  </mc:AlternateContent>
  <xr:revisionPtr revIDLastSave="0" documentId="13_ncr:1_{69C50C85-AD87-4B86-B89A-D87DE2B886A4}" xr6:coauthVersionLast="47" xr6:coauthVersionMax="47" xr10:uidLastSave="{00000000-0000-0000-0000-000000000000}"/>
  <bookViews>
    <workbookView xWindow="-110" yWindow="-110" windowWidth="25820" windowHeight="15500" xr2:uid="{33DDFC75-1AA5-47E4-B4F8-A0C6DF85FD1E}"/>
  </bookViews>
  <sheets>
    <sheet name="Sheet1" sheetId="1" r:id="rId1"/>
    <sheet name="Sheet2" sheetId="2" r:id="rId2"/>
  </sheets>
  <definedNames>
    <definedName name="_xlchart.v2.0" hidden="1">(Sheet1!$B$151,Sheet1!$B$154,Sheet1!$B$157,Sheet1!$B$160,Sheet1!$B$163,Sheet1!$B$165,Sheet1!$B$167)</definedName>
    <definedName name="_xlchart.v2.1" hidden="1">Sheet1!$K$151,Sheet1!$K$154,Sheet1!$K$157,Sheet1!$K$160,Sheet1!$K$163,Sheet1!$K$165,Sheet1!$K$167</definedName>
    <definedName name="_xlchart.v2.2" hidden="1">Sheet1!$B$181,Sheet1!$B$184,Sheet1!$B$187,Sheet1!$B$190,Sheet1!$B$193,Sheet1!$B$195,Sheet1!$B$197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s="1"/>
  <c r="K151" i="1"/>
  <c r="B104" i="1"/>
  <c r="J105" i="1"/>
  <c r="J103" i="1"/>
  <c r="J106" i="1" s="1"/>
  <c r="J96" i="1"/>
  <c r="J98" i="1"/>
  <c r="C152" i="1"/>
  <c r="C149" i="1"/>
  <c r="M165" i="1"/>
  <c r="N165" i="1" s="1"/>
  <c r="M163" i="1"/>
  <c r="N163" i="1" s="1"/>
  <c r="M160" i="1"/>
  <c r="N160" i="1" s="1"/>
  <c r="M157" i="1"/>
  <c r="N157" i="1" s="1"/>
  <c r="M154" i="1"/>
  <c r="N154" i="1" s="1"/>
  <c r="M161" i="1"/>
  <c r="M164" i="1"/>
  <c r="M166" i="1"/>
  <c r="M168" i="1"/>
  <c r="M158" i="1"/>
  <c r="M152" i="1"/>
  <c r="M155" i="1"/>
  <c r="B193" i="1"/>
  <c r="C187" i="1"/>
  <c r="K162" i="1"/>
  <c r="K167" i="1"/>
  <c r="M167" i="1" s="1"/>
  <c r="N167" i="1" s="1"/>
  <c r="L157" i="1"/>
  <c r="B156" i="1"/>
  <c r="M76" i="1"/>
  <c r="M73" i="1"/>
  <c r="K76" i="1"/>
  <c r="K78" i="1" s="1"/>
  <c r="K71" i="1"/>
  <c r="K73" i="1" s="1"/>
  <c r="B15" i="1"/>
  <c r="D77" i="1"/>
  <c r="M72" i="1" s="1"/>
  <c r="M74" i="1" s="1"/>
  <c r="C183" i="1"/>
  <c r="D149" i="1"/>
  <c r="B169" i="1"/>
  <c r="B173" i="1"/>
  <c r="B199" i="1"/>
  <c r="B167" i="1"/>
  <c r="K142" i="1"/>
  <c r="C158" i="1"/>
  <c r="G115" i="1"/>
  <c r="F116" i="1"/>
  <c r="B116" i="1"/>
  <c r="B117" i="1"/>
  <c r="D152" i="1"/>
  <c r="D151" i="1"/>
  <c r="C151" i="1"/>
  <c r="F96" i="1"/>
  <c r="G92" i="1"/>
  <c r="F99" i="1"/>
  <c r="F108" i="1"/>
  <c r="F107" i="1"/>
  <c r="F103" i="1"/>
  <c r="F102" i="1"/>
  <c r="F101" i="1"/>
  <c r="F100" i="1"/>
  <c r="F97" i="1"/>
  <c r="F112" i="1" s="1"/>
  <c r="F113" i="1" s="1"/>
  <c r="F98" i="1"/>
  <c r="G93" i="1"/>
  <c r="F117" i="1"/>
  <c r="L107" i="1" s="1"/>
  <c r="F93" i="1"/>
  <c r="B105" i="1"/>
  <c r="C92" i="1"/>
  <c r="B56" i="1"/>
  <c r="B110" i="1"/>
  <c r="D126" i="1" s="1"/>
  <c r="B109" i="1"/>
  <c r="D125" i="1" s="1"/>
  <c r="C115" i="1"/>
  <c r="B93" i="1"/>
  <c r="C93" i="1"/>
  <c r="B81" i="1"/>
  <c r="B83" i="1" s="1"/>
  <c r="B32" i="1"/>
  <c r="C77" i="1"/>
  <c r="K72" i="1" s="1"/>
  <c r="B77" i="1"/>
  <c r="B69" i="1"/>
  <c r="D57" i="1"/>
  <c r="C57" i="1"/>
  <c r="B58" i="1"/>
  <c r="B60" i="1" s="1"/>
  <c r="D49" i="1"/>
  <c r="C49" i="1"/>
  <c r="C54" i="1" s="1"/>
  <c r="B49" i="1"/>
  <c r="B55" i="1" s="1"/>
  <c r="H41" i="1"/>
  <c r="H42" i="1" s="1"/>
  <c r="H40" i="1"/>
  <c r="L42" i="1"/>
  <c r="G42" i="1" s="1"/>
  <c r="K42" i="1"/>
  <c r="G41" i="1" s="1"/>
  <c r="J42" i="1"/>
  <c r="G40" i="1" s="1"/>
  <c r="F40" i="1"/>
  <c r="B19" i="1"/>
  <c r="B18" i="1" s="1"/>
  <c r="B7" i="1"/>
  <c r="B23" i="1"/>
  <c r="J108" i="1" l="1"/>
  <c r="F118" i="1"/>
  <c r="J107" i="1"/>
  <c r="L108" i="1"/>
  <c r="K79" i="1"/>
  <c r="M151" i="1"/>
  <c r="N151" i="1" s="1"/>
  <c r="K153" i="1"/>
  <c r="K77" i="1"/>
  <c r="K74" i="1"/>
  <c r="K75" i="1"/>
  <c r="E77" i="1"/>
  <c r="B61" i="1"/>
  <c r="M75" i="1"/>
  <c r="L101" i="1"/>
  <c r="L100" i="1"/>
  <c r="J99" i="1"/>
  <c r="J100" i="1"/>
  <c r="J101" i="1"/>
  <c r="C190" i="1"/>
  <c r="M80" i="1"/>
  <c r="B64" i="1"/>
  <c r="K169" i="1"/>
  <c r="M169" i="1" s="1"/>
  <c r="F104" i="1"/>
  <c r="F110" i="1"/>
  <c r="H126" i="1" s="1"/>
  <c r="B160" i="1"/>
  <c r="B165" i="1" s="1"/>
  <c r="F105" i="1"/>
  <c r="F106" i="1" s="1"/>
  <c r="F109" i="1"/>
  <c r="H125" i="1" s="1"/>
  <c r="B118" i="1"/>
  <c r="D56" i="1"/>
  <c r="B106" i="1"/>
  <c r="C55" i="1"/>
  <c r="B82" i="1"/>
  <c r="B17" i="1"/>
  <c r="B40" i="1" s="1"/>
  <c r="C40" i="1" s="1"/>
  <c r="E56" i="1"/>
  <c r="F41" i="1"/>
  <c r="B25" i="1"/>
  <c r="B27" i="1"/>
  <c r="B24" i="1"/>
  <c r="C32" i="1" l="1"/>
  <c r="B29" i="1"/>
  <c r="C30" i="1" s="1"/>
  <c r="B41" i="1"/>
  <c r="B145" i="1" s="1"/>
  <c r="B62" i="1"/>
  <c r="F77" i="1" s="1"/>
  <c r="C64" i="1"/>
  <c r="C56" i="1"/>
  <c r="C162" i="1"/>
  <c r="D40" i="1"/>
  <c r="E40" i="1"/>
  <c r="C41" i="1"/>
  <c r="E41" i="1" s="1"/>
  <c r="A49" i="1"/>
  <c r="B143" i="1"/>
  <c r="H89" i="1"/>
  <c r="B114" i="1" s="1"/>
  <c r="F42" i="1"/>
  <c r="B174" i="1" s="1"/>
  <c r="D41" i="1"/>
  <c r="D32" i="1"/>
  <c r="B146" i="1" l="1"/>
  <c r="B51" i="1"/>
  <c r="B72" i="1" s="1"/>
  <c r="B73" i="1" s="1"/>
  <c r="M77" i="1"/>
  <c r="B42" i="1"/>
  <c r="B176" i="1" s="1"/>
  <c r="C70" i="1"/>
  <c r="G77" i="1"/>
  <c r="F89" i="1"/>
  <c r="C111" i="1" s="1"/>
  <c r="B144" i="1"/>
  <c r="F43" i="1"/>
  <c r="I89" i="1"/>
  <c r="F114" i="1" s="1"/>
  <c r="G114" i="1" s="1"/>
  <c r="C114" i="1"/>
  <c r="D30" i="1"/>
  <c r="C31" i="1"/>
  <c r="C42" i="1"/>
  <c r="E42" i="1" s="1"/>
  <c r="H77" i="1" l="1"/>
  <c r="O77" i="1"/>
  <c r="O79" i="1" s="1"/>
  <c r="M79" i="1"/>
  <c r="M78" i="1"/>
  <c r="O78" i="1" s="1"/>
  <c r="D148" i="1"/>
  <c r="C148" i="1"/>
  <c r="D42" i="1"/>
  <c r="B175" i="1" s="1"/>
  <c r="B177" i="1"/>
  <c r="F44" i="1"/>
  <c r="B132" i="1" s="1"/>
  <c r="K143" i="1"/>
  <c r="B125" i="1"/>
  <c r="B43" i="1"/>
  <c r="D43" i="1" s="1"/>
  <c r="G89" i="1" l="1"/>
  <c r="K144" i="1"/>
  <c r="K145" i="1"/>
  <c r="K146" i="1" s="1"/>
  <c r="M148" i="1" s="1"/>
  <c r="C125" i="1"/>
  <c r="B126" i="1"/>
  <c r="C126" i="1" s="1"/>
  <c r="C43" i="1"/>
  <c r="E43" i="1" s="1"/>
  <c r="L148" i="1" l="1"/>
  <c r="F125" i="1"/>
  <c r="G111" i="1"/>
  <c r="B44" i="1"/>
  <c r="F126" i="1" l="1"/>
  <c r="G126" i="1" s="1"/>
  <c r="G125" i="1"/>
  <c r="D44" i="1"/>
  <c r="B131" i="1" s="1"/>
  <c r="B134" i="1" s="1"/>
  <c r="B130" i="1"/>
  <c r="C44" i="1"/>
  <c r="E44" i="1" s="1"/>
  <c r="B153" i="1" l="1"/>
</calcChain>
</file>

<file path=xl/sharedStrings.xml><?xml version="1.0" encoding="utf-8"?>
<sst xmlns="http://schemas.openxmlformats.org/spreadsheetml/2006/main" count="683" uniqueCount="469">
  <si>
    <t>机械设计基础课程设计计算器</t>
    <phoneticPr fontId="2" type="noConversion"/>
  </si>
  <si>
    <t>已给条件</t>
    <phoneticPr fontId="2" type="noConversion"/>
  </si>
  <si>
    <t>计算1</t>
    <phoneticPr fontId="2" type="noConversion"/>
  </si>
  <si>
    <t>输入</t>
    <phoneticPr fontId="2" type="noConversion"/>
  </si>
  <si>
    <t xml:space="preserve">N *m </t>
    <phoneticPr fontId="2" type="noConversion"/>
  </si>
  <si>
    <t>T（N*m）</t>
    <phoneticPr fontId="2" type="noConversion"/>
  </si>
  <si>
    <t>V（m/s）</t>
    <phoneticPr fontId="2" type="noConversion"/>
  </si>
  <si>
    <t>D（mm）</t>
    <phoneticPr fontId="2" type="noConversion"/>
  </si>
  <si>
    <t>n轴承</t>
    <phoneticPr fontId="2" type="noConversion"/>
  </si>
  <si>
    <t>轴承数量</t>
    <phoneticPr fontId="2" type="noConversion"/>
  </si>
  <si>
    <t>n齿轮</t>
    <phoneticPr fontId="2" type="noConversion"/>
  </si>
  <si>
    <t>齿轮数量</t>
    <phoneticPr fontId="2" type="noConversion"/>
  </si>
  <si>
    <t>n联轴器</t>
    <phoneticPr fontId="2" type="noConversion"/>
  </si>
  <si>
    <t>联轴器数量</t>
    <phoneticPr fontId="2" type="noConversion"/>
  </si>
  <si>
    <t>n传动滚筒</t>
    <phoneticPr fontId="2" type="noConversion"/>
  </si>
  <si>
    <t>效率η</t>
    <phoneticPr fontId="2" type="noConversion"/>
  </si>
  <si>
    <t>填小数</t>
    <phoneticPr fontId="2" type="noConversion"/>
  </si>
  <si>
    <t>nV带</t>
    <phoneticPr fontId="2" type="noConversion"/>
  </si>
  <si>
    <t>电动机所需功率Pd</t>
    <phoneticPr fontId="2" type="noConversion"/>
  </si>
  <si>
    <t>工作机所需功率Pw</t>
    <phoneticPr fontId="2" type="noConversion"/>
  </si>
  <si>
    <t>滚筒轴工作转速nw</t>
    <phoneticPr fontId="2" type="noConversion"/>
  </si>
  <si>
    <t>效率（打不出来η用n替代）</t>
    <phoneticPr fontId="2" type="noConversion"/>
  </si>
  <si>
    <t>n0</t>
    <phoneticPr fontId="2" type="noConversion"/>
  </si>
  <si>
    <t>f</t>
    <phoneticPr fontId="2" type="noConversion"/>
  </si>
  <si>
    <t>p</t>
    <phoneticPr fontId="2" type="noConversion"/>
  </si>
  <si>
    <t>需要填写的</t>
    <phoneticPr fontId="2" type="noConversion"/>
  </si>
  <si>
    <t>自动计算的</t>
    <phoneticPr fontId="2" type="noConversion"/>
  </si>
  <si>
    <t>Pd（min）</t>
    <phoneticPr fontId="2" type="noConversion"/>
  </si>
  <si>
    <t>Pd（max）</t>
    <phoneticPr fontId="2" type="noConversion"/>
  </si>
  <si>
    <t>工作机所需功率Pw（kw）</t>
    <phoneticPr fontId="2" type="noConversion"/>
  </si>
  <si>
    <t>电机满载转速</t>
    <phoneticPr fontId="2" type="noConversion"/>
  </si>
  <si>
    <t>总传动比ia</t>
    <phoneticPr fontId="2" type="noConversion"/>
  </si>
  <si>
    <t>带传动比i1</t>
    <phoneticPr fontId="2" type="noConversion"/>
  </si>
  <si>
    <t>一级齿轮传动比i2</t>
    <phoneticPr fontId="2" type="noConversion"/>
  </si>
  <si>
    <t>二级齿轮传动比i3</t>
    <phoneticPr fontId="2" type="noConversion"/>
  </si>
  <si>
    <t>（2-4）</t>
    <phoneticPr fontId="2" type="noConversion"/>
  </si>
  <si>
    <t>（2-5）</t>
    <phoneticPr fontId="2" type="noConversion"/>
  </si>
  <si>
    <t>查表</t>
    <phoneticPr fontId="2" type="noConversion"/>
  </si>
  <si>
    <t>查表确定电动机轴外伸尺寸</t>
    <phoneticPr fontId="2" type="noConversion"/>
  </si>
  <si>
    <t>D直径</t>
    <phoneticPr fontId="2" type="noConversion"/>
  </si>
  <si>
    <t>E外伸长度</t>
    <phoneticPr fontId="2" type="noConversion"/>
  </si>
  <si>
    <t>H中心高</t>
    <phoneticPr fontId="2" type="noConversion"/>
  </si>
  <si>
    <t>几对</t>
    <phoneticPr fontId="2" type="noConversion"/>
  </si>
  <si>
    <t>ia（凑数）</t>
    <phoneticPr fontId="2" type="noConversion"/>
  </si>
  <si>
    <t>0轴</t>
    <phoneticPr fontId="2" type="noConversion"/>
  </si>
  <si>
    <t>1轴</t>
    <phoneticPr fontId="2" type="noConversion"/>
  </si>
  <si>
    <t>2轴</t>
    <phoneticPr fontId="2" type="noConversion"/>
  </si>
  <si>
    <t>3轴</t>
    <phoneticPr fontId="2" type="noConversion"/>
  </si>
  <si>
    <t>4轴</t>
    <phoneticPr fontId="2" type="noConversion"/>
  </si>
  <si>
    <t>输出功率</t>
    <phoneticPr fontId="2" type="noConversion"/>
  </si>
  <si>
    <t>输入功率</t>
    <phoneticPr fontId="2" type="noConversion"/>
  </si>
  <si>
    <t>输入转矩</t>
    <phoneticPr fontId="2" type="noConversion"/>
  </si>
  <si>
    <t>输出转矩</t>
    <phoneticPr fontId="2" type="noConversion"/>
  </si>
  <si>
    <t>nv带</t>
    <phoneticPr fontId="2" type="noConversion"/>
  </si>
  <si>
    <t>减速器传动比ij</t>
    <phoneticPr fontId="2" type="noConversion"/>
  </si>
  <si>
    <t>v带设计计算</t>
    <phoneticPr fontId="2" type="noConversion"/>
  </si>
  <si>
    <t>电机、传动比</t>
    <phoneticPr fontId="2" type="noConversion"/>
  </si>
  <si>
    <t>电动机转速</t>
    <phoneticPr fontId="2" type="noConversion"/>
  </si>
  <si>
    <t>工作时间h</t>
    <phoneticPr fontId="2" type="noConversion"/>
  </si>
  <si>
    <t>使用期10年</t>
  </si>
  <si>
    <t>V带类型</t>
    <phoneticPr fontId="2" type="noConversion"/>
  </si>
  <si>
    <t>80-100</t>
    <phoneticPr fontId="2" type="noConversion"/>
  </si>
  <si>
    <t>5-20</t>
    <phoneticPr fontId="2" type="noConversion"/>
  </si>
  <si>
    <t>实际传动比i</t>
    <phoneticPr fontId="2" type="noConversion"/>
  </si>
  <si>
    <r>
      <t>计算功率P</t>
    </r>
    <r>
      <rPr>
        <sz val="6"/>
        <color theme="1"/>
        <rFont val="等线"/>
        <family val="3"/>
        <charset val="134"/>
        <scheme val="minor"/>
      </rPr>
      <t>CA</t>
    </r>
    <phoneticPr fontId="2" type="noConversion"/>
  </si>
  <si>
    <r>
      <t>初定中心距a</t>
    </r>
    <r>
      <rPr>
        <sz val="6"/>
        <color theme="1"/>
        <rFont val="等线"/>
        <family val="3"/>
        <charset val="134"/>
        <scheme val="minor"/>
      </rPr>
      <t>0</t>
    </r>
    <phoneticPr fontId="2" type="noConversion"/>
  </si>
  <si>
    <r>
      <t>工况系数K</t>
    </r>
    <r>
      <rPr>
        <sz val="6"/>
        <color theme="1"/>
        <rFont val="等线"/>
        <family val="3"/>
        <charset val="134"/>
        <scheme val="minor"/>
      </rPr>
      <t>A</t>
    </r>
    <phoneticPr fontId="2" type="noConversion"/>
  </si>
  <si>
    <r>
      <t>电动机功率P</t>
    </r>
    <r>
      <rPr>
        <sz val="6"/>
        <color theme="1"/>
        <rFont val="等线"/>
        <family val="3"/>
        <charset val="134"/>
        <scheme val="minor"/>
      </rPr>
      <t>w</t>
    </r>
    <phoneticPr fontId="2" type="noConversion"/>
  </si>
  <si>
    <r>
      <t>初算带长L</t>
    </r>
    <r>
      <rPr>
        <sz val="6"/>
        <color theme="1"/>
        <rFont val="等线"/>
        <family val="3"/>
        <charset val="134"/>
        <scheme val="minor"/>
      </rPr>
      <t>d0</t>
    </r>
    <phoneticPr fontId="2" type="noConversion"/>
  </si>
  <si>
    <r>
      <t>基准长度L</t>
    </r>
    <r>
      <rPr>
        <sz val="6"/>
        <color theme="1"/>
        <rFont val="等线"/>
        <family val="3"/>
        <charset val="134"/>
        <scheme val="minor"/>
      </rPr>
      <t>d</t>
    </r>
    <phoneticPr fontId="2" type="noConversion"/>
  </si>
  <si>
    <r>
      <t>小带轮的基准直径d</t>
    </r>
    <r>
      <rPr>
        <sz val="6"/>
        <color theme="1"/>
        <rFont val="等线"/>
        <family val="3"/>
        <charset val="134"/>
        <scheme val="minor"/>
      </rPr>
      <t>d1</t>
    </r>
    <r>
      <rPr>
        <sz val="11"/>
        <color theme="1"/>
        <rFont val="等线"/>
        <family val="2"/>
        <charset val="134"/>
        <scheme val="minor"/>
      </rPr>
      <t>(mm)</t>
    </r>
    <phoneticPr fontId="2" type="noConversion"/>
  </si>
  <si>
    <r>
      <t>大带轮的基准直径d</t>
    </r>
    <r>
      <rPr>
        <sz val="6"/>
        <color theme="1"/>
        <rFont val="等线"/>
        <family val="3"/>
        <charset val="134"/>
        <scheme val="minor"/>
      </rPr>
      <t>d2</t>
    </r>
    <r>
      <rPr>
        <sz val="11"/>
        <color theme="1"/>
        <rFont val="等线"/>
        <family val="2"/>
        <charset val="134"/>
        <scheme val="minor"/>
      </rPr>
      <t>(mm)</t>
    </r>
    <phoneticPr fontId="2" type="noConversion"/>
  </si>
  <si>
    <t>计算实际中心距a</t>
    <phoneticPr fontId="2" type="noConversion"/>
  </si>
  <si>
    <r>
      <t>安装所需最小中心距a</t>
    </r>
    <r>
      <rPr>
        <sz val="6"/>
        <color theme="1"/>
        <rFont val="等线"/>
        <family val="3"/>
        <charset val="134"/>
        <scheme val="minor"/>
      </rPr>
      <t>min</t>
    </r>
    <phoneticPr fontId="2" type="noConversion"/>
  </si>
  <si>
    <r>
      <t>安装所需最大中心距a</t>
    </r>
    <r>
      <rPr>
        <sz val="6"/>
        <color theme="1"/>
        <rFont val="等线"/>
        <family val="3"/>
        <charset val="134"/>
        <scheme val="minor"/>
      </rPr>
      <t>max</t>
    </r>
    <phoneticPr fontId="2" type="noConversion"/>
  </si>
  <si>
    <t>转速n</t>
    <phoneticPr fontId="2" type="noConversion"/>
  </si>
  <si>
    <t>带速v</t>
    <phoneticPr fontId="2" type="noConversion"/>
  </si>
  <si>
    <r>
      <t>验算小带轮上的包角α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charset val="134"/>
        <scheme val="minor"/>
      </rPr>
      <t>度)</t>
    </r>
    <phoneticPr fontId="2" type="noConversion"/>
  </si>
  <si>
    <r>
      <t>基准额定功率P</t>
    </r>
    <r>
      <rPr>
        <sz val="6"/>
        <color theme="1"/>
        <rFont val="等线"/>
        <family val="3"/>
        <charset val="134"/>
        <scheme val="minor"/>
      </rPr>
      <t>0</t>
    </r>
    <phoneticPr fontId="2" type="noConversion"/>
  </si>
  <si>
    <t>修正系数Kα</t>
    <phoneticPr fontId="2" type="noConversion"/>
  </si>
  <si>
    <r>
      <t>带长修正系数K</t>
    </r>
    <r>
      <rPr>
        <sz val="6"/>
        <color theme="1"/>
        <rFont val="等线"/>
        <family val="3"/>
        <charset val="134"/>
        <scheme val="minor"/>
      </rPr>
      <t>L</t>
    </r>
    <phoneticPr fontId="2" type="noConversion"/>
  </si>
  <si>
    <r>
      <t>单根额定功率增量</t>
    </r>
    <r>
      <rPr>
        <sz val="6"/>
        <color theme="1"/>
        <rFont val="等线"/>
        <family val="3"/>
        <charset val="134"/>
        <scheme val="minor"/>
      </rPr>
      <t>△</t>
    </r>
    <r>
      <rPr>
        <sz val="11"/>
        <color theme="1"/>
        <rFont val="等线"/>
        <family val="2"/>
        <charset val="134"/>
        <scheme val="minor"/>
      </rPr>
      <t>P</t>
    </r>
    <r>
      <rPr>
        <sz val="6"/>
        <color theme="1"/>
        <rFont val="等线"/>
        <family val="3"/>
        <charset val="134"/>
        <scheme val="minor"/>
      </rPr>
      <t>0</t>
    </r>
    <phoneticPr fontId="2" type="noConversion"/>
  </si>
  <si>
    <t>带的额定功率Pr（Kw）</t>
    <phoneticPr fontId="2" type="noConversion"/>
  </si>
  <si>
    <t>V带的根数z</t>
    <phoneticPr fontId="2" type="noConversion"/>
  </si>
  <si>
    <r>
      <t>V带的初拉力F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(N)</t>
    </r>
    <phoneticPr fontId="2" type="noConversion"/>
  </si>
  <si>
    <t>设计结论</t>
    <phoneticPr fontId="2" type="noConversion"/>
  </si>
  <si>
    <t>带形</t>
    <phoneticPr fontId="2" type="noConversion"/>
  </si>
  <si>
    <t>基带总长度Ld</t>
    <phoneticPr fontId="2" type="noConversion"/>
  </si>
  <si>
    <t>小带轮直径dd1</t>
    <phoneticPr fontId="2" type="noConversion"/>
  </si>
  <si>
    <t>大带轮直径dd2</t>
    <phoneticPr fontId="2" type="noConversion"/>
  </si>
  <si>
    <t>中心距a</t>
    <phoneticPr fontId="2" type="noConversion"/>
  </si>
  <si>
    <t>初拉力F0</t>
    <phoneticPr fontId="2" type="noConversion"/>
  </si>
  <si>
    <t>压轴力Fp</t>
    <phoneticPr fontId="2" type="noConversion"/>
  </si>
  <si>
    <t>A型V带</t>
    <phoneticPr fontId="2" type="noConversion"/>
  </si>
  <si>
    <r>
      <t>压轴力F</t>
    </r>
    <r>
      <rPr>
        <sz val="6"/>
        <color theme="1"/>
        <rFont val="等线"/>
        <family val="3"/>
        <charset val="134"/>
        <scheme val="minor"/>
      </rPr>
      <t>P</t>
    </r>
    <r>
      <rPr>
        <sz val="11"/>
        <color theme="1"/>
        <rFont val="等线"/>
        <family val="2"/>
        <charset val="134"/>
        <scheme val="minor"/>
      </rPr>
      <t>(N)</t>
    </r>
    <phoneticPr fontId="2" type="noConversion"/>
  </si>
  <si>
    <t>单位长度质量q</t>
    <phoneticPr fontId="2" type="noConversion"/>
  </si>
  <si>
    <t>Y112M-4</t>
    <phoneticPr fontId="2" type="noConversion"/>
  </si>
  <si>
    <t>传动比i</t>
    <phoneticPr fontId="2" type="noConversion"/>
  </si>
  <si>
    <t>电动机型号</t>
    <phoneticPr fontId="2" type="noConversion"/>
  </si>
  <si>
    <t>带轮结构设计</t>
    <phoneticPr fontId="2" type="noConversion"/>
  </si>
  <si>
    <t>材料</t>
    <phoneticPr fontId="2" type="noConversion"/>
  </si>
  <si>
    <t>HT200</t>
    <phoneticPr fontId="2" type="noConversion"/>
  </si>
  <si>
    <t>2.5d</t>
    <phoneticPr fontId="2" type="noConversion"/>
  </si>
  <si>
    <t>小带轮</t>
    <phoneticPr fontId="2" type="noConversion"/>
  </si>
  <si>
    <t>大带轮</t>
    <phoneticPr fontId="2" type="noConversion"/>
  </si>
  <si>
    <t>注意</t>
    <phoneticPr fontId="2" type="noConversion"/>
  </si>
  <si>
    <t>齿轮传动的设计计算</t>
    <phoneticPr fontId="2" type="noConversion"/>
  </si>
  <si>
    <t>齿轮类型</t>
  </si>
  <si>
    <t>精度等级</t>
  </si>
  <si>
    <t>齿数</t>
  </si>
  <si>
    <t>直齿轮</t>
    <phoneticPr fontId="2" type="noConversion"/>
  </si>
  <si>
    <t>压力角（度）</t>
    <phoneticPr fontId="2" type="noConversion"/>
  </si>
  <si>
    <t>45钢，调质</t>
    <phoneticPr fontId="2" type="noConversion"/>
  </si>
  <si>
    <t>40CR，调质</t>
    <phoneticPr fontId="2" type="noConversion"/>
  </si>
  <si>
    <t>小齿轮Z1</t>
    <phoneticPr fontId="2" type="noConversion"/>
  </si>
  <si>
    <t>大齿轮Z2</t>
    <phoneticPr fontId="2" type="noConversion"/>
  </si>
  <si>
    <t>20-40</t>
    <phoneticPr fontId="2" type="noConversion"/>
  </si>
  <si>
    <t>按接触面疲劳强度设计</t>
    <phoneticPr fontId="2" type="noConversion"/>
  </si>
  <si>
    <r>
      <t>载荷系数K</t>
    </r>
    <r>
      <rPr>
        <sz val="6"/>
        <color theme="1"/>
        <rFont val="等线"/>
        <family val="3"/>
        <charset val="134"/>
        <scheme val="minor"/>
      </rPr>
      <t>Ht</t>
    </r>
    <phoneticPr fontId="2" type="noConversion"/>
  </si>
  <si>
    <t>小齿轮转矩T1</t>
    <phoneticPr fontId="2" type="noConversion"/>
  </si>
  <si>
    <t>1.2-1.4</t>
    <phoneticPr fontId="2" type="noConversion"/>
  </si>
  <si>
    <r>
      <t>齿宽系数</t>
    </r>
    <r>
      <rPr>
        <sz val="11"/>
        <color theme="1"/>
        <rFont val="等线"/>
        <family val="3"/>
        <charset val="134"/>
        <scheme val="minor"/>
      </rPr>
      <t>φ</t>
    </r>
    <r>
      <rPr>
        <sz val="6"/>
        <color theme="1"/>
        <rFont val="等线"/>
        <family val="3"/>
        <charset val="134"/>
        <scheme val="minor"/>
      </rPr>
      <t>d</t>
    </r>
    <phoneticPr fontId="2" type="noConversion"/>
  </si>
  <si>
    <t>K</t>
    <phoneticPr fontId="2" type="noConversion"/>
  </si>
  <si>
    <t>齿数比u</t>
    <phoneticPr fontId="2" type="noConversion"/>
  </si>
  <si>
    <r>
      <t>小齿轮接触疲劳极限σ</t>
    </r>
    <r>
      <rPr>
        <sz val="6"/>
        <color theme="1"/>
        <rFont val="等线"/>
        <family val="3"/>
        <charset val="134"/>
        <scheme val="minor"/>
      </rPr>
      <t>Hlim1</t>
    </r>
    <phoneticPr fontId="2" type="noConversion"/>
  </si>
  <si>
    <r>
      <t>大齿轮接触疲劳极限σ</t>
    </r>
    <r>
      <rPr>
        <sz val="6"/>
        <color theme="1"/>
        <rFont val="等线"/>
        <family val="3"/>
        <charset val="134"/>
        <scheme val="minor"/>
      </rPr>
      <t>Hlim2</t>
    </r>
    <phoneticPr fontId="2" type="noConversion"/>
  </si>
  <si>
    <r>
      <t>安全系数S</t>
    </r>
    <r>
      <rPr>
        <sz val="6"/>
        <color theme="1"/>
        <rFont val="等线"/>
        <family val="3"/>
        <charset val="134"/>
        <scheme val="minor"/>
      </rPr>
      <t>H</t>
    </r>
    <phoneticPr fontId="2" type="noConversion"/>
  </si>
  <si>
    <r>
      <t>[σ</t>
    </r>
    <r>
      <rPr>
        <sz val="6"/>
        <color theme="1"/>
        <rFont val="等线"/>
        <family val="3"/>
        <charset val="134"/>
        <scheme val="minor"/>
      </rPr>
      <t>H2</t>
    </r>
    <r>
      <rPr>
        <sz val="11"/>
        <color theme="1"/>
        <rFont val="等线"/>
        <family val="3"/>
        <charset val="134"/>
        <scheme val="minor"/>
      </rPr>
      <t>]</t>
    </r>
    <phoneticPr fontId="2" type="noConversion"/>
  </si>
  <si>
    <r>
      <t>[σ</t>
    </r>
    <r>
      <rPr>
        <sz val="6"/>
        <color theme="1"/>
        <rFont val="等线"/>
        <family val="3"/>
        <charset val="134"/>
        <scheme val="minor"/>
      </rPr>
      <t>H1</t>
    </r>
    <r>
      <rPr>
        <sz val="11"/>
        <color theme="1"/>
        <rFont val="等线"/>
        <family val="2"/>
        <charset val="134"/>
        <scheme val="minor"/>
      </rPr>
      <t>](MPa)</t>
    </r>
    <phoneticPr fontId="2" type="noConversion"/>
  </si>
  <si>
    <t>初步估计小齿轮分度圆直径d1</t>
    <phoneticPr fontId="2" type="noConversion"/>
  </si>
  <si>
    <r>
      <t>Z</t>
    </r>
    <r>
      <rPr>
        <sz val="6"/>
        <color theme="1"/>
        <rFont val="等线"/>
        <family val="3"/>
        <charset val="134"/>
        <scheme val="minor"/>
      </rPr>
      <t>E</t>
    </r>
    <phoneticPr fontId="2" type="noConversion"/>
  </si>
  <si>
    <t>大齿轮齿宽b2</t>
    <phoneticPr fontId="2" type="noConversion"/>
  </si>
  <si>
    <t>小齿轮齿宽b1</t>
    <phoneticPr fontId="2" type="noConversion"/>
  </si>
  <si>
    <t>转速n1</t>
    <phoneticPr fontId="2" type="noConversion"/>
  </si>
  <si>
    <t>圆周速度(m/s)</t>
    <phoneticPr fontId="2" type="noConversion"/>
  </si>
  <si>
    <t>模数m</t>
    <phoneticPr fontId="2" type="noConversion"/>
  </si>
  <si>
    <t>分度圆直径d2</t>
  </si>
  <si>
    <t>分度圆直径d1(mm)</t>
    <phoneticPr fontId="2" type="noConversion"/>
  </si>
  <si>
    <t>验算齿根弯曲疲劳强度</t>
    <phoneticPr fontId="2" type="noConversion"/>
  </si>
  <si>
    <r>
      <t>齿形系数Y</t>
    </r>
    <r>
      <rPr>
        <sz val="6"/>
        <color theme="1"/>
        <rFont val="等线"/>
        <family val="3"/>
        <charset val="134"/>
        <scheme val="minor"/>
      </rPr>
      <t>Fa1</t>
    </r>
    <phoneticPr fontId="2" type="noConversion"/>
  </si>
  <si>
    <r>
      <t>齿形系数Y</t>
    </r>
    <r>
      <rPr>
        <sz val="6"/>
        <color theme="1"/>
        <rFont val="等线"/>
        <family val="3"/>
        <charset val="134"/>
        <scheme val="minor"/>
      </rPr>
      <t>Fa2</t>
    </r>
    <phoneticPr fontId="2" type="noConversion"/>
  </si>
  <si>
    <r>
      <t>σ</t>
    </r>
    <r>
      <rPr>
        <sz val="6"/>
        <color theme="1"/>
        <rFont val="等线"/>
        <family val="3"/>
        <charset val="134"/>
        <scheme val="minor"/>
      </rPr>
      <t>F1</t>
    </r>
    <phoneticPr fontId="2" type="noConversion"/>
  </si>
  <si>
    <r>
      <t>齿形系数Y</t>
    </r>
    <r>
      <rPr>
        <sz val="6"/>
        <color theme="1"/>
        <rFont val="等线"/>
        <family val="3"/>
        <charset val="134"/>
        <scheme val="minor"/>
      </rPr>
      <t>Sa1</t>
    </r>
    <phoneticPr fontId="2" type="noConversion"/>
  </si>
  <si>
    <r>
      <t>齿形系数Y</t>
    </r>
    <r>
      <rPr>
        <sz val="6"/>
        <color theme="1"/>
        <rFont val="等线"/>
        <family val="3"/>
        <charset val="134"/>
        <scheme val="minor"/>
      </rPr>
      <t>Sa2</t>
    </r>
    <r>
      <rPr>
        <sz val="11"/>
        <color theme="1"/>
        <rFont val="等线"/>
        <family val="2"/>
        <scheme val="minor"/>
      </rPr>
      <t/>
    </r>
  </si>
  <si>
    <r>
      <t>[σ</t>
    </r>
    <r>
      <rPr>
        <sz val="6"/>
        <color theme="1"/>
        <rFont val="等线"/>
        <family val="3"/>
        <charset val="134"/>
        <scheme val="minor"/>
      </rPr>
      <t>F1</t>
    </r>
    <r>
      <rPr>
        <sz val="11"/>
        <color theme="1"/>
        <rFont val="等线"/>
        <family val="2"/>
        <charset val="134"/>
        <scheme val="minor"/>
      </rPr>
      <t>]</t>
    </r>
    <phoneticPr fontId="2" type="noConversion"/>
  </si>
  <si>
    <r>
      <t>安全系数S</t>
    </r>
    <r>
      <rPr>
        <sz val="6"/>
        <color theme="1"/>
        <rFont val="等线"/>
        <family val="3"/>
        <charset val="134"/>
        <scheme val="minor"/>
      </rPr>
      <t>F</t>
    </r>
    <phoneticPr fontId="2" type="noConversion"/>
  </si>
  <si>
    <r>
      <t>[σ</t>
    </r>
    <r>
      <rPr>
        <sz val="6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charset val="134"/>
        <scheme val="minor"/>
      </rPr>
      <t>]接触疲劳强度许用应力</t>
    </r>
    <phoneticPr fontId="2" type="noConversion"/>
  </si>
  <si>
    <r>
      <t>σ</t>
    </r>
    <r>
      <rPr>
        <sz val="6"/>
        <color theme="1"/>
        <rFont val="等线"/>
        <family val="3"/>
        <charset val="134"/>
        <scheme val="minor"/>
      </rPr>
      <t>FE1</t>
    </r>
    <phoneticPr fontId="2" type="noConversion"/>
  </si>
  <si>
    <r>
      <t>σ</t>
    </r>
    <r>
      <rPr>
        <sz val="6"/>
        <color theme="1"/>
        <rFont val="等线"/>
        <family val="3"/>
        <charset val="134"/>
        <scheme val="minor"/>
      </rPr>
      <t>FE2</t>
    </r>
    <r>
      <rPr>
        <sz val="11"/>
        <color theme="1"/>
        <rFont val="等线"/>
        <family val="2"/>
        <scheme val="minor"/>
      </rPr>
      <t/>
    </r>
  </si>
  <si>
    <r>
      <t>[σ</t>
    </r>
    <r>
      <rPr>
        <sz val="6"/>
        <color theme="1"/>
        <rFont val="等线"/>
        <family val="3"/>
        <charset val="134"/>
        <scheme val="minor"/>
      </rPr>
      <t>F2</t>
    </r>
    <r>
      <rPr>
        <sz val="11"/>
        <color theme="1"/>
        <rFont val="等线"/>
        <family val="3"/>
        <charset val="134"/>
        <scheme val="minor"/>
      </rPr>
      <t>]</t>
    </r>
    <phoneticPr fontId="2" type="noConversion"/>
  </si>
  <si>
    <t>验算强度</t>
    <phoneticPr fontId="2" type="noConversion"/>
  </si>
  <si>
    <t>联轴器的选择计算</t>
    <phoneticPr fontId="2" type="noConversion"/>
  </si>
  <si>
    <t>小齿轮Z3</t>
    <phoneticPr fontId="2" type="noConversion"/>
  </si>
  <si>
    <t>大齿轮Z4</t>
    <phoneticPr fontId="2" type="noConversion"/>
  </si>
  <si>
    <t>小齿轮转矩T2</t>
    <phoneticPr fontId="2" type="noConversion"/>
  </si>
  <si>
    <t>转速n2</t>
    <phoneticPr fontId="2" type="noConversion"/>
  </si>
  <si>
    <r>
      <t>σ</t>
    </r>
    <r>
      <rPr>
        <sz val="6"/>
        <color theme="1"/>
        <rFont val="等线"/>
        <family val="3"/>
        <charset val="134"/>
        <scheme val="minor"/>
      </rPr>
      <t>F2</t>
    </r>
    <phoneticPr fontId="2" type="noConversion"/>
  </si>
  <si>
    <t>550-620</t>
    <phoneticPr fontId="2" type="noConversion"/>
  </si>
  <si>
    <t>650-750</t>
    <phoneticPr fontId="2" type="noConversion"/>
  </si>
  <si>
    <t>560-620</t>
    <phoneticPr fontId="2" type="noConversion"/>
  </si>
  <si>
    <t>410-480</t>
    <phoneticPr fontId="2" type="noConversion"/>
  </si>
  <si>
    <t>材料 铸钢</t>
    <phoneticPr fontId="2" type="noConversion"/>
  </si>
  <si>
    <t>大齿轮 铸钢</t>
    <phoneticPr fontId="2" type="noConversion"/>
  </si>
  <si>
    <t>小齿轮 锻钢</t>
    <phoneticPr fontId="2" type="noConversion"/>
  </si>
  <si>
    <t>0.6-1.2</t>
    <phoneticPr fontId="2" type="noConversion"/>
  </si>
  <si>
    <t>1.6-1.8</t>
    <phoneticPr fontId="2" type="noConversion"/>
  </si>
  <si>
    <t>联轴器类型</t>
    <phoneticPr fontId="2" type="noConversion"/>
  </si>
  <si>
    <t>刚性联轴器</t>
    <phoneticPr fontId="2" type="noConversion"/>
  </si>
  <si>
    <r>
      <t>转矩T</t>
    </r>
    <r>
      <rPr>
        <sz val="6"/>
        <color theme="1"/>
        <rFont val="等线"/>
        <family val="3"/>
        <charset val="134"/>
        <scheme val="minor"/>
      </rPr>
      <t>ca</t>
    </r>
    <phoneticPr fontId="2" type="noConversion"/>
  </si>
  <si>
    <r>
      <t>输入转矩T</t>
    </r>
    <r>
      <rPr>
        <sz val="6"/>
        <color theme="1"/>
        <rFont val="等线"/>
        <family val="3"/>
        <charset val="134"/>
        <scheme val="minor"/>
      </rPr>
      <t>4</t>
    </r>
    <phoneticPr fontId="2" type="noConversion"/>
  </si>
  <si>
    <r>
      <t>输入功率P</t>
    </r>
    <r>
      <rPr>
        <sz val="6"/>
        <color theme="1"/>
        <rFont val="等线"/>
        <family val="3"/>
        <charset val="134"/>
        <scheme val="minor"/>
      </rPr>
      <t>4</t>
    </r>
    <phoneticPr fontId="2" type="noConversion"/>
  </si>
  <si>
    <t>输入转速</t>
    <phoneticPr fontId="2" type="noConversion"/>
  </si>
  <si>
    <t>型号</t>
    <phoneticPr fontId="2" type="noConversion"/>
  </si>
  <si>
    <t>GY6</t>
    <phoneticPr fontId="2" type="noConversion"/>
  </si>
  <si>
    <t>公称转矩</t>
    <phoneticPr fontId="2" type="noConversion"/>
  </si>
  <si>
    <t>许用转速</t>
    <phoneticPr fontId="2" type="noConversion"/>
  </si>
  <si>
    <t>轴孔直径</t>
    <phoneticPr fontId="2" type="noConversion"/>
  </si>
  <si>
    <t>P160</t>
    <phoneticPr fontId="2" type="noConversion"/>
  </si>
  <si>
    <t>轴的结构设计</t>
    <phoneticPr fontId="2" type="noConversion"/>
  </si>
  <si>
    <t>高速轴的设计</t>
    <phoneticPr fontId="2" type="noConversion"/>
  </si>
  <si>
    <t>转矩T1</t>
    <phoneticPr fontId="2" type="noConversion"/>
  </si>
  <si>
    <t>功率P1</t>
    <phoneticPr fontId="2" type="noConversion"/>
  </si>
  <si>
    <t>45钢调制</t>
    <phoneticPr fontId="2" type="noConversion"/>
  </si>
  <si>
    <r>
      <t>A</t>
    </r>
    <r>
      <rPr>
        <sz val="6"/>
        <color theme="1"/>
        <rFont val="等线"/>
        <family val="3"/>
        <charset val="134"/>
        <scheme val="minor"/>
      </rPr>
      <t>0</t>
    </r>
    <phoneticPr fontId="2" type="noConversion"/>
  </si>
  <si>
    <t>118-107</t>
    <phoneticPr fontId="2" type="noConversion"/>
  </si>
  <si>
    <r>
      <t>d</t>
    </r>
    <r>
      <rPr>
        <sz val="6"/>
        <color theme="1"/>
        <rFont val="等线"/>
        <family val="3"/>
        <charset val="134"/>
        <scheme val="minor"/>
      </rPr>
      <t>min</t>
    </r>
    <r>
      <rPr>
        <sz val="11"/>
        <color theme="1"/>
        <rFont val="等线"/>
        <family val="2"/>
        <charset val="134"/>
        <scheme val="minor"/>
      </rPr>
      <t>=</t>
    </r>
    <phoneticPr fontId="2" type="noConversion"/>
  </si>
  <si>
    <t>轴的键槽数量</t>
    <phoneticPr fontId="2" type="noConversion"/>
  </si>
  <si>
    <t>直径增大后轴的直径</t>
    <phoneticPr fontId="2" type="noConversion"/>
  </si>
  <si>
    <t>d①</t>
    <phoneticPr fontId="2" type="noConversion"/>
  </si>
  <si>
    <t>d②</t>
    <phoneticPr fontId="2" type="noConversion"/>
  </si>
  <si>
    <t>d③</t>
    <phoneticPr fontId="2" type="noConversion"/>
  </si>
  <si>
    <t>d④</t>
    <phoneticPr fontId="2" type="noConversion"/>
  </si>
  <si>
    <t>d⑤</t>
    <phoneticPr fontId="2" type="noConversion"/>
  </si>
  <si>
    <t>d⑥</t>
    <phoneticPr fontId="2" type="noConversion"/>
  </si>
  <si>
    <t>d⑦</t>
    <phoneticPr fontId="2" type="noConversion"/>
  </si>
  <si>
    <t>L①</t>
    <phoneticPr fontId="2" type="noConversion"/>
  </si>
  <si>
    <t>L②</t>
    <phoneticPr fontId="2" type="noConversion"/>
  </si>
  <si>
    <t>初步估计小齿轮分度圆直径d2</t>
    <phoneticPr fontId="2" type="noConversion"/>
  </si>
  <si>
    <t>大齿轮齿宽b4</t>
    <phoneticPr fontId="2" type="noConversion"/>
  </si>
  <si>
    <t>小齿轮齿宽b2</t>
    <phoneticPr fontId="2" type="noConversion"/>
  </si>
  <si>
    <t>分度圆直径d3(mm)</t>
    <phoneticPr fontId="2" type="noConversion"/>
  </si>
  <si>
    <t>分度圆直径d4</t>
    <phoneticPr fontId="2" type="noConversion"/>
  </si>
  <si>
    <t>h1 定位轴肩的高度</t>
    <phoneticPr fontId="2" type="noConversion"/>
  </si>
  <si>
    <t>轴承盖宽度</t>
    <phoneticPr fontId="2" type="noConversion"/>
  </si>
  <si>
    <t>h2</t>
    <phoneticPr fontId="2" type="noConversion"/>
  </si>
  <si>
    <t>1-5</t>
    <phoneticPr fontId="2" type="noConversion"/>
  </si>
  <si>
    <t>L③</t>
    <phoneticPr fontId="2" type="noConversion"/>
  </si>
  <si>
    <t>L④</t>
    <phoneticPr fontId="2" type="noConversion"/>
  </si>
  <si>
    <t>L⑤</t>
    <phoneticPr fontId="2" type="noConversion"/>
  </si>
  <si>
    <t>L⑥</t>
    <phoneticPr fontId="2" type="noConversion"/>
  </si>
  <si>
    <t>L⑦</t>
    <phoneticPr fontId="2" type="noConversion"/>
  </si>
  <si>
    <t>h3</t>
    <phoneticPr fontId="2" type="noConversion"/>
  </si>
  <si>
    <t>h4</t>
    <phoneticPr fontId="2" type="noConversion"/>
  </si>
  <si>
    <t>带轮厚</t>
    <phoneticPr fontId="2" type="noConversion"/>
  </si>
  <si>
    <t>轴承：6207</t>
    <phoneticPr fontId="2" type="noConversion"/>
  </si>
  <si>
    <t>总长</t>
    <phoneticPr fontId="2" type="noConversion"/>
  </si>
  <si>
    <t>低速轴的设计</t>
    <phoneticPr fontId="2" type="noConversion"/>
  </si>
  <si>
    <t>45钢 调制</t>
    <phoneticPr fontId="2" type="noConversion"/>
  </si>
  <si>
    <t>A0</t>
    <phoneticPr fontId="2" type="noConversion"/>
  </si>
  <si>
    <t>联轴器孔长L</t>
    <phoneticPr fontId="2" type="noConversion"/>
  </si>
  <si>
    <t>轴承</t>
    <phoneticPr fontId="2" type="noConversion"/>
  </si>
  <si>
    <t>中速轴的设计</t>
    <phoneticPr fontId="2" type="noConversion"/>
  </si>
  <si>
    <t>转速n3</t>
    <phoneticPr fontId="2" type="noConversion"/>
  </si>
  <si>
    <t>转矩T3</t>
    <phoneticPr fontId="2" type="noConversion"/>
  </si>
  <si>
    <t>功率P3</t>
    <phoneticPr fontId="2" type="noConversion"/>
  </si>
  <si>
    <t>转矩T2</t>
    <phoneticPr fontId="2" type="noConversion"/>
  </si>
  <si>
    <t>功率P2</t>
    <phoneticPr fontId="2" type="noConversion"/>
  </si>
  <si>
    <t>电机、传动比</t>
  </si>
  <si>
    <t>计算1</t>
  </si>
  <si>
    <t>已给条件</t>
  </si>
  <si>
    <t>T（N*m）</t>
  </si>
  <si>
    <t>V（m/s）</t>
  </si>
  <si>
    <t>D（mm）</t>
  </si>
  <si>
    <t>输入</t>
  </si>
  <si>
    <t>工作机所需功率Pw</t>
  </si>
  <si>
    <t xml:space="preserve">N *m </t>
  </si>
  <si>
    <t>nV带</t>
  </si>
  <si>
    <t>n轴承</t>
  </si>
  <si>
    <t>轴承数量</t>
  </si>
  <si>
    <t>n齿轮</t>
  </si>
  <si>
    <t>齿轮数量</t>
  </si>
  <si>
    <t>n联轴器</t>
  </si>
  <si>
    <t>联轴器数量</t>
  </si>
  <si>
    <t>n传动滚筒</t>
  </si>
  <si>
    <t>效率η</t>
  </si>
  <si>
    <t>电动机所需功率Pd</t>
  </si>
  <si>
    <t>工作机所需功率Pw（kw）</t>
  </si>
  <si>
    <t>滚筒轴工作转速nw</t>
  </si>
  <si>
    <t>f</t>
  </si>
  <si>
    <t>p</t>
  </si>
  <si>
    <t>n0</t>
  </si>
  <si>
    <t>Pd（min）</t>
  </si>
  <si>
    <t>Pd（max）</t>
  </si>
  <si>
    <t>电机满载转速</t>
  </si>
  <si>
    <t>总传动比ia</t>
  </si>
  <si>
    <t>带传动比i1</t>
  </si>
  <si>
    <t>减速器传动比ij</t>
  </si>
  <si>
    <t>一级齿轮传动比i2</t>
  </si>
  <si>
    <t>二级齿轮传动比i3</t>
  </si>
  <si>
    <t>ia（凑数）</t>
  </si>
  <si>
    <t>查表确定电动机轴外伸尺寸</t>
  </si>
  <si>
    <t>电动机型号</t>
  </si>
  <si>
    <t>Y112M-4</t>
  </si>
  <si>
    <t>D直径</t>
  </si>
  <si>
    <t>E外伸长度</t>
  </si>
  <si>
    <t>H中心高</t>
  </si>
  <si>
    <t>输入功率</t>
  </si>
  <si>
    <t>输出功率</t>
  </si>
  <si>
    <t>输入转矩</t>
  </si>
  <si>
    <t>输出转矩</t>
  </si>
  <si>
    <t>转速n</t>
  </si>
  <si>
    <t>传动比i</t>
  </si>
  <si>
    <t>nv带</t>
  </si>
  <si>
    <t>0轴</t>
  </si>
  <si>
    <t>1轴</t>
  </si>
  <si>
    <t>2轴</t>
  </si>
  <si>
    <t>3轴</t>
  </si>
  <si>
    <t>4轴</t>
  </si>
  <si>
    <t>v带设计计算</t>
  </si>
  <si>
    <t>电动机功率Pw</t>
  </si>
  <si>
    <t>电动机转速</t>
  </si>
  <si>
    <t>工作时间h</t>
  </si>
  <si>
    <t>工况系数KA</t>
  </si>
  <si>
    <t>计算功率PCA</t>
  </si>
  <si>
    <t>V带类型</t>
  </si>
  <si>
    <t>A型V带</t>
  </si>
  <si>
    <t>小带轮的基准直径dd1(mm)</t>
  </si>
  <si>
    <t>80-100</t>
  </si>
  <si>
    <t>大带轮的基准直径dd2(mm)</t>
  </si>
  <si>
    <t>带速v</t>
  </si>
  <si>
    <t>实际传动比i</t>
  </si>
  <si>
    <t>初定中心距a0</t>
  </si>
  <si>
    <t>初算带长Ld0</t>
  </si>
  <si>
    <t>基准长度Ld</t>
  </si>
  <si>
    <t>计算实际中心距a</t>
  </si>
  <si>
    <t>安装所需最小中心距amin</t>
  </si>
  <si>
    <t>安装所需最大中心距amax</t>
  </si>
  <si>
    <t>验算小带轮上的包角α1(度)</t>
  </si>
  <si>
    <t>基准额定功率P0</t>
  </si>
  <si>
    <t>单根额定功率增量△P0</t>
  </si>
  <si>
    <t>修正系数Kα</t>
  </si>
  <si>
    <t>带长修正系数KL</t>
  </si>
  <si>
    <t>带的额定功率Pr（Kw）</t>
  </si>
  <si>
    <t>V带的根数z</t>
  </si>
  <si>
    <t>单位长度质量q</t>
  </si>
  <si>
    <t>V带的初拉力F0(N)</t>
  </si>
  <si>
    <t>压轴力FP(N)</t>
  </si>
  <si>
    <t>设计结论</t>
  </si>
  <si>
    <t>带形</t>
  </si>
  <si>
    <t>基带总长度Ld</t>
  </si>
  <si>
    <t>小带轮直径dd1</t>
  </si>
  <si>
    <t>大带轮直径dd2</t>
  </si>
  <si>
    <t>中心距a</t>
  </si>
  <si>
    <t>初拉力F0</t>
  </si>
  <si>
    <t>压轴力Fp</t>
  </si>
  <si>
    <t>带轮结构设计</t>
  </si>
  <si>
    <t>材料</t>
  </si>
  <si>
    <t>HT200</t>
  </si>
  <si>
    <t>2.5d</t>
  </si>
  <si>
    <t>小带轮</t>
  </si>
  <si>
    <t>腹板式</t>
  </si>
  <si>
    <t>大带轮</t>
  </si>
  <si>
    <t>轮辐式</t>
  </si>
  <si>
    <t>齿轮传动的设计计算</t>
  </si>
  <si>
    <t>压力角（度）</t>
  </si>
  <si>
    <t>材料 铸钢</t>
  </si>
  <si>
    <t>小齿轮转矩T1</t>
  </si>
  <si>
    <t>小齿轮转矩T2</t>
  </si>
  <si>
    <t>转速n1</t>
  </si>
  <si>
    <t>转速n2</t>
  </si>
  <si>
    <t>小齿轮 锻钢</t>
  </si>
  <si>
    <t>大齿轮 铸钢</t>
  </si>
  <si>
    <t>直齿轮</t>
  </si>
  <si>
    <t>40CR，调质</t>
  </si>
  <si>
    <t>45钢，调质</t>
  </si>
  <si>
    <t>小齿轮Z1</t>
  </si>
  <si>
    <t>小齿轮Z3</t>
  </si>
  <si>
    <t>大齿轮Z2</t>
  </si>
  <si>
    <t>大齿轮Z4</t>
  </si>
  <si>
    <t>齿数比u</t>
  </si>
  <si>
    <t>按接触面疲劳强度设计</t>
  </si>
  <si>
    <t>载荷系数KHt</t>
  </si>
  <si>
    <t>端面压力角αt</t>
  </si>
  <si>
    <t>基圆螺旋角βb</t>
  </si>
  <si>
    <t>区域系数ZH</t>
  </si>
  <si>
    <t>弹性影响系数ZE(Mpa)</t>
  </si>
  <si>
    <t>齿宽系数φd</t>
  </si>
  <si>
    <t>K</t>
  </si>
  <si>
    <t>ZE</t>
  </si>
  <si>
    <t>小齿轮接触疲劳极限σHlim1</t>
  </si>
  <si>
    <t>大齿轮接触疲劳极限σHlim2</t>
  </si>
  <si>
    <t>安全系数SH</t>
  </si>
  <si>
    <t>安全系数SF</t>
  </si>
  <si>
    <t>[σH1](MPa)</t>
  </si>
  <si>
    <t>[σH2]</t>
  </si>
  <si>
    <t>[σH]接触疲劳强度许用应力</t>
  </si>
  <si>
    <t>σFE1</t>
  </si>
  <si>
    <t>σFE2</t>
  </si>
  <si>
    <t>[σF1]</t>
  </si>
  <si>
    <t>[σF2]</t>
  </si>
  <si>
    <t>初步估计小齿轮分度圆直径d1</t>
  </si>
  <si>
    <t>初步估计小齿轮分度圆直径d2</t>
  </si>
  <si>
    <t>大齿轮齿宽b2</t>
  </si>
  <si>
    <t>大齿轮齿宽b4</t>
  </si>
  <si>
    <t>小齿轮齿宽b1</t>
  </si>
  <si>
    <t>小齿轮齿宽b2</t>
  </si>
  <si>
    <t>圆周速度(m/s)</t>
  </si>
  <si>
    <t>脂润滑</t>
  </si>
  <si>
    <t>模数m</t>
  </si>
  <si>
    <t>分度圆直径d1(mm)</t>
  </si>
  <si>
    <t>分度圆直径d3(mm)</t>
  </si>
  <si>
    <t>分度圆直径d4</t>
  </si>
  <si>
    <t>验算齿根弯曲疲劳强度</t>
  </si>
  <si>
    <t>齿形系数YFa1</t>
  </si>
  <si>
    <t>齿形系数YFa2</t>
  </si>
  <si>
    <t>齿形系数YSa1</t>
  </si>
  <si>
    <t>齿形系数YSa2</t>
  </si>
  <si>
    <t>σF1</t>
  </si>
  <si>
    <t>安全</t>
  </si>
  <si>
    <t>验算强度</t>
  </si>
  <si>
    <t>σF2</t>
  </si>
  <si>
    <t>联轴器的选择计算</t>
  </si>
  <si>
    <t>联轴器类型</t>
  </si>
  <si>
    <t>刚性联轴器</t>
  </si>
  <si>
    <t>gys6</t>
  </si>
  <si>
    <t>输入功率P4</t>
  </si>
  <si>
    <t>输入转矩T4</t>
  </si>
  <si>
    <t>输入转速</t>
  </si>
  <si>
    <t>转矩Tca</t>
  </si>
  <si>
    <t>型号</t>
  </si>
  <si>
    <t>公称转矩</t>
  </si>
  <si>
    <t>许用转速</t>
  </si>
  <si>
    <t>轴孔直径</t>
  </si>
  <si>
    <t>GY6</t>
  </si>
  <si>
    <t>轴的结构设计</t>
  </si>
  <si>
    <t>高速轴的设计</t>
  </si>
  <si>
    <t>低速轴的设计</t>
  </si>
  <si>
    <t>45钢调制</t>
  </si>
  <si>
    <t>45钢 调制</t>
  </si>
  <si>
    <t>A0</t>
  </si>
  <si>
    <t>转速n3</t>
  </si>
  <si>
    <t>转矩T1</t>
  </si>
  <si>
    <t>转矩T3</t>
  </si>
  <si>
    <t>功率P1</t>
  </si>
  <si>
    <t>功率P3</t>
  </si>
  <si>
    <t>dmin=</t>
  </si>
  <si>
    <t>轴的键槽数量</t>
  </si>
  <si>
    <t>直径增大后轴的直径</t>
  </si>
  <si>
    <t>带轮厚</t>
  </si>
  <si>
    <t>联轴器孔长L</t>
  </si>
  <si>
    <t>d①</t>
  </si>
  <si>
    <t>L①</t>
  </si>
  <si>
    <t>h1 定位轴肩的高度</t>
  </si>
  <si>
    <t>d②</t>
  </si>
  <si>
    <t>L②</t>
  </si>
  <si>
    <t>轴承盖宽度</t>
  </si>
  <si>
    <t>h2</t>
  </si>
  <si>
    <t>d③</t>
  </si>
  <si>
    <t>L③</t>
  </si>
  <si>
    <t>轴承</t>
  </si>
  <si>
    <t>h3</t>
  </si>
  <si>
    <t>d④</t>
  </si>
  <si>
    <t>L④</t>
  </si>
  <si>
    <t>h4</t>
  </si>
  <si>
    <t>d⑤</t>
  </si>
  <si>
    <t>L⑤</t>
  </si>
  <si>
    <t>d⑥</t>
  </si>
  <si>
    <t>L⑥</t>
  </si>
  <si>
    <t>d⑦</t>
  </si>
  <si>
    <t>L⑦</t>
  </si>
  <si>
    <t>总长</t>
  </si>
  <si>
    <t>中速轴的设计</t>
  </si>
  <si>
    <t>转矩T2</t>
  </si>
  <si>
    <t>功率P2</t>
  </si>
  <si>
    <t>题目6</t>
    <phoneticPr fontId="2" type="noConversion"/>
  </si>
  <si>
    <t>小带轮尺寸</t>
    <phoneticPr fontId="2" type="noConversion"/>
  </si>
  <si>
    <t>轴孔直径d</t>
    <phoneticPr fontId="2" type="noConversion"/>
  </si>
  <si>
    <t>分度圆直径</t>
    <phoneticPr fontId="2" type="noConversion"/>
  </si>
  <si>
    <t>d1</t>
    <phoneticPr fontId="2" type="noConversion"/>
  </si>
  <si>
    <t>da</t>
    <phoneticPr fontId="2" type="noConversion"/>
  </si>
  <si>
    <t>ha</t>
    <phoneticPr fontId="2" type="noConversion"/>
  </si>
  <si>
    <t>hf</t>
    <phoneticPr fontId="2" type="noConversion"/>
  </si>
  <si>
    <t>df</t>
    <phoneticPr fontId="2" type="noConversion"/>
  </si>
  <si>
    <t>B</t>
    <phoneticPr fontId="2" type="noConversion"/>
  </si>
  <si>
    <t>e</t>
    <phoneticPr fontId="2" type="noConversion"/>
  </si>
  <si>
    <t>f</t>
    <phoneticPr fontId="2" type="noConversion"/>
  </si>
  <si>
    <t>dr</t>
    <phoneticPr fontId="2" type="noConversion"/>
  </si>
  <si>
    <t>δ</t>
  </si>
  <si>
    <t>C</t>
    <phoneticPr fontId="2" type="noConversion"/>
  </si>
  <si>
    <t>L</t>
    <phoneticPr fontId="2" type="noConversion"/>
  </si>
  <si>
    <t>大带轮尺寸</t>
    <phoneticPr fontId="2" type="noConversion"/>
  </si>
  <si>
    <t>h1</t>
    <phoneticPr fontId="2" type="noConversion"/>
  </si>
  <si>
    <t>h2</t>
    <phoneticPr fontId="2" type="noConversion"/>
  </si>
  <si>
    <t>b1</t>
    <phoneticPr fontId="2" type="noConversion"/>
  </si>
  <si>
    <t>b2</t>
    <phoneticPr fontId="2" type="noConversion"/>
  </si>
  <si>
    <t>f1</t>
    <phoneticPr fontId="2" type="noConversion"/>
  </si>
  <si>
    <t>f2</t>
    <phoneticPr fontId="2" type="noConversion"/>
  </si>
  <si>
    <t>齿轮</t>
    <phoneticPr fontId="2" type="noConversion"/>
  </si>
  <si>
    <t>gy7</t>
    <phoneticPr fontId="2" type="noConversion"/>
  </si>
  <si>
    <t>】</t>
    <phoneticPr fontId="2" type="noConversion"/>
  </si>
  <si>
    <t>大齿轮齿顶圆</t>
    <phoneticPr fontId="2" type="noConversion"/>
  </si>
  <si>
    <t>大齿轮齿根圆</t>
    <phoneticPr fontId="2" type="noConversion"/>
  </si>
  <si>
    <t>han*</t>
    <phoneticPr fontId="2" type="noConversion"/>
  </si>
  <si>
    <t>c*</t>
    <phoneticPr fontId="2" type="noConversion"/>
  </si>
  <si>
    <t>齿顶高ha</t>
    <phoneticPr fontId="2" type="noConversion"/>
  </si>
  <si>
    <t>齿根高 hf</t>
    <phoneticPr fontId="2" type="noConversion"/>
  </si>
  <si>
    <t>全齿高h</t>
    <phoneticPr fontId="2" type="noConversion"/>
  </si>
  <si>
    <t>小齿轮齿顶圆da1</t>
    <phoneticPr fontId="2" type="noConversion"/>
  </si>
  <si>
    <t>小齿轮齿根圆df1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</si>
</sst>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2" xfId="0" applyBorder="1">
      <alignment vertical="center"/>
    </xf>
    <xf numFmtId="0" fontId="4" fillId="6" borderId="1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4" borderId="5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5" borderId="0" xfId="0" applyFill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4" fillId="6" borderId="22" xfId="0" applyFont="1" applyFill="1" applyBorder="1">
      <alignment vertical="center"/>
    </xf>
    <xf numFmtId="58" fontId="0" fillId="0" borderId="0" xfId="0" applyNumberForma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5" borderId="26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0" borderId="4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>
      <alignment vertical="center"/>
    </xf>
    <xf numFmtId="178" fontId="0" fillId="0" borderId="0" xfId="0" applyNumberFormat="1">
      <alignment vertical="center"/>
    </xf>
    <xf numFmtId="176" fontId="0" fillId="2" borderId="27" xfId="0" applyNumberFormat="1" applyFill="1" applyBorder="1">
      <alignment vertical="center"/>
    </xf>
    <xf numFmtId="176" fontId="0" fillId="2" borderId="14" xfId="0" applyNumberFormat="1" applyFill="1" applyBorder="1">
      <alignment vertical="center"/>
    </xf>
    <xf numFmtId="0" fontId="0" fillId="3" borderId="27" xfId="0" applyFill="1" applyBorder="1">
      <alignment vertical="center"/>
    </xf>
    <xf numFmtId="0" fontId="0" fillId="3" borderId="6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27" xfId="0" applyFont="1" applyFill="1" applyBorder="1">
      <alignment vertical="center"/>
    </xf>
    <xf numFmtId="0" fontId="0" fillId="2" borderId="27" xfId="0" applyFill="1" applyBorder="1">
      <alignment vertical="center"/>
    </xf>
    <xf numFmtId="176" fontId="0" fillId="2" borderId="19" xfId="0" applyNumberFormat="1" applyFill="1" applyBorder="1">
      <alignment vertical="center"/>
    </xf>
    <xf numFmtId="0" fontId="0" fillId="3" borderId="0" xfId="0" applyFill="1">
      <alignment vertical="center"/>
    </xf>
    <xf numFmtId="0" fontId="0" fillId="3" borderId="19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30" xfId="0" applyFill="1" applyBorder="1">
      <alignment vertical="center"/>
    </xf>
    <xf numFmtId="0" fontId="0" fillId="3" borderId="28" xfId="0" applyFill="1" applyBorder="1">
      <alignment vertical="center"/>
    </xf>
    <xf numFmtId="0" fontId="0" fillId="3" borderId="19" xfId="0" applyFill="1" applyBorder="1" applyAlignment="1">
      <alignment horizontal="center" vertical="center"/>
    </xf>
    <xf numFmtId="177" fontId="0" fillId="0" borderId="24" xfId="0" applyNumberFormat="1" applyBorder="1">
      <alignment vertical="center"/>
    </xf>
    <xf numFmtId="0" fontId="0" fillId="3" borderId="30" xfId="0" applyFill="1" applyBorder="1">
      <alignment vertical="center"/>
    </xf>
    <xf numFmtId="0" fontId="0" fillId="5" borderId="27" xfId="0" applyFill="1" applyBorder="1">
      <alignment vertical="center"/>
    </xf>
    <xf numFmtId="0" fontId="0" fillId="2" borderId="33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3" xfId="0" applyFill="1" applyBorder="1">
      <alignment vertical="center"/>
    </xf>
    <xf numFmtId="4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0" borderId="27" xfId="0" applyNumberFormat="1" applyBorder="1">
      <alignment vertical="center"/>
    </xf>
    <xf numFmtId="49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35" xfId="0" applyBorder="1">
      <alignment vertical="center"/>
    </xf>
    <xf numFmtId="177" fontId="0" fillId="0" borderId="34" xfId="0" applyNumberFormat="1" applyBorder="1">
      <alignment vertical="center"/>
    </xf>
    <xf numFmtId="0" fontId="0" fillId="0" borderId="7" xfId="0" applyBorder="1">
      <alignment vertical="center"/>
    </xf>
    <xf numFmtId="49" fontId="3" fillId="3" borderId="27" xfId="0" applyNumberFormat="1" applyFont="1" applyFill="1" applyBorder="1">
      <alignment vertical="center"/>
    </xf>
    <xf numFmtId="49" fontId="3" fillId="0" borderId="27" xfId="0" applyNumberFormat="1" applyFont="1" applyBorder="1">
      <alignment vertical="center"/>
    </xf>
    <xf numFmtId="10" fontId="0" fillId="2" borderId="6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5" borderId="18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3" fillId="0" borderId="0" xfId="0" applyFont="1">
      <alignment vertical="center"/>
    </xf>
    <xf numFmtId="0" fontId="0" fillId="0" borderId="31" xfId="0" applyBorder="1">
      <alignment vertical="center"/>
    </xf>
    <xf numFmtId="0" fontId="0" fillId="2" borderId="18" xfId="0" applyFill="1" applyBorder="1">
      <alignment vertical="center"/>
    </xf>
    <xf numFmtId="0" fontId="0" fillId="0" borderId="32" xfId="0" applyBorder="1">
      <alignment vertical="center"/>
    </xf>
    <xf numFmtId="0" fontId="0" fillId="2" borderId="34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43B-9CA6-474C30C756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43B-9CA6-474C30C756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565759"/>
        <c:axId val="322668975"/>
      </c:lineChart>
      <c:catAx>
        <c:axId val="323565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扭矩图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322668975"/>
        <c:crosses val="autoZero"/>
        <c:auto val="1"/>
        <c:lblAlgn val="ctr"/>
        <c:lblOffset val="100"/>
        <c:noMultiLvlLbl val="0"/>
      </c:catAx>
      <c:valAx>
        <c:axId val="322668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扭矩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3235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/>
    <cx:plotArea>
      <cx:plotAreaRegion>
        <cx:series layoutId="funnel" uniqueId="{B1512B16-BD41-429F-B54A-EF8999A71E4A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  <cx:numFmt formatCode="G/通用格式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/>
    <cx:plotArea>
      <cx:plotAreaRegion>
        <cx:series layoutId="funnel" uniqueId="{BF666999-22F6-4BC1-AA00-2A09B82ACF0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</cx:f>
      </cx:numDim>
    </cx:data>
  </cx:chartData>
  <cx:chart>
    <cx:title pos="t" align="ctr" overlay="0"/>
    <cx:plotArea>
      <cx:plotAreaRegion>
        <cx:series layoutId="funnel" uniqueId="{3C75DA23-BB74-4B40-BCC3-BBF4A28089F7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microsoft.com/office/2014/relationships/chartEx" Target="../charts/chartEx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4/relationships/chartEx" Target="../charts/chartEx2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120650</xdr:colOff>
      <xdr:row>7</xdr:row>
      <xdr:rowOff>133351</xdr:rowOff>
    </xdr:from>
    <xdr:to>
      <xdr:col>5</xdr:col>
      <xdr:colOff>361416</xdr:colOff>
      <xdr:row>12</xdr:row>
      <xdr:rowOff>172231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44A323-E468-F0E8-D196-5315F1C72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009651"/>
          <a:ext cx="2101850" cy="927880"/>
        </a:xfrm>
        <a:prstGeom prst="rect">
          <a:avLst/>
        </a:prstGeom>
      </xdr:spPr>
    </xdr:pic>
    <xdr:clientData/>
  </xdr:twoCellAnchor>
  <xdr:twoCellAnchor editAs="oneCell">
    <xdr:from>
      <xdr:col>5</xdr:col>
      <xdr:colOff>456167</xdr:colOff>
      <xdr:row>14</xdr:row>
      <xdr:rowOff>18755</xdr:rowOff>
    </xdr:from>
    <xdr:to>
      <xdr:col>7</xdr:col>
      <xdr:colOff>391928</xdr:colOff>
      <xdr:row>25</xdr:row>
      <xdr:rowOff>2415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11F420D-E5FB-D4AC-47A1-B6477A442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5934" y="2130499"/>
          <a:ext cx="1709479" cy="1401335"/>
        </a:xfrm>
        <a:prstGeom prst="rect">
          <a:avLst/>
        </a:prstGeom>
      </xdr:spPr>
    </xdr:pic>
    <xdr:clientData/>
  </xdr:twoCellAnchor>
  <xdr:twoCellAnchor editAs="oneCell">
    <xdr:from>
      <xdr:col>2</xdr:col>
      <xdr:colOff>36721</xdr:colOff>
      <xdr:row>20</xdr:row>
      <xdr:rowOff>117203</xdr:rowOff>
    </xdr:from>
    <xdr:to>
      <xdr:col>2</xdr:col>
      <xdr:colOff>423333</xdr:colOff>
      <xdr:row>24</xdr:row>
      <xdr:rowOff>61151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352FC25-DFD7-CC66-0090-30476D5EB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2788" y="3309136"/>
          <a:ext cx="386612" cy="23632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431800</xdr:colOff>
      <xdr:row>22</xdr:row>
      <xdr:rowOff>101601</xdr:rowOff>
    </xdr:from>
    <xdr:to>
      <xdr:col>6</xdr:col>
      <xdr:colOff>119463</xdr:colOff>
      <xdr:row>26</xdr:row>
      <xdr:rowOff>120684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57C9147-DDBC-869D-6133-14B6A4B35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867" y="3649134"/>
          <a:ext cx="4445228" cy="654084"/>
        </a:xfrm>
        <a:prstGeom prst="rect">
          <a:avLst/>
        </a:prstGeom>
      </xdr:spPr>
    </xdr:pic>
    <xdr:clientData/>
  </xdr:twoCellAnchor>
  <xdr:twoCellAnchor>
    <xdr:from>
      <xdr:col>1</xdr:col>
      <xdr:colOff>529166</xdr:colOff>
      <xdr:row>16</xdr:row>
      <xdr:rowOff>127000</xdr:rowOff>
    </xdr:from>
    <xdr:to>
      <xdr:col>1</xdr:col>
      <xdr:colOff>622300</xdr:colOff>
      <xdr:row>25</xdr:row>
      <xdr:rowOff>84667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5B9EC72D-FD3D-4E13-95ED-3DA748E32B27}"/>
            </a:ext>
          </a:extLst>
        </xdr:cNvPr>
        <xdr:cNvCxnSpPr/>
      </xdr:nvCxnSpPr>
      <xdr:spPr>
        <a:xfrm>
          <a:off x="2264833" y="2607733"/>
          <a:ext cx="93134" cy="1557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143661</xdr:colOff>
      <xdr:row>46</xdr:row>
      <xdr:rowOff>56336</xdr:rowOff>
    </xdr:from>
    <xdr:to>
      <xdr:col>8</xdr:col>
      <xdr:colOff>1169091</xdr:colOff>
      <xdr:row>57</xdr:row>
      <xdr:rowOff>110639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394CEC8-3B70-7548-5DD5-A6AB8F4E5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11" y="8235136"/>
          <a:ext cx="3649568" cy="2010103"/>
        </a:xfrm>
        <a:prstGeom prst="rect">
          <a:avLst/>
        </a:prstGeom>
      </xdr:spPr>
    </xdr:pic>
    <xdr:clientData/>
  </xdr:twoCellAnchor>
  <xdr:twoCellAnchor editAs="oneCell">
    <xdr:from>
      <xdr:col>10</xdr:col>
      <xdr:colOff>375300</xdr:colOff>
      <xdr:row>46</xdr:row>
      <xdr:rowOff>71641</xdr:rowOff>
    </xdr:from>
    <xdr:to>
      <xdr:col>14</xdr:col>
      <xdr:colOff>74300</xdr:colOff>
      <xdr:row>57</xdr:row>
      <xdr:rowOff>159890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BC1E6AB-2CE9-FA5A-0360-BF48A6F55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00" y="8250441"/>
          <a:ext cx="3707437" cy="2044049"/>
        </a:xfrm>
        <a:prstGeom prst="rect">
          <a:avLst/>
        </a:prstGeom>
      </xdr:spPr>
    </xdr:pic>
    <xdr:clientData/>
  </xdr:twoCellAnchor>
  <xdr:twoCellAnchor editAs="oneCell">
    <xdr:from>
      <xdr:col>2</xdr:col>
      <xdr:colOff>971015</xdr:colOff>
      <xdr:row>56</xdr:row>
      <xdr:rowOff>176714</xdr:rowOff>
    </xdr:from>
    <xdr:to>
      <xdr:col>4</xdr:col>
      <xdr:colOff>625199</xdr:colOff>
      <xdr:row>64</xdr:row>
      <xdr:rowOff>35153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8B9387A-D5F7-1665-A639-8E7B0879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4665" y="10133514"/>
          <a:ext cx="1686184" cy="1280839"/>
        </a:xfrm>
        <a:prstGeom prst="rect">
          <a:avLst/>
        </a:prstGeom>
      </xdr:spPr>
    </xdr:pic>
    <xdr:clientData/>
  </xdr:twoCellAnchor>
  <xdr:twoCellAnchor editAs="oneCell">
    <xdr:from>
      <xdr:col>8</xdr:col>
      <xdr:colOff>131141</xdr:colOff>
      <xdr:row>59</xdr:row>
      <xdr:rowOff>143319</xdr:rowOff>
    </xdr:from>
    <xdr:to>
      <xdr:col>9</xdr:col>
      <xdr:colOff>960297</xdr:colOff>
      <xdr:row>67</xdr:row>
      <xdr:rowOff>59633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BEE5674-2504-6E54-A767-200D03D47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369" y="10724352"/>
          <a:ext cx="2034345" cy="135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189809</xdr:colOff>
      <xdr:row>59</xdr:row>
      <xdr:rowOff>145740</xdr:rowOff>
    </xdr:from>
    <xdr:to>
      <xdr:col>7</xdr:col>
      <xdr:colOff>386173</xdr:colOff>
      <xdr:row>66</xdr:row>
      <xdr:rowOff>121138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9AF0512-9ED9-F26B-99C7-0594D0B5F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934" y="10726773"/>
          <a:ext cx="1965667" cy="1231593"/>
        </a:xfrm>
        <a:prstGeom prst="rect">
          <a:avLst/>
        </a:prstGeom>
      </xdr:spPr>
    </xdr:pic>
    <xdr:clientData/>
  </xdr:twoCellAnchor>
  <xdr:twoCellAnchor editAs="oneCell">
    <xdr:from>
      <xdr:col>3</xdr:col>
      <xdr:colOff>592896</xdr:colOff>
      <xdr:row>65</xdr:row>
      <xdr:rowOff>104306</xdr:rowOff>
    </xdr:from>
    <xdr:to>
      <xdr:col>4</xdr:col>
      <xdr:colOff>1352549</xdr:colOff>
      <xdr:row>69</xdr:row>
      <xdr:rowOff>50238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7EB85B36-F2A6-70E2-E29B-6B3B6E139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3834" y="10954869"/>
          <a:ext cx="1775653" cy="644432"/>
        </a:xfrm>
        <a:prstGeom prst="rect">
          <a:avLst/>
        </a:prstGeom>
      </xdr:spPr>
    </xdr:pic>
    <xdr:clientData/>
  </xdr:twoCellAnchor>
  <xdr:twoCellAnchor editAs="oneCell">
    <xdr:from>
      <xdr:col>5</xdr:col>
      <xdr:colOff>486990</xdr:colOff>
      <xdr:row>66</xdr:row>
      <xdr:rowOff>141495</xdr:rowOff>
    </xdr:from>
    <xdr:to>
      <xdr:col>7</xdr:col>
      <xdr:colOff>508414</xdr:colOff>
      <xdr:row>74</xdr:row>
      <xdr:rowOff>19186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E2D5441E-2B02-1192-C370-E9022595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115" y="11978723"/>
          <a:ext cx="1790727" cy="131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799042</xdr:colOff>
      <xdr:row>137</xdr:row>
      <xdr:rowOff>15875</xdr:rowOff>
    </xdr:from>
    <xdr:to>
      <xdr:col>7</xdr:col>
      <xdr:colOff>427567</xdr:colOff>
      <xdr:row>148</xdr:row>
      <xdr:rowOff>85724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F7A64C4A-7810-AD0F-3A5F-2FA70C64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334" y="24172333"/>
          <a:ext cx="32639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179917</xdr:colOff>
      <xdr:row>151</xdr:row>
      <xdr:rowOff>137584</xdr:rowOff>
    </xdr:from>
    <xdr:to>
      <xdr:col>4</xdr:col>
      <xdr:colOff>999109</xdr:colOff>
      <xdr:row>160</xdr:row>
      <xdr:rowOff>118589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A144D5B0-F8B8-2CA8-2EAD-F57E6B5F06BE}"/>
            </a:ext>
          </a:extLst>
        </xdr:cNvPr>
        <xdr:cNvGrpSpPr/>
      </xdr:nvGrpSpPr>
      <xdr:grpSpPr>
        <a:xfrm>
          <a:off x="4885267" y="26521834"/>
          <a:ext cx="819192" cy="1581205"/>
          <a:chOff x="2767542" y="27199167"/>
          <a:chExt cx="819192" cy="1060505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7DED8561-D7CE-1565-3273-D5152E7AB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7542" y="27199167"/>
            <a:ext cx="819192" cy="1060505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38DBCF87-7E15-60F9-9F35-E136D5040F27}"/>
              </a:ext>
            </a:extLst>
          </xdr:cNvPr>
          <xdr:cNvSpPr/>
        </xdr:nvSpPr>
        <xdr:spPr>
          <a:xfrm>
            <a:off x="2868084" y="27363208"/>
            <a:ext cx="619124" cy="804334"/>
          </a:xfrm>
          <a:prstGeom prst="rect">
            <a:avLst/>
          </a:prstGeom>
          <a:noFill/>
          <a:ln w="571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14" name="直接箭头连接符 13">
            <a:extLst>
              <a:ext uri="{FF2B5EF4-FFF2-40B4-BE49-F238E27FC236}">
                <a16:creationId xmlns:a16="http://schemas.microsoft.com/office/drawing/2014/main" id="{95AA9AB9-9DCB-AC07-0F91-77F40698A30A}"/>
              </a:ext>
            </a:extLst>
          </xdr:cNvPr>
          <xdr:cNvCxnSpPr>
            <a:stCxn id="10" idx="1"/>
            <a:endCxn id="10" idx="3"/>
          </xdr:cNvCxnSpPr>
        </xdr:nvCxnSpPr>
        <xdr:spPr>
          <a:xfrm>
            <a:off x="2868084" y="27765375"/>
            <a:ext cx="619124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1198184</xdr:colOff>
      <xdr:row>147</xdr:row>
      <xdr:rowOff>105834</xdr:rowOff>
    </xdr:from>
    <xdr:to>
      <xdr:col>7</xdr:col>
      <xdr:colOff>528410</xdr:colOff>
      <xdr:row>168</xdr:row>
      <xdr:rowOff>94495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7" name="图表 16">
              <a:extLst>
                <a:ext uri="{FF2B5EF4-FFF2-40B4-BE49-F238E27FC236}">
                  <a16:creationId xmlns:a16="http://schemas.microsoft.com/office/drawing/2014/main" id="{40FD6A6E-98E5-40A2-C318-E2FBEB8CC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3534" y="25778884"/>
              <a:ext cx="2962426" cy="3722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603251</xdr:colOff>
      <xdr:row>135</xdr:row>
      <xdr:rowOff>169335</xdr:rowOff>
    </xdr:from>
    <xdr:to>
      <xdr:col>23</xdr:col>
      <xdr:colOff>92605</xdr:colOff>
      <xdr:row>155</xdr:row>
      <xdr:rowOff>44980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图表 18">
              <a:extLst>
                <a:ext uri="{FF2B5EF4-FFF2-40B4-BE49-F238E27FC236}">
                  <a16:creationId xmlns:a16="http://schemas.microsoft.com/office/drawing/2014/main" id="{EE8FDB9C-2C9F-EA3D-7A66-A25B53186C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1" y="23702435"/>
              <a:ext cx="4772554" cy="3437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184150</xdr:colOff>
      <xdr:row>178</xdr:row>
      <xdr:rowOff>9524</xdr:rowOff>
    </xdr:from>
    <xdr:to>
      <xdr:col>8</xdr:col>
      <xdr:colOff>400050</xdr:colOff>
      <xdr:row>199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图表 19">
              <a:extLst>
                <a:ext uri="{FF2B5EF4-FFF2-40B4-BE49-F238E27FC236}">
                  <a16:creationId xmlns:a16="http://schemas.microsoft.com/office/drawing/2014/main" id="{56F7488C-1A7D-688E-BEB6-A272E3DC9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0" y="31194374"/>
              <a:ext cx="4699000" cy="3781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520700</xdr:colOff>
      <xdr:row>201</xdr:row>
      <xdr:rowOff>0</xdr:rowOff>
    </xdr:from>
    <xdr:to>
      <xdr:col>19</xdr:col>
      <xdr:colOff>469900</xdr:colOff>
      <xdr:row>201</xdr:row>
      <xdr:rowOff>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FF4A6E5E-51BC-EC63-960A-F2C3FBFC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0.5212</cdr:x>
      <cdr:y>0.15098</cdr:y>
    </cdr:from>
    <cdr:to>
      <cdr:x>0.52889</cdr:x>
      <cdr:y>0.85861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4F15B79D-7F79-8CA9-93D4-1A7E3308A504}"/>
            </a:ext>
          </a:extLst>
        </cdr:cNvPr>
        <cdr:cNvCxnSpPr/>
      </cdr:nvCxnSpPr>
      <cdr:spPr>
        <a:xfrm xmlns:a="http://schemas.openxmlformats.org/drawingml/2006/main">
          <a:off x="2393244" y="410986"/>
          <a:ext cx="35278" cy="1926166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30794</xdr:colOff>
      <xdr:row>2</xdr:row>
      <xdr:rowOff>133350</xdr:rowOff>
    </xdr:from>
    <xdr:to>
      <xdr:col>12</xdr:col>
      <xdr:colOff>857637</xdr:colOff>
      <xdr:row>27</xdr:row>
      <xdr:rowOff>165334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EBAE86-EAA3-A8B1-D963-18EAB659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794" y="495300"/>
          <a:ext cx="7405443" cy="4476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5842-A1DB-4C9F-A241-F71463F80205}">
  <dimension ref="A1:P199"/>
  <sheetViews>
    <sheetView tabSelected="1" zoomScaleNormal="100" workbookViewId="0">
      <selection activeCell="I18" sqref="I18"/>
    </sheetView>
  </sheetViews>
  <sheetFormatPr defaultRowHeight="14" x14ac:dyDescent="0.3"/>
  <cols>
    <col min="1" max="1" width="24.58203125" customWidth="1"/>
    <col min="2" max="2" width="10.5" customWidth="1"/>
    <col min="3" max="4" width="13.33203125" customWidth="1"/>
    <col min="5" max="5" width="24.4140625" customWidth="1"/>
    <col min="6" max="6" width="11.33203125" customWidth="1"/>
    <col min="7" max="7" width="11.9140625" customWidth="1"/>
    <col min="8" max="8" width="11.1640625" customWidth="1"/>
    <col min="9" max="9" width="15.83203125" customWidth="1"/>
    <col min="10" max="10" width="17.9140625" customWidth="1"/>
    <col min="11" max="11" width="15" customWidth="1"/>
    <col min="12" max="12" width="15.1640625" customWidth="1"/>
    <col min="13" max="13" width="11.1640625" customWidth="1"/>
    <col min="14" max="14" width="11.25" bestFit="1" customWidth="1"/>
  </cols>
  <sheetData>
    <row r="1" spans="1:14" x14ac:dyDescent="0.3">
      <c r="A1" t="s">
        <v>0</v>
      </c>
    </row>
    <row r="2" spans="1:14" ht="14.5" thickBot="1" x14ac:dyDescent="0.35"/>
    <row r="3" spans="1:14" x14ac:dyDescent="0.3">
      <c r="A3" s="35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x14ac:dyDescent="0.3">
      <c r="A4" s="26" t="s">
        <v>2</v>
      </c>
      <c r="N4" s="24"/>
    </row>
    <row r="5" spans="1:14" ht="13.5" customHeight="1" x14ac:dyDescent="0.3">
      <c r="A5" s="75" t="s">
        <v>1</v>
      </c>
      <c r="B5" s="3" t="s">
        <v>5</v>
      </c>
      <c r="C5" s="3" t="s">
        <v>6</v>
      </c>
      <c r="D5" s="3" t="s">
        <v>7</v>
      </c>
      <c r="E5" s="37"/>
      <c r="I5" s="23" t="s">
        <v>25</v>
      </c>
      <c r="N5" s="24"/>
    </row>
    <row r="6" spans="1:14" ht="13.5" customHeight="1" x14ac:dyDescent="0.3">
      <c r="A6" s="75" t="s">
        <v>3</v>
      </c>
      <c r="B6" s="7">
        <v>600</v>
      </c>
      <c r="C6" s="7">
        <v>0.95</v>
      </c>
      <c r="D6" s="7">
        <v>360</v>
      </c>
      <c r="E6" s="22"/>
      <c r="I6" s="5" t="s">
        <v>26</v>
      </c>
      <c r="N6" s="24"/>
    </row>
    <row r="7" spans="1:14" x14ac:dyDescent="0.3">
      <c r="A7" s="2" t="s">
        <v>19</v>
      </c>
      <c r="B7" s="6">
        <f>B6*C6/(D6/2/1000)</f>
        <v>3166.666666666667</v>
      </c>
      <c r="C7" s="94" t="s">
        <v>4</v>
      </c>
      <c r="D7" s="95"/>
      <c r="I7" s="27" t="s">
        <v>105</v>
      </c>
      <c r="N7" s="24"/>
    </row>
    <row r="8" spans="1:14" x14ac:dyDescent="0.3">
      <c r="A8" s="26"/>
      <c r="N8" s="24"/>
    </row>
    <row r="9" spans="1:14" x14ac:dyDescent="0.3">
      <c r="A9" s="28" t="s">
        <v>21</v>
      </c>
      <c r="B9" s="3" t="s">
        <v>16</v>
      </c>
      <c r="C9" s="96" t="s">
        <v>42</v>
      </c>
      <c r="D9" s="97"/>
      <c r="N9" s="24"/>
    </row>
    <row r="10" spans="1:14" x14ac:dyDescent="0.3">
      <c r="A10" s="28" t="s">
        <v>17</v>
      </c>
      <c r="B10" s="8">
        <v>0.96</v>
      </c>
      <c r="C10" s="98"/>
      <c r="D10" s="99"/>
      <c r="N10" s="24"/>
    </row>
    <row r="11" spans="1:14" x14ac:dyDescent="0.3">
      <c r="A11" s="21" t="s">
        <v>8</v>
      </c>
      <c r="B11" s="7">
        <v>0.99</v>
      </c>
      <c r="C11" s="4" t="s">
        <v>9</v>
      </c>
      <c r="D11" s="7">
        <v>4</v>
      </c>
      <c r="N11" s="24"/>
    </row>
    <row r="12" spans="1:14" x14ac:dyDescent="0.3">
      <c r="A12" s="21" t="s">
        <v>10</v>
      </c>
      <c r="B12" s="7">
        <v>0.97</v>
      </c>
      <c r="C12" s="4" t="s">
        <v>11</v>
      </c>
      <c r="D12" s="7">
        <v>2</v>
      </c>
      <c r="N12" s="24"/>
    </row>
    <row r="13" spans="1:14" x14ac:dyDescent="0.3">
      <c r="A13" s="21" t="s">
        <v>12</v>
      </c>
      <c r="B13" s="7">
        <v>0.99</v>
      </c>
      <c r="C13" s="4" t="s">
        <v>13</v>
      </c>
      <c r="D13" s="7">
        <v>1</v>
      </c>
      <c r="N13" s="24"/>
    </row>
    <row r="14" spans="1:14" x14ac:dyDescent="0.3">
      <c r="A14" s="21" t="s">
        <v>14</v>
      </c>
      <c r="B14" s="7">
        <v>0.96</v>
      </c>
      <c r="C14" s="96"/>
      <c r="D14" s="97"/>
      <c r="N14" s="24"/>
    </row>
    <row r="15" spans="1:14" x14ac:dyDescent="0.3">
      <c r="A15" s="25" t="s">
        <v>15</v>
      </c>
      <c r="B15" s="11">
        <f>B10^1*B11^D11*B12^D12*B13^D13*B14^1</f>
        <v>0.82463527337555842</v>
      </c>
      <c r="C15" s="98"/>
      <c r="D15" s="99"/>
      <c r="N15" s="24"/>
    </row>
    <row r="16" spans="1:14" x14ac:dyDescent="0.3">
      <c r="A16" s="26"/>
      <c r="N16" s="24"/>
    </row>
    <row r="17" spans="1:14" x14ac:dyDescent="0.3">
      <c r="A17" s="29" t="s">
        <v>18</v>
      </c>
      <c r="B17" s="10">
        <f>B7/B15</f>
        <v>3840.0815110712492</v>
      </c>
      <c r="N17" s="24"/>
    </row>
    <row r="18" spans="1:14" x14ac:dyDescent="0.3">
      <c r="A18" s="29" t="s">
        <v>29</v>
      </c>
      <c r="B18" s="10">
        <f>B6*B19/9550</f>
        <v>3.1664334227706923</v>
      </c>
      <c r="N18" s="24"/>
    </row>
    <row r="19" spans="1:14" x14ac:dyDescent="0.3">
      <c r="A19" s="29" t="s">
        <v>20</v>
      </c>
      <c r="B19" s="10">
        <f>60*1000*C6/(PI()*D6)</f>
        <v>50.399065312433521</v>
      </c>
      <c r="N19" s="24"/>
    </row>
    <row r="20" spans="1:14" x14ac:dyDescent="0.3">
      <c r="A20" s="26"/>
      <c r="N20" s="24"/>
    </row>
    <row r="21" spans="1:14" hidden="1" x14ac:dyDescent="0.3">
      <c r="A21" s="30" t="s">
        <v>23</v>
      </c>
      <c r="B21" s="13">
        <v>50</v>
      </c>
      <c r="N21" s="24"/>
    </row>
    <row r="22" spans="1:14" hidden="1" x14ac:dyDescent="0.3">
      <c r="A22" s="30" t="s">
        <v>24</v>
      </c>
      <c r="B22" s="13">
        <v>4</v>
      </c>
      <c r="N22" s="24"/>
    </row>
    <row r="23" spans="1:14" hidden="1" x14ac:dyDescent="0.3">
      <c r="A23" s="30" t="s">
        <v>22</v>
      </c>
      <c r="B23" s="13">
        <f>60*B21/B22</f>
        <v>750</v>
      </c>
      <c r="N23" s="24"/>
    </row>
    <row r="24" spans="1:14" x14ac:dyDescent="0.3">
      <c r="A24" s="1" t="s">
        <v>27</v>
      </c>
      <c r="B24" s="49">
        <f>8*B19</f>
        <v>403.19252249946817</v>
      </c>
      <c r="N24" s="24"/>
    </row>
    <row r="25" spans="1:14" x14ac:dyDescent="0.3">
      <c r="A25" s="37" t="s">
        <v>28</v>
      </c>
      <c r="B25" s="50">
        <f>100*B19</f>
        <v>5039.9065312433522</v>
      </c>
      <c r="C25" s="31"/>
      <c r="N25" s="24"/>
    </row>
    <row r="26" spans="1:14" x14ac:dyDescent="0.3">
      <c r="A26" s="37" t="s">
        <v>30</v>
      </c>
      <c r="B26" s="47">
        <v>1440</v>
      </c>
      <c r="C26" t="s">
        <v>37</v>
      </c>
      <c r="N26" s="24"/>
    </row>
    <row r="27" spans="1:14" x14ac:dyDescent="0.3">
      <c r="A27" s="37" t="s">
        <v>31</v>
      </c>
      <c r="B27" s="51">
        <f>B26/B19</f>
        <v>28.571958449490332</v>
      </c>
      <c r="C27" s="44"/>
      <c r="D27" s="44"/>
      <c r="N27" s="24"/>
    </row>
    <row r="28" spans="1:14" x14ac:dyDescent="0.3">
      <c r="A28" s="12" t="s">
        <v>32</v>
      </c>
      <c r="B28" s="47">
        <v>3.2</v>
      </c>
      <c r="E28" s="27" t="s">
        <v>35</v>
      </c>
      <c r="N28" s="24"/>
    </row>
    <row r="29" spans="1:14" x14ac:dyDescent="0.3">
      <c r="A29" s="12" t="s">
        <v>54</v>
      </c>
      <c r="B29" s="51">
        <f>B27/B28</f>
        <v>8.9287370154657282</v>
      </c>
      <c r="N29" s="24"/>
    </row>
    <row r="30" spans="1:14" x14ac:dyDescent="0.3">
      <c r="A30" s="12" t="s">
        <v>33</v>
      </c>
      <c r="B30" s="47">
        <v>3.4</v>
      </c>
      <c r="C30">
        <f>SQRT(B29*1.3)</f>
        <v>3.4069573111657045</v>
      </c>
      <c r="D30">
        <f>SQRT(B29*1.35)</f>
        <v>3.4718575677695553</v>
      </c>
      <c r="E30" s="27" t="s">
        <v>36</v>
      </c>
      <c r="N30" s="24"/>
    </row>
    <row r="31" spans="1:14" x14ac:dyDescent="0.3">
      <c r="A31" s="37" t="s">
        <v>34</v>
      </c>
      <c r="B31" s="47">
        <v>2.6</v>
      </c>
      <c r="C31">
        <f>B29/B30</f>
        <v>2.6260991221958023</v>
      </c>
      <c r="E31" s="27" t="s">
        <v>36</v>
      </c>
      <c r="N31" s="24"/>
    </row>
    <row r="32" spans="1:14" x14ac:dyDescent="0.3">
      <c r="A32" s="2" t="s">
        <v>43</v>
      </c>
      <c r="B32" s="43">
        <f>B28*B30*B31</f>
        <v>28.288000000000004</v>
      </c>
      <c r="C32">
        <f>B27*0.95</f>
        <v>27.143360527015815</v>
      </c>
      <c r="D32">
        <f>B27*1.05</f>
        <v>30.000556371964848</v>
      </c>
      <c r="N32" s="24"/>
    </row>
    <row r="33" spans="1:15" x14ac:dyDescent="0.3">
      <c r="A33" s="26"/>
      <c r="N33" s="24"/>
    </row>
    <row r="34" spans="1:15" x14ac:dyDescent="0.3">
      <c r="A34" s="1" t="s">
        <v>38</v>
      </c>
      <c r="B34" s="15"/>
      <c r="C34" s="14"/>
      <c r="D34" s="3" t="s">
        <v>98</v>
      </c>
      <c r="E34" s="9" t="s">
        <v>96</v>
      </c>
      <c r="N34" s="24"/>
    </row>
    <row r="35" spans="1:15" x14ac:dyDescent="0.3">
      <c r="A35" s="37" t="s">
        <v>39</v>
      </c>
      <c r="B35" s="47">
        <v>28</v>
      </c>
      <c r="E35" s="38"/>
      <c r="N35" s="24"/>
    </row>
    <row r="36" spans="1:15" x14ac:dyDescent="0.3">
      <c r="A36" s="37" t="s">
        <v>40</v>
      </c>
      <c r="B36" s="47">
        <v>60</v>
      </c>
      <c r="E36" s="38"/>
      <c r="N36" s="24"/>
    </row>
    <row r="37" spans="1:15" x14ac:dyDescent="0.3">
      <c r="A37" s="2" t="s">
        <v>41</v>
      </c>
      <c r="B37" s="48">
        <v>112</v>
      </c>
      <c r="C37" s="42"/>
      <c r="D37" s="42"/>
      <c r="E37" s="39"/>
      <c r="N37" s="24"/>
    </row>
    <row r="38" spans="1:15" x14ac:dyDescent="0.3">
      <c r="A38" s="26"/>
      <c r="N38" s="24"/>
    </row>
    <row r="39" spans="1:15" x14ac:dyDescent="0.3">
      <c r="A39" s="1"/>
      <c r="B39" s="14" t="s">
        <v>50</v>
      </c>
      <c r="C39" s="14" t="s">
        <v>49</v>
      </c>
      <c r="D39" s="14" t="s">
        <v>51</v>
      </c>
      <c r="E39" s="14" t="s">
        <v>52</v>
      </c>
      <c r="F39" s="14" t="s">
        <v>75</v>
      </c>
      <c r="G39" s="14" t="s">
        <v>97</v>
      </c>
      <c r="H39" s="15" t="s">
        <v>15</v>
      </c>
      <c r="J39" s="1" t="s">
        <v>53</v>
      </c>
      <c r="K39" s="14" t="s">
        <v>8</v>
      </c>
      <c r="L39" s="14" t="s">
        <v>10</v>
      </c>
      <c r="M39" s="15" t="s">
        <v>12</v>
      </c>
      <c r="N39" s="24"/>
    </row>
    <row r="40" spans="1:15" x14ac:dyDescent="0.3">
      <c r="A40" s="37" t="s">
        <v>44</v>
      </c>
      <c r="B40" s="36">
        <f>B17/1000</f>
        <v>3.8400815110712494</v>
      </c>
      <c r="C40" s="36">
        <f>B40</f>
        <v>3.8400815110712494</v>
      </c>
      <c r="D40" s="36">
        <f>9550*B40/F40</f>
        <v>25.4672072435628</v>
      </c>
      <c r="E40" s="36">
        <f>9550*C40/F40</f>
        <v>25.4672072435628</v>
      </c>
      <c r="F40" s="36">
        <f>B26</f>
        <v>1440</v>
      </c>
      <c r="G40" s="36">
        <f>J42</f>
        <v>3.2</v>
      </c>
      <c r="H40" s="45">
        <f>J40</f>
        <v>0.96</v>
      </c>
      <c r="J40" s="16">
        <v>0.96</v>
      </c>
      <c r="K40" s="17">
        <v>0.99</v>
      </c>
      <c r="L40" s="17">
        <v>0.97</v>
      </c>
      <c r="M40" s="18">
        <v>0.99</v>
      </c>
      <c r="N40" s="24"/>
    </row>
    <row r="41" spans="1:15" x14ac:dyDescent="0.3">
      <c r="A41" s="37" t="s">
        <v>45</v>
      </c>
      <c r="B41" s="36">
        <f>C40*J40</f>
        <v>3.6864782506283991</v>
      </c>
      <c r="C41" s="36">
        <f>B41*K40</f>
        <v>3.6496134681221148</v>
      </c>
      <c r="D41" s="36">
        <f t="shared" ref="D41:D44" si="0">9550*B41/F41</f>
        <v>78.235260652224923</v>
      </c>
      <c r="E41" s="36">
        <f t="shared" ref="E41:E44" si="1">9550*C41/F41</f>
        <v>77.452908045702657</v>
      </c>
      <c r="F41" s="36">
        <f>F40/J42</f>
        <v>450</v>
      </c>
      <c r="G41" s="36">
        <f>K42</f>
        <v>3.4</v>
      </c>
      <c r="H41" s="45">
        <f>K40*L40</f>
        <v>0.96029999999999993</v>
      </c>
      <c r="J41" s="12" t="s">
        <v>32</v>
      </c>
      <c r="K41" s="12" t="s">
        <v>33</v>
      </c>
      <c r="L41" t="s">
        <v>34</v>
      </c>
      <c r="M41" s="38"/>
      <c r="N41" s="24"/>
    </row>
    <row r="42" spans="1:15" x14ac:dyDescent="0.3">
      <c r="A42" s="37" t="s">
        <v>46</v>
      </c>
      <c r="B42" s="36">
        <f>C41*L40</f>
        <v>3.5401250640784512</v>
      </c>
      <c r="C42" s="36">
        <f>B42*K40</f>
        <v>3.5047238134376668</v>
      </c>
      <c r="D42" s="36">
        <f t="shared" si="0"/>
        <v>255.43969073472738</v>
      </c>
      <c r="E42" s="36">
        <f t="shared" si="1"/>
        <v>252.88529382738014</v>
      </c>
      <c r="F42" s="36">
        <f>F41/K42</f>
        <v>132.35294117647058</v>
      </c>
      <c r="G42" s="36">
        <f>L42</f>
        <v>2.6</v>
      </c>
      <c r="H42" s="45">
        <f>H41</f>
        <v>0.96029999999999993</v>
      </c>
      <c r="J42" s="16">
        <f>B28</f>
        <v>3.2</v>
      </c>
      <c r="K42" s="16">
        <f>B30</f>
        <v>3.4</v>
      </c>
      <c r="L42" s="17">
        <f>B31</f>
        <v>2.6</v>
      </c>
      <c r="M42" s="39"/>
      <c r="N42" s="24"/>
    </row>
    <row r="43" spans="1:15" x14ac:dyDescent="0.3">
      <c r="A43" s="37" t="s">
        <v>47</v>
      </c>
      <c r="B43" s="36">
        <f>C42*L40</f>
        <v>3.3995820990345367</v>
      </c>
      <c r="C43" s="36">
        <f>B43*K40</f>
        <v>3.3655862780441912</v>
      </c>
      <c r="D43" s="36">
        <f>9550*B43/F43</f>
        <v>637.77671103265266</v>
      </c>
      <c r="E43" s="36">
        <f t="shared" si="1"/>
        <v>631.398943922326</v>
      </c>
      <c r="F43" s="36">
        <f>F42/L42</f>
        <v>50.904977375565608</v>
      </c>
      <c r="G43" s="36">
        <v>1</v>
      </c>
      <c r="H43" s="45">
        <v>0.98</v>
      </c>
      <c r="N43" s="24"/>
    </row>
    <row r="44" spans="1:15" x14ac:dyDescent="0.3">
      <c r="A44" s="2" t="s">
        <v>48</v>
      </c>
      <c r="B44" s="46">
        <f>C43*M40</f>
        <v>3.3319304152637494</v>
      </c>
      <c r="C44" s="46">
        <f>B44*K40</f>
        <v>3.298611111111112</v>
      </c>
      <c r="D44" s="46">
        <f t="shared" si="0"/>
        <v>625.08495448310282</v>
      </c>
      <c r="E44" s="46">
        <f t="shared" si="1"/>
        <v>618.83410493827182</v>
      </c>
      <c r="F44" s="46">
        <f>F43</f>
        <v>50.904977375565608</v>
      </c>
      <c r="G44" s="40"/>
      <c r="H44" s="43"/>
      <c r="N44" s="24"/>
    </row>
    <row r="45" spans="1:15" ht="14.5" thickBot="1" x14ac:dyDescent="0.3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</row>
    <row r="46" spans="1:15" ht="14.5" thickBot="1" x14ac:dyDescent="0.35"/>
    <row r="47" spans="1:15" x14ac:dyDescent="0.3">
      <c r="A47" s="35" t="s">
        <v>55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3">
      <c r="A48" s="28" t="s">
        <v>67</v>
      </c>
      <c r="B48" s="14" t="s">
        <v>57</v>
      </c>
      <c r="C48" s="14" t="s">
        <v>32</v>
      </c>
      <c r="D48" s="14" t="s">
        <v>58</v>
      </c>
      <c r="E48" s="15" t="s">
        <v>59</v>
      </c>
      <c r="O48" s="24"/>
    </row>
    <row r="49" spans="1:15" x14ac:dyDescent="0.3">
      <c r="A49" s="52">
        <f>B17/1000</f>
        <v>3.8400815110712494</v>
      </c>
      <c r="B49" s="40">
        <f>B26</f>
        <v>1440</v>
      </c>
      <c r="C49" s="40">
        <f>B28</f>
        <v>3.2</v>
      </c>
      <c r="D49" s="41">
        <f>12</f>
        <v>12</v>
      </c>
      <c r="E49" s="39"/>
      <c r="O49" s="24"/>
    </row>
    <row r="50" spans="1:15" x14ac:dyDescent="0.3">
      <c r="A50" s="28" t="s">
        <v>66</v>
      </c>
      <c r="B50" s="65">
        <v>1.2</v>
      </c>
      <c r="O50" s="24"/>
    </row>
    <row r="51" spans="1:15" x14ac:dyDescent="0.3">
      <c r="A51" s="26" t="s">
        <v>64</v>
      </c>
      <c r="B51" s="45">
        <f>B50*A49</f>
        <v>4.6080978132854993</v>
      </c>
      <c r="O51" s="24"/>
    </row>
    <row r="52" spans="1:15" x14ac:dyDescent="0.3">
      <c r="A52" s="26" t="s">
        <v>60</v>
      </c>
      <c r="B52" s="47" t="s">
        <v>93</v>
      </c>
      <c r="O52" s="24"/>
    </row>
    <row r="53" spans="1:15" x14ac:dyDescent="0.3">
      <c r="A53" s="26" t="s">
        <v>70</v>
      </c>
      <c r="B53" s="47">
        <v>100</v>
      </c>
      <c r="C53" s="53" t="s">
        <v>61</v>
      </c>
      <c r="O53" s="24"/>
    </row>
    <row r="54" spans="1:15" x14ac:dyDescent="0.3">
      <c r="A54" s="26" t="s">
        <v>71</v>
      </c>
      <c r="B54" s="47">
        <v>315</v>
      </c>
      <c r="C54" s="27">
        <f>B53*C49</f>
        <v>320</v>
      </c>
      <c r="O54" s="24"/>
    </row>
    <row r="55" spans="1:15" x14ac:dyDescent="0.3">
      <c r="A55" s="26" t="s">
        <v>76</v>
      </c>
      <c r="B55" s="45">
        <f>PI()*B53*B49/60000</f>
        <v>7.5398223686155035</v>
      </c>
      <c r="C55" t="str">
        <f>IF(B55&gt;=5,IF(B55&lt;=20,"合理","不合理"),"不合理")</f>
        <v>合理</v>
      </c>
      <c r="D55" s="67" t="s">
        <v>62</v>
      </c>
      <c r="O55" s="24"/>
    </row>
    <row r="56" spans="1:15" x14ac:dyDescent="0.3">
      <c r="A56" s="26" t="s">
        <v>63</v>
      </c>
      <c r="B56" s="51">
        <f>B54/B53</f>
        <v>3.15</v>
      </c>
      <c r="C56" t="str">
        <f>IF(D56&gt;=B56,"不合理",IF(B56&lt;=E56,"合理","不合理"))</f>
        <v>合理</v>
      </c>
      <c r="D56" s="83">
        <f>0.95*C49</f>
        <v>3.04</v>
      </c>
      <c r="E56" s="83">
        <f>1.05*C49</f>
        <v>3.3600000000000003</v>
      </c>
      <c r="O56" s="24"/>
    </row>
    <row r="57" spans="1:15" x14ac:dyDescent="0.3">
      <c r="A57" s="26" t="s">
        <v>65</v>
      </c>
      <c r="B57" s="47">
        <v>620</v>
      </c>
      <c r="C57">
        <f>0.7*(B53+B54)</f>
        <v>290.5</v>
      </c>
      <c r="D57">
        <f>2*(B53+B54)</f>
        <v>830</v>
      </c>
      <c r="O57" s="24"/>
    </row>
    <row r="58" spans="1:15" x14ac:dyDescent="0.3">
      <c r="A58" s="26" t="s">
        <v>68</v>
      </c>
      <c r="B58" s="51">
        <f>2*B57+PI()/2*(B53+B54)+(B54-B53)^2/(4*B57)</f>
        <v>1910.5195885231078</v>
      </c>
      <c r="O58" s="24"/>
    </row>
    <row r="59" spans="1:15" x14ac:dyDescent="0.3">
      <c r="A59" s="26" t="s">
        <v>69</v>
      </c>
      <c r="B59" s="47">
        <v>1940</v>
      </c>
      <c r="O59" s="24"/>
    </row>
    <row r="60" spans="1:15" x14ac:dyDescent="0.3">
      <c r="A60" s="26" t="s">
        <v>72</v>
      </c>
      <c r="B60" s="45">
        <f>B57+(B59-B58)/2</f>
        <v>634.74020573844609</v>
      </c>
      <c r="O60" s="24"/>
    </row>
    <row r="61" spans="1:15" x14ac:dyDescent="0.3">
      <c r="A61" s="26" t="s">
        <v>73</v>
      </c>
      <c r="B61" s="51">
        <f>B60-0.015*B59</f>
        <v>605.64020573844607</v>
      </c>
      <c r="O61" s="24"/>
    </row>
    <row r="62" spans="1:15" x14ac:dyDescent="0.3">
      <c r="A62" s="25" t="s">
        <v>74</v>
      </c>
      <c r="B62" s="43">
        <f>B60+0.03*B59</f>
        <v>692.94020573844614</v>
      </c>
      <c r="O62" s="24"/>
    </row>
    <row r="63" spans="1:15" x14ac:dyDescent="0.3">
      <c r="A63" s="26"/>
      <c r="O63" s="24"/>
    </row>
    <row r="64" spans="1:15" x14ac:dyDescent="0.3">
      <c r="A64" s="28" t="s">
        <v>77</v>
      </c>
      <c r="B64" s="66">
        <f>180-(B54-B53)*57.3/B60</f>
        <v>160.59127200605215</v>
      </c>
      <c r="C64" t="str">
        <f>IF(B64&gt;=120,"合理","不合理")</f>
        <v>合理</v>
      </c>
      <c r="L64" t="s">
        <v>440</v>
      </c>
      <c r="M64" s="53">
        <v>2.75</v>
      </c>
      <c r="O64" s="24"/>
    </row>
    <row r="65" spans="1:15" x14ac:dyDescent="0.3">
      <c r="A65" s="26" t="s">
        <v>78</v>
      </c>
      <c r="B65" s="47">
        <v>1.31</v>
      </c>
      <c r="L65" t="s">
        <v>441</v>
      </c>
      <c r="M65" s="53">
        <v>8.6999999999999993</v>
      </c>
      <c r="O65" s="24"/>
    </row>
    <row r="66" spans="1:15" x14ac:dyDescent="0.3">
      <c r="A66" s="26" t="s">
        <v>81</v>
      </c>
      <c r="B66" s="47">
        <v>0.17</v>
      </c>
      <c r="L66" t="s">
        <v>444</v>
      </c>
      <c r="M66" s="53">
        <v>15</v>
      </c>
      <c r="O66" s="24"/>
    </row>
    <row r="67" spans="1:15" x14ac:dyDescent="0.3">
      <c r="A67" s="26" t="s">
        <v>79</v>
      </c>
      <c r="B67" s="47">
        <v>0.95</v>
      </c>
      <c r="L67" t="s">
        <v>445</v>
      </c>
      <c r="M67" s="53">
        <v>9</v>
      </c>
      <c r="O67" s="24"/>
    </row>
    <row r="68" spans="1:15" x14ac:dyDescent="0.3">
      <c r="A68" s="26" t="s">
        <v>80</v>
      </c>
      <c r="B68" s="47">
        <v>1.02</v>
      </c>
      <c r="L68" t="s">
        <v>447</v>
      </c>
      <c r="M68" s="53">
        <v>6</v>
      </c>
      <c r="O68" s="24"/>
    </row>
    <row r="69" spans="1:15" x14ac:dyDescent="0.3">
      <c r="A69" s="26" t="s">
        <v>82</v>
      </c>
      <c r="B69" s="51">
        <f>(B65+B66)*B67*B68</f>
        <v>1.4341199999999998</v>
      </c>
      <c r="O69" s="24"/>
    </row>
    <row r="70" spans="1:15" x14ac:dyDescent="0.3">
      <c r="A70" s="26" t="s">
        <v>83</v>
      </c>
      <c r="B70" s="47">
        <v>4</v>
      </c>
      <c r="C70">
        <f>B51/B69</f>
        <v>3.2131884453780017</v>
      </c>
      <c r="J70" s="1" t="s">
        <v>435</v>
      </c>
      <c r="K70" s="15"/>
      <c r="L70" s="1" t="s">
        <v>450</v>
      </c>
      <c r="M70" s="15"/>
      <c r="N70" s="14"/>
      <c r="O70" s="84"/>
    </row>
    <row r="71" spans="1:15" x14ac:dyDescent="0.3">
      <c r="A71" s="26" t="s">
        <v>95</v>
      </c>
      <c r="B71" s="47">
        <v>0.105</v>
      </c>
      <c r="J71" s="37" t="s">
        <v>436</v>
      </c>
      <c r="K71" s="51">
        <f>B35</f>
        <v>28</v>
      </c>
      <c r="L71" s="37" t="s">
        <v>436</v>
      </c>
      <c r="M71" s="51">
        <v>25</v>
      </c>
      <c r="O71" s="24"/>
    </row>
    <row r="72" spans="1:15" x14ac:dyDescent="0.3">
      <c r="A72" s="26" t="s">
        <v>84</v>
      </c>
      <c r="B72" s="51">
        <f>500*(2.5-B67)*B51/B67/B70/B55+B71*B55^2</f>
        <v>130.61523269734667</v>
      </c>
      <c r="J72" s="37" t="s">
        <v>437</v>
      </c>
      <c r="K72" s="51">
        <f>C77</f>
        <v>100</v>
      </c>
      <c r="L72" s="37" t="s">
        <v>437</v>
      </c>
      <c r="M72" s="51">
        <f>D77</f>
        <v>315</v>
      </c>
      <c r="O72" s="24"/>
    </row>
    <row r="73" spans="1:15" x14ac:dyDescent="0.3">
      <c r="A73" s="25" t="s">
        <v>94</v>
      </c>
      <c r="B73" s="43">
        <f>2*B70*B72*SIN(RADIANS(B64/2))</f>
        <v>1029.9696912253919</v>
      </c>
      <c r="J73" s="37" t="s">
        <v>438</v>
      </c>
      <c r="K73" s="51">
        <f>2*K71</f>
        <v>56</v>
      </c>
      <c r="L73" s="37" t="s">
        <v>438</v>
      </c>
      <c r="M73" s="51">
        <f>2*M71</f>
        <v>50</v>
      </c>
      <c r="O73" s="24"/>
    </row>
    <row r="74" spans="1:15" x14ac:dyDescent="0.3">
      <c r="A74" s="26"/>
      <c r="J74" s="37" t="s">
        <v>439</v>
      </c>
      <c r="K74" s="51">
        <f>K72+2*M64</f>
        <v>105.5</v>
      </c>
      <c r="L74" s="37" t="s">
        <v>439</v>
      </c>
      <c r="M74" s="51">
        <f>M72+2*M64</f>
        <v>320.5</v>
      </c>
      <c r="O74" s="24"/>
    </row>
    <row r="75" spans="1:15" x14ac:dyDescent="0.3">
      <c r="A75" s="26" t="s">
        <v>85</v>
      </c>
      <c r="J75" s="37" t="s">
        <v>442</v>
      </c>
      <c r="K75" s="51">
        <f>K72-2*M65</f>
        <v>82.6</v>
      </c>
      <c r="L75" s="37" t="s">
        <v>442</v>
      </c>
      <c r="M75" s="51">
        <f>M72-2*M65</f>
        <v>297.60000000000002</v>
      </c>
      <c r="O75" s="24"/>
    </row>
    <row r="76" spans="1:15" x14ac:dyDescent="0.3">
      <c r="A76" s="28" t="s">
        <v>86</v>
      </c>
      <c r="B76" s="14" t="s">
        <v>87</v>
      </c>
      <c r="C76" s="14" t="s">
        <v>88</v>
      </c>
      <c r="D76" s="14" t="s">
        <v>89</v>
      </c>
      <c r="E76" s="92" t="s">
        <v>90</v>
      </c>
      <c r="F76" s="92"/>
      <c r="G76" s="14" t="s">
        <v>91</v>
      </c>
      <c r="H76" s="15" t="s">
        <v>92</v>
      </c>
      <c r="J76" s="37" t="s">
        <v>443</v>
      </c>
      <c r="K76" s="51">
        <f>(B70-1)*M66+2*M67</f>
        <v>63</v>
      </c>
      <c r="L76" s="37" t="s">
        <v>443</v>
      </c>
      <c r="M76" s="51">
        <f>(B70-1)*M66+2*M67</f>
        <v>63</v>
      </c>
      <c r="O76" s="24"/>
    </row>
    <row r="77" spans="1:15" x14ac:dyDescent="0.3">
      <c r="A77" s="54" t="s">
        <v>93</v>
      </c>
      <c r="B77" s="40">
        <f>B59</f>
        <v>1940</v>
      </c>
      <c r="C77" s="40">
        <f>B53</f>
        <v>100</v>
      </c>
      <c r="D77" s="40">
        <f>B54</f>
        <v>315</v>
      </c>
      <c r="E77" s="46">
        <f>B60</f>
        <v>634.74020573844609</v>
      </c>
      <c r="F77" s="40">
        <f>B62</f>
        <v>692.94020573844614</v>
      </c>
      <c r="G77" s="40">
        <f>B72</f>
        <v>130.61523269734667</v>
      </c>
      <c r="H77" s="43">
        <f>B73</f>
        <v>1029.9696912253919</v>
      </c>
      <c r="J77" s="37" t="s">
        <v>446</v>
      </c>
      <c r="K77" s="51">
        <f>K72-2*(M65+M68)</f>
        <v>70.599999999999994</v>
      </c>
      <c r="L77" s="37" t="s">
        <v>451</v>
      </c>
      <c r="M77" s="51">
        <f>290*(A49/F41/B70)^(1/3)</f>
        <v>37.332520351510105</v>
      </c>
      <c r="N77" t="s">
        <v>452</v>
      </c>
      <c r="O77" s="85">
        <f>0.8*M77</f>
        <v>29.866016281208086</v>
      </c>
    </row>
    <row r="78" spans="1:15" x14ac:dyDescent="0.3">
      <c r="A78" s="26"/>
      <c r="J78" s="37" t="s">
        <v>448</v>
      </c>
      <c r="K78" s="51">
        <f>0.25*K76</f>
        <v>15.75</v>
      </c>
      <c r="L78" s="37" t="s">
        <v>453</v>
      </c>
      <c r="M78" s="51">
        <f>0.4*M77</f>
        <v>14.933008140604043</v>
      </c>
      <c r="N78" t="s">
        <v>454</v>
      </c>
      <c r="O78" s="85">
        <f>0.8*M78</f>
        <v>11.946406512483236</v>
      </c>
    </row>
    <row r="79" spans="1:15" x14ac:dyDescent="0.3">
      <c r="A79" s="28" t="s">
        <v>99</v>
      </c>
      <c r="B79" s="15"/>
      <c r="J79" s="2" t="s">
        <v>449</v>
      </c>
      <c r="K79" s="43">
        <f>2*K71</f>
        <v>56</v>
      </c>
      <c r="L79" s="37" t="s">
        <v>455</v>
      </c>
      <c r="M79" s="51">
        <f>0.2*M77</f>
        <v>7.4665040703020216</v>
      </c>
      <c r="N79" t="s">
        <v>456</v>
      </c>
      <c r="O79" s="85">
        <f>0.2*O77</f>
        <v>5.973203256241618</v>
      </c>
    </row>
    <row r="80" spans="1:15" x14ac:dyDescent="0.3">
      <c r="A80" s="26" t="s">
        <v>100</v>
      </c>
      <c r="B80" s="47" t="s">
        <v>101</v>
      </c>
      <c r="L80" s="2" t="s">
        <v>449</v>
      </c>
      <c r="M80" s="43">
        <f>2*M71</f>
        <v>50</v>
      </c>
      <c r="N80" s="42"/>
      <c r="O80" s="86"/>
    </row>
    <row r="81" spans="1:15" x14ac:dyDescent="0.3">
      <c r="A81" s="26" t="s">
        <v>102</v>
      </c>
      <c r="B81" s="51">
        <f>2.5*B35</f>
        <v>70</v>
      </c>
      <c r="O81" s="24"/>
    </row>
    <row r="82" spans="1:15" x14ac:dyDescent="0.3">
      <c r="A82" s="26" t="s">
        <v>103</v>
      </c>
      <c r="B82" s="51" t="str">
        <f>IF(B53&lt;=B81,"实心式",IF(B53&lt;300,"腹板式","轮辐式"))</f>
        <v>腹板式</v>
      </c>
      <c r="O82" s="24"/>
    </row>
    <row r="83" spans="1:15" ht="14.5" thickBot="1" x14ac:dyDescent="0.35">
      <c r="A83" s="32" t="s">
        <v>104</v>
      </c>
      <c r="B83" s="87" t="str">
        <f>IF(B54&lt;=B81,"实心式",IF(B54&lt;300,"腹板式","轮辐式"))</f>
        <v>轮辐式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4"/>
    </row>
    <row r="85" spans="1:15" ht="14.5" thickBot="1" x14ac:dyDescent="0.35"/>
    <row r="86" spans="1:15" x14ac:dyDescent="0.3">
      <c r="A86" s="35" t="s">
        <v>106</v>
      </c>
      <c r="B86" s="19"/>
      <c r="C86" s="19"/>
      <c r="D86" s="19"/>
      <c r="E86" s="19"/>
      <c r="F86" s="19"/>
      <c r="G86" s="19"/>
      <c r="H86" s="19"/>
      <c r="I86" s="19"/>
    </row>
    <row r="87" spans="1:15" x14ac:dyDescent="0.3">
      <c r="A87" s="90" t="s">
        <v>107</v>
      </c>
      <c r="B87" s="92" t="s">
        <v>108</v>
      </c>
      <c r="C87" s="92" t="s">
        <v>111</v>
      </c>
      <c r="D87" s="92" t="s">
        <v>161</v>
      </c>
      <c r="E87" s="92"/>
      <c r="F87" s="92" t="s">
        <v>119</v>
      </c>
      <c r="G87" s="92" t="s">
        <v>154</v>
      </c>
      <c r="H87" s="92" t="s">
        <v>133</v>
      </c>
      <c r="I87" s="92" t="s">
        <v>155</v>
      </c>
    </row>
    <row r="88" spans="1:15" x14ac:dyDescent="0.3">
      <c r="A88" s="91"/>
      <c r="B88" s="93"/>
      <c r="C88" s="93"/>
      <c r="D88" t="s">
        <v>163</v>
      </c>
      <c r="E88" t="s">
        <v>162</v>
      </c>
      <c r="F88" s="93"/>
      <c r="G88" s="93"/>
      <c r="H88" s="93"/>
      <c r="I88" s="93"/>
    </row>
    <row r="89" spans="1:15" x14ac:dyDescent="0.3">
      <c r="A89" s="60" t="s">
        <v>110</v>
      </c>
      <c r="B89" s="41">
        <v>9</v>
      </c>
      <c r="C89" s="41">
        <v>20</v>
      </c>
      <c r="D89" s="41" t="s">
        <v>113</v>
      </c>
      <c r="E89" s="41" t="s">
        <v>112</v>
      </c>
      <c r="F89" s="46">
        <f>D41</f>
        <v>78.235260652224923</v>
      </c>
      <c r="G89" s="46">
        <f>D42</f>
        <v>255.43969073472738</v>
      </c>
      <c r="H89" s="46">
        <f>F41</f>
        <v>450</v>
      </c>
      <c r="I89" s="46">
        <f>F42</f>
        <v>132.35294117647058</v>
      </c>
    </row>
    <row r="90" spans="1:15" ht="14.5" thickBot="1" x14ac:dyDescent="0.35">
      <c r="A90" s="28" t="s">
        <v>109</v>
      </c>
      <c r="B90" s="14"/>
      <c r="C90" s="15"/>
      <c r="E90" s="1" t="s">
        <v>109</v>
      </c>
      <c r="F90" s="14"/>
      <c r="G90" s="15"/>
    </row>
    <row r="91" spans="1:15" x14ac:dyDescent="0.3">
      <c r="A91" s="26" t="s">
        <v>114</v>
      </c>
      <c r="B91" s="59">
        <v>25</v>
      </c>
      <c r="C91" s="63" t="s">
        <v>116</v>
      </c>
      <c r="E91" s="37" t="s">
        <v>152</v>
      </c>
      <c r="F91" s="59">
        <v>25</v>
      </c>
      <c r="G91" s="63" t="s">
        <v>116</v>
      </c>
    </row>
    <row r="92" spans="1:15" ht="14.5" thickBot="1" x14ac:dyDescent="0.35">
      <c r="A92" s="26" t="s">
        <v>115</v>
      </c>
      <c r="B92" s="62">
        <v>85</v>
      </c>
      <c r="C92" s="38">
        <f>B91*B30</f>
        <v>85</v>
      </c>
      <c r="E92" s="37" t="s">
        <v>153</v>
      </c>
      <c r="F92" s="62">
        <v>65</v>
      </c>
      <c r="G92" s="38">
        <f>F91*B31</f>
        <v>65</v>
      </c>
    </row>
    <row r="93" spans="1:15" x14ac:dyDescent="0.3">
      <c r="A93" s="25" t="s">
        <v>123</v>
      </c>
      <c r="B93" s="40">
        <f>B92/B91</f>
        <v>3.4</v>
      </c>
      <c r="C93" s="78">
        <f>(B92/B91-B30)/B30</f>
        <v>0</v>
      </c>
      <c r="E93" s="2" t="s">
        <v>123</v>
      </c>
      <c r="F93" s="40">
        <f>F92/F91</f>
        <v>2.6</v>
      </c>
      <c r="G93" s="78">
        <f>(F92/F91-B31)/B31</f>
        <v>0</v>
      </c>
    </row>
    <row r="94" spans="1:15" x14ac:dyDescent="0.3">
      <c r="A94" s="26"/>
    </row>
    <row r="95" spans="1:15" x14ac:dyDescent="0.3">
      <c r="A95" s="1" t="s">
        <v>117</v>
      </c>
      <c r="B95" s="14"/>
      <c r="C95" s="15"/>
      <c r="E95" s="1" t="s">
        <v>117</v>
      </c>
      <c r="F95" s="14"/>
      <c r="G95" s="15"/>
      <c r="I95" s="1" t="s">
        <v>462</v>
      </c>
      <c r="J95" s="15">
        <v>1</v>
      </c>
      <c r="K95" s="14"/>
      <c r="L95" s="15"/>
    </row>
    <row r="96" spans="1:15" x14ac:dyDescent="0.3">
      <c r="A96" s="37" t="s">
        <v>118</v>
      </c>
      <c r="B96" s="53">
        <v>1.3</v>
      </c>
      <c r="C96" s="63" t="s">
        <v>120</v>
      </c>
      <c r="E96" s="37" t="s">
        <v>118</v>
      </c>
      <c r="F96" s="5">
        <f>B96</f>
        <v>1.3</v>
      </c>
      <c r="G96" s="38"/>
      <c r="I96" s="37" t="s">
        <v>464</v>
      </c>
      <c r="J96" s="38">
        <f>B115*J95</f>
        <v>3</v>
      </c>
      <c r="L96" s="38"/>
    </row>
    <row r="97" spans="1:12" x14ac:dyDescent="0.3">
      <c r="A97" s="37" t="s">
        <v>121</v>
      </c>
      <c r="B97" s="53">
        <v>0.8</v>
      </c>
      <c r="C97" s="63" t="s">
        <v>164</v>
      </c>
      <c r="E97" s="37" t="s">
        <v>121</v>
      </c>
      <c r="F97" s="5">
        <f t="shared" ref="F97:F103" si="2">B97</f>
        <v>0.8</v>
      </c>
      <c r="G97" s="38"/>
      <c r="I97" s="37" t="s">
        <v>463</v>
      </c>
      <c r="J97" s="38">
        <v>0.25</v>
      </c>
      <c r="L97" s="38"/>
    </row>
    <row r="98" spans="1:12" x14ac:dyDescent="0.3">
      <c r="A98" s="37" t="s">
        <v>122</v>
      </c>
      <c r="B98" s="53">
        <v>1.8</v>
      </c>
      <c r="C98" s="47" t="s">
        <v>165</v>
      </c>
      <c r="E98" s="37" t="s">
        <v>122</v>
      </c>
      <c r="F98" s="5">
        <f t="shared" si="2"/>
        <v>1.8</v>
      </c>
      <c r="G98" s="38"/>
      <c r="I98" s="37" t="s">
        <v>465</v>
      </c>
      <c r="J98" s="38">
        <f>B115*(J95+J97)</f>
        <v>3.75</v>
      </c>
      <c r="L98" s="38"/>
    </row>
    <row r="99" spans="1:12" x14ac:dyDescent="0.3">
      <c r="A99" s="37" t="s">
        <v>130</v>
      </c>
      <c r="B99" s="53">
        <v>188.9</v>
      </c>
      <c r="C99" s="38"/>
      <c r="E99" s="37" t="s">
        <v>130</v>
      </c>
      <c r="F99" s="5">
        <f t="shared" si="2"/>
        <v>188.9</v>
      </c>
      <c r="G99" s="38"/>
      <c r="I99" s="2" t="s">
        <v>466</v>
      </c>
      <c r="J99" s="39">
        <f>J96+J98</f>
        <v>6.75</v>
      </c>
      <c r="L99" s="38"/>
    </row>
    <row r="100" spans="1:12" x14ac:dyDescent="0.3">
      <c r="A100" s="37" t="s">
        <v>124</v>
      </c>
      <c r="B100" s="53">
        <v>700</v>
      </c>
      <c r="C100" s="47" t="s">
        <v>158</v>
      </c>
      <c r="E100" s="37" t="s">
        <v>124</v>
      </c>
      <c r="F100" s="5">
        <f t="shared" si="2"/>
        <v>700</v>
      </c>
      <c r="G100" s="38"/>
      <c r="I100" s="37" t="s">
        <v>467</v>
      </c>
      <c r="J100">
        <f>B116+2*J96</f>
        <v>81</v>
      </c>
      <c r="K100" t="s">
        <v>460</v>
      </c>
      <c r="L100" s="38">
        <f>B117+2*J96</f>
        <v>261</v>
      </c>
    </row>
    <row r="101" spans="1:12" x14ac:dyDescent="0.3">
      <c r="A101" s="37" t="s">
        <v>125</v>
      </c>
      <c r="B101" s="53">
        <v>600</v>
      </c>
      <c r="C101" s="47" t="s">
        <v>157</v>
      </c>
      <c r="E101" s="37" t="s">
        <v>125</v>
      </c>
      <c r="F101" s="5">
        <f t="shared" si="2"/>
        <v>600</v>
      </c>
      <c r="G101" s="38"/>
      <c r="I101" s="37" t="s">
        <v>468</v>
      </c>
      <c r="J101">
        <f>B116-2*J98</f>
        <v>67.5</v>
      </c>
      <c r="K101" s="42" t="s">
        <v>461</v>
      </c>
      <c r="L101" s="39">
        <f>B117-2*J98</f>
        <v>247.5</v>
      </c>
    </row>
    <row r="102" spans="1:12" x14ac:dyDescent="0.3">
      <c r="A102" s="37" t="s">
        <v>126</v>
      </c>
      <c r="B102" s="53">
        <v>1</v>
      </c>
      <c r="C102" s="38"/>
      <c r="E102" s="37" t="s">
        <v>126</v>
      </c>
      <c r="F102" s="5">
        <f t="shared" si="2"/>
        <v>1</v>
      </c>
      <c r="G102" s="38"/>
      <c r="I102" s="1" t="s">
        <v>462</v>
      </c>
      <c r="J102" s="15">
        <v>1</v>
      </c>
      <c r="K102" s="14"/>
      <c r="L102" s="15"/>
    </row>
    <row r="103" spans="1:12" x14ac:dyDescent="0.3">
      <c r="A103" s="37" t="s">
        <v>145</v>
      </c>
      <c r="B103" s="53">
        <v>1.25</v>
      </c>
      <c r="C103" s="38"/>
      <c r="E103" s="37" t="s">
        <v>145</v>
      </c>
      <c r="F103" s="5">
        <f t="shared" si="2"/>
        <v>1.25</v>
      </c>
      <c r="G103" s="38"/>
      <c r="I103" s="37" t="s">
        <v>464</v>
      </c>
      <c r="J103" s="38">
        <f>F115*J102</f>
        <v>4</v>
      </c>
      <c r="L103" s="38"/>
    </row>
    <row r="104" spans="1:12" x14ac:dyDescent="0.3">
      <c r="A104" s="37" t="s">
        <v>128</v>
      </c>
      <c r="B104" s="68">
        <f>B100/B102</f>
        <v>700</v>
      </c>
      <c r="C104" s="38"/>
      <c r="E104" s="37" t="s">
        <v>128</v>
      </c>
      <c r="F104" s="68">
        <f>F100/F102</f>
        <v>700</v>
      </c>
      <c r="G104" s="38"/>
      <c r="I104" s="37" t="s">
        <v>463</v>
      </c>
      <c r="J104" s="38">
        <v>0.25</v>
      </c>
      <c r="L104" s="38"/>
    </row>
    <row r="105" spans="1:12" x14ac:dyDescent="0.3">
      <c r="A105" s="37" t="s">
        <v>127</v>
      </c>
      <c r="B105" s="68">
        <f>B101/B102</f>
        <v>600</v>
      </c>
      <c r="C105" s="38"/>
      <c r="E105" s="37" t="s">
        <v>127</v>
      </c>
      <c r="F105" s="68">
        <f>F101/F102</f>
        <v>600</v>
      </c>
      <c r="G105" s="38"/>
      <c r="I105" s="37" t="s">
        <v>465</v>
      </c>
      <c r="J105" s="38">
        <f>F115*(J102+J104)</f>
        <v>5</v>
      </c>
      <c r="L105" s="38"/>
    </row>
    <row r="106" spans="1:12" x14ac:dyDescent="0.3">
      <c r="A106" s="37" t="s">
        <v>146</v>
      </c>
      <c r="B106" s="68">
        <f>MIN(B104,B105)</f>
        <v>600</v>
      </c>
      <c r="C106" s="38"/>
      <c r="E106" s="37" t="s">
        <v>146</v>
      </c>
      <c r="F106" s="68">
        <f>MIN(F104,F105)</f>
        <v>600</v>
      </c>
      <c r="G106" s="38"/>
      <c r="I106" s="2" t="s">
        <v>466</v>
      </c>
      <c r="J106" s="39">
        <f>J103+J105</f>
        <v>9</v>
      </c>
      <c r="L106" s="38"/>
    </row>
    <row r="107" spans="1:12" x14ac:dyDescent="0.3">
      <c r="A107" s="37" t="s">
        <v>147</v>
      </c>
      <c r="B107" s="69">
        <v>600</v>
      </c>
      <c r="C107" s="76" t="s">
        <v>159</v>
      </c>
      <c r="D107" s="71"/>
      <c r="E107" s="37" t="s">
        <v>147</v>
      </c>
      <c r="F107" s="68">
        <f>B107</f>
        <v>600</v>
      </c>
      <c r="G107" s="77"/>
      <c r="I107" s="37" t="s">
        <v>467</v>
      </c>
      <c r="J107">
        <f>F116+2*J103</f>
        <v>108</v>
      </c>
      <c r="K107" t="s">
        <v>460</v>
      </c>
      <c r="L107" s="38">
        <f>F117+2*J103</f>
        <v>268</v>
      </c>
    </row>
    <row r="108" spans="1:12" x14ac:dyDescent="0.3">
      <c r="A108" s="37" t="s">
        <v>148</v>
      </c>
      <c r="B108" s="69">
        <v>450</v>
      </c>
      <c r="C108" s="47" t="s">
        <v>160</v>
      </c>
      <c r="D108" s="71"/>
      <c r="E108" s="37" t="s">
        <v>148</v>
      </c>
      <c r="F108" s="68">
        <f>B108</f>
        <v>450</v>
      </c>
      <c r="G108" s="77"/>
      <c r="I108" s="2" t="s">
        <v>468</v>
      </c>
      <c r="J108" s="42">
        <f>F116-2*J105</f>
        <v>90</v>
      </c>
      <c r="K108" s="42" t="s">
        <v>461</v>
      </c>
      <c r="L108" s="39">
        <f>F117-2*J105</f>
        <v>250</v>
      </c>
    </row>
    <row r="109" spans="1:12" x14ac:dyDescent="0.3">
      <c r="A109" s="37" t="s">
        <v>144</v>
      </c>
      <c r="B109" s="68">
        <f>B107/B103</f>
        <v>480</v>
      </c>
      <c r="C109" s="38"/>
      <c r="E109" s="37" t="s">
        <v>144</v>
      </c>
      <c r="F109" s="68">
        <f>F107/F103</f>
        <v>480</v>
      </c>
      <c r="G109" s="38"/>
    </row>
    <row r="110" spans="1:12" x14ac:dyDescent="0.3">
      <c r="A110" s="37" t="s">
        <v>149</v>
      </c>
      <c r="B110" s="68">
        <f>B108/B103</f>
        <v>360</v>
      </c>
      <c r="C110" s="38"/>
      <c r="E110" s="37" t="s">
        <v>149</v>
      </c>
      <c r="F110" s="68">
        <f>F108/F103</f>
        <v>360</v>
      </c>
      <c r="G110" s="38"/>
    </row>
    <row r="111" spans="1:12" ht="14.5" thickBot="1" x14ac:dyDescent="0.35">
      <c r="A111" s="37" t="s">
        <v>129</v>
      </c>
      <c r="B111" s="53">
        <v>70</v>
      </c>
      <c r="C111" s="38">
        <f>2.32*(B98*F89/B97*(B93+1)/B93*(B99/B106)^2)^(1/3)*10</f>
        <v>65.573454027816808</v>
      </c>
      <c r="E111" s="37" t="s">
        <v>197</v>
      </c>
      <c r="F111" s="53">
        <v>100</v>
      </c>
      <c r="G111" s="38">
        <f>2.32*(F98*G89/F97*(F93+1)/F93*(F99/F106)^2)^(1/3)*10</f>
        <v>99.4966534217603</v>
      </c>
    </row>
    <row r="112" spans="1:12" x14ac:dyDescent="0.3">
      <c r="A112" s="37" t="s">
        <v>131</v>
      </c>
      <c r="B112" s="56">
        <f>B97*B111-6</f>
        <v>50</v>
      </c>
      <c r="C112" s="38"/>
      <c r="E112" s="37" t="s">
        <v>198</v>
      </c>
      <c r="F112" s="56">
        <f>F97*F111-10</f>
        <v>70</v>
      </c>
      <c r="G112" s="38"/>
    </row>
    <row r="113" spans="1:9" ht="14.5" thickBot="1" x14ac:dyDescent="0.35">
      <c r="A113" s="37" t="s">
        <v>132</v>
      </c>
      <c r="B113" s="58">
        <f>B112+5</f>
        <v>55</v>
      </c>
      <c r="C113" s="38"/>
      <c r="E113" s="37" t="s">
        <v>199</v>
      </c>
      <c r="F113" s="58">
        <f>F112+5</f>
        <v>75</v>
      </c>
      <c r="G113" s="38"/>
    </row>
    <row r="114" spans="1:9" ht="14.5" thickBot="1" x14ac:dyDescent="0.35">
      <c r="A114" s="37" t="s">
        <v>134</v>
      </c>
      <c r="B114" s="5">
        <f>PI()*B111*H89/60/1000</f>
        <v>1.6493361431346414</v>
      </c>
      <c r="C114" s="51" t="str">
        <f>IF(B114&lt;2,"脂润滑",IF(B114&lt;12,"浸油润滑","喷油润滑"))</f>
        <v>脂润滑</v>
      </c>
      <c r="E114" s="37" t="s">
        <v>134</v>
      </c>
      <c r="F114" s="5">
        <f>PI()*F111*I89/60/1000</f>
        <v>0.69299837946833676</v>
      </c>
      <c r="G114" s="51" t="str">
        <f>IF(F114&lt;2,"脂润滑",IF(F114&lt;12,"浸油润滑","喷油润滑"))</f>
        <v>脂润滑</v>
      </c>
    </row>
    <row r="115" spans="1:9" x14ac:dyDescent="0.3">
      <c r="A115" s="37" t="s">
        <v>135</v>
      </c>
      <c r="B115" s="59">
        <v>3</v>
      </c>
      <c r="C115" s="38">
        <f>B111/B91</f>
        <v>2.8</v>
      </c>
      <c r="E115" s="37" t="s">
        <v>135</v>
      </c>
      <c r="F115" s="59">
        <v>4</v>
      </c>
      <c r="G115" s="38">
        <f>F111/F91</f>
        <v>4</v>
      </c>
    </row>
    <row r="116" spans="1:9" x14ac:dyDescent="0.3">
      <c r="A116" s="37" t="s">
        <v>137</v>
      </c>
      <c r="B116" s="57">
        <f>B115*B91</f>
        <v>75</v>
      </c>
      <c r="C116" s="38"/>
      <c r="E116" s="37" t="s">
        <v>200</v>
      </c>
      <c r="F116" s="57">
        <f>F115*F91</f>
        <v>100</v>
      </c>
      <c r="G116" s="38"/>
    </row>
    <row r="117" spans="1:9" x14ac:dyDescent="0.3">
      <c r="A117" s="37" t="s">
        <v>136</v>
      </c>
      <c r="B117" s="57">
        <f>B115*B92</f>
        <v>255</v>
      </c>
      <c r="C117" s="38"/>
      <c r="E117" s="37" t="s">
        <v>201</v>
      </c>
      <c r="F117" s="57">
        <f>F115*F92</f>
        <v>260</v>
      </c>
      <c r="G117" s="38"/>
    </row>
    <row r="118" spans="1:9" x14ac:dyDescent="0.3">
      <c r="A118" s="2" t="s">
        <v>90</v>
      </c>
      <c r="B118" s="64">
        <f>(B116+B117)/2</f>
        <v>165</v>
      </c>
      <c r="C118" s="39"/>
      <c r="E118" s="2" t="s">
        <v>90</v>
      </c>
      <c r="F118" s="64">
        <f>(F116+F117)/2</f>
        <v>180</v>
      </c>
      <c r="G118" s="39"/>
    </row>
    <row r="119" spans="1:9" x14ac:dyDescent="0.3">
      <c r="A119" s="26"/>
    </row>
    <row r="120" spans="1:9" x14ac:dyDescent="0.3">
      <c r="A120" s="28" t="s">
        <v>138</v>
      </c>
      <c r="B120" s="14"/>
      <c r="C120" s="14"/>
      <c r="D120" s="14"/>
      <c r="E120" s="1" t="s">
        <v>138</v>
      </c>
      <c r="F120" s="14"/>
      <c r="G120" s="14"/>
      <c r="H120" s="15"/>
    </row>
    <row r="121" spans="1:9" x14ac:dyDescent="0.3">
      <c r="A121" s="26" t="s">
        <v>139</v>
      </c>
      <c r="B121" s="53">
        <v>2.7250000000000001</v>
      </c>
      <c r="C121" s="67"/>
      <c r="D121" s="67"/>
      <c r="E121" s="37" t="s">
        <v>139</v>
      </c>
      <c r="F121" s="53">
        <v>2.7250000000000001</v>
      </c>
      <c r="G121" s="67"/>
      <c r="H121" s="38"/>
    </row>
    <row r="122" spans="1:9" x14ac:dyDescent="0.3">
      <c r="A122" s="26" t="s">
        <v>140</v>
      </c>
      <c r="B122" s="53">
        <v>2.25</v>
      </c>
      <c r="C122" s="67"/>
      <c r="D122" s="67"/>
      <c r="E122" s="37" t="s">
        <v>140</v>
      </c>
      <c r="F122" s="53">
        <v>2.27</v>
      </c>
      <c r="G122" s="67"/>
      <c r="H122" s="38"/>
    </row>
    <row r="123" spans="1:9" x14ac:dyDescent="0.3">
      <c r="A123" s="26" t="s">
        <v>142</v>
      </c>
      <c r="B123" s="53">
        <v>1.6</v>
      </c>
      <c r="C123" s="67"/>
      <c r="D123" s="67"/>
      <c r="E123" s="37" t="s">
        <v>142</v>
      </c>
      <c r="F123" s="53">
        <v>1.6</v>
      </c>
      <c r="H123" s="38"/>
    </row>
    <row r="124" spans="1:9" x14ac:dyDescent="0.3">
      <c r="A124" s="26" t="s">
        <v>143</v>
      </c>
      <c r="B124" s="53">
        <v>1.7649999999999999</v>
      </c>
      <c r="C124" s="67"/>
      <c r="D124" s="67"/>
      <c r="E124" s="37" t="s">
        <v>143</v>
      </c>
      <c r="F124" s="53">
        <v>1.73</v>
      </c>
      <c r="H124" s="38"/>
    </row>
    <row r="125" spans="1:9" x14ac:dyDescent="0.3">
      <c r="A125" s="26" t="s">
        <v>141</v>
      </c>
      <c r="B125" s="5">
        <f>2*B98*F89*10^3*B121*B123/(B112*B115^2*B91)</f>
        <v>109.15383566198422</v>
      </c>
      <c r="C125" t="str">
        <f>IF(B125&lt;B109,"安全","不安全")</f>
        <v>安全</v>
      </c>
      <c r="D125" s="72">
        <f>B109</f>
        <v>480</v>
      </c>
      <c r="E125" s="37" t="s">
        <v>141</v>
      </c>
      <c r="F125" s="5">
        <f>2*F98*G89*10^3*F121*F123/(F112*F115^2*F91)</f>
        <v>143.19219234901004</v>
      </c>
      <c r="G125" t="str">
        <f>IF(F125&lt;F109,"安全","不安全")</f>
        <v>安全</v>
      </c>
      <c r="H125" s="70">
        <f>F109</f>
        <v>480</v>
      </c>
      <c r="I125" s="93" t="s">
        <v>150</v>
      </c>
    </row>
    <row r="126" spans="1:9" ht="14.5" thickBot="1" x14ac:dyDescent="0.35">
      <c r="A126" s="32" t="s">
        <v>156</v>
      </c>
      <c r="B126" s="55">
        <f>B125*B122*B124/B121/B123</f>
        <v>99.421369236847426</v>
      </c>
      <c r="C126" s="33" t="str">
        <f>IF(B126&lt;B110,"安全","不安全")</f>
        <v>安全</v>
      </c>
      <c r="D126" s="61">
        <f>B110</f>
        <v>360</v>
      </c>
      <c r="E126" s="73" t="s">
        <v>156</v>
      </c>
      <c r="F126" s="55">
        <f>F125*F122*F124/F121/F123</f>
        <v>128.97478407655899</v>
      </c>
      <c r="G126" s="33" t="str">
        <f>IF(F126&lt;F110,"安全","不安全")</f>
        <v>安全</v>
      </c>
      <c r="H126" s="74">
        <f>F110</f>
        <v>360</v>
      </c>
      <c r="I126" s="100"/>
    </row>
    <row r="127" spans="1:9" ht="14.5" thickBot="1" x14ac:dyDescent="0.35"/>
    <row r="128" spans="1:9" x14ac:dyDescent="0.3">
      <c r="A128" s="79" t="s">
        <v>151</v>
      </c>
      <c r="B128" s="19"/>
      <c r="C128" s="19"/>
      <c r="D128" s="19"/>
      <c r="E128" s="20"/>
    </row>
    <row r="129" spans="1:11" x14ac:dyDescent="0.3">
      <c r="A129" s="26" t="s">
        <v>166</v>
      </c>
      <c r="B129" s="53" t="s">
        <v>167</v>
      </c>
      <c r="C129" s="53" t="s">
        <v>458</v>
      </c>
      <c r="E129" s="24"/>
    </row>
    <row r="130" spans="1:11" x14ac:dyDescent="0.3">
      <c r="A130" s="26" t="s">
        <v>170</v>
      </c>
      <c r="B130" s="36">
        <f>B44</f>
        <v>3.3319304152637494</v>
      </c>
      <c r="E130" s="24"/>
    </row>
    <row r="131" spans="1:11" x14ac:dyDescent="0.3">
      <c r="A131" s="26" t="s">
        <v>169</v>
      </c>
      <c r="B131" s="36">
        <f>D44</f>
        <v>625.08495448310282</v>
      </c>
      <c r="E131" s="24"/>
    </row>
    <row r="132" spans="1:11" x14ac:dyDescent="0.3">
      <c r="A132" s="26" t="s">
        <v>171</v>
      </c>
      <c r="B132" s="36">
        <f>F44</f>
        <v>50.904977375565608</v>
      </c>
      <c r="E132" s="24"/>
    </row>
    <row r="133" spans="1:11" x14ac:dyDescent="0.3">
      <c r="A133" s="26" t="s">
        <v>66</v>
      </c>
      <c r="B133" s="53">
        <v>1.5</v>
      </c>
      <c r="E133" s="24"/>
    </row>
    <row r="134" spans="1:11" x14ac:dyDescent="0.3">
      <c r="A134" s="26" t="s">
        <v>168</v>
      </c>
      <c r="B134" s="5">
        <f>B133*B131</f>
        <v>937.62743172465423</v>
      </c>
      <c r="E134" s="24"/>
    </row>
    <row r="135" spans="1:11" x14ac:dyDescent="0.3">
      <c r="A135" s="26"/>
      <c r="E135" s="24"/>
    </row>
    <row r="136" spans="1:11" x14ac:dyDescent="0.3">
      <c r="A136" s="26" t="s">
        <v>172</v>
      </c>
      <c r="B136" t="s">
        <v>174</v>
      </c>
      <c r="C136" t="s">
        <v>175</v>
      </c>
      <c r="D136" t="s">
        <v>176</v>
      </c>
      <c r="E136" s="80" t="s">
        <v>177</v>
      </c>
      <c r="G136" t="s">
        <v>459</v>
      </c>
    </row>
    <row r="137" spans="1:11" ht="14.5" thickBot="1" x14ac:dyDescent="0.35">
      <c r="A137" s="81" t="s">
        <v>173</v>
      </c>
      <c r="B137" s="82">
        <v>900</v>
      </c>
      <c r="C137" s="82">
        <v>6800</v>
      </c>
      <c r="D137" s="82">
        <v>38</v>
      </c>
      <c r="E137" s="34"/>
    </row>
    <row r="139" spans="1:11" x14ac:dyDescent="0.3">
      <c r="A139" t="s">
        <v>178</v>
      </c>
    </row>
    <row r="140" spans="1:11" x14ac:dyDescent="0.3">
      <c r="A140" s="14" t="s">
        <v>179</v>
      </c>
      <c r="J140" t="s">
        <v>216</v>
      </c>
    </row>
    <row r="141" spans="1:11" x14ac:dyDescent="0.3">
      <c r="A141" t="s">
        <v>100</v>
      </c>
      <c r="B141" s="53" t="s">
        <v>182</v>
      </c>
      <c r="J141" t="s">
        <v>100</v>
      </c>
      <c r="K141" t="s">
        <v>217</v>
      </c>
    </row>
    <row r="142" spans="1:11" x14ac:dyDescent="0.3">
      <c r="A142" t="s">
        <v>183</v>
      </c>
      <c r="B142" s="53">
        <v>118</v>
      </c>
      <c r="C142" s="53" t="s">
        <v>184</v>
      </c>
      <c r="J142" t="s">
        <v>218</v>
      </c>
      <c r="K142" s="5">
        <f>B142</f>
        <v>118</v>
      </c>
    </row>
    <row r="143" spans="1:11" x14ac:dyDescent="0.3">
      <c r="A143" t="s">
        <v>133</v>
      </c>
      <c r="B143" s="36">
        <f>F41</f>
        <v>450</v>
      </c>
      <c r="J143" t="s">
        <v>222</v>
      </c>
      <c r="K143" s="36">
        <f>F43</f>
        <v>50.904977375565608</v>
      </c>
    </row>
    <row r="144" spans="1:11" x14ac:dyDescent="0.3">
      <c r="A144" t="s">
        <v>180</v>
      </c>
      <c r="B144" s="36">
        <f>D41</f>
        <v>78.235260652224923</v>
      </c>
      <c r="J144" t="s">
        <v>223</v>
      </c>
      <c r="K144" s="36">
        <f>D43</f>
        <v>637.77671103265266</v>
      </c>
    </row>
    <row r="145" spans="1:16" x14ac:dyDescent="0.3">
      <c r="A145" t="s">
        <v>181</v>
      </c>
      <c r="B145" s="36">
        <f>B41</f>
        <v>3.6864782506283991</v>
      </c>
      <c r="J145" t="s">
        <v>224</v>
      </c>
      <c r="K145" s="36">
        <f>B43</f>
        <v>3.3995820990345367</v>
      </c>
    </row>
    <row r="146" spans="1:16" x14ac:dyDescent="0.3">
      <c r="A146" t="s">
        <v>185</v>
      </c>
      <c r="B146" s="5">
        <f>B142*(B145/B143)^(1/3)</f>
        <v>23.787477730639701</v>
      </c>
      <c r="J146" t="s">
        <v>185</v>
      </c>
      <c r="K146" s="5">
        <f>K142*(K145/K143)^(1/3)</f>
        <v>47.874446836278118</v>
      </c>
    </row>
    <row r="147" spans="1:16" x14ac:dyDescent="0.3">
      <c r="A147" t="s">
        <v>186</v>
      </c>
      <c r="B147" s="53">
        <v>2</v>
      </c>
      <c r="J147" t="s">
        <v>186</v>
      </c>
      <c r="K147">
        <v>1</v>
      </c>
    </row>
    <row r="148" spans="1:16" x14ac:dyDescent="0.3">
      <c r="A148" t="s">
        <v>187</v>
      </c>
      <c r="B148" s="53">
        <v>25</v>
      </c>
      <c r="C148" s="27">
        <f>B146*1.08</f>
        <v>25.690475949090878</v>
      </c>
      <c r="D148" s="27">
        <f>B146*1.1</f>
        <v>26.166225503703672</v>
      </c>
      <c r="J148" t="s">
        <v>187</v>
      </c>
      <c r="K148">
        <v>55</v>
      </c>
      <c r="L148">
        <f>1.05*K146</f>
        <v>50.268169178092023</v>
      </c>
      <c r="M148">
        <f>1.1*K146</f>
        <v>52.661891519905936</v>
      </c>
    </row>
    <row r="149" spans="1:16" x14ac:dyDescent="0.3">
      <c r="A149" t="s">
        <v>213</v>
      </c>
      <c r="B149" s="53">
        <v>50</v>
      </c>
      <c r="C149">
        <f>1.5*B148</f>
        <v>37.5</v>
      </c>
      <c r="D149">
        <f>2*B148</f>
        <v>50</v>
      </c>
    </row>
    <row r="150" spans="1:16" x14ac:dyDescent="0.3">
      <c r="J150" t="s">
        <v>219</v>
      </c>
      <c r="K150" s="53">
        <v>112</v>
      </c>
    </row>
    <row r="151" spans="1:16" x14ac:dyDescent="0.3">
      <c r="A151" t="s">
        <v>188</v>
      </c>
      <c r="B151" s="53">
        <v>25</v>
      </c>
      <c r="C151" s="27">
        <f>0.8*B35</f>
        <v>22.400000000000002</v>
      </c>
      <c r="D151" s="27">
        <f>1.2*B35</f>
        <v>33.6</v>
      </c>
      <c r="J151" t="s">
        <v>188</v>
      </c>
      <c r="K151" s="53">
        <f>K148</f>
        <v>55</v>
      </c>
      <c r="M151">
        <f>K151/1.5/2</f>
        <v>18.333333333333332</v>
      </c>
      <c r="N151">
        <f>M151*2</f>
        <v>36.666666666666664</v>
      </c>
    </row>
    <row r="152" spans="1:16" x14ac:dyDescent="0.3">
      <c r="A152" t="s">
        <v>195</v>
      </c>
      <c r="B152" s="53">
        <v>48</v>
      </c>
      <c r="C152" s="27">
        <f>B149-1</f>
        <v>49</v>
      </c>
      <c r="D152" s="27">
        <f>B149-2</f>
        <v>48</v>
      </c>
      <c r="J152" t="s">
        <v>195</v>
      </c>
      <c r="K152" s="53">
        <v>110</v>
      </c>
      <c r="M152" s="88">
        <f>K152/1.5</f>
        <v>73.333333333333329</v>
      </c>
    </row>
    <row r="153" spans="1:16" x14ac:dyDescent="0.3">
      <c r="A153" t="s">
        <v>202</v>
      </c>
      <c r="B153" s="5">
        <f>(B154-B151)/2</f>
        <v>2.5</v>
      </c>
      <c r="J153" t="s">
        <v>202</v>
      </c>
      <c r="K153" s="5">
        <f>(K154-K151)/2</f>
        <v>2.5</v>
      </c>
    </row>
    <row r="154" spans="1:16" x14ac:dyDescent="0.3">
      <c r="A154" t="s">
        <v>189</v>
      </c>
      <c r="B154" s="53">
        <v>30</v>
      </c>
      <c r="J154" t="s">
        <v>189</v>
      </c>
      <c r="K154" s="53">
        <v>60</v>
      </c>
      <c r="M154">
        <f>K154/1.5/2</f>
        <v>20</v>
      </c>
      <c r="N154">
        <f>M154*2</f>
        <v>40</v>
      </c>
    </row>
    <row r="155" spans="1:16" x14ac:dyDescent="0.3">
      <c r="A155" t="s">
        <v>196</v>
      </c>
      <c r="B155" s="53">
        <v>60</v>
      </c>
      <c r="C155" s="27" t="s">
        <v>203</v>
      </c>
      <c r="D155" s="53">
        <v>20</v>
      </c>
      <c r="J155" t="s">
        <v>196</v>
      </c>
      <c r="K155" s="53">
        <v>54</v>
      </c>
      <c r="M155" s="88">
        <f>K155/1.5</f>
        <v>36</v>
      </c>
    </row>
    <row r="156" spans="1:16" x14ac:dyDescent="0.3">
      <c r="A156" t="s">
        <v>204</v>
      </c>
      <c r="B156" s="53">
        <f>(B157-B154)/2</f>
        <v>2.5</v>
      </c>
      <c r="C156" s="67" t="s">
        <v>205</v>
      </c>
      <c r="J156" t="s">
        <v>204</v>
      </c>
      <c r="K156" s="53">
        <v>2</v>
      </c>
      <c r="L156" s="67" t="s">
        <v>205</v>
      </c>
    </row>
    <row r="157" spans="1:16" x14ac:dyDescent="0.3">
      <c r="A157" t="s">
        <v>190</v>
      </c>
      <c r="B157" s="53">
        <v>35</v>
      </c>
      <c r="D157" s="53" t="s">
        <v>214</v>
      </c>
      <c r="J157" t="s">
        <v>190</v>
      </c>
      <c r="K157" s="53">
        <v>65</v>
      </c>
      <c r="L157">
        <f>K154+2*K156</f>
        <v>64</v>
      </c>
      <c r="M157">
        <f>K157/1.5/2</f>
        <v>21.666666666666668</v>
      </c>
      <c r="N157">
        <f>M157*2</f>
        <v>43.333333333333336</v>
      </c>
    </row>
    <row r="158" spans="1:16" x14ac:dyDescent="0.3">
      <c r="A158" t="s">
        <v>206</v>
      </c>
      <c r="B158" s="53">
        <v>29</v>
      </c>
      <c r="C158">
        <f>17+D158</f>
        <v>17</v>
      </c>
      <c r="J158" t="s">
        <v>206</v>
      </c>
      <c r="K158" s="53">
        <v>45.5</v>
      </c>
      <c r="M158" s="88">
        <f>K158/1.5</f>
        <v>30.333333333333332</v>
      </c>
      <c r="O158" s="53" t="s">
        <v>220</v>
      </c>
      <c r="P158" s="53">
        <v>6212</v>
      </c>
    </row>
    <row r="159" spans="1:16" x14ac:dyDescent="0.3">
      <c r="A159" t="s">
        <v>211</v>
      </c>
      <c r="B159" s="53">
        <v>3.5</v>
      </c>
      <c r="C159" s="67" t="s">
        <v>205</v>
      </c>
      <c r="J159" t="s">
        <v>211</v>
      </c>
      <c r="K159" s="53">
        <v>2</v>
      </c>
      <c r="L159" s="67" t="s">
        <v>205</v>
      </c>
    </row>
    <row r="160" spans="1:16" x14ac:dyDescent="0.3">
      <c r="A160" t="s">
        <v>191</v>
      </c>
      <c r="B160" s="5">
        <f>B157+2*B159</f>
        <v>42</v>
      </c>
      <c r="J160" t="s">
        <v>191</v>
      </c>
      <c r="K160" s="53">
        <v>74</v>
      </c>
      <c r="M160">
        <f>K160/1.5/2</f>
        <v>24.666666666666668</v>
      </c>
      <c r="N160">
        <f>M160*2</f>
        <v>49.333333333333336</v>
      </c>
    </row>
    <row r="161" spans="1:14" x14ac:dyDescent="0.3">
      <c r="A161" t="s">
        <v>207</v>
      </c>
      <c r="B161" s="53">
        <v>100.5</v>
      </c>
      <c r="C161" s="89"/>
      <c r="J161" t="s">
        <v>207</v>
      </c>
      <c r="K161" s="53">
        <v>57.5</v>
      </c>
      <c r="M161" s="88">
        <f>K161/1.5</f>
        <v>38.333333333333336</v>
      </c>
    </row>
    <row r="162" spans="1:14" x14ac:dyDescent="0.3">
      <c r="A162" t="s">
        <v>212</v>
      </c>
      <c r="B162" s="53">
        <v>5</v>
      </c>
      <c r="C162" s="5">
        <f>2+0.07*B160</f>
        <v>4.9400000000000004</v>
      </c>
      <c r="J162" t="s">
        <v>212</v>
      </c>
      <c r="K162" s="53">
        <f>(K163-K160)/2</f>
        <v>4.5</v>
      </c>
    </row>
    <row r="163" spans="1:14" x14ac:dyDescent="0.3">
      <c r="A163" t="s">
        <v>192</v>
      </c>
      <c r="B163" s="53">
        <v>81</v>
      </c>
      <c r="C163" s="89"/>
      <c r="J163" t="s">
        <v>192</v>
      </c>
      <c r="K163" s="5">
        <v>83</v>
      </c>
      <c r="M163">
        <f>K163/1.5/2</f>
        <v>27.666666666666668</v>
      </c>
      <c r="N163">
        <f>M163*2</f>
        <v>55.333333333333336</v>
      </c>
    </row>
    <row r="164" spans="1:14" x14ac:dyDescent="0.3">
      <c r="A164" t="s">
        <v>208</v>
      </c>
      <c r="B164" s="53">
        <v>55</v>
      </c>
      <c r="C164" s="89" t="s">
        <v>457</v>
      </c>
      <c r="J164" t="s">
        <v>208</v>
      </c>
      <c r="K164" s="53">
        <v>10</v>
      </c>
      <c r="M164" s="88">
        <f>K164/1.5</f>
        <v>6.666666666666667</v>
      </c>
    </row>
    <row r="165" spans="1:14" x14ac:dyDescent="0.3">
      <c r="A165" t="s">
        <v>193</v>
      </c>
      <c r="B165" s="53">
        <f>B160</f>
        <v>42</v>
      </c>
      <c r="J165" t="s">
        <v>193</v>
      </c>
      <c r="K165" s="53">
        <v>67</v>
      </c>
      <c r="M165">
        <f>K165/1.5/2</f>
        <v>22.333333333333332</v>
      </c>
      <c r="N165">
        <f>M165*2</f>
        <v>44.666666666666664</v>
      </c>
    </row>
    <row r="166" spans="1:14" x14ac:dyDescent="0.3">
      <c r="A166" t="s">
        <v>209</v>
      </c>
      <c r="B166" s="53">
        <v>8</v>
      </c>
      <c r="J166" t="s">
        <v>209</v>
      </c>
      <c r="K166" s="53">
        <v>73</v>
      </c>
      <c r="M166" s="88">
        <f>K166/1.5</f>
        <v>48.666666666666664</v>
      </c>
    </row>
    <row r="167" spans="1:14" x14ac:dyDescent="0.3">
      <c r="A167" t="s">
        <v>194</v>
      </c>
      <c r="B167" s="5">
        <f>B157</f>
        <v>35</v>
      </c>
      <c r="J167" t="s">
        <v>194</v>
      </c>
      <c r="K167" s="5">
        <f>K157</f>
        <v>65</v>
      </c>
      <c r="M167">
        <f>K167/1.5/2</f>
        <v>21.666666666666668</v>
      </c>
      <c r="N167">
        <f>M167*2</f>
        <v>43.333333333333336</v>
      </c>
    </row>
    <row r="168" spans="1:14" x14ac:dyDescent="0.3">
      <c r="A168" t="s">
        <v>210</v>
      </c>
      <c r="B168" s="53">
        <v>29</v>
      </c>
      <c r="C168">
        <v>17</v>
      </c>
      <c r="J168" t="s">
        <v>210</v>
      </c>
      <c r="K168" s="53">
        <v>47.5</v>
      </c>
      <c r="M168" s="88">
        <f>K168/1.5</f>
        <v>31.666666666666668</v>
      </c>
    </row>
    <row r="169" spans="1:14" x14ac:dyDescent="0.3">
      <c r="A169" t="s">
        <v>215</v>
      </c>
      <c r="B169">
        <f>B152+B155+B158+B161+B164+B166+B168</f>
        <v>329.5</v>
      </c>
      <c r="J169" t="s">
        <v>215</v>
      </c>
      <c r="K169" s="5">
        <f>K152+K155+K158+K161+K164+K166+K168</f>
        <v>397.5</v>
      </c>
      <c r="M169">
        <f>K169/1.5</f>
        <v>265</v>
      </c>
    </row>
    <row r="171" spans="1:14" x14ac:dyDescent="0.3">
      <c r="A171" t="s">
        <v>221</v>
      </c>
    </row>
    <row r="172" spans="1:14" x14ac:dyDescent="0.3">
      <c r="A172" t="s">
        <v>100</v>
      </c>
      <c r="B172" t="s">
        <v>217</v>
      </c>
    </row>
    <row r="173" spans="1:14" x14ac:dyDescent="0.3">
      <c r="A173" t="s">
        <v>218</v>
      </c>
      <c r="B173" s="5">
        <f>B142</f>
        <v>118</v>
      </c>
    </row>
    <row r="174" spans="1:14" x14ac:dyDescent="0.3">
      <c r="A174" t="s">
        <v>155</v>
      </c>
      <c r="B174" s="36">
        <f>F42</f>
        <v>132.35294117647058</v>
      </c>
    </row>
    <row r="175" spans="1:14" x14ac:dyDescent="0.3">
      <c r="A175" t="s">
        <v>225</v>
      </c>
      <c r="B175" s="36">
        <f>D42</f>
        <v>255.43969073472738</v>
      </c>
    </row>
    <row r="176" spans="1:14" x14ac:dyDescent="0.3">
      <c r="A176" t="s">
        <v>226</v>
      </c>
      <c r="B176" s="36">
        <f>B42</f>
        <v>3.5401250640784512</v>
      </c>
    </row>
    <row r="177" spans="1:4" x14ac:dyDescent="0.3">
      <c r="A177" t="s">
        <v>185</v>
      </c>
      <c r="B177" s="5">
        <f>B173*(B176/B174)^(1/3)</f>
        <v>35.289351429289695</v>
      </c>
    </row>
    <row r="178" spans="1:4" x14ac:dyDescent="0.3">
      <c r="A178" t="s">
        <v>186</v>
      </c>
      <c r="B178">
        <v>0</v>
      </c>
    </row>
    <row r="179" spans="1:4" x14ac:dyDescent="0.3">
      <c r="A179" t="s">
        <v>187</v>
      </c>
      <c r="B179">
        <v>36</v>
      </c>
    </row>
    <row r="181" spans="1:4" x14ac:dyDescent="0.3">
      <c r="A181" t="s">
        <v>188</v>
      </c>
      <c r="B181" s="53">
        <v>40</v>
      </c>
    </row>
    <row r="182" spans="1:4" x14ac:dyDescent="0.3">
      <c r="A182" t="s">
        <v>195</v>
      </c>
      <c r="B182" s="53">
        <v>40</v>
      </c>
    </row>
    <row r="183" spans="1:4" x14ac:dyDescent="0.3">
      <c r="A183" t="s">
        <v>202</v>
      </c>
      <c r="B183" s="53">
        <v>5</v>
      </c>
      <c r="C183">
        <f>2+0.07*B181</f>
        <v>4.8000000000000007</v>
      </c>
    </row>
    <row r="184" spans="1:4" x14ac:dyDescent="0.3">
      <c r="A184" t="s">
        <v>189</v>
      </c>
      <c r="B184" s="53">
        <v>42</v>
      </c>
    </row>
    <row r="185" spans="1:4" x14ac:dyDescent="0.3">
      <c r="A185" t="s">
        <v>196</v>
      </c>
      <c r="B185" s="53">
        <v>78</v>
      </c>
    </row>
    <row r="186" spans="1:4" x14ac:dyDescent="0.3">
      <c r="A186" t="s">
        <v>204</v>
      </c>
      <c r="B186" s="53">
        <v>2</v>
      </c>
      <c r="C186" s="67" t="s">
        <v>205</v>
      </c>
    </row>
    <row r="187" spans="1:4" x14ac:dyDescent="0.3">
      <c r="A187" t="s">
        <v>190</v>
      </c>
      <c r="B187" s="53">
        <v>47</v>
      </c>
      <c r="C187">
        <f>B190+2*B189</f>
        <v>46</v>
      </c>
    </row>
    <row r="188" spans="1:4" x14ac:dyDescent="0.3">
      <c r="A188" t="s">
        <v>206</v>
      </c>
      <c r="B188" s="53">
        <v>15</v>
      </c>
      <c r="C188" t="s">
        <v>220</v>
      </c>
      <c r="D188">
        <v>6208</v>
      </c>
    </row>
    <row r="189" spans="1:4" x14ac:dyDescent="0.3">
      <c r="A189" t="s">
        <v>211</v>
      </c>
      <c r="B189" s="53">
        <v>2</v>
      </c>
      <c r="C189" s="67" t="s">
        <v>205</v>
      </c>
    </row>
    <row r="190" spans="1:4" x14ac:dyDescent="0.3">
      <c r="A190" t="s">
        <v>191</v>
      </c>
      <c r="B190" s="53">
        <v>42</v>
      </c>
      <c r="C190">
        <f>B193+2*B192</f>
        <v>44</v>
      </c>
    </row>
    <row r="191" spans="1:4" x14ac:dyDescent="0.3">
      <c r="A191" t="s">
        <v>207</v>
      </c>
      <c r="B191" s="53">
        <v>48.5</v>
      </c>
    </row>
    <row r="192" spans="1:4" x14ac:dyDescent="0.3">
      <c r="A192" t="s">
        <v>212</v>
      </c>
      <c r="B192" s="53">
        <v>2</v>
      </c>
    </row>
    <row r="193" spans="1:2" x14ac:dyDescent="0.3">
      <c r="A193" t="s">
        <v>192</v>
      </c>
      <c r="B193" s="53">
        <f>B181</f>
        <v>40</v>
      </c>
    </row>
    <row r="194" spans="1:2" x14ac:dyDescent="0.3">
      <c r="A194" t="s">
        <v>208</v>
      </c>
      <c r="B194" s="53">
        <v>42</v>
      </c>
    </row>
    <row r="195" spans="1:2" x14ac:dyDescent="0.3">
      <c r="B195" s="53"/>
    </row>
    <row r="196" spans="1:2" x14ac:dyDescent="0.3">
      <c r="B196" s="53"/>
    </row>
    <row r="199" spans="1:2" x14ac:dyDescent="0.3">
      <c r="A199" t="s">
        <v>215</v>
      </c>
      <c r="B199">
        <f>B182+B185+B188+B191+B194+B196+B198</f>
        <v>223.5</v>
      </c>
    </row>
  </sheetData>
  <mergeCells count="13">
    <mergeCell ref="I125:I126"/>
    <mergeCell ref="H87:H88"/>
    <mergeCell ref="E76:F76"/>
    <mergeCell ref="D87:E87"/>
    <mergeCell ref="F87:F88"/>
    <mergeCell ref="G87:G88"/>
    <mergeCell ref="I87:I88"/>
    <mergeCell ref="A87:A88"/>
    <mergeCell ref="B87:B88"/>
    <mergeCell ref="C7:D7"/>
    <mergeCell ref="C9:D10"/>
    <mergeCell ref="C14:D15"/>
    <mergeCell ref="C87:C8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7188-A8FB-4AC5-87E8-34D2A1274A93}">
  <dimension ref="A2:M174"/>
  <sheetViews>
    <sheetView workbookViewId="0">
      <selection activeCell="E17" sqref="E17"/>
    </sheetView>
  </sheetViews>
  <sheetFormatPr defaultColWidth="12.33203125" defaultRowHeight="14" x14ac:dyDescent="0.3"/>
  <sheetData>
    <row r="2" spans="1:13" ht="14.5" thickBot="1" x14ac:dyDescent="0.35"/>
    <row r="3" spans="1:13" x14ac:dyDescent="0.3">
      <c r="A3" s="79" t="s">
        <v>227</v>
      </c>
      <c r="B3" s="19"/>
      <c r="C3" s="19"/>
      <c r="D3" s="19"/>
      <c r="E3" s="19"/>
      <c r="F3" s="79"/>
      <c r="G3" s="19"/>
      <c r="H3" s="19"/>
      <c r="I3" s="19"/>
      <c r="J3" s="19"/>
      <c r="K3" s="19"/>
      <c r="L3" s="19"/>
      <c r="M3" s="20"/>
    </row>
    <row r="4" spans="1:13" x14ac:dyDescent="0.3">
      <c r="A4" s="26" t="s">
        <v>228</v>
      </c>
      <c r="F4" s="26"/>
      <c r="M4" s="24"/>
    </row>
    <row r="5" spans="1:13" x14ac:dyDescent="0.3">
      <c r="A5" s="26" t="s">
        <v>229</v>
      </c>
      <c r="B5" t="s">
        <v>230</v>
      </c>
      <c r="C5" t="s">
        <v>231</v>
      </c>
      <c r="D5" t="s">
        <v>232</v>
      </c>
      <c r="F5" s="26"/>
      <c r="M5" s="24"/>
    </row>
    <row r="6" spans="1:13" x14ac:dyDescent="0.3">
      <c r="A6" s="26" t="s">
        <v>233</v>
      </c>
      <c r="B6">
        <v>600</v>
      </c>
      <c r="C6">
        <v>0.95</v>
      </c>
      <c r="D6">
        <v>360</v>
      </c>
      <c r="F6" s="26"/>
      <c r="M6" s="24"/>
    </row>
    <row r="7" spans="1:13" x14ac:dyDescent="0.3">
      <c r="A7" s="26" t="s">
        <v>234</v>
      </c>
      <c r="B7">
        <v>3166.666666666667</v>
      </c>
      <c r="C7" t="s">
        <v>235</v>
      </c>
      <c r="F7" s="26"/>
      <c r="M7" s="24"/>
    </row>
    <row r="8" spans="1:13" x14ac:dyDescent="0.3">
      <c r="A8" s="26"/>
      <c r="F8" s="26"/>
      <c r="M8" s="24"/>
    </row>
    <row r="9" spans="1:13" x14ac:dyDescent="0.3">
      <c r="A9" s="26"/>
      <c r="F9" s="26"/>
      <c r="M9" s="24"/>
    </row>
    <row r="10" spans="1:13" x14ac:dyDescent="0.3">
      <c r="A10" s="26" t="s">
        <v>236</v>
      </c>
      <c r="B10">
        <v>0.96</v>
      </c>
      <c r="F10" s="26"/>
      <c r="M10" s="24"/>
    </row>
    <row r="11" spans="1:13" x14ac:dyDescent="0.3">
      <c r="A11" s="26" t="s">
        <v>237</v>
      </c>
      <c r="B11">
        <v>0.99</v>
      </c>
      <c r="C11" t="s">
        <v>238</v>
      </c>
      <c r="D11">
        <v>4</v>
      </c>
      <c r="F11" s="26"/>
      <c r="M11" s="24"/>
    </row>
    <row r="12" spans="1:13" x14ac:dyDescent="0.3">
      <c r="A12" s="26" t="s">
        <v>239</v>
      </c>
      <c r="B12">
        <v>0.97</v>
      </c>
      <c r="C12" t="s">
        <v>240</v>
      </c>
      <c r="D12">
        <v>2</v>
      </c>
      <c r="F12" s="26"/>
      <c r="M12" s="24"/>
    </row>
    <row r="13" spans="1:13" x14ac:dyDescent="0.3">
      <c r="A13" s="26" t="s">
        <v>241</v>
      </c>
      <c r="B13">
        <v>0.99</v>
      </c>
      <c r="C13" t="s">
        <v>242</v>
      </c>
      <c r="D13">
        <v>1</v>
      </c>
      <c r="F13" s="26"/>
      <c r="M13" s="24"/>
    </row>
    <row r="14" spans="1:13" x14ac:dyDescent="0.3">
      <c r="A14" s="26" t="s">
        <v>243</v>
      </c>
      <c r="B14">
        <v>0.96</v>
      </c>
      <c r="F14" s="26"/>
      <c r="M14" s="24"/>
    </row>
    <row r="15" spans="1:13" x14ac:dyDescent="0.3">
      <c r="A15" s="26" t="s">
        <v>244</v>
      </c>
      <c r="B15">
        <v>0.82463527337555842</v>
      </c>
      <c r="F15" s="26"/>
      <c r="M15" s="24"/>
    </row>
    <row r="16" spans="1:13" x14ac:dyDescent="0.3">
      <c r="A16" s="26"/>
      <c r="F16" s="26"/>
      <c r="M16" s="24"/>
    </row>
    <row r="17" spans="1:13" x14ac:dyDescent="0.3">
      <c r="A17" s="26" t="s">
        <v>245</v>
      </c>
      <c r="B17">
        <v>3840.0815110712492</v>
      </c>
      <c r="F17" s="26"/>
      <c r="M17" s="24"/>
    </row>
    <row r="18" spans="1:13" x14ac:dyDescent="0.3">
      <c r="A18" s="26" t="s">
        <v>246</v>
      </c>
      <c r="B18">
        <v>3.1664334227706923</v>
      </c>
      <c r="F18" s="26"/>
      <c r="M18" s="24"/>
    </row>
    <row r="19" spans="1:13" x14ac:dyDescent="0.3">
      <c r="A19" s="26" t="s">
        <v>247</v>
      </c>
      <c r="B19">
        <v>50.399065312433521</v>
      </c>
      <c r="F19" s="26"/>
      <c r="M19" s="24"/>
    </row>
    <row r="20" spans="1:13" x14ac:dyDescent="0.3">
      <c r="A20" s="26"/>
      <c r="F20" s="26"/>
      <c r="M20" s="24"/>
    </row>
    <row r="21" spans="1:13" x14ac:dyDescent="0.3">
      <c r="A21" s="26" t="s">
        <v>248</v>
      </c>
      <c r="B21">
        <v>50</v>
      </c>
      <c r="F21" s="26"/>
      <c r="M21" s="24"/>
    </row>
    <row r="22" spans="1:13" x14ac:dyDescent="0.3">
      <c r="A22" s="26" t="s">
        <v>249</v>
      </c>
      <c r="B22">
        <v>4</v>
      </c>
      <c r="F22" s="26"/>
      <c r="M22" s="24"/>
    </row>
    <row r="23" spans="1:13" x14ac:dyDescent="0.3">
      <c r="A23" s="26" t="s">
        <v>250</v>
      </c>
      <c r="B23">
        <v>750</v>
      </c>
      <c r="F23" s="26"/>
      <c r="M23" s="24"/>
    </row>
    <row r="24" spans="1:13" x14ac:dyDescent="0.3">
      <c r="A24" s="26" t="s">
        <v>251</v>
      </c>
      <c r="B24">
        <v>403.19252249946817</v>
      </c>
      <c r="F24" s="26"/>
      <c r="M24" s="24"/>
    </row>
    <row r="25" spans="1:13" x14ac:dyDescent="0.3">
      <c r="A25" s="26" t="s">
        <v>252</v>
      </c>
      <c r="B25">
        <v>5039.9065312433522</v>
      </c>
      <c r="F25" s="26"/>
      <c r="M25" s="24"/>
    </row>
    <row r="26" spans="1:13" x14ac:dyDescent="0.3">
      <c r="A26" s="26" t="s">
        <v>253</v>
      </c>
      <c r="B26">
        <v>1440</v>
      </c>
      <c r="F26" s="26"/>
      <c r="M26" s="24"/>
    </row>
    <row r="27" spans="1:13" x14ac:dyDescent="0.3">
      <c r="A27" s="26" t="s">
        <v>254</v>
      </c>
      <c r="B27">
        <v>28.571958449490332</v>
      </c>
      <c r="F27" s="26"/>
      <c r="M27" s="24"/>
    </row>
    <row r="28" spans="1:13" ht="14.5" thickBot="1" x14ac:dyDescent="0.35">
      <c r="A28" s="26" t="s">
        <v>255</v>
      </c>
      <c r="B28">
        <v>3.2</v>
      </c>
      <c r="F28" s="32"/>
      <c r="G28" s="33"/>
      <c r="H28" s="33"/>
      <c r="I28" s="33"/>
      <c r="J28" s="33"/>
      <c r="K28" s="33"/>
      <c r="L28" s="33"/>
      <c r="M28" s="34"/>
    </row>
    <row r="29" spans="1:13" x14ac:dyDescent="0.3">
      <c r="A29" s="26" t="s">
        <v>256</v>
      </c>
      <c r="B29">
        <v>8.9287370154657282</v>
      </c>
      <c r="M29" s="24"/>
    </row>
    <row r="30" spans="1:13" x14ac:dyDescent="0.3">
      <c r="A30" s="26" t="s">
        <v>257</v>
      </c>
      <c r="B30">
        <v>3.4</v>
      </c>
      <c r="K30" s="5" t="s">
        <v>434</v>
      </c>
      <c r="M30" s="24"/>
    </row>
    <row r="31" spans="1:13" x14ac:dyDescent="0.3">
      <c r="A31" s="26" t="s">
        <v>258</v>
      </c>
      <c r="B31">
        <v>2.6</v>
      </c>
      <c r="M31" s="24"/>
    </row>
    <row r="32" spans="1:13" x14ac:dyDescent="0.3">
      <c r="A32" s="26" t="s">
        <v>259</v>
      </c>
      <c r="B32">
        <v>28.288000000000004</v>
      </c>
      <c r="M32" s="24"/>
    </row>
    <row r="33" spans="1:13" x14ac:dyDescent="0.3">
      <c r="A33" s="26"/>
      <c r="M33" s="24"/>
    </row>
    <row r="34" spans="1:13" x14ac:dyDescent="0.3">
      <c r="A34" s="26" t="s">
        <v>260</v>
      </c>
      <c r="D34" t="s">
        <v>261</v>
      </c>
      <c r="E34" t="s">
        <v>262</v>
      </c>
      <c r="M34" s="24"/>
    </row>
    <row r="35" spans="1:13" x14ac:dyDescent="0.3">
      <c r="A35" s="26" t="s">
        <v>263</v>
      </c>
      <c r="B35">
        <v>28</v>
      </c>
      <c r="M35" s="24"/>
    </row>
    <row r="36" spans="1:13" x14ac:dyDescent="0.3">
      <c r="A36" s="26" t="s">
        <v>264</v>
      </c>
      <c r="B36">
        <v>60</v>
      </c>
      <c r="M36" s="24"/>
    </row>
    <row r="37" spans="1:13" x14ac:dyDescent="0.3">
      <c r="A37" s="26" t="s">
        <v>265</v>
      </c>
      <c r="B37">
        <v>112</v>
      </c>
      <c r="M37" s="24"/>
    </row>
    <row r="38" spans="1:13" x14ac:dyDescent="0.3">
      <c r="A38" s="26"/>
      <c r="M38" s="24"/>
    </row>
    <row r="39" spans="1:13" x14ac:dyDescent="0.3">
      <c r="A39" s="26"/>
      <c r="B39" t="s">
        <v>266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244</v>
      </c>
      <c r="J39" t="s">
        <v>272</v>
      </c>
      <c r="K39" t="s">
        <v>237</v>
      </c>
      <c r="L39" t="s">
        <v>239</v>
      </c>
      <c r="M39" s="24" t="s">
        <v>241</v>
      </c>
    </row>
    <row r="40" spans="1:13" x14ac:dyDescent="0.3">
      <c r="A40" s="26" t="s">
        <v>273</v>
      </c>
      <c r="B40">
        <v>3.8400815110712494</v>
      </c>
      <c r="C40">
        <v>3.8400815110712494</v>
      </c>
      <c r="D40">
        <v>25.4672072435628</v>
      </c>
      <c r="E40">
        <v>25.4672072435628</v>
      </c>
      <c r="F40">
        <v>1440</v>
      </c>
      <c r="G40">
        <v>3.2</v>
      </c>
      <c r="H40">
        <v>0.96</v>
      </c>
      <c r="J40">
        <v>0.96</v>
      </c>
      <c r="K40">
        <v>0.99</v>
      </c>
      <c r="L40">
        <v>0.97</v>
      </c>
      <c r="M40" s="24">
        <v>0.99</v>
      </c>
    </row>
    <row r="41" spans="1:13" x14ac:dyDescent="0.3">
      <c r="A41" s="26" t="s">
        <v>274</v>
      </c>
      <c r="B41">
        <v>3.6864782506283991</v>
      </c>
      <c r="C41">
        <v>3.6496134681221148</v>
      </c>
      <c r="D41">
        <v>78.235260652224923</v>
      </c>
      <c r="E41">
        <v>77.452908045702657</v>
      </c>
      <c r="F41">
        <v>450</v>
      </c>
      <c r="G41">
        <v>3.4</v>
      </c>
      <c r="H41">
        <v>0.96029999999999993</v>
      </c>
      <c r="J41" t="s">
        <v>255</v>
      </c>
      <c r="K41" t="s">
        <v>257</v>
      </c>
      <c r="L41" t="s">
        <v>258</v>
      </c>
      <c r="M41" s="24"/>
    </row>
    <row r="42" spans="1:13" x14ac:dyDescent="0.3">
      <c r="A42" s="26" t="s">
        <v>275</v>
      </c>
      <c r="B42">
        <v>3.5401250640784512</v>
      </c>
      <c r="C42">
        <v>3.5047238134376668</v>
      </c>
      <c r="D42">
        <v>255.43969073472738</v>
      </c>
      <c r="E42">
        <v>252.88529382738014</v>
      </c>
      <c r="F42">
        <v>132.35294117647058</v>
      </c>
      <c r="G42">
        <v>2.6</v>
      </c>
      <c r="H42">
        <v>0.96029999999999993</v>
      </c>
      <c r="J42">
        <v>3.2</v>
      </c>
      <c r="K42">
        <v>3.4</v>
      </c>
      <c r="L42">
        <v>2.6</v>
      </c>
      <c r="M42" s="24"/>
    </row>
    <row r="43" spans="1:13" x14ac:dyDescent="0.3">
      <c r="A43" s="26" t="s">
        <v>276</v>
      </c>
      <c r="B43">
        <v>3.3995820990345367</v>
      </c>
      <c r="C43">
        <v>3.3655862780441912</v>
      </c>
      <c r="D43">
        <v>637.77671103265266</v>
      </c>
      <c r="E43">
        <v>631.398943922326</v>
      </c>
      <c r="F43">
        <v>50.904977375565608</v>
      </c>
      <c r="G43">
        <v>1</v>
      </c>
      <c r="H43">
        <v>0.98</v>
      </c>
      <c r="M43" s="24"/>
    </row>
    <row r="44" spans="1:13" ht="14.5" thickBot="1" x14ac:dyDescent="0.35">
      <c r="A44" s="32" t="s">
        <v>277</v>
      </c>
      <c r="B44" s="33">
        <v>3.3319304152637494</v>
      </c>
      <c r="C44" s="33">
        <v>3.298611111111112</v>
      </c>
      <c r="D44" s="33">
        <v>625.08495448310282</v>
      </c>
      <c r="E44" s="33">
        <v>618.83410493827182</v>
      </c>
      <c r="F44" s="33">
        <v>50.904977375565608</v>
      </c>
      <c r="G44" s="33"/>
      <c r="H44" s="33"/>
      <c r="I44" s="33"/>
      <c r="J44" s="33"/>
      <c r="K44" s="33"/>
      <c r="L44" s="33"/>
      <c r="M44" s="34"/>
    </row>
    <row r="46" spans="1:13" ht="14.5" thickBot="1" x14ac:dyDescent="0.35"/>
    <row r="47" spans="1:13" x14ac:dyDescent="0.3">
      <c r="A47" s="79" t="s">
        <v>278</v>
      </c>
      <c r="B47" s="19"/>
      <c r="C47" s="19"/>
      <c r="D47" s="19"/>
      <c r="E47" s="19"/>
      <c r="F47" s="19"/>
      <c r="G47" s="19"/>
      <c r="H47" s="20"/>
    </row>
    <row r="48" spans="1:13" x14ac:dyDescent="0.3">
      <c r="A48" s="26" t="s">
        <v>279</v>
      </c>
      <c r="B48" t="s">
        <v>280</v>
      </c>
      <c r="C48" t="s">
        <v>255</v>
      </c>
      <c r="D48" t="s">
        <v>281</v>
      </c>
      <c r="E48" t="s">
        <v>59</v>
      </c>
      <c r="H48" s="24"/>
    </row>
    <row r="49" spans="1:8" x14ac:dyDescent="0.3">
      <c r="A49" s="26">
        <v>3.8400815110712494</v>
      </c>
      <c r="B49">
        <v>1440</v>
      </c>
      <c r="C49">
        <v>3.2</v>
      </c>
      <c r="D49">
        <v>12</v>
      </c>
      <c r="H49" s="24"/>
    </row>
    <row r="50" spans="1:8" x14ac:dyDescent="0.3">
      <c r="A50" s="26" t="s">
        <v>282</v>
      </c>
      <c r="B50">
        <v>1.2</v>
      </c>
      <c r="H50" s="24"/>
    </row>
    <row r="51" spans="1:8" x14ac:dyDescent="0.3">
      <c r="A51" s="26" t="s">
        <v>283</v>
      </c>
      <c r="B51">
        <v>4.6080978132854993</v>
      </c>
      <c r="H51" s="24"/>
    </row>
    <row r="52" spans="1:8" x14ac:dyDescent="0.3">
      <c r="A52" s="26" t="s">
        <v>284</v>
      </c>
      <c r="B52" t="s">
        <v>285</v>
      </c>
      <c r="H52" s="24"/>
    </row>
    <row r="53" spans="1:8" x14ac:dyDescent="0.3">
      <c r="A53" s="26" t="s">
        <v>286</v>
      </c>
      <c r="B53">
        <v>100</v>
      </c>
      <c r="C53" t="s">
        <v>287</v>
      </c>
      <c r="H53" s="24"/>
    </row>
    <row r="54" spans="1:8" x14ac:dyDescent="0.3">
      <c r="A54" s="26" t="s">
        <v>288</v>
      </c>
      <c r="B54">
        <v>320</v>
      </c>
      <c r="H54" s="24"/>
    </row>
    <row r="55" spans="1:8" x14ac:dyDescent="0.3">
      <c r="A55" s="26" t="s">
        <v>289</v>
      </c>
      <c r="B55">
        <v>7.5398223686155035</v>
      </c>
      <c r="H55" s="24"/>
    </row>
    <row r="56" spans="1:8" x14ac:dyDescent="0.3">
      <c r="A56" s="26" t="s">
        <v>290</v>
      </c>
      <c r="B56">
        <v>3.2</v>
      </c>
      <c r="H56" s="24"/>
    </row>
    <row r="57" spans="1:8" x14ac:dyDescent="0.3">
      <c r="A57" s="26" t="s">
        <v>291</v>
      </c>
      <c r="B57">
        <v>650</v>
      </c>
      <c r="H57" s="24"/>
    </row>
    <row r="58" spans="1:8" x14ac:dyDescent="0.3">
      <c r="A58" s="26" t="s">
        <v>292</v>
      </c>
      <c r="B58">
        <v>1978.3498418692411</v>
      </c>
      <c r="H58" s="24"/>
    </row>
    <row r="59" spans="1:8" x14ac:dyDescent="0.3">
      <c r="A59" s="26" t="s">
        <v>293</v>
      </c>
      <c r="B59">
        <v>1940</v>
      </c>
      <c r="H59" s="24"/>
    </row>
    <row r="60" spans="1:8" x14ac:dyDescent="0.3">
      <c r="A60" s="26" t="s">
        <v>294</v>
      </c>
      <c r="B60">
        <v>630.82507906537944</v>
      </c>
      <c r="H60" s="24"/>
    </row>
    <row r="61" spans="1:8" x14ac:dyDescent="0.3">
      <c r="A61" s="26" t="s">
        <v>295</v>
      </c>
      <c r="B61">
        <v>601.72507906537942</v>
      </c>
      <c r="H61" s="24"/>
    </row>
    <row r="62" spans="1:8" x14ac:dyDescent="0.3">
      <c r="A62" s="26" t="s">
        <v>296</v>
      </c>
      <c r="B62">
        <v>689.02507906537949</v>
      </c>
      <c r="H62" s="24"/>
    </row>
    <row r="63" spans="1:8" x14ac:dyDescent="0.3">
      <c r="A63" s="26"/>
      <c r="H63" s="24"/>
    </row>
    <row r="64" spans="1:8" x14ac:dyDescent="0.3">
      <c r="A64" s="26" t="s">
        <v>297</v>
      </c>
      <c r="B64">
        <v>160.01664737445623</v>
      </c>
      <c r="H64" s="24"/>
    </row>
    <row r="65" spans="1:8" x14ac:dyDescent="0.3">
      <c r="A65" s="26" t="s">
        <v>298</v>
      </c>
      <c r="B65">
        <v>1.32</v>
      </c>
      <c r="H65" s="24"/>
    </row>
    <row r="66" spans="1:8" x14ac:dyDescent="0.3">
      <c r="A66" s="26" t="s">
        <v>299</v>
      </c>
      <c r="B66">
        <v>0.17</v>
      </c>
      <c r="H66" s="24"/>
    </row>
    <row r="67" spans="1:8" x14ac:dyDescent="0.3">
      <c r="A67" s="26" t="s">
        <v>300</v>
      </c>
      <c r="B67">
        <v>0.95</v>
      </c>
      <c r="H67" s="24"/>
    </row>
    <row r="68" spans="1:8" x14ac:dyDescent="0.3">
      <c r="A68" s="26" t="s">
        <v>301</v>
      </c>
      <c r="B68">
        <v>1.02</v>
      </c>
      <c r="H68" s="24"/>
    </row>
    <row r="69" spans="1:8" x14ac:dyDescent="0.3">
      <c r="A69" s="26" t="s">
        <v>302</v>
      </c>
      <c r="B69">
        <v>1.44381</v>
      </c>
      <c r="H69" s="24"/>
    </row>
    <row r="70" spans="1:8" x14ac:dyDescent="0.3">
      <c r="A70" s="26" t="s">
        <v>303</v>
      </c>
      <c r="B70">
        <v>4</v>
      </c>
      <c r="H70" s="24"/>
    </row>
    <row r="71" spans="1:8" x14ac:dyDescent="0.3">
      <c r="A71" s="26" t="s">
        <v>304</v>
      </c>
      <c r="B71">
        <v>0.105</v>
      </c>
      <c r="H71" s="24"/>
    </row>
    <row r="72" spans="1:8" x14ac:dyDescent="0.3">
      <c r="A72" s="26" t="s">
        <v>305</v>
      </c>
      <c r="B72">
        <v>130.61523269734667</v>
      </c>
      <c r="H72" s="24"/>
    </row>
    <row r="73" spans="1:8" x14ac:dyDescent="0.3">
      <c r="A73" s="26" t="s">
        <v>306</v>
      </c>
      <c r="B73">
        <v>1029.0734998224093</v>
      </c>
      <c r="H73" s="24"/>
    </row>
    <row r="74" spans="1:8" x14ac:dyDescent="0.3">
      <c r="A74" s="26"/>
      <c r="H74" s="24"/>
    </row>
    <row r="75" spans="1:8" x14ac:dyDescent="0.3">
      <c r="A75" s="26" t="s">
        <v>307</v>
      </c>
      <c r="H75" s="24"/>
    </row>
    <row r="76" spans="1:8" x14ac:dyDescent="0.3">
      <c r="A76" s="26" t="s">
        <v>308</v>
      </c>
      <c r="B76" t="s">
        <v>309</v>
      </c>
      <c r="C76" t="s">
        <v>310</v>
      </c>
      <c r="D76" t="s">
        <v>311</v>
      </c>
      <c r="E76" t="s">
        <v>312</v>
      </c>
      <c r="G76" t="s">
        <v>313</v>
      </c>
      <c r="H76" s="24" t="s">
        <v>314</v>
      </c>
    </row>
    <row r="77" spans="1:8" x14ac:dyDescent="0.3">
      <c r="A77" s="26" t="s">
        <v>285</v>
      </c>
      <c r="B77">
        <v>1940</v>
      </c>
      <c r="C77">
        <v>100</v>
      </c>
      <c r="D77">
        <v>320</v>
      </c>
      <c r="E77">
        <v>601.72507906537942</v>
      </c>
      <c r="F77">
        <v>689.02507906537949</v>
      </c>
      <c r="G77">
        <v>130.61523269734667</v>
      </c>
      <c r="H77" s="24">
        <v>1029.0734998224093</v>
      </c>
    </row>
    <row r="78" spans="1:8" x14ac:dyDescent="0.3">
      <c r="A78" s="26"/>
      <c r="H78" s="24"/>
    </row>
    <row r="79" spans="1:8" x14ac:dyDescent="0.3">
      <c r="A79" s="26" t="s">
        <v>315</v>
      </c>
      <c r="H79" s="24"/>
    </row>
    <row r="80" spans="1:8" x14ac:dyDescent="0.3">
      <c r="A80" s="26" t="s">
        <v>316</v>
      </c>
      <c r="B80" t="s">
        <v>317</v>
      </c>
      <c r="H80" s="24"/>
    </row>
    <row r="81" spans="1:9" x14ac:dyDescent="0.3">
      <c r="A81" s="26" t="s">
        <v>318</v>
      </c>
      <c r="B81">
        <v>70</v>
      </c>
      <c r="H81" s="24"/>
    </row>
    <row r="82" spans="1:9" x14ac:dyDescent="0.3">
      <c r="A82" s="26" t="s">
        <v>319</v>
      </c>
      <c r="B82" t="s">
        <v>320</v>
      </c>
      <c r="H82" s="24"/>
    </row>
    <row r="83" spans="1:9" ht="14.5" thickBot="1" x14ac:dyDescent="0.35">
      <c r="A83" s="32" t="s">
        <v>321</v>
      </c>
      <c r="B83" s="33" t="s">
        <v>322</v>
      </c>
      <c r="C83" s="33"/>
      <c r="D83" s="33"/>
      <c r="E83" s="33"/>
      <c r="F83" s="33"/>
      <c r="G83" s="33"/>
      <c r="H83" s="34"/>
    </row>
    <row r="85" spans="1:9" ht="14.5" thickBot="1" x14ac:dyDescent="0.35"/>
    <row r="86" spans="1:9" x14ac:dyDescent="0.3">
      <c r="A86" s="79" t="s">
        <v>323</v>
      </c>
      <c r="B86" s="19"/>
      <c r="C86" s="19"/>
      <c r="D86" s="19"/>
      <c r="E86" s="19"/>
      <c r="F86" s="19"/>
      <c r="G86" s="19"/>
      <c r="H86" s="19"/>
      <c r="I86" s="20"/>
    </row>
    <row r="87" spans="1:9" x14ac:dyDescent="0.3">
      <c r="A87" s="26" t="s">
        <v>107</v>
      </c>
      <c r="B87" t="s">
        <v>108</v>
      </c>
      <c r="C87" t="s">
        <v>324</v>
      </c>
      <c r="D87" t="s">
        <v>325</v>
      </c>
      <c r="F87" t="s">
        <v>326</v>
      </c>
      <c r="G87" t="s">
        <v>327</v>
      </c>
      <c r="H87" t="s">
        <v>328</v>
      </c>
      <c r="I87" s="24" t="s">
        <v>329</v>
      </c>
    </row>
    <row r="88" spans="1:9" x14ac:dyDescent="0.3">
      <c r="A88" s="26"/>
      <c r="D88" t="s">
        <v>330</v>
      </c>
      <c r="E88" t="s">
        <v>331</v>
      </c>
      <c r="I88" s="24"/>
    </row>
    <row r="89" spans="1:9" x14ac:dyDescent="0.3">
      <c r="A89" s="26" t="s">
        <v>332</v>
      </c>
      <c r="B89">
        <v>9</v>
      </c>
      <c r="C89">
        <v>20</v>
      </c>
      <c r="D89" t="s">
        <v>333</v>
      </c>
      <c r="E89" t="s">
        <v>334</v>
      </c>
      <c r="F89">
        <v>78.235260652224923</v>
      </c>
      <c r="G89">
        <v>255.43969073472738</v>
      </c>
      <c r="H89">
        <v>450</v>
      </c>
      <c r="I89" s="24">
        <v>132.35294117647058</v>
      </c>
    </row>
    <row r="90" spans="1:9" x14ac:dyDescent="0.3">
      <c r="A90" s="26" t="s">
        <v>109</v>
      </c>
      <c r="E90" t="s">
        <v>109</v>
      </c>
      <c r="I90" s="24"/>
    </row>
    <row r="91" spans="1:9" x14ac:dyDescent="0.3">
      <c r="A91" s="26" t="s">
        <v>335</v>
      </c>
      <c r="B91">
        <v>25</v>
      </c>
      <c r="E91" t="s">
        <v>336</v>
      </c>
      <c r="F91">
        <v>25</v>
      </c>
      <c r="I91" s="24"/>
    </row>
    <row r="92" spans="1:9" x14ac:dyDescent="0.3">
      <c r="A92" s="26" t="s">
        <v>337</v>
      </c>
      <c r="B92">
        <v>85</v>
      </c>
      <c r="E92" t="s">
        <v>338</v>
      </c>
      <c r="F92">
        <v>65</v>
      </c>
      <c r="I92" s="24"/>
    </row>
    <row r="93" spans="1:9" x14ac:dyDescent="0.3">
      <c r="A93" s="26" t="s">
        <v>339</v>
      </c>
      <c r="B93">
        <v>3.4</v>
      </c>
      <c r="E93" t="s">
        <v>339</v>
      </c>
      <c r="F93">
        <v>2.6</v>
      </c>
      <c r="I93" s="24"/>
    </row>
    <row r="94" spans="1:9" x14ac:dyDescent="0.3">
      <c r="A94" s="26"/>
      <c r="I94" s="24"/>
    </row>
    <row r="95" spans="1:9" x14ac:dyDescent="0.3">
      <c r="A95" s="26" t="s">
        <v>340</v>
      </c>
      <c r="E95" t="s">
        <v>340</v>
      </c>
      <c r="I95" s="24"/>
    </row>
    <row r="96" spans="1:9" x14ac:dyDescent="0.3">
      <c r="A96" s="26" t="s">
        <v>341</v>
      </c>
      <c r="B96">
        <v>1.3</v>
      </c>
      <c r="E96" t="s">
        <v>341</v>
      </c>
      <c r="F96">
        <v>1.3</v>
      </c>
      <c r="I96" s="24"/>
    </row>
    <row r="97" spans="1:9" x14ac:dyDescent="0.3">
      <c r="A97" s="26" t="s">
        <v>342</v>
      </c>
      <c r="B97">
        <v>60.742753022431863</v>
      </c>
      <c r="E97" t="s">
        <v>342</v>
      </c>
      <c r="F97">
        <v>89.999999999999986</v>
      </c>
      <c r="I97" s="24"/>
    </row>
    <row r="98" spans="1:9" x14ac:dyDescent="0.3">
      <c r="A98" s="26" t="s">
        <v>343</v>
      </c>
      <c r="B98">
        <v>66.9191457494708</v>
      </c>
      <c r="E98" t="s">
        <v>343</v>
      </c>
      <c r="F98">
        <v>0</v>
      </c>
      <c r="I98" s="24"/>
    </row>
    <row r="99" spans="1:9" x14ac:dyDescent="0.3">
      <c r="A99" s="26" t="s">
        <v>344</v>
      </c>
      <c r="B99">
        <v>1.3560414103477221</v>
      </c>
      <c r="E99" t="s">
        <v>344</v>
      </c>
      <c r="F99">
        <v>84021446.958892792</v>
      </c>
      <c r="I99" s="24"/>
    </row>
    <row r="100" spans="1:9" x14ac:dyDescent="0.3">
      <c r="A100" s="26" t="s">
        <v>345</v>
      </c>
      <c r="B100">
        <v>189.8</v>
      </c>
      <c r="E100" t="s">
        <v>345</v>
      </c>
      <c r="F100">
        <v>189.8</v>
      </c>
      <c r="I100" s="24"/>
    </row>
    <row r="101" spans="1:9" x14ac:dyDescent="0.3">
      <c r="A101" s="26" t="s">
        <v>346</v>
      </c>
      <c r="B101">
        <v>0.8</v>
      </c>
      <c r="E101" t="s">
        <v>346</v>
      </c>
      <c r="F101">
        <v>0.8</v>
      </c>
      <c r="I101" s="24"/>
    </row>
    <row r="102" spans="1:9" x14ac:dyDescent="0.3">
      <c r="A102" s="26" t="s">
        <v>347</v>
      </c>
      <c r="B102">
        <v>1.8</v>
      </c>
      <c r="E102" t="s">
        <v>347</v>
      </c>
      <c r="F102">
        <v>1.8</v>
      </c>
      <c r="I102" s="24"/>
    </row>
    <row r="103" spans="1:9" x14ac:dyDescent="0.3">
      <c r="A103" s="26" t="s">
        <v>348</v>
      </c>
      <c r="B103">
        <v>188.9</v>
      </c>
      <c r="E103" t="s">
        <v>348</v>
      </c>
      <c r="F103">
        <v>188.9</v>
      </c>
      <c r="I103" s="24"/>
    </row>
    <row r="104" spans="1:9" x14ac:dyDescent="0.3">
      <c r="A104" s="26" t="s">
        <v>349</v>
      </c>
      <c r="B104">
        <v>700</v>
      </c>
      <c r="E104" t="s">
        <v>349</v>
      </c>
      <c r="F104">
        <v>700</v>
      </c>
      <c r="I104" s="24"/>
    </row>
    <row r="105" spans="1:9" x14ac:dyDescent="0.3">
      <c r="A105" s="26" t="s">
        <v>350</v>
      </c>
      <c r="B105">
        <v>600</v>
      </c>
      <c r="E105" t="s">
        <v>350</v>
      </c>
      <c r="F105">
        <v>600</v>
      </c>
      <c r="I105" s="24"/>
    </row>
    <row r="106" spans="1:9" x14ac:dyDescent="0.3">
      <c r="A106" s="26" t="s">
        <v>351</v>
      </c>
      <c r="B106">
        <v>1</v>
      </c>
      <c r="E106" t="s">
        <v>351</v>
      </c>
      <c r="F106">
        <v>1</v>
      </c>
      <c r="I106" s="24"/>
    </row>
    <row r="107" spans="1:9" x14ac:dyDescent="0.3">
      <c r="A107" s="26" t="s">
        <v>352</v>
      </c>
      <c r="B107">
        <v>1.25</v>
      </c>
      <c r="E107" t="s">
        <v>352</v>
      </c>
      <c r="F107">
        <v>1.25</v>
      </c>
      <c r="I107" s="24"/>
    </row>
    <row r="108" spans="1:9" x14ac:dyDescent="0.3">
      <c r="A108" s="26" t="s">
        <v>353</v>
      </c>
      <c r="B108">
        <v>700</v>
      </c>
      <c r="E108" t="s">
        <v>353</v>
      </c>
      <c r="F108">
        <v>700</v>
      </c>
      <c r="I108" s="24"/>
    </row>
    <row r="109" spans="1:9" x14ac:dyDescent="0.3">
      <c r="A109" s="26" t="s">
        <v>354</v>
      </c>
      <c r="B109">
        <v>600</v>
      </c>
      <c r="E109" t="s">
        <v>354</v>
      </c>
      <c r="F109">
        <v>600</v>
      </c>
      <c r="I109" s="24"/>
    </row>
    <row r="110" spans="1:9" x14ac:dyDescent="0.3">
      <c r="A110" s="26" t="s">
        <v>355</v>
      </c>
      <c r="B110">
        <v>600</v>
      </c>
      <c r="E110" t="s">
        <v>355</v>
      </c>
      <c r="F110">
        <v>600</v>
      </c>
      <c r="I110" s="24"/>
    </row>
    <row r="111" spans="1:9" x14ac:dyDescent="0.3">
      <c r="A111" s="26" t="s">
        <v>356</v>
      </c>
      <c r="B111">
        <v>600</v>
      </c>
      <c r="E111" t="s">
        <v>356</v>
      </c>
      <c r="F111">
        <v>600</v>
      </c>
      <c r="I111" s="24"/>
    </row>
    <row r="112" spans="1:9" x14ac:dyDescent="0.3">
      <c r="A112" s="26" t="s">
        <v>357</v>
      </c>
      <c r="B112">
        <v>450</v>
      </c>
      <c r="E112" t="s">
        <v>357</v>
      </c>
      <c r="F112">
        <v>450</v>
      </c>
      <c r="I112" s="24"/>
    </row>
    <row r="113" spans="1:9" x14ac:dyDescent="0.3">
      <c r="A113" s="26" t="s">
        <v>358</v>
      </c>
      <c r="B113">
        <v>480</v>
      </c>
      <c r="E113" t="s">
        <v>358</v>
      </c>
      <c r="F113">
        <v>480</v>
      </c>
      <c r="I113" s="24"/>
    </row>
    <row r="114" spans="1:9" x14ac:dyDescent="0.3">
      <c r="A114" s="26" t="s">
        <v>359</v>
      </c>
      <c r="B114">
        <v>360</v>
      </c>
      <c r="E114" t="s">
        <v>359</v>
      </c>
      <c r="F114">
        <v>360</v>
      </c>
      <c r="I114" s="24"/>
    </row>
    <row r="115" spans="1:9" x14ac:dyDescent="0.3">
      <c r="A115" s="26" t="s">
        <v>360</v>
      </c>
      <c r="B115">
        <v>70</v>
      </c>
      <c r="E115" t="s">
        <v>361</v>
      </c>
      <c r="F115">
        <v>100</v>
      </c>
      <c r="I115" s="24"/>
    </row>
    <row r="116" spans="1:9" x14ac:dyDescent="0.3">
      <c r="A116" s="26" t="s">
        <v>362</v>
      </c>
      <c r="B116">
        <v>56</v>
      </c>
      <c r="E116" t="s">
        <v>363</v>
      </c>
      <c r="F116">
        <v>80</v>
      </c>
      <c r="I116" s="24"/>
    </row>
    <row r="117" spans="1:9" x14ac:dyDescent="0.3">
      <c r="A117" s="26" t="s">
        <v>364</v>
      </c>
      <c r="B117">
        <v>66</v>
      </c>
      <c r="E117" t="s">
        <v>365</v>
      </c>
      <c r="F117">
        <v>90</v>
      </c>
      <c r="I117" s="24"/>
    </row>
    <row r="118" spans="1:9" x14ac:dyDescent="0.3">
      <c r="A118" s="26" t="s">
        <v>366</v>
      </c>
      <c r="B118">
        <v>1.6493361431346414</v>
      </c>
      <c r="C118" t="s">
        <v>367</v>
      </c>
      <c r="E118" t="s">
        <v>366</v>
      </c>
      <c r="F118">
        <v>0.69299837946833676</v>
      </c>
      <c r="G118" t="s">
        <v>367</v>
      </c>
      <c r="I118" s="24"/>
    </row>
    <row r="119" spans="1:9" x14ac:dyDescent="0.3">
      <c r="A119" s="26" t="s">
        <v>368</v>
      </c>
      <c r="B119">
        <v>3</v>
      </c>
      <c r="E119" t="s">
        <v>368</v>
      </c>
      <c r="F119">
        <v>4</v>
      </c>
      <c r="I119" s="24"/>
    </row>
    <row r="120" spans="1:9" x14ac:dyDescent="0.3">
      <c r="A120" s="26" t="s">
        <v>369</v>
      </c>
      <c r="B120">
        <v>75</v>
      </c>
      <c r="E120" t="s">
        <v>370</v>
      </c>
      <c r="F120">
        <v>100</v>
      </c>
      <c r="I120" s="24"/>
    </row>
    <row r="121" spans="1:9" x14ac:dyDescent="0.3">
      <c r="A121" s="26" t="s">
        <v>136</v>
      </c>
      <c r="B121">
        <v>255</v>
      </c>
      <c r="E121" t="s">
        <v>371</v>
      </c>
      <c r="F121">
        <v>260</v>
      </c>
      <c r="I121" s="24"/>
    </row>
    <row r="122" spans="1:9" x14ac:dyDescent="0.3">
      <c r="A122" s="26" t="s">
        <v>312</v>
      </c>
      <c r="B122">
        <v>165</v>
      </c>
      <c r="E122" t="s">
        <v>312</v>
      </c>
      <c r="F122">
        <v>180</v>
      </c>
      <c r="I122" s="24"/>
    </row>
    <row r="123" spans="1:9" x14ac:dyDescent="0.3">
      <c r="A123" s="26"/>
      <c r="I123" s="24"/>
    </row>
    <row r="124" spans="1:9" x14ac:dyDescent="0.3">
      <c r="A124" s="26" t="s">
        <v>372</v>
      </c>
      <c r="E124" t="s">
        <v>372</v>
      </c>
      <c r="I124" s="24"/>
    </row>
    <row r="125" spans="1:9" x14ac:dyDescent="0.3">
      <c r="A125" s="26" t="s">
        <v>373</v>
      </c>
      <c r="B125">
        <v>2.7250000000000001</v>
      </c>
      <c r="E125" t="s">
        <v>373</v>
      </c>
      <c r="F125">
        <v>2.7250000000000001</v>
      </c>
      <c r="I125" s="24"/>
    </row>
    <row r="126" spans="1:9" x14ac:dyDescent="0.3">
      <c r="A126" s="26" t="s">
        <v>374</v>
      </c>
      <c r="B126">
        <v>2.25</v>
      </c>
      <c r="E126" t="s">
        <v>374</v>
      </c>
      <c r="F126">
        <v>2.27</v>
      </c>
      <c r="I126" s="24"/>
    </row>
    <row r="127" spans="1:9" x14ac:dyDescent="0.3">
      <c r="A127" s="26" t="s">
        <v>375</v>
      </c>
      <c r="B127">
        <v>1.6</v>
      </c>
      <c r="E127" t="s">
        <v>375</v>
      </c>
      <c r="F127">
        <v>1.6</v>
      </c>
      <c r="I127" s="24"/>
    </row>
    <row r="128" spans="1:9" x14ac:dyDescent="0.3">
      <c r="A128" s="26" t="s">
        <v>376</v>
      </c>
      <c r="B128">
        <v>1.7649999999999999</v>
      </c>
      <c r="E128" t="s">
        <v>376</v>
      </c>
      <c r="F128">
        <v>1.73</v>
      </c>
      <c r="I128" s="24"/>
    </row>
    <row r="129" spans="1:12" x14ac:dyDescent="0.3">
      <c r="A129" s="26" t="s">
        <v>377</v>
      </c>
      <c r="B129">
        <v>97.458781841057331</v>
      </c>
      <c r="C129" t="s">
        <v>378</v>
      </c>
      <c r="D129">
        <v>480</v>
      </c>
      <c r="E129" t="s">
        <v>377</v>
      </c>
      <c r="F129">
        <v>125.29316830538379</v>
      </c>
      <c r="G129" t="s">
        <v>378</v>
      </c>
      <c r="H129">
        <v>480</v>
      </c>
      <c r="I129" s="24" t="s">
        <v>379</v>
      </c>
    </row>
    <row r="130" spans="1:12" ht="14.5" thickBot="1" x14ac:dyDescent="0.35">
      <c r="A130" s="32" t="s">
        <v>380</v>
      </c>
      <c r="B130" s="33">
        <v>88.769079675756615</v>
      </c>
      <c r="C130" s="33" t="s">
        <v>378</v>
      </c>
      <c r="D130" s="33">
        <v>360</v>
      </c>
      <c r="E130" s="33" t="s">
        <v>380</v>
      </c>
      <c r="F130" s="33">
        <v>112.85293606698914</v>
      </c>
      <c r="G130" s="33" t="s">
        <v>378</v>
      </c>
      <c r="H130" s="33">
        <v>360</v>
      </c>
      <c r="I130" s="34"/>
    </row>
    <row r="131" spans="1:12" ht="14.5" thickBot="1" x14ac:dyDescent="0.35"/>
    <row r="132" spans="1:12" x14ac:dyDescent="0.3">
      <c r="A132" s="79" t="s">
        <v>381</v>
      </c>
      <c r="B132" s="19"/>
      <c r="C132" s="19"/>
      <c r="D132" s="20"/>
    </row>
    <row r="133" spans="1:12" x14ac:dyDescent="0.3">
      <c r="A133" s="26" t="s">
        <v>382</v>
      </c>
      <c r="B133" t="s">
        <v>383</v>
      </c>
      <c r="C133" t="s">
        <v>384</v>
      </c>
      <c r="D133" s="24"/>
    </row>
    <row r="134" spans="1:12" x14ac:dyDescent="0.3">
      <c r="A134" s="26" t="s">
        <v>385</v>
      </c>
      <c r="B134">
        <v>3.3319304152637494</v>
      </c>
      <c r="D134" s="24"/>
    </row>
    <row r="135" spans="1:12" x14ac:dyDescent="0.3">
      <c r="A135" s="26" t="s">
        <v>386</v>
      </c>
      <c r="B135">
        <v>625.08495448310282</v>
      </c>
      <c r="D135" s="24"/>
    </row>
    <row r="136" spans="1:12" x14ac:dyDescent="0.3">
      <c r="A136" s="26" t="s">
        <v>387</v>
      </c>
      <c r="B136">
        <v>50.904977375565608</v>
      </c>
      <c r="D136" s="24"/>
    </row>
    <row r="137" spans="1:12" x14ac:dyDescent="0.3">
      <c r="A137" s="26" t="s">
        <v>282</v>
      </c>
      <c r="B137">
        <v>1.5</v>
      </c>
      <c r="D137" s="24"/>
    </row>
    <row r="138" spans="1:12" x14ac:dyDescent="0.3">
      <c r="A138" s="26" t="s">
        <v>388</v>
      </c>
      <c r="B138">
        <v>937.62743172465423</v>
      </c>
      <c r="D138" s="24"/>
    </row>
    <row r="139" spans="1:12" x14ac:dyDescent="0.3">
      <c r="A139" s="26"/>
      <c r="D139" s="24"/>
    </row>
    <row r="140" spans="1:12" x14ac:dyDescent="0.3">
      <c r="A140" s="26" t="s">
        <v>389</v>
      </c>
      <c r="B140" t="s">
        <v>390</v>
      </c>
      <c r="C140" t="s">
        <v>391</v>
      </c>
      <c r="D140" s="24" t="s">
        <v>392</v>
      </c>
    </row>
    <row r="141" spans="1:12" ht="14.5" thickBot="1" x14ac:dyDescent="0.35">
      <c r="A141" s="32" t="s">
        <v>393</v>
      </c>
      <c r="B141" s="33">
        <v>900</v>
      </c>
      <c r="C141" s="33">
        <v>6800</v>
      </c>
      <c r="D141" s="34">
        <v>38</v>
      </c>
    </row>
    <row r="142" spans="1:12" ht="14.5" thickBot="1" x14ac:dyDescent="0.35"/>
    <row r="143" spans="1:12" x14ac:dyDescent="0.3">
      <c r="A143" s="79" t="s">
        <v>394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0"/>
    </row>
    <row r="144" spans="1:12" x14ac:dyDescent="0.3">
      <c r="A144" s="26" t="s">
        <v>395</v>
      </c>
      <c r="F144" t="s">
        <v>396</v>
      </c>
      <c r="K144" t="s">
        <v>431</v>
      </c>
      <c r="L144" s="24"/>
    </row>
    <row r="145" spans="1:12" x14ac:dyDescent="0.3">
      <c r="A145" s="26" t="s">
        <v>316</v>
      </c>
      <c r="B145" t="s">
        <v>397</v>
      </c>
      <c r="C145" t="s">
        <v>415</v>
      </c>
      <c r="D145">
        <v>20</v>
      </c>
      <c r="F145" t="s">
        <v>316</v>
      </c>
      <c r="G145" t="s">
        <v>398</v>
      </c>
      <c r="K145" t="s">
        <v>316</v>
      </c>
      <c r="L145" s="24" t="s">
        <v>398</v>
      </c>
    </row>
    <row r="146" spans="1:12" x14ac:dyDescent="0.3">
      <c r="A146" s="26" t="s">
        <v>399</v>
      </c>
      <c r="B146">
        <v>118</v>
      </c>
      <c r="F146" t="s">
        <v>399</v>
      </c>
      <c r="G146">
        <v>118</v>
      </c>
      <c r="K146" t="s">
        <v>399</v>
      </c>
      <c r="L146" s="24">
        <v>118</v>
      </c>
    </row>
    <row r="147" spans="1:12" x14ac:dyDescent="0.3">
      <c r="A147" s="26" t="s">
        <v>328</v>
      </c>
      <c r="B147">
        <v>450</v>
      </c>
      <c r="F147" t="s">
        <v>400</v>
      </c>
      <c r="G147">
        <v>50.904977375565608</v>
      </c>
      <c r="K147" t="s">
        <v>329</v>
      </c>
      <c r="L147" s="24">
        <v>132.35294117647058</v>
      </c>
    </row>
    <row r="148" spans="1:12" x14ac:dyDescent="0.3">
      <c r="A148" s="26" t="s">
        <v>401</v>
      </c>
      <c r="B148">
        <v>78.235260652224923</v>
      </c>
      <c r="F148" t="s">
        <v>402</v>
      </c>
      <c r="G148">
        <v>637.77671103265266</v>
      </c>
      <c r="K148" t="s">
        <v>432</v>
      </c>
      <c r="L148" s="24">
        <v>255.43969073472738</v>
      </c>
    </row>
    <row r="149" spans="1:12" x14ac:dyDescent="0.3">
      <c r="A149" s="26" t="s">
        <v>403</v>
      </c>
      <c r="B149">
        <v>3.6864782506283991</v>
      </c>
      <c r="F149" t="s">
        <v>404</v>
      </c>
      <c r="G149">
        <v>3.3995820990345367</v>
      </c>
      <c r="K149" t="s">
        <v>433</v>
      </c>
      <c r="L149" s="24">
        <v>3.5401250640784512</v>
      </c>
    </row>
    <row r="150" spans="1:12" x14ac:dyDescent="0.3">
      <c r="A150" s="26" t="s">
        <v>405</v>
      </c>
      <c r="B150">
        <v>23.787477730639701</v>
      </c>
      <c r="F150" t="s">
        <v>405</v>
      </c>
      <c r="G150">
        <v>47.874446836278118</v>
      </c>
      <c r="K150" t="s">
        <v>405</v>
      </c>
      <c r="L150" s="24">
        <v>35.289351429289695</v>
      </c>
    </row>
    <row r="151" spans="1:12" x14ac:dyDescent="0.3">
      <c r="A151" s="26" t="s">
        <v>406</v>
      </c>
      <c r="B151">
        <v>2</v>
      </c>
      <c r="F151" t="s">
        <v>406</v>
      </c>
      <c r="G151">
        <v>1</v>
      </c>
      <c r="K151" t="s">
        <v>406</v>
      </c>
      <c r="L151" s="24">
        <v>2</v>
      </c>
    </row>
    <row r="152" spans="1:12" x14ac:dyDescent="0.3">
      <c r="A152" s="26" t="s">
        <v>407</v>
      </c>
      <c r="B152">
        <v>25</v>
      </c>
      <c r="L152" s="24"/>
    </row>
    <row r="153" spans="1:12" x14ac:dyDescent="0.3">
      <c r="A153" s="26" t="s">
        <v>408</v>
      </c>
      <c r="B153">
        <v>40</v>
      </c>
      <c r="L153" s="24"/>
    </row>
    <row r="154" spans="1:12" x14ac:dyDescent="0.3">
      <c r="A154" s="26"/>
      <c r="F154" t="s">
        <v>409</v>
      </c>
      <c r="G154">
        <v>112</v>
      </c>
      <c r="L154" s="24"/>
    </row>
    <row r="155" spans="1:12" x14ac:dyDescent="0.3">
      <c r="A155" s="26" t="s">
        <v>410</v>
      </c>
      <c r="B155">
        <v>25</v>
      </c>
      <c r="F155" t="s">
        <v>410</v>
      </c>
      <c r="G155">
        <v>50</v>
      </c>
      <c r="K155" t="s">
        <v>410</v>
      </c>
      <c r="L155" s="24">
        <v>40</v>
      </c>
    </row>
    <row r="156" spans="1:12" x14ac:dyDescent="0.3">
      <c r="A156" s="26" t="s">
        <v>411</v>
      </c>
      <c r="B156">
        <v>38</v>
      </c>
      <c r="F156" t="s">
        <v>411</v>
      </c>
      <c r="G156">
        <v>108</v>
      </c>
      <c r="K156" t="s">
        <v>411</v>
      </c>
      <c r="L156" s="24">
        <v>43</v>
      </c>
    </row>
    <row r="157" spans="1:12" x14ac:dyDescent="0.3">
      <c r="A157" s="26" t="s">
        <v>412</v>
      </c>
      <c r="B157">
        <v>3.75</v>
      </c>
      <c r="F157" t="s">
        <v>412</v>
      </c>
      <c r="G157">
        <v>3</v>
      </c>
      <c r="K157" t="s">
        <v>412</v>
      </c>
      <c r="L157" s="24">
        <v>5</v>
      </c>
    </row>
    <row r="158" spans="1:12" x14ac:dyDescent="0.3">
      <c r="A158" s="26" t="s">
        <v>413</v>
      </c>
      <c r="B158">
        <v>32.5</v>
      </c>
      <c r="F158" t="s">
        <v>413</v>
      </c>
      <c r="G158">
        <v>56</v>
      </c>
      <c r="K158" t="s">
        <v>413</v>
      </c>
      <c r="L158" s="24">
        <v>50</v>
      </c>
    </row>
    <row r="159" spans="1:12" x14ac:dyDescent="0.3">
      <c r="A159" s="26" t="s">
        <v>414</v>
      </c>
      <c r="B159">
        <v>35</v>
      </c>
      <c r="F159" t="s">
        <v>414</v>
      </c>
      <c r="G159">
        <v>35</v>
      </c>
      <c r="K159" t="s">
        <v>414</v>
      </c>
      <c r="L159" s="24">
        <v>88</v>
      </c>
    </row>
    <row r="160" spans="1:12" x14ac:dyDescent="0.3">
      <c r="A160" s="26" t="s">
        <v>416</v>
      </c>
      <c r="B160">
        <v>1</v>
      </c>
      <c r="F160" t="s">
        <v>416</v>
      </c>
      <c r="G160">
        <v>2</v>
      </c>
      <c r="K160" t="s">
        <v>416</v>
      </c>
      <c r="L160" s="24">
        <v>2</v>
      </c>
    </row>
    <row r="161" spans="1:12" x14ac:dyDescent="0.3">
      <c r="A161" s="26" t="s">
        <v>417</v>
      </c>
      <c r="B161">
        <v>35</v>
      </c>
      <c r="F161" t="s">
        <v>417</v>
      </c>
      <c r="G161">
        <v>60</v>
      </c>
      <c r="K161" t="s">
        <v>417</v>
      </c>
      <c r="L161" s="24">
        <v>54</v>
      </c>
    </row>
    <row r="162" spans="1:12" x14ac:dyDescent="0.3">
      <c r="A162" s="26" t="s">
        <v>418</v>
      </c>
      <c r="B162">
        <v>18</v>
      </c>
      <c r="F162" t="s">
        <v>418</v>
      </c>
      <c r="G162">
        <v>22</v>
      </c>
      <c r="K162" t="s">
        <v>418</v>
      </c>
      <c r="L162" s="24">
        <v>12</v>
      </c>
    </row>
    <row r="163" spans="1:12" x14ac:dyDescent="0.3">
      <c r="A163" s="26" t="s">
        <v>420</v>
      </c>
      <c r="B163">
        <v>2.5</v>
      </c>
      <c r="F163" t="s">
        <v>420</v>
      </c>
      <c r="G163">
        <v>2</v>
      </c>
      <c r="K163" t="s">
        <v>420</v>
      </c>
      <c r="L163" s="24">
        <v>2</v>
      </c>
    </row>
    <row r="164" spans="1:12" x14ac:dyDescent="0.3">
      <c r="A164" s="26" t="s">
        <v>421</v>
      </c>
      <c r="B164">
        <v>40</v>
      </c>
      <c r="F164" t="s">
        <v>421</v>
      </c>
      <c r="G164">
        <v>64</v>
      </c>
      <c r="K164" t="s">
        <v>421</v>
      </c>
      <c r="L164" s="24">
        <v>58</v>
      </c>
    </row>
    <row r="165" spans="1:12" x14ac:dyDescent="0.3">
      <c r="A165" s="26" t="s">
        <v>422</v>
      </c>
      <c r="B165">
        <v>112</v>
      </c>
      <c r="F165" t="s">
        <v>422</v>
      </c>
      <c r="G165">
        <v>100</v>
      </c>
      <c r="K165" t="s">
        <v>422</v>
      </c>
      <c r="L165" s="24">
        <v>54</v>
      </c>
    </row>
    <row r="166" spans="1:12" x14ac:dyDescent="0.3">
      <c r="A166" s="26" t="s">
        <v>423</v>
      </c>
      <c r="B166">
        <v>5</v>
      </c>
      <c r="F166" t="s">
        <v>423</v>
      </c>
      <c r="G166">
        <v>6.5</v>
      </c>
      <c r="K166" t="s">
        <v>423</v>
      </c>
      <c r="L166" s="24">
        <v>2</v>
      </c>
    </row>
    <row r="167" spans="1:12" x14ac:dyDescent="0.3">
      <c r="A167" s="26" t="s">
        <v>424</v>
      </c>
      <c r="B167">
        <v>50</v>
      </c>
      <c r="F167" t="s">
        <v>424</v>
      </c>
      <c r="G167">
        <v>77</v>
      </c>
      <c r="K167" t="s">
        <v>424</v>
      </c>
      <c r="L167" s="24">
        <v>62</v>
      </c>
    </row>
    <row r="168" spans="1:12" x14ac:dyDescent="0.3">
      <c r="A168" s="26" t="s">
        <v>425</v>
      </c>
      <c r="B168">
        <v>5</v>
      </c>
      <c r="F168" t="s">
        <v>425</v>
      </c>
      <c r="G168">
        <v>78</v>
      </c>
      <c r="K168" t="s">
        <v>425</v>
      </c>
      <c r="L168" s="24">
        <v>5</v>
      </c>
    </row>
    <row r="169" spans="1:12" x14ac:dyDescent="0.3">
      <c r="A169" s="26" t="s">
        <v>426</v>
      </c>
      <c r="B169">
        <v>40</v>
      </c>
      <c r="F169" t="s">
        <v>426</v>
      </c>
      <c r="G169">
        <v>80</v>
      </c>
      <c r="K169" t="s">
        <v>426</v>
      </c>
      <c r="L169" s="24">
        <v>40</v>
      </c>
    </row>
    <row r="170" spans="1:12" x14ac:dyDescent="0.3">
      <c r="A170" s="26" t="s">
        <v>427</v>
      </c>
      <c r="B170">
        <v>64</v>
      </c>
      <c r="F170" t="s">
        <v>427</v>
      </c>
      <c r="G170">
        <v>5</v>
      </c>
      <c r="K170" t="s">
        <v>427</v>
      </c>
      <c r="L170" s="24">
        <v>41</v>
      </c>
    </row>
    <row r="171" spans="1:12" x14ac:dyDescent="0.3">
      <c r="A171" s="26" t="s">
        <v>428</v>
      </c>
      <c r="B171">
        <v>35</v>
      </c>
      <c r="F171" t="s">
        <v>428</v>
      </c>
      <c r="G171">
        <v>60</v>
      </c>
      <c r="K171" t="s">
        <v>428</v>
      </c>
      <c r="L171" s="24"/>
    </row>
    <row r="172" spans="1:12" x14ac:dyDescent="0.3">
      <c r="A172" s="26" t="s">
        <v>429</v>
      </c>
      <c r="B172">
        <v>41</v>
      </c>
      <c r="F172" t="s">
        <v>429</v>
      </c>
      <c r="G172">
        <v>44</v>
      </c>
      <c r="K172" t="s">
        <v>429</v>
      </c>
      <c r="L172" s="24"/>
    </row>
    <row r="173" spans="1:12" x14ac:dyDescent="0.3">
      <c r="A173" s="26" t="s">
        <v>430</v>
      </c>
      <c r="B173">
        <v>313</v>
      </c>
      <c r="F173" t="s">
        <v>430</v>
      </c>
      <c r="G173">
        <v>392</v>
      </c>
      <c r="K173" t="s">
        <v>430</v>
      </c>
      <c r="L173" s="24">
        <v>243</v>
      </c>
    </row>
    <row r="174" spans="1:12" ht="14.5" thickBot="1" x14ac:dyDescent="0.35">
      <c r="A174" s="32" t="s">
        <v>220</v>
      </c>
      <c r="B174" s="33">
        <v>6207</v>
      </c>
      <c r="C174" s="33"/>
      <c r="D174" s="33"/>
      <c r="E174" s="33"/>
      <c r="F174" s="33" t="s">
        <v>220</v>
      </c>
      <c r="G174" s="33">
        <v>6209</v>
      </c>
      <c r="H174" s="33"/>
      <c r="I174" s="33"/>
      <c r="J174" s="33"/>
      <c r="K174" s="33" t="s">
        <v>419</v>
      </c>
      <c r="L174" s="34">
        <v>6209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佳睿 王</dc:creator>
  <cp:lastModifiedBy>wefio tom</cp:lastModifiedBy>
  <cp:lastPrinted>2024-01-10T08:32:26Z</cp:lastPrinted>
  <dcterms:created xsi:type="dcterms:W3CDTF">2024-01-02T06:03:23Z</dcterms:created>
  <dcterms:modified xsi:type="dcterms:W3CDTF">2024-04-02T10:56:21Z</dcterms:modified>
</cp:coreProperties>
</file>