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\iCloudDrive\Learning\FPST_Junior\FGEE2812 工程经济学\"/>
    </mc:Choice>
  </mc:AlternateContent>
  <xr:revisionPtr revIDLastSave="0" documentId="13_ncr:1_{51453816-58F1-49EC-AF13-2E7ED78CFFC6}" xr6:coauthVersionLast="47" xr6:coauthVersionMax="47" xr10:uidLastSave="{00000000-0000-0000-0000-000000000000}"/>
  <bookViews>
    <workbookView xWindow="-108" yWindow="-108" windowWidth="23256" windowHeight="12576" xr2:uid="{03859D35-B8FF-4D8D-9AD0-BBC27C276ABF}"/>
  </bookViews>
  <sheets>
    <sheet name="FE Question" sheetId="1" r:id="rId1"/>
    <sheet name="Section3.1 Equivalence" sheetId="2" r:id="rId2"/>
    <sheet name="Section3.2 Interest Payment" sheetId="3" r:id="rId3"/>
    <sheet name="Section 3.3 Bond Investment" sheetId="4" r:id="rId4"/>
    <sheet name="Section3.4 Variable Interst Rat" sheetId="5" r:id="rId5"/>
  </sheets>
  <definedNames>
    <definedName name="solver_adj" localSheetId="1" hidden="1">'Section3.1 Equivalence'!$B$30</definedName>
    <definedName name="solver_adj" localSheetId="2" hidden="1">'Section3.2 Interest Payment'!$B$91</definedName>
    <definedName name="solver_adj" localSheetId="4" hidden="1">'Section3.4 Variable Interst Rat'!$E$18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1" hidden="1">0</definedName>
    <definedName name="solver_num" localSheetId="2" hidden="1">0</definedName>
    <definedName name="solver_num" localSheetId="4" hidden="1">0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1" hidden="1">'Section3.1 Equivalence'!$C$29</definedName>
    <definedName name="solver_opt" localSheetId="2" hidden="1">'Section3.2 Interest Payment'!$C$90</definedName>
    <definedName name="solver_opt" localSheetId="4" hidden="1">'Section3.4 Variable Interst Rat'!$B$23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1" hidden="1">3</definedName>
    <definedName name="solver_typ" localSheetId="2" hidden="1">3</definedName>
    <definedName name="solver_typ" localSheetId="4" hidden="1">3</definedName>
    <definedName name="solver_val" localSheetId="1" hidden="1">0</definedName>
    <definedName name="solver_val" localSheetId="2" hidden="1">25000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  <c r="B22" i="5"/>
  <c r="B19" i="5"/>
  <c r="B11" i="4"/>
  <c r="C10" i="4"/>
  <c r="B8" i="4"/>
  <c r="B9" i="4" s="1"/>
  <c r="B10" i="4" s="1"/>
  <c r="C48" i="5"/>
  <c r="B18" i="5"/>
  <c r="B4" i="4"/>
  <c r="B5" i="4"/>
  <c r="C45" i="2"/>
  <c r="C46" i="2" s="1"/>
  <c r="B10" i="1"/>
  <c r="B50" i="5"/>
  <c r="B49" i="5"/>
  <c r="C46" i="5"/>
  <c r="C45" i="5"/>
  <c r="C44" i="5"/>
  <c r="C43" i="5"/>
  <c r="B45" i="5"/>
  <c r="B44" i="5"/>
  <c r="B43" i="5"/>
  <c r="B32" i="5"/>
  <c r="B31" i="5"/>
  <c r="B30" i="5"/>
  <c r="B21" i="5"/>
  <c r="B20" i="5"/>
  <c r="E4" i="5"/>
  <c r="E13" i="5"/>
  <c r="C13" i="5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5" i="5"/>
  <c r="E5" i="5" s="1"/>
  <c r="D1" i="5"/>
  <c r="B2" i="4"/>
  <c r="H86" i="3"/>
  <c r="H87" i="3"/>
  <c r="H88" i="3"/>
  <c r="H89" i="3"/>
  <c r="H85" i="3"/>
  <c r="G86" i="3"/>
  <c r="D87" i="3" s="1"/>
  <c r="F86" i="3"/>
  <c r="E86" i="3"/>
  <c r="D86" i="3"/>
  <c r="G85" i="3"/>
  <c r="F85" i="3"/>
  <c r="E85" i="3"/>
  <c r="C86" i="3"/>
  <c r="C87" i="3"/>
  <c r="C88" i="3"/>
  <c r="C89" i="3"/>
  <c r="C85" i="3"/>
  <c r="F76" i="3"/>
  <c r="E76" i="3"/>
  <c r="C77" i="3"/>
  <c r="C78" i="3"/>
  <c r="C79" i="3"/>
  <c r="C80" i="3"/>
  <c r="C76" i="3"/>
  <c r="B74" i="3"/>
  <c r="B72" i="3"/>
  <c r="B71" i="3"/>
  <c r="B67" i="3"/>
  <c r="B70" i="3"/>
  <c r="B68" i="3"/>
  <c r="C67" i="3"/>
  <c r="B65" i="3"/>
  <c r="B64" i="3"/>
  <c r="F62" i="3"/>
  <c r="E62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F26" i="3"/>
  <c r="E26" i="3"/>
  <c r="B27" i="3"/>
  <c r="B26" i="3"/>
  <c r="C24" i="3"/>
  <c r="C23" i="3"/>
  <c r="C22" i="3"/>
  <c r="B22" i="3"/>
  <c r="B24" i="3"/>
  <c r="B23" i="3"/>
  <c r="B21" i="3"/>
  <c r="B20" i="3"/>
  <c r="B18" i="3"/>
  <c r="B17" i="3"/>
  <c r="B14" i="3"/>
  <c r="B12" i="3"/>
  <c r="B11" i="3"/>
  <c r="B10" i="3"/>
  <c r="B9" i="3"/>
  <c r="B7" i="3"/>
  <c r="B6" i="3"/>
  <c r="B5" i="3"/>
  <c r="B4" i="3"/>
  <c r="B3" i="3"/>
  <c r="B2" i="3"/>
  <c r="C86" i="2"/>
  <c r="D85" i="2"/>
  <c r="D84" i="2"/>
  <c r="D83" i="2"/>
  <c r="D82" i="2"/>
  <c r="D75" i="2"/>
  <c r="C75" i="2"/>
  <c r="D74" i="2"/>
  <c r="C74" i="2"/>
  <c r="D73" i="2"/>
  <c r="C73" i="2"/>
  <c r="D72" i="2"/>
  <c r="C72" i="2"/>
  <c r="D71" i="2"/>
  <c r="C71" i="2"/>
  <c r="D70" i="2"/>
  <c r="C70" i="2"/>
  <c r="D68" i="2"/>
  <c r="C68" i="2"/>
  <c r="D67" i="2"/>
  <c r="C67" i="2"/>
  <c r="D66" i="2"/>
  <c r="C66" i="2"/>
  <c r="D65" i="2"/>
  <c r="C65" i="2"/>
  <c r="D64" i="2"/>
  <c r="C64" i="2"/>
  <c r="D63" i="2"/>
  <c r="C63" i="2"/>
  <c r="C60" i="2"/>
  <c r="D56" i="2"/>
  <c r="D57" i="2"/>
  <c r="D58" i="2"/>
  <c r="D59" i="2"/>
  <c r="D55" i="2"/>
  <c r="C56" i="2"/>
  <c r="C57" i="2"/>
  <c r="C58" i="2"/>
  <c r="C59" i="2"/>
  <c r="C55" i="2"/>
  <c r="C51" i="2"/>
  <c r="C49" i="2"/>
  <c r="C26" i="2"/>
  <c r="C27" i="2"/>
  <c r="C28" i="2"/>
  <c r="C25" i="2"/>
  <c r="B12" i="2"/>
  <c r="B10" i="2"/>
  <c r="B36" i="1"/>
  <c r="B35" i="1"/>
  <c r="B34" i="1"/>
  <c r="B32" i="1"/>
  <c r="B29" i="1"/>
  <c r="B28" i="1"/>
  <c r="B27" i="1"/>
  <c r="B24" i="1"/>
  <c r="B23" i="1"/>
  <c r="B22" i="1"/>
  <c r="B21" i="1"/>
  <c r="B17" i="1"/>
  <c r="B15" i="1"/>
  <c r="B13" i="1"/>
  <c r="B14" i="1" s="1"/>
  <c r="B11" i="1"/>
  <c r="B4" i="1"/>
  <c r="B3" i="1"/>
  <c r="B6" i="4" l="1"/>
  <c r="C29" i="2"/>
  <c r="B46" i="5"/>
  <c r="B23" i="5"/>
  <c r="E14" i="5"/>
  <c r="E87" i="3"/>
  <c r="F87" i="3" s="1"/>
  <c r="G87" i="3" s="1"/>
  <c r="D88" i="3" s="1"/>
  <c r="C90" i="3"/>
  <c r="G76" i="3"/>
  <c r="D77" i="3" s="1"/>
  <c r="E77" i="3" s="1"/>
  <c r="F77" i="3" s="1"/>
  <c r="G77" i="3" s="1"/>
  <c r="D78" i="3" s="1"/>
  <c r="E78" i="3" s="1"/>
  <c r="F78" i="3" s="1"/>
  <c r="G78" i="3" s="1"/>
  <c r="D79" i="3" s="1"/>
  <c r="C81" i="3"/>
  <c r="C18" i="3"/>
  <c r="D86" i="2"/>
  <c r="D60" i="2"/>
  <c r="E88" i="3" l="1"/>
  <c r="F88" i="3" s="1"/>
  <c r="G88" i="3" s="1"/>
  <c r="D89" i="3"/>
  <c r="E89" i="3" s="1"/>
  <c r="F89" i="3" s="1"/>
  <c r="G89" i="3" s="1"/>
  <c r="E79" i="3"/>
  <c r="F79" i="3" s="1"/>
  <c r="G79" i="3" s="1"/>
  <c r="D80" i="3" s="1"/>
  <c r="E80" i="3" s="1"/>
  <c r="F80" i="3" s="1"/>
  <c r="G80" i="3" s="1"/>
</calcChain>
</file>

<file path=xl/sharedStrings.xml><?xml version="1.0" encoding="utf-8"?>
<sst xmlns="http://schemas.openxmlformats.org/spreadsheetml/2006/main" count="37" uniqueCount="29">
  <si>
    <t xml:space="preserve">FE Like Question </t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</si>
  <si>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</si>
  <si>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</si>
  <si>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</si>
  <si>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i=</t>
    <phoneticPr fontId="2" type="noConversion"/>
  </si>
  <si>
    <t>A=</t>
    <phoneticPr fontId="2" type="noConversion"/>
  </si>
  <si>
    <t>A1: The later one substract the 1000</t>
    <phoneticPr fontId="2" type="noConversion"/>
  </si>
  <si>
    <t>A2</t>
    <phoneticPr fontId="2" type="noConversion"/>
  </si>
  <si>
    <t>Q1</t>
    <phoneticPr fontId="2" type="noConversion"/>
  </si>
  <si>
    <t>Q2</t>
    <phoneticPr fontId="2" type="noConversion"/>
  </si>
  <si>
    <t>X=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</si>
  <si>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</si>
  <si>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</si>
  <si>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</si>
  <si>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x=</t>
    <phoneticPr fontId="2" type="noConversion"/>
  </si>
  <si>
    <t>IPMT</t>
    <phoneticPr fontId="2" type="noConversion"/>
  </si>
  <si>
    <t>PPMT</t>
    <phoneticPr fontId="2" type="noConversion"/>
  </si>
  <si>
    <t>Remaining Principal</t>
    <phoneticPr fontId="2" type="noConversion"/>
  </si>
  <si>
    <t>Total</t>
    <phoneticPr fontId="2" type="noConversion"/>
  </si>
  <si>
    <t>Payed for interest</t>
    <phoneticPr fontId="2" type="noConversion"/>
  </si>
  <si>
    <t>Paied for Principal</t>
    <phoneticPr fontId="2" type="noConversion"/>
  </si>
  <si>
    <t>Ramining Principal</t>
    <phoneticPr fontId="2" type="noConversion"/>
  </si>
  <si>
    <t>Total Unpaid</t>
    <phoneticPr fontId="2" type="noConversion"/>
  </si>
  <si>
    <t>Check</t>
    <phoneticPr fontId="2" type="noConversion"/>
  </si>
  <si>
    <r>
      <t>话讲不清楚是吧</t>
    </r>
    <r>
      <rPr>
        <sz val="11"/>
        <color theme="1"/>
        <rFont val="Segoe UI Emoji"/>
        <family val="2"/>
      </rPr>
      <t>🤯</t>
    </r>
    <phoneticPr fontId="2" type="noConversion"/>
  </si>
  <si>
    <t>Year</t>
    <phoneticPr fontId="2" type="noConversion"/>
  </si>
  <si>
    <t>Deposit</t>
    <phoneticPr fontId="2" type="noConversion"/>
  </si>
  <si>
    <t>Interest Rate</t>
    <phoneticPr fontId="2" type="noConversion"/>
  </si>
  <si>
    <t>rate=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</si>
</sst>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¥&quot;#,##0.00;[Red]&quot;¥&quot;\-#,##0.00"/>
    <numFmt numFmtId="176" formatCode="&quot;¥&quot;#,##0.000000000;[Red]&quot;¥&quot;\-#,##0.000000000"/>
    <numFmt numFmtId="177" formatCode="0.00000000000000%"/>
    <numFmt numFmtId="178" formatCode="&quot;¥&quot;#,##0.0000;[Red]&quot;¥&quot;\-#,##0.0000"/>
    <numFmt numFmtId="179" formatCode="&quot;¥&quot;#,##0.00000;[Red]&quot;¥&quot;\-#,##0.00000"/>
    <numFmt numFmtId="182" formatCode="0.00000%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8" fontId="0" fillId="0" borderId="0" xfId="0" applyNumberFormat="1">
      <alignment vertical="center"/>
    </xf>
    <xf numFmtId="8" fontId="3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8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3609-EC41-4FDB-B0D1-9E104DA9234E}">
  <dimension ref="A1:B36"/>
  <sheetViews>
    <sheetView tabSelected="1" topLeftCell="A10" workbookViewId="0">
      <selection activeCell="B10" sqref="B10"/>
    </sheetView>
  </sheetViews>
  <sheetFormatPr defaultRowHeight="13.8" x14ac:dyDescent="0.25"/>
  <cols>
    <col min="2" max="2" width="12.109375" bestFit="1" customWidth="1"/>
  </cols>
  <sheetData>
    <row r="1" spans="1:2" x14ac:dyDescent="0.25">
      <c r="A1" t="s">
        <v>0</v>
      </c>
    </row>
    <row r="2" spans="1:2" x14ac:dyDescent="0.25">
      <c r="A2">
        <v>1</v>
      </c>
    </row>
    <row r="3" spans="1:2" x14ac:dyDescent="0.25">
      <c r="B3" s="1">
        <f>NPV(0.08,5000,6000,7000,8000)</f>
        <v>21210.727060953141</v>
      </c>
    </row>
    <row r="4" spans="1:2" x14ac:dyDescent="0.25">
      <c r="B4" s="2">
        <f>FV(0.08,4,,-B3)</f>
        <v>28856.960000000003</v>
      </c>
    </row>
    <row r="5" spans="1:2" x14ac:dyDescent="0.25">
      <c r="A5">
        <v>2</v>
      </c>
    </row>
    <row r="6" spans="1:2" x14ac:dyDescent="0.25">
      <c r="B6" t="s">
        <v>1</v>
      </c>
    </row>
    <row r="8" spans="1:2" x14ac:dyDescent="0.25">
      <c r="A8">
        <v>3</v>
      </c>
    </row>
    <row r="9" spans="1:2" x14ac:dyDescent="0.25">
      <c r="B9" s="1">
        <v>5000</v>
      </c>
    </row>
    <row r="10" spans="1:2" x14ac:dyDescent="0.25">
      <c r="B10" s="2">
        <f>IPMT(0.1,2,3,-5000)</f>
        <v>348.94259818731121</v>
      </c>
    </row>
    <row r="11" spans="1:2" x14ac:dyDescent="0.25">
      <c r="B11" s="1">
        <f>PMT(0.1,3,-5000)</f>
        <v>2010.5740181268889</v>
      </c>
    </row>
    <row r="12" spans="1:2" x14ac:dyDescent="0.25">
      <c r="A12">
        <v>4</v>
      </c>
    </row>
    <row r="13" spans="1:2" x14ac:dyDescent="0.25">
      <c r="B13" s="1">
        <f>FV(0.15,3,,-10000)</f>
        <v>15208.749999999995</v>
      </c>
    </row>
    <row r="14" spans="1:2" x14ac:dyDescent="0.25">
      <c r="B14" s="1">
        <f>PMT(0.15,3,-B13)</f>
        <v>6661.082118430525</v>
      </c>
    </row>
    <row r="15" spans="1:2" x14ac:dyDescent="0.25">
      <c r="B15" s="1">
        <f>IPMT(0.15,1,3,-B13)</f>
        <v>2281.3124999999991</v>
      </c>
    </row>
    <row r="16" spans="1:2" x14ac:dyDescent="0.25">
      <c r="A16">
        <v>5</v>
      </c>
    </row>
    <row r="17" spans="1:2" x14ac:dyDescent="0.25">
      <c r="B17" s="3">
        <f>RATE(4,-300,9600,-10300)</f>
        <v>4.8212551038658319E-2</v>
      </c>
    </row>
    <row r="18" spans="1:2" x14ac:dyDescent="0.25">
      <c r="B18" t="s">
        <v>2</v>
      </c>
    </row>
    <row r="19" spans="1:2" x14ac:dyDescent="0.25">
      <c r="A19">
        <v>6</v>
      </c>
    </row>
    <row r="21" spans="1:2" x14ac:dyDescent="0.25">
      <c r="B21">
        <f>FVSCHEDULE(-1000,{0.06,0.08,0.1})</f>
        <v>-1259.2800000000002</v>
      </c>
    </row>
    <row r="22" spans="1:2" x14ac:dyDescent="0.25">
      <c r="B22">
        <f>FVSCHEDULE(3000,{0.08,0.1})</f>
        <v>3564.0000000000005</v>
      </c>
    </row>
    <row r="23" spans="1:2" x14ac:dyDescent="0.25">
      <c r="B23">
        <f>2000*1.1</f>
        <v>2200</v>
      </c>
    </row>
    <row r="24" spans="1:2" x14ac:dyDescent="0.25">
      <c r="B24" s="4">
        <f>SUM(B21:B23)+1000</f>
        <v>5504.72</v>
      </c>
    </row>
    <row r="25" spans="1:2" x14ac:dyDescent="0.25">
      <c r="B25" t="s">
        <v>3</v>
      </c>
    </row>
    <row r="26" spans="1:2" x14ac:dyDescent="0.25">
      <c r="A26">
        <v>7</v>
      </c>
    </row>
    <row r="27" spans="1:2" x14ac:dyDescent="0.25">
      <c r="B27" s="1">
        <f>FV(0.07,6,,-190500)</f>
        <v>285889.13202723453</v>
      </c>
    </row>
    <row r="28" spans="1:2" x14ac:dyDescent="0.25">
      <c r="B28" s="1">
        <f>FV(0.07,6,-200000*0.08)</f>
        <v>114452.6518512</v>
      </c>
    </row>
    <row r="29" spans="1:2" x14ac:dyDescent="0.25">
      <c r="B29" s="1">
        <f>B27-B28</f>
        <v>171436.48017603453</v>
      </c>
    </row>
    <row r="31" spans="1:2" x14ac:dyDescent="0.25">
      <c r="A31">
        <v>8</v>
      </c>
    </row>
    <row r="32" spans="1:2" x14ac:dyDescent="0.25">
      <c r="B32" s="2">
        <f>IPMT(0.075/12,1,360,-180000*0.9)</f>
        <v>1012.4999999999999</v>
      </c>
    </row>
    <row r="33" spans="1:2" x14ac:dyDescent="0.25">
      <c r="A33">
        <v>9</v>
      </c>
    </row>
    <row r="34" spans="1:2" x14ac:dyDescent="0.25">
      <c r="B34">
        <f>FVSCHEDULE(150000,{0.05,0.05,0.03,0.03,0.04,0.04})</f>
        <v>189762.75863999999</v>
      </c>
    </row>
    <row r="35" spans="1:2" x14ac:dyDescent="0.25">
      <c r="B35" s="11">
        <f>RATE(6,,-150000,B34)</f>
        <v>3.9967947730124145E-2</v>
      </c>
    </row>
    <row r="36" spans="1:2" x14ac:dyDescent="0.25">
      <c r="B36" s="2">
        <f>PMT(0.04,6,-150000)</f>
        <v>28614.285376193104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B804-8202-4FDE-BC31-CCF570E7F556}">
  <dimension ref="A1:D87"/>
  <sheetViews>
    <sheetView topLeftCell="A34" workbookViewId="0">
      <selection activeCell="C46" sqref="C46"/>
    </sheetView>
  </sheetViews>
  <sheetFormatPr defaultRowHeight="13.8" x14ac:dyDescent="0.25"/>
  <cols>
    <col min="2" max="2" width="9" bestFit="1" customWidth="1"/>
    <col min="3" max="3" width="10.21875" bestFit="1" customWidth="1"/>
    <col min="4" max="4" width="13" customWidth="1"/>
  </cols>
  <sheetData>
    <row r="1" spans="1:3" x14ac:dyDescent="0.25">
      <c r="A1" s="5">
        <v>1</v>
      </c>
    </row>
    <row r="2" spans="1:3" x14ac:dyDescent="0.25">
      <c r="B2">
        <v>600</v>
      </c>
    </row>
    <row r="3" spans="1:3" x14ac:dyDescent="0.25">
      <c r="B3">
        <v>600</v>
      </c>
    </row>
    <row r="4" spans="1:3" x14ac:dyDescent="0.25">
      <c r="B4">
        <v>600</v>
      </c>
    </row>
    <row r="5" spans="1:3" x14ac:dyDescent="0.25">
      <c r="B5">
        <v>600</v>
      </c>
    </row>
    <row r="6" spans="1:3" x14ac:dyDescent="0.25">
      <c r="B6">
        <v>1500</v>
      </c>
    </row>
    <row r="7" spans="1:3" x14ac:dyDescent="0.25">
      <c r="B7">
        <v>1500</v>
      </c>
    </row>
    <row r="8" spans="1:3" x14ac:dyDescent="0.25">
      <c r="B8">
        <v>1500</v>
      </c>
    </row>
    <row r="9" spans="1:3" x14ac:dyDescent="0.25">
      <c r="B9">
        <v>1500</v>
      </c>
    </row>
    <row r="10" spans="1:3" x14ac:dyDescent="0.25">
      <c r="B10" s="1">
        <f>NPV(B11,B2:B9)</f>
        <v>6999.9929964244866</v>
      </c>
    </row>
    <row r="11" spans="1:3" x14ac:dyDescent="0.25">
      <c r="A11" t="s">
        <v>4</v>
      </c>
      <c r="B11">
        <v>3.5146981644759843E-2</v>
      </c>
    </row>
    <row r="12" spans="1:3" x14ac:dyDescent="0.25">
      <c r="B12">
        <f>(1+B11)^(4)-1</f>
        <v>0.1481749841994382</v>
      </c>
    </row>
    <row r="13" spans="1:3" x14ac:dyDescent="0.25">
      <c r="A13">
        <v>2</v>
      </c>
    </row>
    <row r="14" spans="1:3" x14ac:dyDescent="0.25">
      <c r="B14">
        <v>1</v>
      </c>
      <c r="C14">
        <v>1000</v>
      </c>
    </row>
    <row r="15" spans="1:3" x14ac:dyDescent="0.25">
      <c r="B15">
        <v>2</v>
      </c>
      <c r="C15">
        <v>1000</v>
      </c>
    </row>
    <row r="16" spans="1:3" x14ac:dyDescent="0.25">
      <c r="B16">
        <v>3</v>
      </c>
      <c r="C16">
        <v>1000</v>
      </c>
    </row>
    <row r="17" spans="1:3" x14ac:dyDescent="0.25">
      <c r="B17">
        <v>4</v>
      </c>
      <c r="C17">
        <v>1000</v>
      </c>
    </row>
    <row r="18" spans="1:3" x14ac:dyDescent="0.25">
      <c r="B18">
        <v>5</v>
      </c>
      <c r="C18">
        <v>1000</v>
      </c>
    </row>
    <row r="19" spans="1:3" x14ac:dyDescent="0.25">
      <c r="B19">
        <v>6</v>
      </c>
      <c r="C19">
        <v>1000</v>
      </c>
    </row>
    <row r="20" spans="1:3" x14ac:dyDescent="0.25">
      <c r="B20">
        <v>7</v>
      </c>
      <c r="C20">
        <v>1000</v>
      </c>
    </row>
    <row r="21" spans="1:3" x14ac:dyDescent="0.25">
      <c r="B21">
        <v>8</v>
      </c>
      <c r="C21">
        <v>0</v>
      </c>
    </row>
    <row r="22" spans="1:3" x14ac:dyDescent="0.25">
      <c r="B22">
        <v>9</v>
      </c>
      <c r="C22">
        <v>0</v>
      </c>
    </row>
    <row r="23" spans="1:3" x14ac:dyDescent="0.25">
      <c r="B23">
        <v>10</v>
      </c>
      <c r="C23">
        <v>0</v>
      </c>
    </row>
    <row r="24" spans="1:3" x14ac:dyDescent="0.25">
      <c r="B24">
        <v>11</v>
      </c>
      <c r="C24">
        <v>0</v>
      </c>
    </row>
    <row r="25" spans="1:3" x14ac:dyDescent="0.25">
      <c r="B25">
        <v>12</v>
      </c>
      <c r="C25">
        <f>-B$30</f>
        <v>-2545.4973707568552</v>
      </c>
    </row>
    <row r="26" spans="1:3" x14ac:dyDescent="0.25">
      <c r="B26">
        <v>13</v>
      </c>
      <c r="C26">
        <f t="shared" ref="C26:C28" si="0">-B$30</f>
        <v>-2545.4973707568552</v>
      </c>
    </row>
    <row r="27" spans="1:3" x14ac:dyDescent="0.25">
      <c r="B27">
        <v>14</v>
      </c>
      <c r="C27">
        <f t="shared" si="0"/>
        <v>-2545.4973707568552</v>
      </c>
    </row>
    <row r="28" spans="1:3" x14ac:dyDescent="0.25">
      <c r="B28">
        <v>15</v>
      </c>
      <c r="C28">
        <f t="shared" si="0"/>
        <v>-2545.4973707568552</v>
      </c>
    </row>
    <row r="29" spans="1:3" x14ac:dyDescent="0.25">
      <c r="C29" s="1">
        <f>NPV(0.04,C14:C28)</f>
        <v>-8.7147241152671568E-4</v>
      </c>
    </row>
    <row r="30" spans="1:3" x14ac:dyDescent="0.25">
      <c r="A30" t="s">
        <v>5</v>
      </c>
      <c r="B30" s="4">
        <v>2545.4973707568552</v>
      </c>
    </row>
    <row r="32" spans="1:3" x14ac:dyDescent="0.25">
      <c r="A32">
        <v>3</v>
      </c>
      <c r="C32">
        <v>5000</v>
      </c>
    </row>
    <row r="33" spans="1:3" x14ac:dyDescent="0.25">
      <c r="B33">
        <v>1</v>
      </c>
      <c r="C33">
        <v>600</v>
      </c>
    </row>
    <row r="34" spans="1:3" x14ac:dyDescent="0.25">
      <c r="B34">
        <v>2</v>
      </c>
      <c r="C34">
        <v>600</v>
      </c>
    </row>
    <row r="35" spans="1:3" x14ac:dyDescent="0.25">
      <c r="B35">
        <v>3</v>
      </c>
      <c r="C35">
        <v>600</v>
      </c>
    </row>
    <row r="36" spans="1:3" x14ac:dyDescent="0.25">
      <c r="B36">
        <v>4</v>
      </c>
      <c r="C36">
        <v>600</v>
      </c>
    </row>
    <row r="37" spans="1:3" x14ac:dyDescent="0.25">
      <c r="B37">
        <v>5</v>
      </c>
      <c r="C37">
        <v>600</v>
      </c>
    </row>
    <row r="38" spans="1:3" x14ac:dyDescent="0.25">
      <c r="B38">
        <v>6</v>
      </c>
      <c r="C38">
        <v>600</v>
      </c>
    </row>
    <row r="39" spans="1:3" x14ac:dyDescent="0.25">
      <c r="B39">
        <v>7</v>
      </c>
      <c r="C39">
        <v>600</v>
      </c>
    </row>
    <row r="40" spans="1:3" x14ac:dyDescent="0.25">
      <c r="B40">
        <v>8</v>
      </c>
      <c r="C40">
        <v>600</v>
      </c>
    </row>
    <row r="41" spans="1:3" x14ac:dyDescent="0.25">
      <c r="B41">
        <v>9</v>
      </c>
      <c r="C41">
        <v>600</v>
      </c>
    </row>
    <row r="42" spans="1:3" x14ac:dyDescent="0.25">
      <c r="B42">
        <v>10</v>
      </c>
      <c r="C42">
        <v>600</v>
      </c>
    </row>
    <row r="43" spans="1:3" x14ac:dyDescent="0.25">
      <c r="B43">
        <v>11</v>
      </c>
      <c r="C43">
        <v>600</v>
      </c>
    </row>
    <row r="44" spans="1:3" x14ac:dyDescent="0.25">
      <c r="B44">
        <v>12</v>
      </c>
      <c r="C44">
        <v>1600</v>
      </c>
    </row>
    <row r="45" spans="1:3" x14ac:dyDescent="0.25">
      <c r="C45" s="1">
        <f>NPV(0.06,C33:C44)+5000</f>
        <v>10527.275727806991</v>
      </c>
    </row>
    <row r="46" spans="1:3" x14ac:dyDescent="0.25">
      <c r="C46" s="2">
        <f>PMT(0.06,12,-C45)</f>
        <v>1255.662176283982</v>
      </c>
    </row>
    <row r="47" spans="1:3" x14ac:dyDescent="0.25">
      <c r="A47">
        <v>4</v>
      </c>
    </row>
    <row r="48" spans="1:3" x14ac:dyDescent="0.25">
      <c r="A48" t="s">
        <v>8</v>
      </c>
      <c r="B48" t="s">
        <v>6</v>
      </c>
    </row>
    <row r="49" spans="1:4" x14ac:dyDescent="0.25">
      <c r="C49" s="1">
        <f>FV(0.02,8,,-6000)</f>
        <v>7029.9562860135929</v>
      </c>
    </row>
    <row r="50" spans="1:4" x14ac:dyDescent="0.25">
      <c r="B50" t="s">
        <v>7</v>
      </c>
    </row>
    <row r="51" spans="1:4" x14ac:dyDescent="0.25">
      <c r="C51" s="2">
        <f>FV(0.1,2,,-5500)</f>
        <v>6655.0000000000009</v>
      </c>
    </row>
    <row r="52" spans="1:4" x14ac:dyDescent="0.25">
      <c r="A52" t="s">
        <v>9</v>
      </c>
    </row>
    <row r="54" spans="1:4" x14ac:dyDescent="0.25">
      <c r="A54">
        <v>5</v>
      </c>
    </row>
    <row r="55" spans="1:4" x14ac:dyDescent="0.25">
      <c r="A55" t="s">
        <v>11</v>
      </c>
      <c r="B55">
        <v>1</v>
      </c>
      <c r="C55">
        <f>1000*1.08^(B55-1)</f>
        <v>1000</v>
      </c>
      <c r="D55">
        <f>C$61</f>
        <v>1162.0145616767591</v>
      </c>
    </row>
    <row r="56" spans="1:4" x14ac:dyDescent="0.25">
      <c r="B56">
        <v>2</v>
      </c>
      <c r="C56">
        <f t="shared" ref="C56:C59" si="1">1000*1.08^(B56-1)</f>
        <v>1080</v>
      </c>
      <c r="D56">
        <f t="shared" ref="D56:D59" si="2">C$61</f>
        <v>1162.0145616767591</v>
      </c>
    </row>
    <row r="57" spans="1:4" x14ac:dyDescent="0.25">
      <c r="B57">
        <v>3</v>
      </c>
      <c r="C57">
        <f t="shared" si="1"/>
        <v>1166.4000000000001</v>
      </c>
      <c r="D57">
        <f t="shared" si="2"/>
        <v>1162.0145616767591</v>
      </c>
    </row>
    <row r="58" spans="1:4" x14ac:dyDescent="0.25">
      <c r="B58">
        <v>4</v>
      </c>
      <c r="C58">
        <f t="shared" si="1"/>
        <v>1259.7120000000002</v>
      </c>
      <c r="D58">
        <f t="shared" si="2"/>
        <v>1162.0145616767591</v>
      </c>
    </row>
    <row r="59" spans="1:4" x14ac:dyDescent="0.25">
      <c r="B59">
        <v>5</v>
      </c>
      <c r="C59">
        <f t="shared" si="1"/>
        <v>1360.4889600000004</v>
      </c>
      <c r="D59">
        <f t="shared" si="2"/>
        <v>1162.0145616767591</v>
      </c>
    </row>
    <row r="60" spans="1:4" x14ac:dyDescent="0.25">
      <c r="C60" s="1">
        <f>NPV(0.065,C55:C59)</f>
        <v>4828.9603879006345</v>
      </c>
      <c r="D60" s="1">
        <f>NPV(0.065,D55:D59)</f>
        <v>4828.9600207783969</v>
      </c>
    </row>
    <row r="61" spans="1:4" x14ac:dyDescent="0.25">
      <c r="B61" t="s">
        <v>10</v>
      </c>
      <c r="C61" s="4">
        <v>1162.0145616767591</v>
      </c>
    </row>
    <row r="62" spans="1:4" x14ac:dyDescent="0.25">
      <c r="A62" t="s">
        <v>12</v>
      </c>
    </row>
    <row r="63" spans="1:4" x14ac:dyDescent="0.25">
      <c r="B63">
        <v>1</v>
      </c>
      <c r="C63">
        <f>1000*1.08^(B63-1)</f>
        <v>1000</v>
      </c>
      <c r="D63">
        <f>C$61</f>
        <v>1162.0145616767591</v>
      </c>
    </row>
    <row r="64" spans="1:4" x14ac:dyDescent="0.25">
      <c r="B64">
        <v>2</v>
      </c>
      <c r="C64">
        <f t="shared" ref="C64:C67" si="3">1000*1.08^(B64-1)</f>
        <v>1080</v>
      </c>
      <c r="D64">
        <f t="shared" ref="D64:D67" si="4">C$61</f>
        <v>1162.0145616767591</v>
      </c>
    </row>
    <row r="65" spans="1:4" x14ac:dyDescent="0.25">
      <c r="B65">
        <v>3</v>
      </c>
      <c r="C65">
        <f t="shared" si="3"/>
        <v>1166.4000000000001</v>
      </c>
      <c r="D65">
        <f t="shared" si="4"/>
        <v>1162.0145616767591</v>
      </c>
    </row>
    <row r="66" spans="1:4" x14ac:dyDescent="0.25">
      <c r="B66">
        <v>4</v>
      </c>
      <c r="C66">
        <f t="shared" si="3"/>
        <v>1259.7120000000002</v>
      </c>
      <c r="D66">
        <f t="shared" si="4"/>
        <v>1162.0145616767591</v>
      </c>
    </row>
    <row r="67" spans="1:4" x14ac:dyDescent="0.25">
      <c r="B67">
        <v>5</v>
      </c>
      <c r="C67">
        <f t="shared" si="3"/>
        <v>1360.4889600000004</v>
      </c>
      <c r="D67">
        <f t="shared" si="4"/>
        <v>1162.0145616767591</v>
      </c>
    </row>
    <row r="68" spans="1:4" x14ac:dyDescent="0.25">
      <c r="C68" s="1">
        <f>NPV(0.08,C63:C67)</f>
        <v>4629.6296296296296</v>
      </c>
      <c r="D68" s="2">
        <f>NPV(0.08,D63:D67)</f>
        <v>4639.5872036376877</v>
      </c>
    </row>
    <row r="69" spans="1:4" x14ac:dyDescent="0.25">
      <c r="A69" t="s">
        <v>13</v>
      </c>
    </row>
    <row r="70" spans="1:4" x14ac:dyDescent="0.25">
      <c r="B70">
        <v>1</v>
      </c>
      <c r="C70">
        <f>1000*1.08^(B70-1)</f>
        <v>1000</v>
      </c>
      <c r="D70">
        <f>C$61</f>
        <v>1162.0145616767591</v>
      </c>
    </row>
    <row r="71" spans="1:4" x14ac:dyDescent="0.25">
      <c r="B71">
        <v>2</v>
      </c>
      <c r="C71">
        <f t="shared" ref="C71:C74" si="5">1000*1.08^(B71-1)</f>
        <v>1080</v>
      </c>
      <c r="D71">
        <f t="shared" ref="D71:D74" si="6">C$61</f>
        <v>1162.0145616767591</v>
      </c>
    </row>
    <row r="72" spans="1:4" x14ac:dyDescent="0.25">
      <c r="B72">
        <v>3</v>
      </c>
      <c r="C72">
        <f t="shared" si="5"/>
        <v>1166.4000000000001</v>
      </c>
      <c r="D72">
        <f t="shared" si="6"/>
        <v>1162.0145616767591</v>
      </c>
    </row>
    <row r="73" spans="1:4" x14ac:dyDescent="0.25">
      <c r="B73">
        <v>4</v>
      </c>
      <c r="C73">
        <f t="shared" si="5"/>
        <v>1259.7120000000002</v>
      </c>
      <c r="D73">
        <f t="shared" si="6"/>
        <v>1162.0145616767591</v>
      </c>
    </row>
    <row r="74" spans="1:4" x14ac:dyDescent="0.25">
      <c r="B74">
        <v>5</v>
      </c>
      <c r="C74">
        <f t="shared" si="5"/>
        <v>1360.4889600000004</v>
      </c>
      <c r="D74">
        <f t="shared" si="6"/>
        <v>1162.0145616767591</v>
      </c>
    </row>
    <row r="75" spans="1:4" x14ac:dyDescent="0.25">
      <c r="C75" s="1">
        <f>NPV(0.05,C70:C74)</f>
        <v>5041.899843319251</v>
      </c>
      <c r="D75" s="2">
        <f>NPV(0.05,D70:D74)</f>
        <v>5030.9149357128254</v>
      </c>
    </row>
    <row r="76" spans="1:4" x14ac:dyDescent="0.25">
      <c r="A76">
        <v>6</v>
      </c>
    </row>
    <row r="77" spans="1:4" x14ac:dyDescent="0.25">
      <c r="A77">
        <v>7</v>
      </c>
    </row>
    <row r="78" spans="1:4" x14ac:dyDescent="0.25">
      <c r="A78">
        <v>8</v>
      </c>
    </row>
    <row r="79" spans="1:4" x14ac:dyDescent="0.25">
      <c r="A79">
        <v>9</v>
      </c>
    </row>
    <row r="80" spans="1:4" x14ac:dyDescent="0.25">
      <c r="B80">
        <v>0</v>
      </c>
      <c r="C80">
        <v>150</v>
      </c>
      <c r="D80">
        <v>0</v>
      </c>
    </row>
    <row r="81" spans="2:4" x14ac:dyDescent="0.25">
      <c r="B81">
        <v>1</v>
      </c>
      <c r="C81">
        <v>200</v>
      </c>
      <c r="D81">
        <v>0</v>
      </c>
    </row>
    <row r="82" spans="2:4" x14ac:dyDescent="0.25">
      <c r="B82">
        <v>2</v>
      </c>
      <c r="C82">
        <v>250</v>
      </c>
      <c r="D82">
        <f>35*C$87</f>
        <v>446.88650502124847</v>
      </c>
    </row>
    <row r="83" spans="2:4" x14ac:dyDescent="0.25">
      <c r="B83">
        <v>3</v>
      </c>
      <c r="C83">
        <v>300</v>
      </c>
      <c r="D83">
        <f>25*C$87</f>
        <v>319.20464644374886</v>
      </c>
    </row>
    <row r="84" spans="2:4" x14ac:dyDescent="0.25">
      <c r="B84">
        <v>4</v>
      </c>
      <c r="C84">
        <v>0</v>
      </c>
      <c r="D84">
        <f>15*C$87</f>
        <v>191.52278786624933</v>
      </c>
    </row>
    <row r="85" spans="2:4" x14ac:dyDescent="0.25">
      <c r="B85">
        <v>5</v>
      </c>
      <c r="C85">
        <v>0</v>
      </c>
      <c r="D85">
        <f>5*C$87</f>
        <v>63.840929288749777</v>
      </c>
    </row>
    <row r="86" spans="2:4" x14ac:dyDescent="0.25">
      <c r="C86" s="1">
        <f>NPV(0.12,C81:C85)+C80</f>
        <v>741.40397230320696</v>
      </c>
      <c r="D86" s="1">
        <f>NPV(0.12,D81:D85)+D80</f>
        <v>741.39999999999986</v>
      </c>
    </row>
    <row r="87" spans="2:4" x14ac:dyDescent="0.25">
      <c r="B87" t="s">
        <v>14</v>
      </c>
      <c r="C87" s="4">
        <v>12.768185857749955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5261-674E-4B8C-818B-1D56A8B99996}">
  <dimension ref="A1:H91"/>
  <sheetViews>
    <sheetView topLeftCell="A10" zoomScaleNormal="100" workbookViewId="0">
      <selection activeCell="D107" sqref="D107"/>
    </sheetView>
  </sheetViews>
  <sheetFormatPr defaultRowHeight="13.8" x14ac:dyDescent="0.25"/>
  <cols>
    <col min="2" max="2" width="16.44140625" customWidth="1"/>
    <col min="3" max="3" width="11.44140625" bestFit="1" customWidth="1"/>
    <col min="4" max="4" width="17.44140625" customWidth="1"/>
    <col min="5" max="5" width="15" customWidth="1"/>
    <col min="6" max="6" width="18.33203125" customWidth="1"/>
  </cols>
  <sheetData>
    <row r="1" spans="1:2" x14ac:dyDescent="0.25">
      <c r="A1">
        <v>10</v>
      </c>
    </row>
    <row r="2" spans="1:2" x14ac:dyDescent="0.25">
      <c r="B2" s="2">
        <f>PMT(0.01,48,-25000)</f>
        <v>658.3458857981941</v>
      </c>
    </row>
    <row r="3" spans="1:2" x14ac:dyDescent="0.25">
      <c r="B3" s="2">
        <f>IPMT(0.01,23,48,-25000)</f>
        <v>150.07128548114352</v>
      </c>
    </row>
    <row r="4" spans="1:2" x14ac:dyDescent="0.25">
      <c r="B4" s="1">
        <f>25000-PV(0.01,37,-658.35)</f>
        <v>4723.1426323867126</v>
      </c>
    </row>
    <row r="5" spans="1:2" x14ac:dyDescent="0.25">
      <c r="B5" s="2">
        <f>FV(0.01,37,,-B4)</f>
        <v>6825.3022892581694</v>
      </c>
    </row>
    <row r="6" spans="1:2" x14ac:dyDescent="0.25">
      <c r="B6">
        <f>25000-PV(0.01,42,-658.35)</f>
        <v>2512.0095058101433</v>
      </c>
    </row>
    <row r="7" spans="1:2" x14ac:dyDescent="0.25">
      <c r="B7" s="2">
        <f>FV(0.01,42,,-B6)+658.35</f>
        <v>4473.5646526473492</v>
      </c>
    </row>
    <row r="8" spans="1:2" x14ac:dyDescent="0.25">
      <c r="A8">
        <v>11</v>
      </c>
    </row>
    <row r="9" spans="1:2" x14ac:dyDescent="0.25">
      <c r="B9" s="1">
        <f>PMT(0.02,12,-80000)</f>
        <v>7564.7677298361177</v>
      </c>
    </row>
    <row r="10" spans="1:2" x14ac:dyDescent="0.25">
      <c r="B10">
        <f>80000*0.02</f>
        <v>1600</v>
      </c>
    </row>
    <row r="11" spans="1:2" x14ac:dyDescent="0.25">
      <c r="B11" s="2">
        <f>IPMT(0.02,6,12,-80000)</f>
        <v>979.1821837772161</v>
      </c>
    </row>
    <row r="12" spans="1:2" x14ac:dyDescent="0.25">
      <c r="B12" s="2">
        <f>PPMT(0.02,6,12,-80000)</f>
        <v>6585.5855460589019</v>
      </c>
    </row>
    <row r="13" spans="1:2" x14ac:dyDescent="0.25">
      <c r="A13" s="4">
        <v>12</v>
      </c>
    </row>
    <row r="14" spans="1:2" x14ac:dyDescent="0.25">
      <c r="B14" s="2">
        <f>PMT(0.06/12,7*12,-200000)</f>
        <v>2921.7108967561576</v>
      </c>
    </row>
    <row r="16" spans="1:2" x14ac:dyDescent="0.25">
      <c r="A16">
        <v>13</v>
      </c>
    </row>
    <row r="17" spans="1:6" x14ac:dyDescent="0.25">
      <c r="B17" s="1">
        <f>FV(B19,12,,-14000)</f>
        <v>15932.487625365406</v>
      </c>
    </row>
    <row r="18" spans="1:6" x14ac:dyDescent="0.25">
      <c r="B18" s="1">
        <f>PV(B19,36,-536.83)</f>
        <v>15932.485418957551</v>
      </c>
      <c r="C18" s="1">
        <f>B17-B18</f>
        <v>2.2064078548282851E-3</v>
      </c>
    </row>
    <row r="19" spans="1:6" x14ac:dyDescent="0.25">
      <c r="A19" t="s">
        <v>4</v>
      </c>
      <c r="B19">
        <v>1.0833507186903592E-2</v>
      </c>
    </row>
    <row r="20" spans="1:6" x14ac:dyDescent="0.25">
      <c r="B20">
        <f>B19*12</f>
        <v>0.1300020862428431</v>
      </c>
    </row>
    <row r="21" spans="1:6" x14ac:dyDescent="0.25">
      <c r="B21">
        <f>EFFECT(B20,12)</f>
        <v>0.13803483038324327</v>
      </c>
    </row>
    <row r="22" spans="1:6" x14ac:dyDescent="0.25">
      <c r="B22" s="1">
        <f>IPMT($B$19,14,36,-$B$17)</f>
        <v>117.83843299342809</v>
      </c>
      <c r="C22" s="1">
        <f>PPMT($B$19,14,36,-$B$17)</f>
        <v>418.99164134939616</v>
      </c>
    </row>
    <row r="23" spans="1:6" x14ac:dyDescent="0.25">
      <c r="B23" s="1">
        <f>IPMT($B$19,18,36,-$B$17)</f>
        <v>99.384651026981459</v>
      </c>
      <c r="C23" s="1">
        <f>PPMT($B$19,18,36,-$B$17)</f>
        <v>437.44542331584279</v>
      </c>
    </row>
    <row r="24" spans="1:6" x14ac:dyDescent="0.25">
      <c r="B24" s="1">
        <f>IPMT($B$19,22,36,-$B$17)</f>
        <v>80.118103278934953</v>
      </c>
      <c r="C24" s="1">
        <f>PPMT($B$19,22,36,-$B$17)</f>
        <v>456.71197106388928</v>
      </c>
    </row>
    <row r="25" spans="1:6" x14ac:dyDescent="0.25">
      <c r="A25">
        <v>14</v>
      </c>
      <c r="E25" t="s">
        <v>15</v>
      </c>
      <c r="F25" t="s">
        <v>16</v>
      </c>
    </row>
    <row r="26" spans="1:6" x14ac:dyDescent="0.25">
      <c r="B26" s="2">
        <f>FV(0.02,36,,-500000)</f>
        <v>1019943.6718578518</v>
      </c>
      <c r="D26">
        <v>1</v>
      </c>
      <c r="E26" s="1">
        <f>IPMT(0.02,D26,36,-B$26)</f>
        <v>20398.873437157035</v>
      </c>
      <c r="F26" s="1">
        <f>PPMT(0.02,D26,36,-B$26)</f>
        <v>19616.42629889907</v>
      </c>
    </row>
    <row r="27" spans="1:6" x14ac:dyDescent="0.25">
      <c r="B27" s="2">
        <f>PMT(0.02,36,-B26)</f>
        <v>40015.299736056106</v>
      </c>
      <c r="D27">
        <v>2</v>
      </c>
      <c r="E27" s="1">
        <f t="shared" ref="E27:E61" si="0">IPMT(0.02,D27,36,-B$26)</f>
        <v>20006.544911179059</v>
      </c>
      <c r="F27" s="1">
        <f t="shared" ref="F27:F61" si="1">PPMT(0.02,D27,36,-B$26)</f>
        <v>20008.754824877051</v>
      </c>
    </row>
    <row r="28" spans="1:6" x14ac:dyDescent="0.25">
      <c r="D28">
        <v>3</v>
      </c>
      <c r="E28" s="1">
        <f t="shared" si="0"/>
        <v>19606.369814681515</v>
      </c>
      <c r="F28" s="1">
        <f t="shared" si="1"/>
        <v>20408.929921374591</v>
      </c>
    </row>
    <row r="29" spans="1:6" x14ac:dyDescent="0.25">
      <c r="D29">
        <v>4</v>
      </c>
      <c r="E29" s="1">
        <f t="shared" si="0"/>
        <v>19198.191216254021</v>
      </c>
      <c r="F29" s="1">
        <f t="shared" si="1"/>
        <v>20817.108519802085</v>
      </c>
    </row>
    <row r="30" spans="1:6" x14ac:dyDescent="0.25">
      <c r="D30">
        <v>5</v>
      </c>
      <c r="E30" s="1">
        <f t="shared" si="0"/>
        <v>18781.84904585798</v>
      </c>
      <c r="F30" s="1">
        <f t="shared" si="1"/>
        <v>21233.450690198126</v>
      </c>
    </row>
    <row r="31" spans="1:6" x14ac:dyDescent="0.25">
      <c r="D31">
        <v>6</v>
      </c>
      <c r="E31" s="1">
        <f t="shared" si="0"/>
        <v>18357.180032054017</v>
      </c>
      <c r="F31" s="1">
        <f t="shared" si="1"/>
        <v>21658.119704002085</v>
      </c>
    </row>
    <row r="32" spans="1:6" x14ac:dyDescent="0.25">
      <c r="D32">
        <v>7</v>
      </c>
      <c r="E32" s="1">
        <f t="shared" si="0"/>
        <v>17924.017637973979</v>
      </c>
      <c r="F32" s="1">
        <f t="shared" si="1"/>
        <v>22091.282098082131</v>
      </c>
    </row>
    <row r="33" spans="4:6" x14ac:dyDescent="0.25">
      <c r="D33">
        <v>8</v>
      </c>
      <c r="E33" s="1">
        <f t="shared" si="0"/>
        <v>17482.191996012334</v>
      </c>
      <c r="F33" s="1">
        <f t="shared" si="1"/>
        <v>22533.107740043772</v>
      </c>
    </row>
    <row r="34" spans="4:6" x14ac:dyDescent="0.25">
      <c r="D34">
        <v>9</v>
      </c>
      <c r="E34" s="1">
        <f t="shared" si="0"/>
        <v>17031.529841211461</v>
      </c>
      <c r="F34" s="1">
        <f t="shared" si="1"/>
        <v>22983.769894844649</v>
      </c>
    </row>
    <row r="35" spans="4:6" x14ac:dyDescent="0.25">
      <c r="D35">
        <v>10</v>
      </c>
      <c r="E35" s="1">
        <f t="shared" si="0"/>
        <v>16571.854443314565</v>
      </c>
      <c r="F35" s="1">
        <f t="shared" si="1"/>
        <v>23443.445292741544</v>
      </c>
    </row>
    <row r="36" spans="4:6" x14ac:dyDescent="0.25">
      <c r="D36">
        <v>11</v>
      </c>
      <c r="E36" s="1">
        <f t="shared" si="0"/>
        <v>16102.985537459734</v>
      </c>
      <c r="F36" s="1">
        <f t="shared" si="1"/>
        <v>23912.31419859637</v>
      </c>
    </row>
    <row r="37" spans="4:6" x14ac:dyDescent="0.25">
      <c r="D37">
        <v>12</v>
      </c>
      <c r="E37" s="1">
        <f t="shared" si="0"/>
        <v>15624.739253487805</v>
      </c>
      <c r="F37" s="1">
        <f t="shared" si="1"/>
        <v>24390.560482568293</v>
      </c>
    </row>
    <row r="38" spans="4:6" x14ac:dyDescent="0.25">
      <c r="D38">
        <v>13</v>
      </c>
      <c r="E38" s="1">
        <f t="shared" si="0"/>
        <v>15136.928043836442</v>
      </c>
      <c r="F38" s="1">
        <f t="shared" si="1"/>
        <v>24878.371692219662</v>
      </c>
    </row>
    <row r="39" spans="4:6" x14ac:dyDescent="0.25">
      <c r="D39">
        <v>14</v>
      </c>
      <c r="E39" s="1">
        <f t="shared" si="0"/>
        <v>14639.360609992043</v>
      </c>
      <c r="F39" s="1">
        <f t="shared" si="1"/>
        <v>25375.939126064062</v>
      </c>
    </row>
    <row r="40" spans="4:6" x14ac:dyDescent="0.25">
      <c r="D40">
        <v>15</v>
      </c>
      <c r="E40" s="1">
        <f t="shared" si="0"/>
        <v>14131.841827470766</v>
      </c>
      <c r="F40" s="1">
        <f t="shared" si="1"/>
        <v>25883.457908585337</v>
      </c>
    </row>
    <row r="41" spans="4:6" x14ac:dyDescent="0.25">
      <c r="D41">
        <v>16</v>
      </c>
      <c r="E41" s="1">
        <f t="shared" si="0"/>
        <v>13614.17266929906</v>
      </c>
      <c r="F41" s="1">
        <f t="shared" si="1"/>
        <v>26401.127066757046</v>
      </c>
    </row>
    <row r="42" spans="4:6" x14ac:dyDescent="0.25">
      <c r="D42">
        <v>17</v>
      </c>
      <c r="E42" s="1">
        <f t="shared" si="0"/>
        <v>13086.150127963918</v>
      </c>
      <c r="F42" s="1">
        <f t="shared" si="1"/>
        <v>26929.149608092186</v>
      </c>
    </row>
    <row r="43" spans="4:6" x14ac:dyDescent="0.25">
      <c r="D43">
        <v>18</v>
      </c>
      <c r="E43" s="1">
        <f t="shared" si="0"/>
        <v>12547.567135802075</v>
      </c>
      <c r="F43" s="1">
        <f t="shared" si="1"/>
        <v>27467.732600254032</v>
      </c>
    </row>
    <row r="44" spans="4:6" x14ac:dyDescent="0.25">
      <c r="D44">
        <v>19</v>
      </c>
      <c r="E44" s="1">
        <f t="shared" si="0"/>
        <v>11998.212483796995</v>
      </c>
      <c r="F44" s="1">
        <f t="shared" si="1"/>
        <v>28017.087252259109</v>
      </c>
    </row>
    <row r="45" spans="4:6" x14ac:dyDescent="0.25">
      <c r="D45">
        <v>20</v>
      </c>
      <c r="E45" s="1">
        <f t="shared" si="0"/>
        <v>11437.870738751812</v>
      </c>
      <c r="F45" s="1">
        <f t="shared" si="1"/>
        <v>28577.428997304291</v>
      </c>
    </row>
    <row r="46" spans="4:6" x14ac:dyDescent="0.25">
      <c r="D46">
        <v>21</v>
      </c>
      <c r="E46" s="1">
        <f t="shared" si="0"/>
        <v>10866.322158805726</v>
      </c>
      <c r="F46" s="1">
        <f t="shared" si="1"/>
        <v>29148.977577250382</v>
      </c>
    </row>
    <row r="47" spans="4:6" x14ac:dyDescent="0.25">
      <c r="D47">
        <v>22</v>
      </c>
      <c r="E47" s="1">
        <f t="shared" si="0"/>
        <v>10283.34260726072</v>
      </c>
      <c r="F47" s="1">
        <f t="shared" si="1"/>
        <v>29731.957128795388</v>
      </c>
    </row>
    <row r="48" spans="4:6" x14ac:dyDescent="0.25">
      <c r="D48">
        <v>23</v>
      </c>
      <c r="E48" s="1">
        <f t="shared" si="0"/>
        <v>9688.7034646848115</v>
      </c>
      <c r="F48" s="1">
        <f t="shared" si="1"/>
        <v>30326.596271371294</v>
      </c>
    </row>
    <row r="49" spans="2:6" x14ac:dyDescent="0.25">
      <c r="D49">
        <v>24</v>
      </c>
      <c r="E49" s="1">
        <f t="shared" si="0"/>
        <v>9082.171539257386</v>
      </c>
      <c r="F49" s="1">
        <f t="shared" si="1"/>
        <v>30933.128196798723</v>
      </c>
    </row>
    <row r="50" spans="2:6" x14ac:dyDescent="0.25">
      <c r="D50">
        <v>25</v>
      </c>
      <c r="E50" s="1">
        <f t="shared" si="0"/>
        <v>8463.5089753214124</v>
      </c>
      <c r="F50" s="1">
        <f t="shared" si="1"/>
        <v>31551.790760734693</v>
      </c>
    </row>
    <row r="51" spans="2:6" x14ac:dyDescent="0.25">
      <c r="D51">
        <v>26</v>
      </c>
      <c r="E51" s="1">
        <f t="shared" si="0"/>
        <v>7832.4731601067169</v>
      </c>
      <c r="F51" s="1">
        <f t="shared" si="1"/>
        <v>32182.826575949388</v>
      </c>
    </row>
    <row r="52" spans="2:6" x14ac:dyDescent="0.25">
      <c r="D52">
        <v>27</v>
      </c>
      <c r="E52" s="1">
        <f t="shared" si="0"/>
        <v>7188.8166285877296</v>
      </c>
      <c r="F52" s="1">
        <f t="shared" si="1"/>
        <v>32826.483107468383</v>
      </c>
    </row>
    <row r="53" spans="2:6" x14ac:dyDescent="0.25">
      <c r="D53">
        <v>28</v>
      </c>
      <c r="E53" s="1">
        <f t="shared" si="0"/>
        <v>6532.2869664383625</v>
      </c>
      <c r="F53" s="1">
        <f t="shared" si="1"/>
        <v>33483.012769617744</v>
      </c>
    </row>
    <row r="54" spans="2:6" x14ac:dyDescent="0.25">
      <c r="D54">
        <v>29</v>
      </c>
      <c r="E54" s="1">
        <f t="shared" si="0"/>
        <v>5862.6267110460067</v>
      </c>
      <c r="F54" s="1">
        <f t="shared" si="1"/>
        <v>34152.673025010095</v>
      </c>
    </row>
    <row r="55" spans="2:6" x14ac:dyDescent="0.25">
      <c r="D55">
        <v>30</v>
      </c>
      <c r="E55" s="1">
        <f t="shared" si="0"/>
        <v>5179.5732505458063</v>
      </c>
      <c r="F55" s="1">
        <f t="shared" si="1"/>
        <v>34835.726485510299</v>
      </c>
    </row>
    <row r="56" spans="2:6" x14ac:dyDescent="0.25">
      <c r="D56">
        <v>31</v>
      </c>
      <c r="E56" s="1">
        <f t="shared" si="0"/>
        <v>4482.8587208355993</v>
      </c>
      <c r="F56" s="1">
        <f t="shared" si="1"/>
        <v>35532.441015220509</v>
      </c>
    </row>
    <row r="57" spans="2:6" x14ac:dyDescent="0.25">
      <c r="D57">
        <v>32</v>
      </c>
      <c r="E57" s="1">
        <f t="shared" si="0"/>
        <v>3772.2099005311884</v>
      </c>
      <c r="F57" s="1">
        <f t="shared" si="1"/>
        <v>36243.089835524916</v>
      </c>
    </row>
    <row r="58" spans="2:6" x14ac:dyDescent="0.25">
      <c r="D58">
        <v>33</v>
      </c>
      <c r="E58" s="1">
        <f t="shared" si="0"/>
        <v>3047.348103820691</v>
      </c>
      <c r="F58" s="1">
        <f t="shared" si="1"/>
        <v>36967.951632235417</v>
      </c>
    </row>
    <row r="59" spans="2:6" x14ac:dyDescent="0.25">
      <c r="D59">
        <v>34</v>
      </c>
      <c r="E59" s="1">
        <f t="shared" si="0"/>
        <v>2307.9890711759826</v>
      </c>
      <c r="F59" s="1">
        <f t="shared" si="1"/>
        <v>37707.310664880126</v>
      </c>
    </row>
    <row r="60" spans="2:6" x14ac:dyDescent="0.25">
      <c r="D60">
        <v>35</v>
      </c>
      <c r="E60" s="1">
        <f t="shared" si="0"/>
        <v>1553.8428578783803</v>
      </c>
      <c r="F60" s="1">
        <f t="shared" si="1"/>
        <v>38461.456878177727</v>
      </c>
    </row>
    <row r="61" spans="2:6" x14ac:dyDescent="0.25">
      <c r="D61">
        <v>36</v>
      </c>
      <c r="E61" s="1">
        <f t="shared" si="0"/>
        <v>784.61372031482563</v>
      </c>
      <c r="F61" s="1">
        <f t="shared" si="1"/>
        <v>39230.686015741274</v>
      </c>
    </row>
    <row r="62" spans="2:6" x14ac:dyDescent="0.25">
      <c r="E62" s="2">
        <f>NPV(0.02,E26:E61)</f>
        <v>327599.21424964926</v>
      </c>
      <c r="F62" s="2">
        <f>NPV(0.02,F26:F61)</f>
        <v>692344.45760820247</v>
      </c>
    </row>
    <row r="64" spans="2:6" x14ac:dyDescent="0.25">
      <c r="B64" s="1">
        <f>B26-PV(0.02,24,-B27)</f>
        <v>263097.26966603007</v>
      </c>
    </row>
    <row r="65" spans="1:7" x14ac:dyDescent="0.25">
      <c r="B65" s="1">
        <f>FV(0.02,24,,-B64)</f>
        <v>423175.44876607094</v>
      </c>
    </row>
    <row r="66" spans="1:7" x14ac:dyDescent="0.25">
      <c r="A66">
        <v>15</v>
      </c>
    </row>
    <row r="67" spans="1:7" x14ac:dyDescent="0.25">
      <c r="A67">
        <v>1</v>
      </c>
      <c r="B67" s="1">
        <f>PMT(0.06,10,-100000)</f>
        <v>13586.795822038383</v>
      </c>
      <c r="C67" s="1">
        <f>FV(0.06,1,,-100000)</f>
        <v>106000</v>
      </c>
    </row>
    <row r="68" spans="1:7" x14ac:dyDescent="0.25">
      <c r="B68" s="2">
        <f>IPMT(0.06,3,10,-100000)</f>
        <v>5062.2720363960552</v>
      </c>
    </row>
    <row r="69" spans="1:7" x14ac:dyDescent="0.25">
      <c r="A69">
        <v>2</v>
      </c>
    </row>
    <row r="70" spans="1:7" x14ac:dyDescent="0.25">
      <c r="B70" s="1">
        <f>FV(0.06,3,,-100000)</f>
        <v>119101.60000000003</v>
      </c>
    </row>
    <row r="71" spans="1:7" x14ac:dyDescent="0.25">
      <c r="B71" s="2">
        <f>PMT(0.06,10,-B70)</f>
        <v>16182.091212780873</v>
      </c>
    </row>
    <row r="72" spans="1:7" x14ac:dyDescent="0.25">
      <c r="B72" s="6">
        <f>IPMT(0.06,1,10,-B70)</f>
        <v>7146.0960000000023</v>
      </c>
    </row>
    <row r="73" spans="1:7" x14ac:dyDescent="0.25">
      <c r="A73">
        <v>3</v>
      </c>
    </row>
    <row r="74" spans="1:7" x14ac:dyDescent="0.25">
      <c r="B74" s="2">
        <f>IPMT(0.06,10,10,-B70)</f>
        <v>915.96742713853985</v>
      </c>
    </row>
    <row r="75" spans="1:7" x14ac:dyDescent="0.25">
      <c r="A75">
        <v>16</v>
      </c>
      <c r="D75" t="s">
        <v>17</v>
      </c>
      <c r="E75" t="s">
        <v>18</v>
      </c>
      <c r="F75" t="s">
        <v>19</v>
      </c>
      <c r="G75" t="s">
        <v>20</v>
      </c>
    </row>
    <row r="76" spans="1:7" x14ac:dyDescent="0.25">
      <c r="B76">
        <v>1</v>
      </c>
      <c r="C76">
        <f>B$82+500*(B76-1)</f>
        <v>5338.1755693845507</v>
      </c>
      <c r="D76">
        <v>25000</v>
      </c>
      <c r="E76">
        <f>D76*1.08</f>
        <v>27000</v>
      </c>
      <c r="F76">
        <f>E76-D76</f>
        <v>2000</v>
      </c>
      <c r="G76">
        <f>C76-F76</f>
        <v>3338.1755693845507</v>
      </c>
    </row>
    <row r="77" spans="1:7" x14ac:dyDescent="0.25">
      <c r="B77">
        <v>2</v>
      </c>
      <c r="C77">
        <f t="shared" ref="C77:C80" si="2">B$82+500*(B77-1)</f>
        <v>5838.1755693845507</v>
      </c>
      <c r="D77">
        <f>D76-G76</f>
        <v>21661.824430615448</v>
      </c>
      <c r="E77">
        <f>D77*1.08</f>
        <v>23394.770385064687</v>
      </c>
      <c r="F77">
        <f t="shared" ref="F77:F80" si="3">E77-D77</f>
        <v>1732.9459544492383</v>
      </c>
      <c r="G77" s="4">
        <f t="shared" ref="G77:G80" si="4">C77-F77</f>
        <v>4105.2296149353124</v>
      </c>
    </row>
    <row r="78" spans="1:7" x14ac:dyDescent="0.25">
      <c r="B78">
        <v>3</v>
      </c>
      <c r="C78">
        <f t="shared" si="2"/>
        <v>6338.1755693845507</v>
      </c>
      <c r="D78">
        <f t="shared" ref="D78:D80" si="5">D77-G77</f>
        <v>17556.594815680135</v>
      </c>
      <c r="E78">
        <f t="shared" ref="E78:E80" si="6">D78*1.08</f>
        <v>18961.122400934546</v>
      </c>
      <c r="F78">
        <f t="shared" si="3"/>
        <v>1404.527585254411</v>
      </c>
      <c r="G78">
        <f t="shared" si="4"/>
        <v>4933.6479841301398</v>
      </c>
    </row>
    <row r="79" spans="1:7" x14ac:dyDescent="0.25">
      <c r="B79">
        <v>4</v>
      </c>
      <c r="C79">
        <f t="shared" si="2"/>
        <v>6838.1755693845507</v>
      </c>
      <c r="D79">
        <f t="shared" si="5"/>
        <v>12622.946831549994</v>
      </c>
      <c r="E79">
        <f t="shared" si="6"/>
        <v>13632.782578073995</v>
      </c>
      <c r="F79">
        <f t="shared" si="3"/>
        <v>1009.8357465240006</v>
      </c>
      <c r="G79">
        <f t="shared" si="4"/>
        <v>5828.3398228605502</v>
      </c>
    </row>
    <row r="80" spans="1:7" x14ac:dyDescent="0.25">
      <c r="B80">
        <v>5</v>
      </c>
      <c r="C80">
        <f t="shared" si="2"/>
        <v>7338.1755693845507</v>
      </c>
      <c r="D80">
        <f t="shared" si="5"/>
        <v>6794.6070086894442</v>
      </c>
      <c r="E80">
        <f t="shared" si="6"/>
        <v>7338.1755693845998</v>
      </c>
      <c r="F80">
        <f t="shared" si="3"/>
        <v>543.56856069515561</v>
      </c>
      <c r="G80">
        <f t="shared" si="4"/>
        <v>6794.6070086893951</v>
      </c>
    </row>
    <row r="81" spans="1:8" x14ac:dyDescent="0.25">
      <c r="C81" s="1">
        <f>NPV(0.08,C76:C80)</f>
        <v>24999.999999999964</v>
      </c>
    </row>
    <row r="82" spans="1:8" x14ac:dyDescent="0.25">
      <c r="A82" t="s">
        <v>14</v>
      </c>
      <c r="B82">
        <v>5338.1755693845507</v>
      </c>
    </row>
    <row r="84" spans="1:8" x14ac:dyDescent="0.25">
      <c r="A84">
        <v>17</v>
      </c>
      <c r="D84" t="s">
        <v>21</v>
      </c>
      <c r="E84" t="s">
        <v>22</v>
      </c>
      <c r="F84" t="s">
        <v>15</v>
      </c>
      <c r="G84" t="s">
        <v>16</v>
      </c>
      <c r="H84" t="s">
        <v>23</v>
      </c>
    </row>
    <row r="85" spans="1:8" x14ac:dyDescent="0.25">
      <c r="B85">
        <v>1</v>
      </c>
      <c r="C85">
        <f>B$91*1.1^(B85-1)</f>
        <v>5203.669292415474</v>
      </c>
      <c r="D85">
        <v>25000</v>
      </c>
      <c r="E85">
        <f>D85*1.08</f>
        <v>27000</v>
      </c>
      <c r="F85">
        <f>E85-D85</f>
        <v>2000</v>
      </c>
      <c r="G85">
        <f>C85-F85</f>
        <v>3203.669292415474</v>
      </c>
      <c r="H85">
        <f>E85-D86</f>
        <v>5203.669292415474</v>
      </c>
    </row>
    <row r="86" spans="1:8" x14ac:dyDescent="0.25">
      <c r="B86">
        <v>2</v>
      </c>
      <c r="C86">
        <f t="shared" ref="C86:C89" si="7">B$91*1.1^(B86-1)</f>
        <v>5724.036221657022</v>
      </c>
      <c r="D86">
        <f>D85-G85</f>
        <v>21796.330707584526</v>
      </c>
      <c r="E86">
        <f t="shared" ref="E86:E89" si="8">D86*1.08</f>
        <v>23540.03716419129</v>
      </c>
      <c r="F86">
        <f t="shared" ref="F86:F89" si="9">E86-D86</f>
        <v>1743.7064566067638</v>
      </c>
      <c r="G86" s="4">
        <f t="shared" ref="G86:G89" si="10">C86-F86</f>
        <v>3980.3297650502582</v>
      </c>
      <c r="H86">
        <f t="shared" ref="H86:H89" si="11">E86-D87</f>
        <v>5724.0362216570211</v>
      </c>
    </row>
    <row r="87" spans="1:8" x14ac:dyDescent="0.25">
      <c r="B87">
        <v>3</v>
      </c>
      <c r="C87">
        <f t="shared" si="7"/>
        <v>6296.4398438227245</v>
      </c>
      <c r="D87">
        <f t="shared" ref="D87:D89" si="12">D86-G86</f>
        <v>17816.000942534269</v>
      </c>
      <c r="E87">
        <f t="shared" si="8"/>
        <v>19241.28101793701</v>
      </c>
      <c r="F87">
        <f t="shared" si="9"/>
        <v>1425.2800754027412</v>
      </c>
      <c r="G87">
        <f t="shared" si="10"/>
        <v>4871.1597684199833</v>
      </c>
      <c r="H87">
        <f t="shared" si="11"/>
        <v>6296.4398438227254</v>
      </c>
    </row>
    <row r="88" spans="1:8" x14ac:dyDescent="0.25">
      <c r="B88">
        <v>4</v>
      </c>
      <c r="C88">
        <f t="shared" si="7"/>
        <v>6926.0838282049981</v>
      </c>
      <c r="D88">
        <f t="shared" si="12"/>
        <v>12944.841174114285</v>
      </c>
      <c r="E88">
        <f t="shared" si="8"/>
        <v>13980.428468043428</v>
      </c>
      <c r="F88">
        <f t="shared" si="9"/>
        <v>1035.5872939291439</v>
      </c>
      <c r="G88">
        <f t="shared" si="10"/>
        <v>5890.4965342758542</v>
      </c>
      <c r="H88">
        <f t="shared" si="11"/>
        <v>6926.0838282049981</v>
      </c>
    </row>
    <row r="89" spans="1:8" x14ac:dyDescent="0.25">
      <c r="B89">
        <v>5</v>
      </c>
      <c r="C89">
        <f t="shared" si="7"/>
        <v>7618.6922110254973</v>
      </c>
      <c r="D89">
        <f t="shared" si="12"/>
        <v>7054.3446398384303</v>
      </c>
      <c r="E89">
        <f t="shared" si="8"/>
        <v>7618.6922110255055</v>
      </c>
      <c r="F89">
        <f t="shared" si="9"/>
        <v>564.34757118707512</v>
      </c>
      <c r="G89">
        <f t="shared" si="10"/>
        <v>7054.3446398384222</v>
      </c>
      <c r="H89">
        <f t="shared" si="11"/>
        <v>7618.6922110255055</v>
      </c>
    </row>
    <row r="90" spans="1:8" x14ac:dyDescent="0.25">
      <c r="C90" s="1">
        <f>NPV(0.08,C85:C89)</f>
        <v>24999.999999999993</v>
      </c>
    </row>
    <row r="91" spans="1:8" x14ac:dyDescent="0.25">
      <c r="A91" t="s">
        <v>10</v>
      </c>
      <c r="B91">
        <v>5203.669292415474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63CF-6579-4B2F-B6A6-8474C8DA5322}">
  <dimension ref="A1:C11"/>
  <sheetViews>
    <sheetView workbookViewId="0">
      <selection activeCell="B2" sqref="B2"/>
    </sheetView>
  </sheetViews>
  <sheetFormatPr defaultRowHeight="13.8" x14ac:dyDescent="0.25"/>
  <cols>
    <col min="2" max="2" width="16.33203125" customWidth="1"/>
    <col min="3" max="3" width="9" bestFit="1" customWidth="1"/>
  </cols>
  <sheetData>
    <row r="1" spans="1:3" x14ac:dyDescent="0.25">
      <c r="A1" s="4">
        <v>18</v>
      </c>
    </row>
    <row r="2" spans="1:3" x14ac:dyDescent="0.25">
      <c r="B2" s="1">
        <f>PV(0.04,14,-5000*0.06,-5000)</f>
        <v>6056.3122929454858</v>
      </c>
    </row>
    <row r="3" spans="1:3" x14ac:dyDescent="0.25">
      <c r="A3">
        <v>19</v>
      </c>
    </row>
    <row r="4" spans="1:3" x14ac:dyDescent="0.25">
      <c r="B4" s="1">
        <f>FV(0.06,10,,-9500)</f>
        <v>17013.05311715712</v>
      </c>
    </row>
    <row r="5" spans="1:3" x14ac:dyDescent="0.25">
      <c r="B5" s="1">
        <f>FV(0.06,10,-0.033*10000)</f>
        <v>4349.6623309857005</v>
      </c>
    </row>
    <row r="6" spans="1:3" x14ac:dyDescent="0.25">
      <c r="B6" s="2">
        <f>B4-B5</f>
        <v>12663.39078617142</v>
      </c>
    </row>
    <row r="7" spans="1:3" x14ac:dyDescent="0.25">
      <c r="A7">
        <v>20</v>
      </c>
    </row>
    <row r="8" spans="1:3" x14ac:dyDescent="0.25">
      <c r="B8" s="1">
        <f>FV(0.04,28,,-750.08)</f>
        <v>2249.267385652237</v>
      </c>
    </row>
    <row r="9" spans="1:3" x14ac:dyDescent="0.25">
      <c r="B9" s="1">
        <f>B8-1000</f>
        <v>1249.267385652237</v>
      </c>
    </row>
    <row r="10" spans="1:3" x14ac:dyDescent="0.25">
      <c r="B10" s="9">
        <f>PMT(0.04,28,,-B9)</f>
        <v>25.001557232883435</v>
      </c>
      <c r="C10" s="1">
        <f>FV(0.04,28,-25.0016)</f>
        <v>1249.2695226216856</v>
      </c>
    </row>
    <row r="11" spans="1:3" x14ac:dyDescent="0.25">
      <c r="B11" s="10">
        <f>B10/1000</f>
        <v>2.5001557232883435E-2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542-E197-42EC-9372-B4E802787F35}">
  <dimension ref="A1:E50"/>
  <sheetViews>
    <sheetView workbookViewId="0">
      <selection activeCell="C2" sqref="C2"/>
    </sheetView>
  </sheetViews>
  <sheetFormatPr defaultRowHeight="13.8" x14ac:dyDescent="0.25"/>
  <cols>
    <col min="2" max="2" width="20.44140625" customWidth="1"/>
    <col min="3" max="3" width="18.109375" bestFit="1" customWidth="1"/>
    <col min="4" max="4" width="12.88671875" customWidth="1"/>
  </cols>
  <sheetData>
    <row r="1" spans="1:5" x14ac:dyDescent="0.25">
      <c r="A1">
        <v>31</v>
      </c>
      <c r="B1" t="s">
        <v>3</v>
      </c>
      <c r="C1">
        <f>FVSCHEDULE(1,{0.01,0.02,0.03,0.04,0.05,0.06,0.07,0.08,0.09,0.1})</f>
        <v>1.7018214378110232</v>
      </c>
      <c r="D1">
        <f>FVSCHEDULE(1,{0.1,0.09,0.08,0.07,0.06,0.05,0.04,0.03,0.02,0.01})</f>
        <v>1.7018214378110235</v>
      </c>
    </row>
    <row r="2" spans="1:5" x14ac:dyDescent="0.25">
      <c r="A2">
        <v>32</v>
      </c>
    </row>
    <row r="3" spans="1:5" x14ac:dyDescent="0.25">
      <c r="A3">
        <v>33</v>
      </c>
    </row>
    <row r="4" spans="1:5" x14ac:dyDescent="0.25">
      <c r="B4">
        <v>0</v>
      </c>
      <c r="C4">
        <v>-50000</v>
      </c>
      <c r="D4">
        <v>0.04</v>
      </c>
      <c r="E4">
        <f>FVSCHEDULE(C4,{0.04,0.04,0.04,0.03,0.03,0.03,0.05,0.05,0.05})</f>
        <v>-71145.85346930883</v>
      </c>
    </row>
    <row r="5" spans="1:5" x14ac:dyDescent="0.25">
      <c r="B5">
        <v>1</v>
      </c>
      <c r="C5">
        <f>C$15</f>
        <v>4321.0491858922733</v>
      </c>
      <c r="D5">
        <v>0.04</v>
      </c>
      <c r="E5">
        <f>FVSCHEDULE(C5,{0.04,0.04,0.03,0.03,0.03,0.05,0.05,0.05})</f>
        <v>5912.0140810224593</v>
      </c>
    </row>
    <row r="6" spans="1:5" x14ac:dyDescent="0.25">
      <c r="B6">
        <v>2</v>
      </c>
      <c r="C6">
        <f t="shared" ref="C6:C12" si="0">C$15</f>
        <v>4321.0491858922733</v>
      </c>
      <c r="D6">
        <v>0.04</v>
      </c>
      <c r="E6">
        <f>FVSCHEDULE(C6,{0.04,0.03,0.03,0.03,0.05,0.05,0.05})</f>
        <v>5684.6289240600554</v>
      </c>
    </row>
    <row r="7" spans="1:5" x14ac:dyDescent="0.25">
      <c r="B7">
        <v>3</v>
      </c>
      <c r="C7">
        <f t="shared" si="0"/>
        <v>4321.0491858922733</v>
      </c>
      <c r="D7">
        <v>0.03</v>
      </c>
      <c r="E7">
        <f>FVSCHEDULE(C7,{0.03,0.03,0.03,0.05,0.05,0.05})</f>
        <v>5465.9893500577464</v>
      </c>
    </row>
    <row r="8" spans="1:5" x14ac:dyDescent="0.25">
      <c r="B8">
        <v>4</v>
      </c>
      <c r="C8">
        <f t="shared" si="0"/>
        <v>4321.0491858922733</v>
      </c>
      <c r="D8">
        <v>0.03</v>
      </c>
      <c r="E8">
        <f>FVSCHEDULE(C8,{0.03,0.03,0.05,0.05,0.05})</f>
        <v>5306.7857767550931</v>
      </c>
    </row>
    <row r="9" spans="1:5" x14ac:dyDescent="0.25">
      <c r="B9">
        <v>5</v>
      </c>
      <c r="C9">
        <f t="shared" si="0"/>
        <v>4321.0491858922733</v>
      </c>
      <c r="D9">
        <v>0.03</v>
      </c>
      <c r="E9">
        <f>FVSCHEDULE(C9,{0.03,0.05,0.05,0.05})</f>
        <v>5152.2192007330996</v>
      </c>
    </row>
    <row r="10" spans="1:5" x14ac:dyDescent="0.25">
      <c r="B10">
        <v>6</v>
      </c>
      <c r="C10">
        <f t="shared" si="0"/>
        <v>4321.0491858922733</v>
      </c>
      <c r="D10">
        <v>0.05</v>
      </c>
      <c r="E10">
        <f>FVSCHEDULE(C10,{0.05,0.05,0.05})</f>
        <v>5002.1545638185435</v>
      </c>
    </row>
    <row r="11" spans="1:5" x14ac:dyDescent="0.25">
      <c r="B11">
        <v>7</v>
      </c>
      <c r="C11">
        <f t="shared" si="0"/>
        <v>4321.0491858922733</v>
      </c>
      <c r="D11">
        <v>0.05</v>
      </c>
      <c r="E11">
        <f>FVSCHEDULE(C11,{0.05,0.05})</f>
        <v>4763.9567274462315</v>
      </c>
    </row>
    <row r="12" spans="1:5" x14ac:dyDescent="0.25">
      <c r="B12">
        <v>8</v>
      </c>
      <c r="C12">
        <f t="shared" si="0"/>
        <v>4321.0491858922733</v>
      </c>
      <c r="D12">
        <v>0.05</v>
      </c>
      <c r="E12">
        <f>FVSCHEDULE(C12,{0.05})</f>
        <v>4537.1016451868873</v>
      </c>
    </row>
    <row r="13" spans="1:5" x14ac:dyDescent="0.25">
      <c r="B13">
        <v>9</v>
      </c>
      <c r="C13">
        <f>25000+C15</f>
        <v>29321.049185892272</v>
      </c>
      <c r="E13">
        <f>25000+C15</f>
        <v>29321.049185892272</v>
      </c>
    </row>
    <row r="14" spans="1:5" x14ac:dyDescent="0.25">
      <c r="E14">
        <f>SUM(E4:E13)</f>
        <v>4.5985663553437917E-2</v>
      </c>
    </row>
    <row r="15" spans="1:5" x14ac:dyDescent="0.25">
      <c r="B15" t="s">
        <v>14</v>
      </c>
      <c r="C15" s="4">
        <v>4321.0491858922733</v>
      </c>
    </row>
    <row r="17" spans="1:5" x14ac:dyDescent="0.25">
      <c r="A17">
        <v>34</v>
      </c>
    </row>
    <row r="18" spans="1:5" x14ac:dyDescent="0.25">
      <c r="B18">
        <f>FVSCHEDULE(-150000,{0.04,0.04,0.03,0.05})</f>
        <v>-175462.56000000003</v>
      </c>
      <c r="D18" t="s">
        <v>14</v>
      </c>
      <c r="E18" s="4">
        <v>38875.106313994205</v>
      </c>
    </row>
    <row r="19" spans="1:5" x14ac:dyDescent="0.25">
      <c r="B19">
        <f>FVSCHEDULE(E18,{0.04,0.03,0.05})</f>
        <v>43725.164577728123</v>
      </c>
    </row>
    <row r="20" spans="1:5" x14ac:dyDescent="0.25">
      <c r="B20">
        <f>FVSCHEDULE(E18,{0.03,0.05})</f>
        <v>42043.427478584737</v>
      </c>
    </row>
    <row r="21" spans="1:5" x14ac:dyDescent="0.25">
      <c r="B21">
        <f>E18*1.05</f>
        <v>40818.861629693914</v>
      </c>
    </row>
    <row r="22" spans="1:5" x14ac:dyDescent="0.25">
      <c r="B22">
        <f>10000+E18</f>
        <v>48875.106313994205</v>
      </c>
    </row>
    <row r="23" spans="1:5" x14ac:dyDescent="0.25">
      <c r="B23">
        <f>SUM(B18:B22)</f>
        <v>9.3859853222966194E-10</v>
      </c>
    </row>
    <row r="25" spans="1:5" x14ac:dyDescent="0.25">
      <c r="A25">
        <v>35</v>
      </c>
    </row>
    <row r="26" spans="1:5" ht="15.6" x14ac:dyDescent="0.25">
      <c r="A26" s="4">
        <v>36</v>
      </c>
      <c r="B26" t="s">
        <v>24</v>
      </c>
    </row>
    <row r="27" spans="1:5" x14ac:dyDescent="0.25">
      <c r="A27">
        <v>37</v>
      </c>
    </row>
    <row r="28" spans="1:5" x14ac:dyDescent="0.25">
      <c r="A28">
        <v>38</v>
      </c>
    </row>
    <row r="29" spans="1:5" x14ac:dyDescent="0.25">
      <c r="A29">
        <v>39</v>
      </c>
    </row>
    <row r="30" spans="1:5" x14ac:dyDescent="0.25">
      <c r="B30">
        <f>FVSCHEDULE(1,{0.04,0.06,0.08,0.1,0.12})</f>
        <v>1.4668093440000005</v>
      </c>
    </row>
    <row r="31" spans="1:5" x14ac:dyDescent="0.25">
      <c r="B31">
        <f>FVSCHEDULE(1,{0.12,0.1,0.08,0.06,0.04})</f>
        <v>1.4668093440000007</v>
      </c>
    </row>
    <row r="32" spans="1:5" x14ac:dyDescent="0.25">
      <c r="B32" s="7">
        <f>FV(0.0796294,5,,-1)</f>
        <v>1.4668088203069103</v>
      </c>
    </row>
    <row r="33" spans="1:4" x14ac:dyDescent="0.25">
      <c r="A33" s="4">
        <v>41</v>
      </c>
      <c r="B33" t="s">
        <v>25</v>
      </c>
      <c r="C33" t="s">
        <v>26</v>
      </c>
      <c r="D33" t="s">
        <v>27</v>
      </c>
    </row>
    <row r="34" spans="1:4" x14ac:dyDescent="0.25">
      <c r="B34">
        <v>0</v>
      </c>
      <c r="C34">
        <v>4000</v>
      </c>
    </row>
    <row r="35" spans="1:4" x14ac:dyDescent="0.25">
      <c r="B35">
        <v>1</v>
      </c>
      <c r="D35">
        <v>0.05</v>
      </c>
    </row>
    <row r="36" spans="1:4" x14ac:dyDescent="0.25">
      <c r="B36">
        <v>2</v>
      </c>
      <c r="D36">
        <v>0.05</v>
      </c>
    </row>
    <row r="37" spans="1:4" x14ac:dyDescent="0.25">
      <c r="B37">
        <v>3</v>
      </c>
      <c r="C37">
        <v>2500</v>
      </c>
      <c r="D37">
        <v>0.05</v>
      </c>
    </row>
    <row r="38" spans="1:4" x14ac:dyDescent="0.25">
      <c r="B38">
        <v>4</v>
      </c>
      <c r="D38">
        <v>7.0000000000000007E-2</v>
      </c>
    </row>
    <row r="39" spans="1:4" x14ac:dyDescent="0.25">
      <c r="B39">
        <v>5</v>
      </c>
      <c r="D39">
        <v>7.0000000000000007E-2</v>
      </c>
    </row>
    <row r="40" spans="1:4" x14ac:dyDescent="0.25">
      <c r="B40">
        <v>6</v>
      </c>
      <c r="C40">
        <v>5000</v>
      </c>
      <c r="D40">
        <v>7.0000000000000007E-2</v>
      </c>
    </row>
    <row r="42" spans="1:4" x14ac:dyDescent="0.25">
      <c r="A42">
        <v>42</v>
      </c>
    </row>
    <row r="43" spans="1:4" x14ac:dyDescent="0.25">
      <c r="B43">
        <f>FVSCHEDULE(2000,{0.08,0.12})</f>
        <v>2419.2000000000003</v>
      </c>
      <c r="C43">
        <f>2000/1.1</f>
        <v>1818.181818181818</v>
      </c>
    </row>
    <row r="44" spans="1:4" x14ac:dyDescent="0.25">
      <c r="B44">
        <f>FVSCHEDULE(-3000,{0.12})</f>
        <v>-3360.0000000000005</v>
      </c>
      <c r="C44">
        <f>-3000/(1.1*1.08)</f>
        <v>-2525.2525252525247</v>
      </c>
    </row>
    <row r="45" spans="1:4" x14ac:dyDescent="0.25">
      <c r="B45">
        <f>4000</f>
        <v>4000</v>
      </c>
      <c r="C45">
        <f>4000/(1.1*1.08*1.12)</f>
        <v>3006.2530062530054</v>
      </c>
    </row>
    <row r="46" spans="1:4" x14ac:dyDescent="0.25">
      <c r="B46">
        <f>SUM(B43:B45)</f>
        <v>3059.2</v>
      </c>
      <c r="C46">
        <f>SUM(C43:C45)</f>
        <v>2299.1822991822987</v>
      </c>
    </row>
    <row r="48" spans="1:4" x14ac:dyDescent="0.25">
      <c r="B48" t="s">
        <v>28</v>
      </c>
      <c r="C48" s="8">
        <f>RATE(3,,-2299.182,3059.2)</f>
        <v>9.9878822227064623E-2</v>
      </c>
    </row>
    <row r="49" spans="2:2" x14ac:dyDescent="0.25">
      <c r="B49" s="1">
        <f>PMT(0.1,3,2299.182)</f>
        <v>-924.53511842900321</v>
      </c>
    </row>
    <row r="50" spans="2:2" x14ac:dyDescent="0.25">
      <c r="B50" s="1">
        <f>PMT(0.1,3,,3059.2)</f>
        <v>-924.22960725075541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FE Question</vt:lpstr>
      <vt:lpstr>Section3.1 Equivalence</vt:lpstr>
      <vt:lpstr>Section3.2 Interest Payment</vt:lpstr>
      <vt:lpstr>Section 3.3 Bond Investment</vt:lpstr>
      <vt:lpstr>Section3.4 Variable Interst 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lxy</dc:creator>
  <cp:lastModifiedBy>lxy</cp:lastModifiedBy>
  <dcterms:created xsi:type="dcterms:W3CDTF">2022-01-01T11:25:47Z</dcterms:created>
  <dcterms:modified xsi:type="dcterms:W3CDTF">2022-01-03T08:19:08Z</dcterms:modified>
</cp:coreProperties>
</file>