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xy\Desktop\"/>
    </mc:Choice>
  </mc:AlternateContent>
  <xr:revisionPtr revIDLastSave="0" documentId="13_ncr:1_{1744AECE-5DB7-4B29-92C0-1B19F4E1D776}" xr6:coauthVersionLast="47" xr6:coauthVersionMax="47" xr10:uidLastSave="{00000000-0000-0000-0000-000000000000}"/>
  <bookViews>
    <workbookView xWindow="-2780" yWindow="1170" windowWidth="19200" windowHeight="10100" activeTab="4" xr2:uid="{00000000-000D-0000-FFFF-FFFF00000000}"/>
  </bookViews>
  <sheets>
    <sheet name="Basement" sheetId="1" r:id="rId1"/>
    <sheet name="Floor 1" sheetId="3" r:id="rId2"/>
    <sheet name="Floor2" sheetId="4" r:id="rId3"/>
    <sheet name="Floor3" sheetId="5" r:id="rId4"/>
    <sheet name="Floor4" sheetId="6" r:id="rId5"/>
  </sheets>
  <definedNames>
    <definedName name="_edn1" localSheetId="0">Basement!#REF!</definedName>
    <definedName name="_edn1" localSheetId="1">'Floor 1'!#REF!</definedName>
    <definedName name="_ednref1" localSheetId="0">Basement!$D$26</definedName>
    <definedName name="_ednref1" localSheetId="1">'Floor 1'!$D$26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6" l="1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4" i="6" s="1"/>
  <c r="B28" i="6" s="1"/>
  <c r="C28" i="5" l="1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4" i="5" s="1"/>
  <c r="B28" i="5" s="1"/>
  <c r="D25" i="4" l="1"/>
  <c r="C25" i="4"/>
  <c r="D20" i="4"/>
  <c r="B20" i="4"/>
  <c r="B19" i="4"/>
  <c r="D19" i="4" s="1"/>
  <c r="D18" i="4"/>
  <c r="B18" i="4"/>
  <c r="B17" i="4"/>
  <c r="D17" i="4" s="1"/>
  <c r="D16" i="4"/>
  <c r="B16" i="4"/>
  <c r="B15" i="4"/>
  <c r="D15" i="4" s="1"/>
  <c r="D14" i="4"/>
  <c r="B14" i="4"/>
  <c r="B13" i="4"/>
  <c r="D13" i="4" s="1"/>
  <c r="D12" i="4"/>
  <c r="B12" i="4"/>
  <c r="B11" i="4"/>
  <c r="D11" i="4" s="1"/>
  <c r="D10" i="4"/>
  <c r="B10" i="4"/>
  <c r="B9" i="4"/>
  <c r="D9" i="4" s="1"/>
  <c r="D8" i="4"/>
  <c r="B8" i="4"/>
  <c r="B7" i="4"/>
  <c r="D7" i="4" s="1"/>
  <c r="D6" i="4"/>
  <c r="B6" i="4"/>
  <c r="B5" i="4"/>
  <c r="D5" i="4" s="1"/>
  <c r="D4" i="4"/>
  <c r="B4" i="4"/>
  <c r="B3" i="4"/>
  <c r="D3" i="4" s="1"/>
  <c r="D2" i="4"/>
  <c r="B2" i="4"/>
  <c r="D21" i="4" l="1"/>
  <c r="B25" i="4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B2" i="3"/>
  <c r="D2" i="3" s="1"/>
  <c r="D3" i="3"/>
  <c r="B27" i="1"/>
  <c r="D5" i="1"/>
  <c r="D11" i="1"/>
  <c r="D3" i="1"/>
  <c r="D4" i="1"/>
  <c r="D6" i="1"/>
  <c r="D7" i="1"/>
  <c r="D8" i="1"/>
  <c r="D9" i="1"/>
  <c r="D10" i="1"/>
  <c r="D12" i="1"/>
  <c r="D13" i="1"/>
  <c r="D14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2" i="1" s="1"/>
  <c r="D23" i="3" l="1"/>
  <c r="D23" i="1"/>
</calcChain>
</file>

<file path=xl/sharedStrings.xml><?xml version="1.0" encoding="utf-8"?>
<sst xmlns="http://schemas.openxmlformats.org/spreadsheetml/2006/main" count="211" uniqueCount="134">
  <si>
    <t>Area(ft2)</t>
    <phoneticPr fontId="1" type="noConversion"/>
  </si>
  <si>
    <t>Exits required</t>
  </si>
  <si>
    <t>Occupants Load(persons)</t>
    <phoneticPr fontId="1" type="noConversion"/>
  </si>
  <si>
    <t>Minimum widths of the exits (ft)</t>
    <phoneticPr fontId="1" type="noConversion"/>
  </si>
  <si>
    <t>Minimum remoteness between exits (ft)</t>
    <phoneticPr fontId="1" type="noConversion"/>
  </si>
  <si>
    <t>Maximum allowable travel distance (ft)</t>
    <phoneticPr fontId="1" type="noConversion"/>
  </si>
  <si>
    <t>Occupants Load Factor  (ft2/person)</t>
    <phoneticPr fontId="1" type="noConversion"/>
  </si>
  <si>
    <t>Occupants Load</t>
    <phoneticPr fontId="1" type="noConversion"/>
  </si>
  <si>
    <t>Pre-Professional Health Law Support Services/Concurrent Programming</t>
    <phoneticPr fontId="1" type="noConversion"/>
  </si>
  <si>
    <t>Textbook Buybacks/Merchandise Returns</t>
    <phoneticPr fontId="1" type="noConversion"/>
  </si>
  <si>
    <t>Pete's Pantry</t>
    <phoneticPr fontId="1" type="noConversion"/>
  </si>
  <si>
    <t>Silver Clippers</t>
    <phoneticPr fontId="1" type="noConversion"/>
  </si>
  <si>
    <t>Retail Operations Offices</t>
    <phoneticPr fontId="1" type="noConversion"/>
  </si>
  <si>
    <t>Simmons Bank</t>
    <phoneticPr fontId="1" type="noConversion"/>
  </si>
  <si>
    <t>Basement Lounge</t>
    <phoneticPr fontId="1" type="noConversion"/>
  </si>
  <si>
    <t>OSU Professional Sales Lab</t>
    <phoneticPr fontId="1" type="noConversion"/>
  </si>
  <si>
    <t>Transfer and Student Veteran Success</t>
    <phoneticPr fontId="1" type="noConversion"/>
  </si>
  <si>
    <t>Cowboy Underground</t>
    <phoneticPr fontId="1" type="noConversion"/>
  </si>
  <si>
    <t>OSU Esports Arena</t>
    <phoneticPr fontId="1" type="noConversion"/>
  </si>
  <si>
    <t>University Dining Services</t>
    <phoneticPr fontId="1" type="noConversion"/>
  </si>
  <si>
    <t>Union Building Operations</t>
    <phoneticPr fontId="1" type="noConversion"/>
  </si>
  <si>
    <t>Notes</t>
    <phoneticPr fontId="1" type="noConversion"/>
  </si>
  <si>
    <t>Selected as inpatient treatment departmetns</t>
    <phoneticPr fontId="1" type="noConversion"/>
  </si>
  <si>
    <t>Sales area on floor below street floor</t>
    <phoneticPr fontId="1" type="noConversion"/>
  </si>
  <si>
    <t>In other than storage and mercantile occupancies</t>
    <phoneticPr fontId="1" type="noConversion"/>
  </si>
  <si>
    <t>Business Use</t>
  </si>
  <si>
    <t>Less concentrated use without fixed seating</t>
  </si>
  <si>
    <t>Less concentrated use without fixed seating</t>
    <phoneticPr fontId="1" type="noConversion"/>
  </si>
  <si>
    <t>Room (Floor Basement)</t>
    <phoneticPr fontId="1" type="noConversion"/>
  </si>
  <si>
    <t>???
We have no idea what this room is for, so it is regarded as less concentrated use without fixed seating</t>
    <phoneticPr fontId="1" type="noConversion"/>
  </si>
  <si>
    <t>Concentrated use, without fixed seating</t>
    <phoneticPr fontId="1" type="noConversion"/>
  </si>
  <si>
    <t>Room (Floor 1)</t>
    <phoneticPr fontId="1" type="noConversion"/>
  </si>
  <si>
    <t>OSU Police</t>
    <phoneticPr fontId="1" type="noConversion"/>
  </si>
  <si>
    <t>West Meeting</t>
    <phoneticPr fontId="1" type="noConversion"/>
  </si>
  <si>
    <t>Johnny Rockers</t>
    <phoneticPr fontId="1" type="noConversion"/>
  </si>
  <si>
    <t>Shake Smart</t>
    <phoneticPr fontId="1" type="noConversion"/>
  </si>
  <si>
    <t>Union Express</t>
    <phoneticPr fontId="1" type="noConversion"/>
  </si>
  <si>
    <t>Info. Desk</t>
    <phoneticPr fontId="1" type="noConversion"/>
  </si>
  <si>
    <t>Union Meeting and conference services</t>
    <phoneticPr fontId="1" type="noConversion"/>
  </si>
  <si>
    <t>University store</t>
    <phoneticPr fontId="1" type="noConversion"/>
  </si>
  <si>
    <t>University store administration</t>
    <phoneticPr fontId="1" type="noConversion"/>
  </si>
  <si>
    <t>Office of scholarhsips and financial aid</t>
    <phoneticPr fontId="1" type="noConversion"/>
  </si>
  <si>
    <t>Bursar Office</t>
    <phoneticPr fontId="1" type="noConversion"/>
  </si>
  <si>
    <t>Caribou Coffee</t>
    <phoneticPr fontId="1" type="noConversion"/>
  </si>
  <si>
    <t>ChickfilA Passport Chop House</t>
    <phoneticPr fontId="1" type="noConversion"/>
  </si>
  <si>
    <t>Sales area on street floor</t>
    <phoneticPr fontId="1" type="noConversion"/>
  </si>
  <si>
    <t>Business Use</t>
    <phoneticPr fontId="1" type="noConversion"/>
  </si>
  <si>
    <t>Less concentrated use without fixed seaeting</t>
    <phoneticPr fontId="1" type="noConversion"/>
  </si>
  <si>
    <t>Concentrated use without fixed seaeting</t>
    <phoneticPr fontId="1" type="noConversion"/>
  </si>
  <si>
    <t>Room (Floor 2) 1cm=12.16ft</t>
    <phoneticPr fontId="1" type="noConversion"/>
  </si>
  <si>
    <t>Study Abroad</t>
    <phoneticPr fontId="1" type="noConversion"/>
  </si>
  <si>
    <t>Classrooms</t>
  </si>
  <si>
    <t>Office of Multicultural Affairs</t>
    <phoneticPr fontId="1" type="noConversion"/>
  </si>
  <si>
    <t>Leadership and Campus Life</t>
  </si>
  <si>
    <t>Less concentrated use, without fixed seating</t>
    <phoneticPr fontId="1" type="noConversion"/>
  </si>
  <si>
    <t>Leadership and Campus Life Offices</t>
    <phoneticPr fontId="1" type="noConversion"/>
  </si>
  <si>
    <t>French Lounge</t>
    <phoneticPr fontId="1" type="noConversion"/>
  </si>
  <si>
    <t>Sequoyah Room</t>
    <phoneticPr fontId="1" type="noConversion"/>
  </si>
  <si>
    <t>Ballroom</t>
    <phoneticPr fontId="1" type="noConversion"/>
  </si>
  <si>
    <t>Exercise rooms without equipment</t>
    <phoneticPr fontId="1" type="noConversion"/>
  </si>
  <si>
    <t>Detention and Correctional Use</t>
    <phoneticPr fontId="1" type="noConversion"/>
  </si>
  <si>
    <t>Center for Pet Therapy</t>
    <phoneticPr fontId="1" type="noConversion"/>
  </si>
  <si>
    <t>Ambulatory health care</t>
  </si>
  <si>
    <t>Concentrated business use</t>
    <phoneticPr fontId="1" type="noConversion"/>
  </si>
  <si>
    <t>East Meeting</t>
    <phoneticPr fontId="1" type="noConversion"/>
  </si>
  <si>
    <t>Email kiosk</t>
    <phoneticPr fontId="1" type="noConversion"/>
  </si>
  <si>
    <t>Office of Leadership &amp; Campus Life</t>
    <phoneticPr fontId="1" type="noConversion"/>
  </si>
  <si>
    <t>Theater Lobby</t>
    <phoneticPr fontId="1" type="noConversion"/>
  </si>
  <si>
    <t>Waiting spaces</t>
  </si>
  <si>
    <t>ATM</t>
    <phoneticPr fontId="1" type="noConversion"/>
  </si>
  <si>
    <t>Student Union Theater</t>
    <phoneticPr fontId="1" type="noConversion"/>
  </si>
  <si>
    <t>University College Advising</t>
    <phoneticPr fontId="1" type="noConversion"/>
  </si>
  <si>
    <t>Undergraduate Adimissions/Prospective Student Services</t>
    <phoneticPr fontId="1" type="noConversion"/>
  </si>
  <si>
    <t>Room with fixed seats</t>
    <phoneticPr fontId="1" type="noConversion"/>
  </si>
  <si>
    <t>\</t>
    <phoneticPr fontId="1" type="noConversion"/>
  </si>
  <si>
    <t>Fixed seating</t>
    <phoneticPr fontId="1" type="noConversion"/>
  </si>
  <si>
    <t>The building is sprinklered and built in accordance with the IBC.</t>
    <phoneticPr fontId="1" type="noConversion"/>
  </si>
  <si>
    <t>Room (Floor 3)</t>
    <phoneticPr fontId="1" type="noConversion"/>
  </si>
  <si>
    <t>Classrooms</t>
    <phoneticPr fontId="1" type="noConversion"/>
  </si>
  <si>
    <t>Collaboration rooms</t>
  </si>
  <si>
    <t>Atrium</t>
    <phoneticPr fontId="1" type="noConversion"/>
  </si>
  <si>
    <t>Less concentrated use, without fixed seating</t>
  </si>
  <si>
    <t>Career Services</t>
    <phoneticPr fontId="1" type="noConversion"/>
  </si>
  <si>
    <t>Toilet</t>
    <phoneticPr fontId="1" type="noConversion"/>
  </si>
  <si>
    <t>Freight</t>
  </si>
  <si>
    <t>Room (Floor 3)</t>
    <phoneticPr fontId="6" type="noConversion"/>
  </si>
  <si>
    <t>Area(ft2)</t>
    <phoneticPr fontId="6" type="noConversion"/>
  </si>
  <si>
    <t>Occupants Load Factor  (ft2/person)</t>
    <phoneticPr fontId="6" type="noConversion"/>
  </si>
  <si>
    <t>Occupants Load(persons)</t>
    <phoneticPr fontId="6" type="noConversion"/>
  </si>
  <si>
    <t>Select</t>
    <phoneticPr fontId="6" type="noConversion"/>
  </si>
  <si>
    <t>Interview Rooms</t>
    <phoneticPr fontId="6" type="noConversion"/>
  </si>
  <si>
    <t>Classrooms</t>
    <phoneticPr fontId="6" type="noConversion"/>
  </si>
  <si>
    <t>Scholar Development</t>
    <phoneticPr fontId="6" type="noConversion"/>
  </si>
  <si>
    <t>Conduct</t>
    <phoneticPr fontId="6" type="noConversion"/>
  </si>
  <si>
    <t>Substance Abuse Center</t>
    <phoneticPr fontId="6" type="noConversion"/>
  </si>
  <si>
    <t>Vocational rooms</t>
    <phoneticPr fontId="6" type="noConversion"/>
  </si>
  <si>
    <t>Reboot Center</t>
    <phoneticPr fontId="6" type="noConversion"/>
  </si>
  <si>
    <t>Union Board Room</t>
    <phoneticPr fontId="6" type="noConversion"/>
  </si>
  <si>
    <t>Administrative Services</t>
    <phoneticPr fontId="6" type="noConversion"/>
  </si>
  <si>
    <t>Meal Plans</t>
    <phoneticPr fontId="6" type="noConversion"/>
  </si>
  <si>
    <t>Kitchens</t>
    <phoneticPr fontId="6" type="noConversion"/>
  </si>
  <si>
    <t>Marketing</t>
    <phoneticPr fontId="6" type="noConversion"/>
  </si>
  <si>
    <t>Shops</t>
    <phoneticPr fontId="6" type="noConversion"/>
  </si>
  <si>
    <t>Dining</t>
    <phoneticPr fontId="6" type="noConversion"/>
  </si>
  <si>
    <t>Counseling Services</t>
    <phoneticPr fontId="6" type="noConversion"/>
  </si>
  <si>
    <t>Office of First Year Success</t>
    <phoneticPr fontId="6" type="noConversion"/>
  </si>
  <si>
    <t>Office of the Registrar</t>
    <phoneticPr fontId="6" type="noConversion"/>
  </si>
  <si>
    <t>Atrium</t>
    <phoneticPr fontId="6" type="noConversion"/>
  </si>
  <si>
    <t>Career Services</t>
    <phoneticPr fontId="6" type="noConversion"/>
  </si>
  <si>
    <t>Student Union Theater</t>
    <phoneticPr fontId="6" type="noConversion"/>
  </si>
  <si>
    <t>University College Advising</t>
    <phoneticPr fontId="6" type="noConversion"/>
  </si>
  <si>
    <t>Undergraduate Adimissions/Prospective Student Services</t>
    <phoneticPr fontId="6" type="noConversion"/>
  </si>
  <si>
    <t>Toilet</t>
    <phoneticPr fontId="6" type="noConversion"/>
  </si>
  <si>
    <t>Room with fixed seats</t>
    <phoneticPr fontId="6" type="noConversion"/>
  </si>
  <si>
    <t>Occupants Load</t>
    <phoneticPr fontId="6" type="noConversion"/>
  </si>
  <si>
    <t>Minimum widths of the exits (ft)</t>
    <phoneticPr fontId="6" type="noConversion"/>
  </si>
  <si>
    <t>Minimum remoteness between exits (ft)</t>
    <phoneticPr fontId="6" type="noConversion"/>
  </si>
  <si>
    <t>Maximum allowable travel distance (ft)</t>
    <phoneticPr fontId="6" type="noConversion"/>
  </si>
  <si>
    <t xml:space="preserve">Select </t>
    <phoneticPr fontId="1" type="noConversion"/>
  </si>
  <si>
    <t>Writing Center</t>
    <phoneticPr fontId="1" type="noConversion"/>
  </si>
  <si>
    <t>Building Manager</t>
    <phoneticPr fontId="1" type="noConversion"/>
  </si>
  <si>
    <t>Conference Services</t>
    <phoneticPr fontId="1" type="noConversion"/>
  </si>
  <si>
    <t>Student Union Council Room</t>
    <phoneticPr fontId="1" type="noConversion"/>
  </si>
  <si>
    <t>Exhibit Room 1</t>
    <phoneticPr fontId="1" type="noConversion"/>
  </si>
  <si>
    <t>Exhibit Room 2</t>
    <phoneticPr fontId="1" type="noConversion"/>
  </si>
  <si>
    <t>Veterans Lounge</t>
    <phoneticPr fontId="1" type="noConversion"/>
  </si>
  <si>
    <t>Sleeping departments</t>
  </si>
  <si>
    <t>Starlight Terrace</t>
    <phoneticPr fontId="1" type="noConversion"/>
  </si>
  <si>
    <t>Caucus Room</t>
    <phoneticPr fontId="1" type="noConversion"/>
  </si>
  <si>
    <t>A&amp;M Room</t>
    <phoneticPr fontId="1" type="noConversion"/>
  </si>
  <si>
    <t>Regency Room</t>
    <phoneticPr fontId="1" type="noConversion"/>
  </si>
  <si>
    <t>Varsity Room</t>
    <phoneticPr fontId="1" type="noConversion"/>
  </si>
  <si>
    <t>Pioneer Room</t>
    <phoneticPr fontId="1" type="noConversion"/>
  </si>
  <si>
    <t>Oklahoma Room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</si>
</sst>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3"/>
      <charset val="134"/>
    </font>
    <font>
      <sz val="11"/>
      <color rgb="FF000000"/>
      <name val="Times New Roman"/>
      <family val="1"/>
    </font>
    <font>
      <sz val="11"/>
      <color theme="1"/>
      <name val="等线"/>
      <family val="2"/>
    </font>
    <font>
      <b/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1" fontId="4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/>
    <xf numFmtId="177" fontId="4" fillId="2" borderId="1" xfId="0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5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/>
    <xf numFmtId="1" fontId="7" fillId="0" borderId="1" xfId="0" applyNumberFormat="1" applyFont="1" applyBorder="1"/>
    <xf numFmtId="0" fontId="7" fillId="0" borderId="0" xfId="0" applyFont="1"/>
    <xf numFmtId="0" fontId="5" fillId="0" borderId="1" xfId="0" applyFont="1" applyBorder="1"/>
    <xf numFmtId="0" fontId="7" fillId="3" borderId="1" xfId="0" applyFont="1" applyFill="1" applyBorder="1"/>
    <xf numFmtId="0" fontId="9" fillId="0" borderId="1" xfId="0" applyFont="1" applyBorder="1" applyAlignment="1">
      <alignment horizontal="center" vertical="center" wrapText="1"/>
    </xf>
    <xf numFmtId="177" fontId="7" fillId="3" borderId="1" xfId="0" applyNumberFormat="1" applyFont="1" applyFill="1" applyBorder="1"/>
    <xf numFmtId="0" fontId="3" fillId="0" borderId="2" xfId="0" applyFont="1" applyBorder="1"/>
    <xf numFmtId="1" fontId="4" fillId="2" borderId="2" xfId="0" applyNumberFormat="1" applyFont="1" applyFill="1" applyBorder="1"/>
    <xf numFmtId="0" fontId="3" fillId="0" borderId="1" xfId="0" applyFont="1" applyBorder="1" applyAlignment="1">
      <alignment horizontal="left" vertical="center"/>
    </xf>
    <xf numFmtId="0" fontId="5" fillId="0" borderId="2" xfId="0" applyFont="1" applyBorder="1"/>
    <xf numFmtId="1" fontId="7" fillId="3" borderId="2" xfId="0" applyNumberFormat="1" applyFont="1" applyFill="1" applyBorder="1"/>
    <xf numFmtId="0" fontId="8" fillId="0" borderId="1" xfId="0" applyFon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128813</xdr:colOff>
      <xdr:row>22</xdr:row>
      <xdr:rowOff>29028</xdr:rowOff>
    </xdr:from>
    <xdr:to>
      <xdr:col>10</xdr:col>
      <xdr:colOff>27687</xdr:colOff>
      <xdr:row>35</xdr:row>
      <xdr:rowOff>104501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474671A-F0CA-4FD6-5907-2A6608BF6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8099" y="5245099"/>
          <a:ext cx="6230731" cy="3096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110670</xdr:colOff>
      <xdr:row>15</xdr:row>
      <xdr:rowOff>83457</xdr:rowOff>
    </xdr:from>
    <xdr:to>
      <xdr:col>10</xdr:col>
      <xdr:colOff>9544</xdr:colOff>
      <xdr:row>28</xdr:row>
      <xdr:rowOff>158931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FA747AB-22FD-4B36-B28B-73058E5F3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1770" y="3995057"/>
          <a:ext cx="6229824" cy="30536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174362</xdr:colOff>
      <xdr:row>16</xdr:row>
      <xdr:rowOff>166744</xdr:rowOff>
    </xdr:from>
    <xdr:to>
      <xdr:col>15</xdr:col>
      <xdr:colOff>453329</xdr:colOff>
      <xdr:row>33</xdr:row>
      <xdr:rowOff>19423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C3B13FF-D628-4313-95E4-4A74E8A87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9512" y="3189344"/>
          <a:ext cx="6222567" cy="2875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zoomScale="70" zoomScaleNormal="70" workbookViewId="0">
      <selection activeCell="C27" sqref="C27"/>
    </sheetView>
  </sheetViews>
  <sheetFormatPr defaultColWidth="8.9140625" defaultRowHeight="14" x14ac:dyDescent="0.3"/>
  <cols>
    <col min="1" max="1" width="33.1640625" style="1" bestFit="1" customWidth="1"/>
    <col min="2" max="2" width="11.33203125" style="1" bestFit="1" customWidth="1"/>
    <col min="3" max="3" width="31.6640625" style="1" bestFit="1" customWidth="1"/>
    <col min="4" max="4" width="22.6640625" style="1" bestFit="1" customWidth="1"/>
    <col min="5" max="5" width="38.5" style="1" bestFit="1" customWidth="1"/>
    <col min="6" max="16384" width="8.9140625" style="1"/>
  </cols>
  <sheetData>
    <row r="1" spans="1:5" s="7" customFormat="1" x14ac:dyDescent="0.3">
      <c r="A1" s="16" t="s">
        <v>28</v>
      </c>
      <c r="B1" s="16" t="s">
        <v>0</v>
      </c>
      <c r="C1" s="16" t="s">
        <v>6</v>
      </c>
      <c r="D1" s="16" t="s">
        <v>2</v>
      </c>
      <c r="E1" s="38" t="s">
        <v>21</v>
      </c>
    </row>
    <row r="2" spans="1:5" ht="28" x14ac:dyDescent="0.3">
      <c r="A2" s="17" t="s">
        <v>8</v>
      </c>
      <c r="B2" s="18">
        <f>69.06*(6.16*3.8-1.93*1.19)</f>
        <v>1457.9463779999999</v>
      </c>
      <c r="C2" s="18">
        <v>240</v>
      </c>
      <c r="D2" s="19">
        <f>B2/C2</f>
        <v>6.0747765749999996</v>
      </c>
      <c r="E2" s="18" t="s">
        <v>22</v>
      </c>
    </row>
    <row r="3" spans="1:5" x14ac:dyDescent="0.3">
      <c r="A3" s="17" t="s">
        <v>9</v>
      </c>
      <c r="B3" s="18">
        <f>69.06*(8.29*3.8)</f>
        <v>2175.5281199999999</v>
      </c>
      <c r="C3" s="18">
        <v>30</v>
      </c>
      <c r="D3" s="19">
        <f t="shared" ref="D3:D14" si="0">B3/C3</f>
        <v>72.517603999999992</v>
      </c>
      <c r="E3" s="18" t="s">
        <v>23</v>
      </c>
    </row>
    <row r="4" spans="1:5" x14ac:dyDescent="0.3">
      <c r="A4" s="17" t="s">
        <v>10</v>
      </c>
      <c r="B4" s="18">
        <f>69.06*(1.87*2.69)</f>
        <v>347.39251800000005</v>
      </c>
      <c r="C4" s="18">
        <v>500</v>
      </c>
      <c r="D4" s="19">
        <f t="shared" si="0"/>
        <v>0.69478503600000008</v>
      </c>
      <c r="E4" s="18" t="s">
        <v>24</v>
      </c>
    </row>
    <row r="5" spans="1:5" ht="56" x14ac:dyDescent="0.3">
      <c r="A5" s="17" t="s">
        <v>11</v>
      </c>
      <c r="B5" s="18">
        <f>69.06*(2.95*2.73)</f>
        <v>556.17471</v>
      </c>
      <c r="C5" s="18">
        <v>15</v>
      </c>
      <c r="D5" s="19">
        <f t="shared" si="0"/>
        <v>37.078313999999999</v>
      </c>
      <c r="E5" s="17" t="s">
        <v>29</v>
      </c>
    </row>
    <row r="6" spans="1:5" x14ac:dyDescent="0.3">
      <c r="A6" s="17" t="s">
        <v>12</v>
      </c>
      <c r="B6" s="18">
        <f>69.06*(4.25*3.37+1.38*1.85)</f>
        <v>1165.4220299999999</v>
      </c>
      <c r="C6" s="18">
        <v>150</v>
      </c>
      <c r="D6" s="19">
        <f t="shared" si="0"/>
        <v>7.7694801999999994</v>
      </c>
      <c r="E6" s="18" t="s">
        <v>46</v>
      </c>
    </row>
    <row r="7" spans="1:5" x14ac:dyDescent="0.3">
      <c r="A7" s="17" t="s">
        <v>13</v>
      </c>
      <c r="B7" s="18">
        <f>69.06*((3.37+0.82)/2*3.81)</f>
        <v>551.23346700000013</v>
      </c>
      <c r="C7" s="18">
        <v>15</v>
      </c>
      <c r="D7" s="19">
        <f t="shared" si="0"/>
        <v>36.748897800000009</v>
      </c>
      <c r="E7" s="18" t="s">
        <v>27</v>
      </c>
    </row>
    <row r="8" spans="1:5" x14ac:dyDescent="0.3">
      <c r="A8" s="17" t="s">
        <v>14</v>
      </c>
      <c r="B8" s="18">
        <f>69.06*((1.97+4.26)/2*5.4)</f>
        <v>1161.6582600000002</v>
      </c>
      <c r="C8" s="18">
        <v>15</v>
      </c>
      <c r="D8" s="19">
        <f t="shared" si="0"/>
        <v>77.443884000000011</v>
      </c>
      <c r="E8" s="18" t="s">
        <v>27</v>
      </c>
    </row>
    <row r="9" spans="1:5" x14ac:dyDescent="0.3">
      <c r="A9" s="17" t="s">
        <v>15</v>
      </c>
      <c r="B9" s="18">
        <f>69.06*(2.95*2.94)</f>
        <v>598.95738000000006</v>
      </c>
      <c r="C9" s="18">
        <v>30</v>
      </c>
      <c r="D9" s="19">
        <f t="shared" si="0"/>
        <v>19.965246</v>
      </c>
      <c r="E9" s="18" t="s">
        <v>23</v>
      </c>
    </row>
    <row r="10" spans="1:5" x14ac:dyDescent="0.3">
      <c r="A10" s="17" t="s">
        <v>16</v>
      </c>
      <c r="B10" s="18">
        <f>69.06*(2.7*2.6)</f>
        <v>484.80120000000005</v>
      </c>
      <c r="C10" s="18">
        <v>15</v>
      </c>
      <c r="D10" s="19">
        <f t="shared" si="0"/>
        <v>32.320080000000004</v>
      </c>
      <c r="E10" s="18" t="s">
        <v>27</v>
      </c>
    </row>
    <row r="11" spans="1:5" ht="56" x14ac:dyDescent="0.3">
      <c r="A11" s="17" t="s">
        <v>17</v>
      </c>
      <c r="B11" s="18">
        <f>69.06*((1.89+8.83)/2*4.25)</f>
        <v>1573.1868000000002</v>
      </c>
      <c r="C11" s="18">
        <v>15</v>
      </c>
      <c r="D11" s="19">
        <f t="shared" si="0"/>
        <v>104.87912000000001</v>
      </c>
      <c r="E11" s="17" t="s">
        <v>29</v>
      </c>
    </row>
    <row r="12" spans="1:5" x14ac:dyDescent="0.3">
      <c r="A12" s="17" t="s">
        <v>18</v>
      </c>
      <c r="B12" s="18">
        <f>69.06*(2.77*8.83)</f>
        <v>1689.145446</v>
      </c>
      <c r="C12" s="18">
        <v>15</v>
      </c>
      <c r="D12" s="19">
        <f t="shared" si="0"/>
        <v>112.6096964</v>
      </c>
      <c r="E12" s="18" t="s">
        <v>26</v>
      </c>
    </row>
    <row r="13" spans="1:5" x14ac:dyDescent="0.3">
      <c r="A13" s="17" t="s">
        <v>19</v>
      </c>
      <c r="B13" s="18">
        <f>69.06*(7.3*4.54)</f>
        <v>2288.7865199999997</v>
      </c>
      <c r="C13" s="18">
        <v>15</v>
      </c>
      <c r="D13" s="19">
        <f t="shared" si="0"/>
        <v>152.58576799999997</v>
      </c>
      <c r="E13" s="18" t="s">
        <v>26</v>
      </c>
    </row>
    <row r="14" spans="1:5" x14ac:dyDescent="0.3">
      <c r="A14" s="17" t="s">
        <v>20</v>
      </c>
      <c r="B14" s="18">
        <f>69.06*(5.25*3.55-(3.55-2.47)*(5.25-1.56))</f>
        <v>1011.8878380000001</v>
      </c>
      <c r="C14" s="18">
        <v>7</v>
      </c>
      <c r="D14" s="19">
        <f t="shared" si="0"/>
        <v>144.55540542857145</v>
      </c>
      <c r="E14" s="18" t="s">
        <v>30</v>
      </c>
    </row>
    <row r="15" spans="1:5" x14ac:dyDescent="0.3">
      <c r="A15" s="4"/>
      <c r="B15" s="5"/>
      <c r="C15" s="5"/>
      <c r="D15" s="6"/>
      <c r="E15" s="5"/>
    </row>
    <row r="16" spans="1:5" x14ac:dyDescent="0.3">
      <c r="A16" s="4"/>
      <c r="B16" s="5"/>
      <c r="C16" s="5"/>
      <c r="D16" s="6"/>
      <c r="E16" s="5"/>
    </row>
    <row r="17" spans="1:5" x14ac:dyDescent="0.3">
      <c r="A17" s="4"/>
      <c r="B17" s="5"/>
      <c r="C17" s="5"/>
      <c r="D17" s="6"/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C23" s="36" t="s">
        <v>7</v>
      </c>
      <c r="D23" s="37">
        <f>SUM(D2:D22)</f>
        <v>805.24305743957143</v>
      </c>
    </row>
    <row r="24" spans="1:5" x14ac:dyDescent="0.3">
      <c r="C24" s="8" t="s">
        <v>1</v>
      </c>
      <c r="D24" s="9">
        <v>3</v>
      </c>
    </row>
    <row r="26" spans="1:5" ht="66.5" customHeight="1" x14ac:dyDescent="0.3">
      <c r="B26" s="3" t="s">
        <v>3</v>
      </c>
      <c r="C26" s="3" t="s">
        <v>4</v>
      </c>
      <c r="D26" s="2" t="s">
        <v>5</v>
      </c>
    </row>
    <row r="27" spans="1:5" x14ac:dyDescent="0.3">
      <c r="B27" s="9">
        <f>0.15*0.5*D23/12</f>
        <v>5.0327691089973214</v>
      </c>
      <c r="C27" s="9">
        <v>71.2</v>
      </c>
      <c r="D27" s="9">
        <v>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2322-C18E-4E79-8231-5701540F2A44}">
  <dimension ref="A1:E27"/>
  <sheetViews>
    <sheetView zoomScale="70" zoomScaleNormal="70" workbookViewId="0">
      <selection activeCell="D38" sqref="D38"/>
    </sheetView>
  </sheetViews>
  <sheetFormatPr defaultColWidth="8.9140625" defaultRowHeight="14" x14ac:dyDescent="0.3"/>
  <cols>
    <col min="1" max="1" width="33.1640625" style="1" bestFit="1" customWidth="1"/>
    <col min="2" max="2" width="11.33203125" style="1" bestFit="1" customWidth="1"/>
    <col min="3" max="3" width="31.6640625" style="1" bestFit="1" customWidth="1"/>
    <col min="4" max="4" width="22.6640625" style="1" bestFit="1" customWidth="1"/>
    <col min="5" max="5" width="38.5" style="1" bestFit="1" customWidth="1"/>
    <col min="6" max="16384" width="8.9140625" style="1"/>
  </cols>
  <sheetData>
    <row r="1" spans="1:5" s="7" customFormat="1" x14ac:dyDescent="0.3">
      <c r="A1" s="16" t="s">
        <v>31</v>
      </c>
      <c r="B1" s="16" t="s">
        <v>0</v>
      </c>
      <c r="C1" s="16" t="s">
        <v>6</v>
      </c>
      <c r="D1" s="16" t="s">
        <v>2</v>
      </c>
      <c r="E1" s="38" t="s">
        <v>21</v>
      </c>
    </row>
    <row r="2" spans="1:5" x14ac:dyDescent="0.3">
      <c r="A2" s="17" t="s">
        <v>34</v>
      </c>
      <c r="B2" s="18">
        <f>16.8*16.8*(2.2*4.08)</f>
        <v>2533.3862400000003</v>
      </c>
      <c r="C2" s="18">
        <v>15</v>
      </c>
      <c r="D2" s="19">
        <f>B2/C2</f>
        <v>168.89241600000003</v>
      </c>
      <c r="E2" s="18" t="s">
        <v>47</v>
      </c>
    </row>
    <row r="3" spans="1:5" x14ac:dyDescent="0.3">
      <c r="A3" s="17" t="s">
        <v>35</v>
      </c>
      <c r="B3" s="18">
        <f>16.8*16.8*(2.2*1.62)</f>
        <v>1005.9033600000001</v>
      </c>
      <c r="C3" s="18">
        <v>15</v>
      </c>
      <c r="D3" s="19">
        <f t="shared" ref="D3:D12" si="0">B3/C3</f>
        <v>67.060224000000005</v>
      </c>
      <c r="E3" s="18" t="s">
        <v>47</v>
      </c>
    </row>
    <row r="4" spans="1:5" x14ac:dyDescent="0.3">
      <c r="A4" s="17" t="s">
        <v>36</v>
      </c>
      <c r="B4" s="18">
        <f>16.8*16.8*(2.2*2.48)</f>
        <v>1539.9014400000001</v>
      </c>
      <c r="C4" s="18">
        <v>15</v>
      </c>
      <c r="D4" s="19">
        <f t="shared" si="0"/>
        <v>102.66009600000001</v>
      </c>
      <c r="E4" s="18" t="s">
        <v>47</v>
      </c>
    </row>
    <row r="5" spans="1:5" x14ac:dyDescent="0.3">
      <c r="A5" s="17" t="s">
        <v>37</v>
      </c>
      <c r="B5" s="18">
        <f>16.8*16.8*(1.32*1.84)</f>
        <v>685.50451200000009</v>
      </c>
      <c r="C5" s="18">
        <v>15</v>
      </c>
      <c r="D5" s="19">
        <f t="shared" si="0"/>
        <v>45.700300800000008</v>
      </c>
      <c r="E5" s="18" t="s">
        <v>47</v>
      </c>
    </row>
    <row r="6" spans="1:5" x14ac:dyDescent="0.3">
      <c r="A6" s="17" t="s">
        <v>38</v>
      </c>
      <c r="B6" s="18">
        <f>16.8*16.8*(3.42*2.04)</f>
        <v>1969.132032</v>
      </c>
      <c r="C6" s="18">
        <v>7</v>
      </c>
      <c r="D6" s="19">
        <f t="shared" si="0"/>
        <v>281.304576</v>
      </c>
      <c r="E6" s="18" t="s">
        <v>48</v>
      </c>
    </row>
    <row r="7" spans="1:5" x14ac:dyDescent="0.3">
      <c r="A7" s="17" t="s">
        <v>39</v>
      </c>
      <c r="B7" s="18">
        <f>16.8*16.8*(11.94*6.27)</f>
        <v>21129.558912</v>
      </c>
      <c r="C7" s="18">
        <v>30</v>
      </c>
      <c r="D7" s="19">
        <f t="shared" si="0"/>
        <v>704.31863039999996</v>
      </c>
      <c r="E7" s="18" t="s">
        <v>45</v>
      </c>
    </row>
    <row r="8" spans="1:5" x14ac:dyDescent="0.3">
      <c r="A8" s="17" t="s">
        <v>40</v>
      </c>
      <c r="B8" s="18">
        <f>16.8*16.8*(5.12*4.65)</f>
        <v>6719.5699200000008</v>
      </c>
      <c r="C8" s="18">
        <v>150</v>
      </c>
      <c r="D8" s="19">
        <f t="shared" si="0"/>
        <v>44.797132800000007</v>
      </c>
      <c r="E8" s="18" t="s">
        <v>25</v>
      </c>
    </row>
    <row r="9" spans="1:5" x14ac:dyDescent="0.3">
      <c r="A9" s="17" t="s">
        <v>41</v>
      </c>
      <c r="B9" s="18">
        <f>16.8*16.8*(4.61*6.06+2.17*5.35)</f>
        <v>11161.491263999998</v>
      </c>
      <c r="C9" s="18">
        <v>150</v>
      </c>
      <c r="D9" s="19">
        <f t="shared" si="0"/>
        <v>74.409941759999995</v>
      </c>
      <c r="E9" s="18" t="s">
        <v>46</v>
      </c>
    </row>
    <row r="10" spans="1:5" x14ac:dyDescent="0.3">
      <c r="A10" s="17" t="s">
        <v>42</v>
      </c>
      <c r="B10" s="18">
        <f>16.8*16.8*(5.35*5.12-0.98*2.12)</f>
        <v>7144.7362560000001</v>
      </c>
      <c r="C10" s="18">
        <v>150</v>
      </c>
      <c r="D10" s="19">
        <f t="shared" si="0"/>
        <v>47.631575040000001</v>
      </c>
      <c r="E10" s="18" t="s">
        <v>25</v>
      </c>
    </row>
    <row r="11" spans="1:5" x14ac:dyDescent="0.3">
      <c r="A11" s="17" t="s">
        <v>43</v>
      </c>
      <c r="B11" s="18">
        <f>16.8*16.8*(3.48*2.12)</f>
        <v>2082.2538239999999</v>
      </c>
      <c r="C11" s="18">
        <v>150</v>
      </c>
      <c r="D11" s="19">
        <f t="shared" si="0"/>
        <v>13.88169216</v>
      </c>
      <c r="E11" s="17" t="s">
        <v>25</v>
      </c>
    </row>
    <row r="12" spans="1:5" x14ac:dyDescent="0.3">
      <c r="A12" s="17" t="s">
        <v>44</v>
      </c>
      <c r="B12" s="18">
        <f>16.8*16.8*(5.62*2.63)</f>
        <v>4171.6765439999999</v>
      </c>
      <c r="C12" s="18">
        <v>15</v>
      </c>
      <c r="D12" s="19">
        <f t="shared" si="0"/>
        <v>278.1117696</v>
      </c>
      <c r="E12" s="18" t="s">
        <v>47</v>
      </c>
    </row>
    <row r="13" spans="1:5" x14ac:dyDescent="0.3">
      <c r="A13" s="17"/>
      <c r="B13" s="18"/>
      <c r="C13" s="18"/>
      <c r="D13" s="19"/>
      <c r="E13" s="18"/>
    </row>
    <row r="14" spans="1:5" x14ac:dyDescent="0.3">
      <c r="A14" s="17"/>
      <c r="B14" s="18"/>
      <c r="C14" s="18"/>
      <c r="D14" s="19"/>
      <c r="E14" s="18"/>
    </row>
    <row r="15" spans="1:5" x14ac:dyDescent="0.3">
      <c r="A15" s="4"/>
      <c r="B15" s="5"/>
      <c r="C15" s="5"/>
      <c r="D15" s="6"/>
      <c r="E15" s="5"/>
    </row>
    <row r="16" spans="1:5" x14ac:dyDescent="0.3">
      <c r="A16" s="4"/>
      <c r="B16" s="5"/>
      <c r="C16" s="5"/>
      <c r="D16" s="6"/>
      <c r="E16" s="5"/>
    </row>
    <row r="17" spans="1:5" x14ac:dyDescent="0.3">
      <c r="A17" s="4"/>
      <c r="B17" s="5"/>
      <c r="C17" s="5"/>
      <c r="D17" s="6"/>
      <c r="E17" s="5"/>
    </row>
    <row r="18" spans="1:5" x14ac:dyDescent="0.3">
      <c r="A18" s="4"/>
      <c r="B18" s="5"/>
      <c r="C18" s="5"/>
      <c r="D18" s="6"/>
      <c r="E18" s="5"/>
    </row>
    <row r="19" spans="1:5" x14ac:dyDescent="0.3">
      <c r="A19" s="4"/>
      <c r="B19" s="5"/>
      <c r="C19" s="5"/>
      <c r="D19" s="6"/>
      <c r="E19" s="5"/>
    </row>
    <row r="20" spans="1:5" x14ac:dyDescent="0.3">
      <c r="A20" s="4"/>
      <c r="B20" s="5"/>
      <c r="C20" s="5"/>
      <c r="D20" s="6"/>
      <c r="E20" s="5"/>
    </row>
    <row r="21" spans="1:5" x14ac:dyDescent="0.3">
      <c r="A21" s="4"/>
      <c r="B21" s="5"/>
      <c r="C21" s="5"/>
      <c r="D21" s="6"/>
      <c r="E21" s="5"/>
    </row>
    <row r="22" spans="1:5" x14ac:dyDescent="0.3">
      <c r="A22" s="4"/>
      <c r="B22" s="5"/>
      <c r="C22" s="5"/>
      <c r="D22" s="6"/>
      <c r="E22" s="5"/>
    </row>
    <row r="23" spans="1:5" x14ac:dyDescent="0.3">
      <c r="C23" s="36" t="s">
        <v>7</v>
      </c>
      <c r="D23" s="37">
        <f>SUM(D2:D22)</f>
        <v>1828.7683545600003</v>
      </c>
    </row>
    <row r="24" spans="1:5" x14ac:dyDescent="0.3">
      <c r="C24" s="8" t="s">
        <v>1</v>
      </c>
      <c r="D24" s="9">
        <v>4</v>
      </c>
    </row>
    <row r="26" spans="1:5" ht="66.5" customHeight="1" x14ac:dyDescent="0.3">
      <c r="B26" s="3" t="s">
        <v>3</v>
      </c>
      <c r="C26" s="3" t="s">
        <v>4</v>
      </c>
      <c r="D26" s="2" t="s">
        <v>5</v>
      </c>
    </row>
    <row r="27" spans="1:5" x14ac:dyDescent="0.3">
      <c r="B27" s="9">
        <v>19.54</v>
      </c>
      <c r="C27" s="9">
        <v>109.8</v>
      </c>
      <c r="D27" s="9">
        <v>231.2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80C3-59EF-4C07-BAFE-A968D09E1D67}">
  <dimension ref="A1:E26"/>
  <sheetViews>
    <sheetView topLeftCell="A12" zoomScale="85" zoomScaleNormal="85" workbookViewId="0">
      <selection activeCell="M17" sqref="M17"/>
    </sheetView>
  </sheetViews>
  <sheetFormatPr defaultRowHeight="14" x14ac:dyDescent="0.3"/>
  <cols>
    <col min="1" max="1" width="12.75" bestFit="1" customWidth="1"/>
    <col min="2" max="2" width="10.75" bestFit="1" customWidth="1"/>
    <col min="3" max="3" width="18.75" bestFit="1" customWidth="1"/>
    <col min="4" max="4" width="8.4140625" bestFit="1" customWidth="1"/>
    <col min="5" max="5" width="26.75" bestFit="1" customWidth="1"/>
  </cols>
  <sheetData>
    <row r="1" spans="1:5" ht="56" x14ac:dyDescent="0.3">
      <c r="A1" s="2" t="s">
        <v>49</v>
      </c>
      <c r="B1" s="2" t="s">
        <v>0</v>
      </c>
      <c r="C1" s="2" t="s">
        <v>6</v>
      </c>
      <c r="D1" s="2" t="s">
        <v>2</v>
      </c>
      <c r="E1" s="2" t="s">
        <v>21</v>
      </c>
    </row>
    <row r="2" spans="1:5" x14ac:dyDescent="0.3">
      <c r="A2" s="10" t="s">
        <v>50</v>
      </c>
      <c r="B2" s="20">
        <f>2.89*12.16*2.45*12.16</f>
        <v>1046.9623808000001</v>
      </c>
      <c r="C2" s="13">
        <v>20</v>
      </c>
      <c r="D2" s="14">
        <f>B2/C2</f>
        <v>52.348119040000007</v>
      </c>
      <c r="E2" s="13" t="s">
        <v>51</v>
      </c>
    </row>
    <row r="3" spans="1:5" ht="42" x14ac:dyDescent="0.3">
      <c r="A3" s="10" t="s">
        <v>52</v>
      </c>
      <c r="B3" s="20">
        <f>4.38*12.16*2.45*12.16</f>
        <v>1586.7457535999999</v>
      </c>
      <c r="C3" s="13">
        <v>150</v>
      </c>
      <c r="D3" s="14">
        <f t="shared" ref="D3:D19" si="0">B3/C3</f>
        <v>10.578305024000001</v>
      </c>
      <c r="E3" s="13" t="s">
        <v>25</v>
      </c>
    </row>
    <row r="4" spans="1:5" ht="28" x14ac:dyDescent="0.3">
      <c r="A4" s="10" t="s">
        <v>53</v>
      </c>
      <c r="B4" s="20">
        <f>2.45*3.87*12.16*12.16</f>
        <v>1401.9876864</v>
      </c>
      <c r="C4" s="13">
        <v>15</v>
      </c>
      <c r="D4" s="14">
        <f>B4/C4</f>
        <v>93.465845760000008</v>
      </c>
      <c r="E4" s="12" t="s">
        <v>54</v>
      </c>
    </row>
    <row r="5" spans="1:5" ht="42" x14ac:dyDescent="0.3">
      <c r="A5" s="10" t="s">
        <v>55</v>
      </c>
      <c r="B5" s="20">
        <f>3.4*5.44*12.16*12.16</f>
        <v>2734.9221376000005</v>
      </c>
      <c r="C5" s="13">
        <v>150</v>
      </c>
      <c r="D5" s="14">
        <f t="shared" si="0"/>
        <v>18.232814250666671</v>
      </c>
      <c r="E5" s="13" t="s">
        <v>25</v>
      </c>
    </row>
    <row r="6" spans="1:5" ht="28" x14ac:dyDescent="0.3">
      <c r="A6" s="10" t="s">
        <v>56</v>
      </c>
      <c r="B6" s="20">
        <f>4.47*2.61*12.16*12.16</f>
        <v>1725.1035955199998</v>
      </c>
      <c r="C6" s="13">
        <v>15</v>
      </c>
      <c r="D6" s="14">
        <f t="shared" si="0"/>
        <v>115.00690636799999</v>
      </c>
      <c r="E6" s="12" t="s">
        <v>54</v>
      </c>
    </row>
    <row r="7" spans="1:5" ht="28" x14ac:dyDescent="0.3">
      <c r="A7" s="10" t="s">
        <v>57</v>
      </c>
      <c r="B7" s="20">
        <f>5.08*2.35*12.16*12.16</f>
        <v>1765.2195328000003</v>
      </c>
      <c r="C7" s="13">
        <v>15</v>
      </c>
      <c r="D7" s="14">
        <f t="shared" si="0"/>
        <v>117.68130218666668</v>
      </c>
      <c r="E7" s="12" t="s">
        <v>54</v>
      </c>
    </row>
    <row r="8" spans="1:5" x14ac:dyDescent="0.3">
      <c r="A8" s="10" t="s">
        <v>58</v>
      </c>
      <c r="B8" s="20">
        <f>5.62*13.63*12.16*12.16</f>
        <v>11326.593679359999</v>
      </c>
      <c r="C8" s="13">
        <v>0</v>
      </c>
      <c r="D8" s="14">
        <f>B8*C8</f>
        <v>0</v>
      </c>
      <c r="E8" s="12" t="s">
        <v>59</v>
      </c>
    </row>
    <row r="9" spans="1:5" x14ac:dyDescent="0.3">
      <c r="A9" s="10" t="s">
        <v>32</v>
      </c>
      <c r="B9" s="20">
        <f>2.34*1.17*12.16*12.16</f>
        <v>404.82643967999996</v>
      </c>
      <c r="C9" s="13">
        <v>120</v>
      </c>
      <c r="D9" s="14">
        <f t="shared" si="0"/>
        <v>3.3735536639999997</v>
      </c>
      <c r="E9" s="12" t="s">
        <v>60</v>
      </c>
    </row>
    <row r="10" spans="1:5" ht="28" x14ac:dyDescent="0.3">
      <c r="A10" s="10" t="s">
        <v>61</v>
      </c>
      <c r="B10" s="20">
        <f>0.53*1*12.16*12.16</f>
        <v>78.368768000000017</v>
      </c>
      <c r="C10" s="13">
        <v>150</v>
      </c>
      <c r="D10" s="14">
        <f t="shared" si="0"/>
        <v>0.52245845333333341</v>
      </c>
      <c r="E10" s="13" t="s">
        <v>62</v>
      </c>
    </row>
    <row r="11" spans="1:5" x14ac:dyDescent="0.3">
      <c r="A11" s="10" t="s">
        <v>33</v>
      </c>
      <c r="B11" s="20">
        <f>2.06*12.16*12.16*1.16</f>
        <v>353.33963775999996</v>
      </c>
      <c r="C11" s="13">
        <v>50</v>
      </c>
      <c r="D11" s="14">
        <f>B11/C11</f>
        <v>7.0667927551999989</v>
      </c>
      <c r="E11" s="12" t="s">
        <v>63</v>
      </c>
    </row>
    <row r="12" spans="1:5" x14ac:dyDescent="0.3">
      <c r="A12" s="10" t="s">
        <v>64</v>
      </c>
      <c r="B12" s="20">
        <f>2.2*12.16*12.16*1.25</f>
        <v>406.63040000000001</v>
      </c>
      <c r="C12" s="13">
        <v>50</v>
      </c>
      <c r="D12" s="14">
        <f t="shared" si="0"/>
        <v>8.1326079999999994</v>
      </c>
      <c r="E12" s="12" t="s">
        <v>63</v>
      </c>
    </row>
    <row r="13" spans="1:5" ht="28" x14ac:dyDescent="0.3">
      <c r="A13" s="10" t="s">
        <v>65</v>
      </c>
      <c r="B13" s="20">
        <f>3.17*3.11*12.16*12.16*0.5</f>
        <v>728.88129535999997</v>
      </c>
      <c r="C13" s="13">
        <v>15</v>
      </c>
      <c r="D13" s="14">
        <f t="shared" si="0"/>
        <v>48.592086357333329</v>
      </c>
      <c r="E13" s="12" t="s">
        <v>54</v>
      </c>
    </row>
    <row r="14" spans="1:5" ht="42" x14ac:dyDescent="0.3">
      <c r="A14" s="10" t="s">
        <v>66</v>
      </c>
      <c r="B14" s="20">
        <f>12.16*12.16*6.31*2.56+12.16*12.16*4*5.4+728.88</f>
        <v>6311.3387161600003</v>
      </c>
      <c r="C14" s="13">
        <v>150</v>
      </c>
      <c r="D14" s="14">
        <f t="shared" si="0"/>
        <v>42.07559144106667</v>
      </c>
      <c r="E14" s="13" t="s">
        <v>25</v>
      </c>
    </row>
    <row r="15" spans="1:5" x14ac:dyDescent="0.3">
      <c r="A15" s="10" t="s">
        <v>67</v>
      </c>
      <c r="B15" s="20">
        <f>4.06*4.37*12.16*12.16</f>
        <v>2623.4610483200004</v>
      </c>
      <c r="C15" s="13">
        <v>0</v>
      </c>
      <c r="D15" s="14">
        <f>B15*C15</f>
        <v>0</v>
      </c>
      <c r="E15" s="13" t="s">
        <v>68</v>
      </c>
    </row>
    <row r="16" spans="1:5" ht="28" x14ac:dyDescent="0.3">
      <c r="A16" s="10" t="s">
        <v>69</v>
      </c>
      <c r="B16" s="20">
        <f>0.83*12.16*12.16*0.95</f>
        <v>116.5920256</v>
      </c>
      <c r="C16" s="13">
        <v>15</v>
      </c>
      <c r="D16" s="14">
        <f t="shared" si="0"/>
        <v>7.7728017066666668</v>
      </c>
      <c r="E16" s="12" t="s">
        <v>54</v>
      </c>
    </row>
    <row r="17" spans="1:5" ht="28" x14ac:dyDescent="0.3">
      <c r="A17" s="10" t="s">
        <v>70</v>
      </c>
      <c r="B17" s="20">
        <f>12.16*12.16*6.33*7.6</f>
        <v>7113.5182847999995</v>
      </c>
      <c r="C17" s="13">
        <v>7</v>
      </c>
      <c r="D17" s="14">
        <f t="shared" si="0"/>
        <v>1016.2168978285714</v>
      </c>
      <c r="E17" s="12" t="s">
        <v>30</v>
      </c>
    </row>
    <row r="18" spans="1:5" ht="42" x14ac:dyDescent="0.3">
      <c r="A18" s="10" t="s">
        <v>71</v>
      </c>
      <c r="B18" s="20">
        <f>12.16*12.16*7.19*3.34+12.16*12.16*3.57*5.09</f>
        <v>6237.8434150400008</v>
      </c>
      <c r="C18" s="13">
        <v>15</v>
      </c>
      <c r="D18" s="14">
        <f t="shared" si="0"/>
        <v>415.85622766933341</v>
      </c>
      <c r="E18" s="12" t="s">
        <v>54</v>
      </c>
    </row>
    <row r="19" spans="1:5" ht="56" x14ac:dyDescent="0.3">
      <c r="A19" s="10" t="s">
        <v>72</v>
      </c>
      <c r="B19" s="20">
        <f>12.16*12.16*10.2*5.55-12.16*12.16*3.62*7.29</f>
        <v>4468.5280051199998</v>
      </c>
      <c r="C19" s="13">
        <v>15</v>
      </c>
      <c r="D19" s="14">
        <f t="shared" si="0"/>
        <v>297.90186700800001</v>
      </c>
      <c r="E19" s="12" t="s">
        <v>54</v>
      </c>
    </row>
    <row r="20" spans="1:5" ht="28" x14ac:dyDescent="0.3">
      <c r="A20" s="10" t="s">
        <v>73</v>
      </c>
      <c r="B20" s="20">
        <f>7.73*2.59*12.16*12.16</f>
        <v>2960.3728179200002</v>
      </c>
      <c r="C20" s="13" t="s">
        <v>74</v>
      </c>
      <c r="D20" s="13">
        <f>4+4+4+4+4+4+4+4+4+3*10</f>
        <v>66</v>
      </c>
      <c r="E20" s="13" t="s">
        <v>75</v>
      </c>
    </row>
    <row r="21" spans="1:5" x14ac:dyDescent="0.3">
      <c r="A21" s="11"/>
      <c r="B21" s="15"/>
      <c r="C21" s="21" t="s">
        <v>7</v>
      </c>
      <c r="D21" s="22">
        <f>SUM(D2:D20)</f>
        <v>2320.8241775128381</v>
      </c>
      <c r="E21" s="15"/>
    </row>
    <row r="22" spans="1:5" x14ac:dyDescent="0.3">
      <c r="A22" s="11"/>
      <c r="B22" s="15"/>
      <c r="C22" s="21" t="s">
        <v>1</v>
      </c>
      <c r="D22" s="23">
        <v>4</v>
      </c>
      <c r="E22" s="15"/>
    </row>
    <row r="23" spans="1:5" x14ac:dyDescent="0.3">
      <c r="A23" s="1"/>
      <c r="B23" s="1"/>
      <c r="C23" s="1"/>
      <c r="D23" s="1"/>
      <c r="E23" s="1"/>
    </row>
    <row r="24" spans="1:5" ht="84" x14ac:dyDescent="0.3">
      <c r="A24" s="10" t="s">
        <v>76</v>
      </c>
      <c r="B24" s="3" t="s">
        <v>3</v>
      </c>
      <c r="C24" s="3" t="s">
        <v>4</v>
      </c>
      <c r="D24" s="2" t="s">
        <v>5</v>
      </c>
      <c r="E24" s="1"/>
    </row>
    <row r="25" spans="1:5" x14ac:dyDescent="0.3">
      <c r="A25" s="1"/>
      <c r="B25" s="24">
        <f>((D21*0.5*0.15)/12)</f>
        <v>14.505151109455239</v>
      </c>
      <c r="C25" s="24">
        <f>40.37*12.16*0.25/12</f>
        <v>10.227066666666666</v>
      </c>
      <c r="D25" s="24">
        <f>12.16*12.76</f>
        <v>155.16159999999999</v>
      </c>
      <c r="E25" s="1"/>
    </row>
    <row r="26" spans="1:5" x14ac:dyDescent="0.3">
      <c r="A26" s="1"/>
      <c r="B26" s="1"/>
      <c r="C26" s="1"/>
      <c r="D26" s="1"/>
      <c r="E26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EB439-8362-472B-B30C-971D9D2316ED}">
  <dimension ref="A1:P28"/>
  <sheetViews>
    <sheetView topLeftCell="A7" zoomScale="70" zoomScaleNormal="70" workbookViewId="0">
      <selection activeCell="L7" sqref="L7"/>
    </sheetView>
  </sheetViews>
  <sheetFormatPr defaultRowHeight="14" x14ac:dyDescent="0.3"/>
  <cols>
    <col min="1" max="1" width="12.75" bestFit="1" customWidth="1"/>
    <col min="2" max="2" width="8.1640625" bestFit="1" customWidth="1"/>
    <col min="3" max="3" width="10.4140625" bestFit="1" customWidth="1"/>
    <col min="4" max="4" width="8.4140625" bestFit="1" customWidth="1"/>
    <col min="5" max="5" width="47.4140625" bestFit="1" customWidth="1"/>
  </cols>
  <sheetData>
    <row r="1" spans="1:16" ht="56" x14ac:dyDescent="0.3">
      <c r="A1" s="26" t="s">
        <v>85</v>
      </c>
      <c r="B1" s="26" t="s">
        <v>86</v>
      </c>
      <c r="C1" s="26" t="s">
        <v>87</v>
      </c>
      <c r="D1" s="26" t="s">
        <v>88</v>
      </c>
      <c r="E1" s="32" t="s">
        <v>89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28" x14ac:dyDescent="0.3">
      <c r="A2" s="28" t="s">
        <v>90</v>
      </c>
      <c r="B2" s="29">
        <v>1204</v>
      </c>
      <c r="C2" s="29">
        <v>20</v>
      </c>
      <c r="D2" s="30">
        <f>B2/C2</f>
        <v>60.2</v>
      </c>
      <c r="E2" s="29" t="s">
        <v>91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28" x14ac:dyDescent="0.3">
      <c r="A3" s="28" t="s">
        <v>92</v>
      </c>
      <c r="B3" s="29">
        <v>1333</v>
      </c>
      <c r="C3" s="29">
        <v>20</v>
      </c>
      <c r="D3" s="30">
        <f t="shared" ref="D3:D23" si="0">B3/C3</f>
        <v>66.650000000000006</v>
      </c>
      <c r="E3" s="41" t="s">
        <v>51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3">
      <c r="A4" s="28" t="s">
        <v>93</v>
      </c>
      <c r="B4" s="29">
        <v>1549</v>
      </c>
      <c r="C4" s="29">
        <v>20</v>
      </c>
      <c r="D4" s="30">
        <f t="shared" si="0"/>
        <v>77.45</v>
      </c>
      <c r="E4" s="41" t="s">
        <v>51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ht="28" x14ac:dyDescent="0.3">
      <c r="A5" s="28" t="s">
        <v>94</v>
      </c>
      <c r="B5" s="29">
        <v>4060</v>
      </c>
      <c r="C5" s="29">
        <v>50</v>
      </c>
      <c r="D5" s="30">
        <f t="shared" si="0"/>
        <v>81.2</v>
      </c>
      <c r="E5" s="41" t="s">
        <v>95</v>
      </c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x14ac:dyDescent="0.3">
      <c r="A6" s="28" t="s">
        <v>96</v>
      </c>
      <c r="B6" s="29">
        <v>1179</v>
      </c>
      <c r="C6" s="29">
        <v>15</v>
      </c>
      <c r="D6" s="30">
        <f t="shared" si="0"/>
        <v>78.599999999999994</v>
      </c>
      <c r="E6" s="41" t="s">
        <v>79</v>
      </c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ht="28" x14ac:dyDescent="0.3">
      <c r="A7" s="28" t="s">
        <v>97</v>
      </c>
      <c r="B7" s="29">
        <v>674</v>
      </c>
      <c r="C7" s="29">
        <v>50</v>
      </c>
      <c r="D7" s="30">
        <f t="shared" si="0"/>
        <v>13.48</v>
      </c>
      <c r="E7" s="41" t="s">
        <v>95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ht="28" x14ac:dyDescent="0.3">
      <c r="A8" s="28" t="s">
        <v>98</v>
      </c>
      <c r="B8" s="29">
        <v>3080</v>
      </c>
      <c r="C8" s="29">
        <v>50</v>
      </c>
      <c r="D8" s="30">
        <f t="shared" si="0"/>
        <v>61.6</v>
      </c>
      <c r="E8" s="41" t="s">
        <v>95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3">
      <c r="A9" s="28" t="s">
        <v>99</v>
      </c>
      <c r="B9" s="29">
        <v>1567</v>
      </c>
      <c r="C9" s="29">
        <v>100</v>
      </c>
      <c r="D9" s="30">
        <f t="shared" si="0"/>
        <v>15.67</v>
      </c>
      <c r="E9" s="29" t="s">
        <v>100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">
      <c r="A10" s="28" t="s">
        <v>101</v>
      </c>
      <c r="B10" s="29">
        <v>1627</v>
      </c>
      <c r="C10" s="29">
        <v>50</v>
      </c>
      <c r="D10" s="30">
        <f t="shared" si="0"/>
        <v>32.54</v>
      </c>
      <c r="E10" s="29" t="s">
        <v>102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3">
      <c r="A11" s="28" t="s">
        <v>103</v>
      </c>
      <c r="B11" s="29">
        <v>1098</v>
      </c>
      <c r="C11" s="29">
        <v>100</v>
      </c>
      <c r="D11" s="30">
        <f t="shared" si="0"/>
        <v>10.98</v>
      </c>
      <c r="E11" s="29" t="s">
        <v>100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ht="28" x14ac:dyDescent="0.3">
      <c r="A12" s="28" t="s">
        <v>104</v>
      </c>
      <c r="B12" s="29">
        <v>1321</v>
      </c>
      <c r="C12" s="29">
        <v>20</v>
      </c>
      <c r="D12" s="30">
        <f t="shared" si="0"/>
        <v>66.05</v>
      </c>
      <c r="E12" s="29" t="s">
        <v>91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ht="28" x14ac:dyDescent="0.3">
      <c r="A13" s="28" t="s">
        <v>105</v>
      </c>
      <c r="B13" s="29">
        <v>3237</v>
      </c>
      <c r="C13" s="29">
        <v>15</v>
      </c>
      <c r="D13" s="30">
        <f t="shared" si="0"/>
        <v>215.8</v>
      </c>
      <c r="E13" s="41" t="s">
        <v>79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ht="28" x14ac:dyDescent="0.3">
      <c r="A14" s="28" t="s">
        <v>106</v>
      </c>
      <c r="B14" s="29">
        <v>10460</v>
      </c>
      <c r="C14" s="29">
        <v>15</v>
      </c>
      <c r="D14" s="30">
        <f t="shared" si="0"/>
        <v>697.33333333333337</v>
      </c>
      <c r="E14" s="41" t="s">
        <v>79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x14ac:dyDescent="0.3">
      <c r="A15" s="28" t="s">
        <v>107</v>
      </c>
      <c r="B15" s="29">
        <v>2914</v>
      </c>
      <c r="C15" s="29">
        <v>15</v>
      </c>
      <c r="D15" s="30">
        <f t="shared" si="0"/>
        <v>194.26666666666668</v>
      </c>
      <c r="E15" s="41" t="s">
        <v>81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x14ac:dyDescent="0.3">
      <c r="A16" s="28" t="s">
        <v>108</v>
      </c>
      <c r="B16" s="29">
        <v>6745</v>
      </c>
      <c r="C16" s="29">
        <v>15</v>
      </c>
      <c r="D16" s="30">
        <f t="shared" si="0"/>
        <v>449.66666666666669</v>
      </c>
      <c r="E16" s="41" t="s">
        <v>79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ht="28" x14ac:dyDescent="0.3">
      <c r="A17" s="28" t="s">
        <v>109</v>
      </c>
      <c r="B17" s="29">
        <v>0</v>
      </c>
      <c r="C17" s="29">
        <v>1</v>
      </c>
      <c r="D17" s="30">
        <f t="shared" si="0"/>
        <v>0</v>
      </c>
      <c r="E17" s="29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ht="42" x14ac:dyDescent="0.3">
      <c r="A18" s="28" t="s">
        <v>110</v>
      </c>
      <c r="B18" s="29">
        <v>0</v>
      </c>
      <c r="C18" s="29">
        <v>1</v>
      </c>
      <c r="D18" s="30">
        <f t="shared" si="0"/>
        <v>0</v>
      </c>
      <c r="E18" s="29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ht="56" x14ac:dyDescent="0.3">
      <c r="A19" s="28" t="s">
        <v>111</v>
      </c>
      <c r="B19" s="29">
        <v>0</v>
      </c>
      <c r="C19" s="29">
        <v>1</v>
      </c>
      <c r="D19" s="30">
        <f t="shared" si="0"/>
        <v>0</v>
      </c>
      <c r="E19" s="29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28" t="s">
        <v>112</v>
      </c>
      <c r="B20" s="29">
        <v>2566</v>
      </c>
      <c r="C20" s="29">
        <v>0</v>
      </c>
      <c r="D20" s="30">
        <f>B20*C20</f>
        <v>0</v>
      </c>
      <c r="E20" s="29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28" t="s">
        <v>107</v>
      </c>
      <c r="B21" s="29">
        <v>0</v>
      </c>
      <c r="C21" s="29">
        <v>1</v>
      </c>
      <c r="D21" s="30">
        <f t="shared" si="0"/>
        <v>0</v>
      </c>
      <c r="E21" s="29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28" t="s">
        <v>84</v>
      </c>
      <c r="B22" s="29">
        <v>0</v>
      </c>
      <c r="C22" s="29">
        <v>1</v>
      </c>
      <c r="D22" s="30">
        <f t="shared" si="0"/>
        <v>0</v>
      </c>
      <c r="E22" s="29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ht="28" x14ac:dyDescent="0.3">
      <c r="A23" s="28" t="s">
        <v>113</v>
      </c>
      <c r="B23" s="29">
        <v>0</v>
      </c>
      <c r="C23" s="29">
        <v>1</v>
      </c>
      <c r="D23" s="30">
        <f t="shared" si="0"/>
        <v>0</v>
      </c>
      <c r="E23" s="29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3">
      <c r="A24" s="31"/>
      <c r="B24" s="31"/>
      <c r="C24" s="39" t="s">
        <v>114</v>
      </c>
      <c r="D24" s="40">
        <f>SUM(D2:D23)</f>
        <v>2121.4866666666667</v>
      </c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x14ac:dyDescent="0.3">
      <c r="A25" s="31"/>
      <c r="B25" s="31"/>
      <c r="C25" s="32" t="s">
        <v>1</v>
      </c>
      <c r="D25" s="33">
        <v>4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 ht="84" x14ac:dyDescent="0.3">
      <c r="A27" s="31"/>
      <c r="B27" s="34" t="s">
        <v>115</v>
      </c>
      <c r="C27" s="34" t="s">
        <v>116</v>
      </c>
      <c r="D27" s="26" t="s">
        <v>117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 x14ac:dyDescent="0.3">
      <c r="A28" s="31"/>
      <c r="B28" s="35">
        <f>D24*0.5*0.15/12</f>
        <v>13.259291666666668</v>
      </c>
      <c r="C28" s="35">
        <f>39.7*11.78*0.25/12</f>
        <v>9.7430416666666666</v>
      </c>
      <c r="D28" s="33">
        <v>183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D361-6B88-4E6D-BD57-75F8662DF41C}">
  <dimension ref="A1:G28"/>
  <sheetViews>
    <sheetView tabSelected="1" zoomScale="70" zoomScaleNormal="70" workbookViewId="0">
      <selection activeCell="E27" sqref="E27"/>
    </sheetView>
  </sheetViews>
  <sheetFormatPr defaultRowHeight="14" x14ac:dyDescent="0.3"/>
  <cols>
    <col min="1" max="1" width="9.9140625" bestFit="1" customWidth="1"/>
    <col min="2" max="2" width="8.25" bestFit="1" customWidth="1"/>
    <col min="3" max="3" width="8.58203125" bestFit="1" customWidth="1"/>
    <col min="4" max="4" width="8.4140625" bestFit="1" customWidth="1"/>
    <col min="5" max="5" width="40.4140625" bestFit="1" customWidth="1"/>
  </cols>
  <sheetData>
    <row r="1" spans="1:7" ht="70" x14ac:dyDescent="0.3">
      <c r="A1" s="2" t="s">
        <v>77</v>
      </c>
      <c r="B1" s="2" t="s">
        <v>0</v>
      </c>
      <c r="C1" s="2" t="s">
        <v>6</v>
      </c>
      <c r="D1" s="2" t="s">
        <v>2</v>
      </c>
      <c r="E1" s="8" t="s">
        <v>118</v>
      </c>
      <c r="F1" s="7"/>
      <c r="G1" s="7"/>
    </row>
    <row r="2" spans="1:7" ht="28" x14ac:dyDescent="0.3">
      <c r="A2" s="4" t="s">
        <v>119</v>
      </c>
      <c r="B2" s="5">
        <v>1086</v>
      </c>
      <c r="C2" s="5">
        <v>15</v>
      </c>
      <c r="D2" s="6">
        <f>B2/C2</f>
        <v>72.400000000000006</v>
      </c>
      <c r="E2" s="42" t="s">
        <v>79</v>
      </c>
      <c r="F2" s="1"/>
      <c r="G2" s="1"/>
    </row>
    <row r="3" spans="1:7" ht="28" x14ac:dyDescent="0.3">
      <c r="A3" s="4" t="s">
        <v>120</v>
      </c>
      <c r="B3" s="5">
        <v>702</v>
      </c>
      <c r="C3" s="5">
        <v>15</v>
      </c>
      <c r="D3" s="6">
        <f t="shared" ref="D3:D23" si="0">B3/C3</f>
        <v>46.8</v>
      </c>
      <c r="E3" s="42" t="s">
        <v>79</v>
      </c>
      <c r="F3" s="1"/>
      <c r="G3" s="1"/>
    </row>
    <row r="4" spans="1:7" ht="28" x14ac:dyDescent="0.3">
      <c r="A4" s="4" t="s">
        <v>121</v>
      </c>
      <c r="B4" s="5">
        <v>1041</v>
      </c>
      <c r="C4" s="5">
        <v>15</v>
      </c>
      <c r="D4" s="6">
        <f t="shared" si="0"/>
        <v>69.400000000000006</v>
      </c>
      <c r="E4" s="42" t="s">
        <v>79</v>
      </c>
      <c r="F4" s="1"/>
      <c r="G4" s="1"/>
    </row>
    <row r="5" spans="1:7" ht="56" x14ac:dyDescent="0.3">
      <c r="A5" s="4" t="s">
        <v>122</v>
      </c>
      <c r="B5" s="5">
        <v>11123</v>
      </c>
      <c r="C5" s="5">
        <v>15</v>
      </c>
      <c r="D5" s="6">
        <f t="shared" si="0"/>
        <v>741.5333333333333</v>
      </c>
      <c r="E5" s="42" t="s">
        <v>79</v>
      </c>
      <c r="F5" s="1"/>
      <c r="G5" s="1"/>
    </row>
    <row r="6" spans="1:7" ht="28" x14ac:dyDescent="0.3">
      <c r="A6" s="4" t="s">
        <v>123</v>
      </c>
      <c r="B6" s="5">
        <v>1270</v>
      </c>
      <c r="C6" s="5">
        <v>20</v>
      </c>
      <c r="D6" s="6">
        <f t="shared" si="0"/>
        <v>63.5</v>
      </c>
      <c r="E6" s="5" t="s">
        <v>78</v>
      </c>
      <c r="F6" s="1"/>
      <c r="G6" s="1"/>
    </row>
    <row r="7" spans="1:7" ht="28" x14ac:dyDescent="0.3">
      <c r="A7" s="4" t="s">
        <v>124</v>
      </c>
      <c r="B7" s="5">
        <v>1851</v>
      </c>
      <c r="C7" s="5">
        <v>20</v>
      </c>
      <c r="D7" s="6">
        <f t="shared" si="0"/>
        <v>92.55</v>
      </c>
      <c r="E7" s="5" t="s">
        <v>78</v>
      </c>
      <c r="F7" s="1"/>
      <c r="G7" s="1"/>
    </row>
    <row r="8" spans="1:7" ht="28" x14ac:dyDescent="0.3">
      <c r="A8" s="4" t="s">
        <v>125</v>
      </c>
      <c r="B8" s="5">
        <v>2219</v>
      </c>
      <c r="C8" s="5">
        <v>120</v>
      </c>
      <c r="D8" s="6">
        <f t="shared" si="0"/>
        <v>18.491666666666667</v>
      </c>
      <c r="E8" s="42" t="s">
        <v>126</v>
      </c>
      <c r="F8" s="1"/>
      <c r="G8" s="1"/>
    </row>
    <row r="9" spans="1:7" ht="28" x14ac:dyDescent="0.3">
      <c r="A9" s="4" t="s">
        <v>127</v>
      </c>
      <c r="B9" s="5">
        <v>3994</v>
      </c>
      <c r="C9" s="5">
        <v>15</v>
      </c>
      <c r="D9" s="6">
        <f t="shared" si="0"/>
        <v>266.26666666666665</v>
      </c>
      <c r="E9" s="42" t="s">
        <v>81</v>
      </c>
      <c r="F9" s="1"/>
      <c r="G9" s="1"/>
    </row>
    <row r="10" spans="1:7" ht="28" x14ac:dyDescent="0.3">
      <c r="A10" s="4" t="s">
        <v>128</v>
      </c>
      <c r="B10" s="5">
        <v>247</v>
      </c>
      <c r="C10" s="5">
        <v>20</v>
      </c>
      <c r="D10" s="6">
        <f t="shared" si="0"/>
        <v>12.35</v>
      </c>
      <c r="E10" s="5" t="s">
        <v>78</v>
      </c>
      <c r="F10" s="1"/>
      <c r="G10" s="1"/>
    </row>
    <row r="11" spans="1:7" x14ac:dyDescent="0.3">
      <c r="A11" s="4" t="s">
        <v>129</v>
      </c>
      <c r="B11" s="5">
        <v>247</v>
      </c>
      <c r="C11" s="5">
        <v>20</v>
      </c>
      <c r="D11" s="6">
        <f t="shared" si="0"/>
        <v>12.35</v>
      </c>
      <c r="E11" s="5" t="s">
        <v>78</v>
      </c>
      <c r="F11" s="1"/>
      <c r="G11" s="1"/>
    </row>
    <row r="12" spans="1:7" ht="28" x14ac:dyDescent="0.3">
      <c r="A12" s="4" t="s">
        <v>130</v>
      </c>
      <c r="B12" s="5">
        <v>695</v>
      </c>
      <c r="C12" s="5">
        <v>15</v>
      </c>
      <c r="D12" s="6">
        <f t="shared" si="0"/>
        <v>46.333333333333336</v>
      </c>
      <c r="E12" s="42" t="s">
        <v>79</v>
      </c>
      <c r="F12" s="1"/>
      <c r="G12" s="1"/>
    </row>
    <row r="13" spans="1:7" ht="28" x14ac:dyDescent="0.3">
      <c r="A13" s="4" t="s">
        <v>131</v>
      </c>
      <c r="B13" s="5">
        <v>293</v>
      </c>
      <c r="C13" s="5">
        <v>15</v>
      </c>
      <c r="D13" s="6">
        <f t="shared" si="0"/>
        <v>19.533333333333335</v>
      </c>
      <c r="E13" s="42" t="s">
        <v>79</v>
      </c>
      <c r="F13" s="1"/>
      <c r="G13" s="1"/>
    </row>
    <row r="14" spans="1:7" ht="28" x14ac:dyDescent="0.3">
      <c r="A14" s="4" t="s">
        <v>132</v>
      </c>
      <c r="B14" s="5">
        <v>556</v>
      </c>
      <c r="C14" s="5">
        <v>15</v>
      </c>
      <c r="D14" s="6">
        <f t="shared" si="0"/>
        <v>37.06666666666667</v>
      </c>
      <c r="E14" s="42" t="s">
        <v>79</v>
      </c>
      <c r="F14" s="1"/>
      <c r="G14" s="1"/>
    </row>
    <row r="15" spans="1:7" ht="28" x14ac:dyDescent="0.3">
      <c r="A15" s="4" t="s">
        <v>133</v>
      </c>
      <c r="B15" s="5">
        <v>1851</v>
      </c>
      <c r="C15" s="5">
        <v>15</v>
      </c>
      <c r="D15" s="6">
        <f t="shared" si="0"/>
        <v>123.4</v>
      </c>
      <c r="E15" s="42" t="s">
        <v>79</v>
      </c>
      <c r="F15" s="1"/>
      <c r="G15" s="1"/>
    </row>
    <row r="16" spans="1:7" ht="28" x14ac:dyDescent="0.3">
      <c r="A16" s="4" t="s">
        <v>82</v>
      </c>
      <c r="B16" s="5">
        <v>0</v>
      </c>
      <c r="C16" s="5">
        <v>1</v>
      </c>
      <c r="D16" s="6">
        <f t="shared" si="0"/>
        <v>0</v>
      </c>
      <c r="E16" s="42"/>
      <c r="F16" s="1"/>
      <c r="G16" s="1"/>
    </row>
    <row r="17" spans="1:7" ht="42" x14ac:dyDescent="0.3">
      <c r="A17" s="4" t="s">
        <v>70</v>
      </c>
      <c r="B17" s="5">
        <v>0</v>
      </c>
      <c r="C17" s="5">
        <v>1</v>
      </c>
      <c r="D17" s="6">
        <f t="shared" si="0"/>
        <v>0</v>
      </c>
      <c r="E17" s="5"/>
      <c r="F17" s="1"/>
      <c r="G17" s="1"/>
    </row>
    <row r="18" spans="1:7" ht="42" x14ac:dyDescent="0.3">
      <c r="A18" s="4" t="s">
        <v>71</v>
      </c>
      <c r="B18" s="5">
        <v>0</v>
      </c>
      <c r="C18" s="5">
        <v>1</v>
      </c>
      <c r="D18" s="6">
        <f t="shared" si="0"/>
        <v>0</v>
      </c>
      <c r="E18" s="5"/>
      <c r="F18" s="1"/>
      <c r="G18" s="1"/>
    </row>
    <row r="19" spans="1:7" ht="84" x14ac:dyDescent="0.3">
      <c r="A19" s="4" t="s">
        <v>72</v>
      </c>
      <c r="B19" s="5">
        <v>0</v>
      </c>
      <c r="C19" s="5">
        <v>1</v>
      </c>
      <c r="D19" s="6">
        <f>B19/C19</f>
        <v>0</v>
      </c>
      <c r="E19" s="5"/>
      <c r="F19" s="1"/>
      <c r="G19" s="1"/>
    </row>
    <row r="20" spans="1:7" x14ac:dyDescent="0.3">
      <c r="A20" s="4" t="s">
        <v>83</v>
      </c>
      <c r="B20" s="5">
        <v>1116</v>
      </c>
      <c r="C20" s="5">
        <v>0</v>
      </c>
      <c r="D20" s="6">
        <f>B20*C20</f>
        <v>0</v>
      </c>
      <c r="E20" s="5"/>
      <c r="F20" s="1"/>
      <c r="G20" s="1"/>
    </row>
    <row r="21" spans="1:7" x14ac:dyDescent="0.3">
      <c r="A21" s="4" t="s">
        <v>80</v>
      </c>
      <c r="B21" s="5">
        <v>0</v>
      </c>
      <c r="C21" s="5">
        <v>1</v>
      </c>
      <c r="D21" s="6">
        <f t="shared" si="0"/>
        <v>0</v>
      </c>
      <c r="E21" s="5"/>
      <c r="F21" s="1"/>
      <c r="G21" s="1"/>
    </row>
    <row r="22" spans="1:7" x14ac:dyDescent="0.3">
      <c r="A22" s="4" t="s">
        <v>84</v>
      </c>
      <c r="B22" s="5">
        <v>0</v>
      </c>
      <c r="C22" s="5">
        <v>1</v>
      </c>
      <c r="D22" s="6">
        <f t="shared" si="0"/>
        <v>0</v>
      </c>
      <c r="E22" s="5"/>
      <c r="F22" s="1"/>
      <c r="G22" s="1"/>
    </row>
    <row r="23" spans="1:7" ht="28" x14ac:dyDescent="0.3">
      <c r="A23" s="4" t="s">
        <v>73</v>
      </c>
      <c r="B23" s="5">
        <v>0</v>
      </c>
      <c r="C23" s="5">
        <v>1</v>
      </c>
      <c r="D23" s="6">
        <f t="shared" si="0"/>
        <v>0</v>
      </c>
      <c r="E23" s="5"/>
      <c r="F23" s="1"/>
      <c r="G23" s="1"/>
    </row>
    <row r="24" spans="1:7" x14ac:dyDescent="0.3">
      <c r="A24" s="1"/>
      <c r="B24" s="1"/>
      <c r="C24" s="36" t="s">
        <v>7</v>
      </c>
      <c r="D24" s="37">
        <f>SUM(D2:D23)</f>
        <v>1621.9749999999997</v>
      </c>
      <c r="E24" s="1"/>
      <c r="F24" s="1"/>
      <c r="G24" s="1"/>
    </row>
    <row r="25" spans="1:7" x14ac:dyDescent="0.3">
      <c r="A25" s="1"/>
      <c r="B25" s="1"/>
      <c r="C25" s="8" t="s">
        <v>1</v>
      </c>
      <c r="D25" s="9">
        <v>4</v>
      </c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ht="90" x14ac:dyDescent="0.3">
      <c r="A27" s="1"/>
      <c r="B27" s="3" t="s">
        <v>3</v>
      </c>
      <c r="C27" s="3" t="s">
        <v>4</v>
      </c>
      <c r="D27" s="2" t="s">
        <v>5</v>
      </c>
      <c r="E27" s="1"/>
      <c r="F27" s="1"/>
      <c r="G27" s="1"/>
    </row>
    <row r="28" spans="1:7" x14ac:dyDescent="0.3">
      <c r="A28" s="1"/>
      <c r="B28" s="25">
        <f>D24*0.5*0.15/12</f>
        <v>10.137343749999998</v>
      </c>
      <c r="C28" s="25">
        <f>33.81*12.04*0.25/12</f>
        <v>8.4806749999999997</v>
      </c>
      <c r="D28" s="9">
        <v>167</v>
      </c>
      <c r="E28" s="1"/>
      <c r="F28" s="1"/>
      <c r="G2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Basement</vt:lpstr>
      <vt:lpstr>Floor 1</vt:lpstr>
      <vt:lpstr>Floor2</vt:lpstr>
      <vt:lpstr>Floor3</vt:lpstr>
      <vt:lpstr>Floor4</vt:lpstr>
      <vt:lpstr>Basement!_ednref1</vt:lpstr>
      <vt:lpstr>'Floor 1'!_ednref1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Haijing Wen</dc:creator>
  <cp:lastModifiedBy>lxy</cp:lastModifiedBy>
  <dcterms:created xsi:type="dcterms:W3CDTF">2015-06-05T18:19:34Z</dcterms:created>
  <dcterms:modified xsi:type="dcterms:W3CDTF">2022-09-30T13:14:16Z</dcterms:modified>
</cp:coreProperties>
</file>