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RE 3\Mémoire\"/>
    </mc:Choice>
  </mc:AlternateContent>
  <bookViews>
    <workbookView xWindow="0" yWindow="0" windowWidth="20490" windowHeight="7755"/>
  </bookViews>
  <sheets>
    <sheet name="L, m, T et µ" sheetId="1" r:id="rId1"/>
    <sheet name="DO" sheetId="4" r:id="rId2"/>
    <sheet name="SOL" sheetId="5" r:id="rId3"/>
    <sheet name="RÉ" sheetId="6" r:id="rId4"/>
    <sheet name="LA" sheetId="7" r:id="rId5"/>
    <sheet name="Sheet2" sheetId="2" state="hidden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1" l="1"/>
  <c r="Y25" i="1"/>
  <c r="Z26" i="1" l="1"/>
  <c r="Z27" i="1"/>
  <c r="Y26" i="1"/>
  <c r="Y27" i="1"/>
  <c r="W22" i="1"/>
  <c r="X22" i="1" l="1"/>
  <c r="W19" i="1" l="1"/>
  <c r="V19" i="1"/>
  <c r="V26" i="1"/>
  <c r="V27" i="1"/>
  <c r="V28" i="1"/>
  <c r="V29" i="1"/>
  <c r="V30" i="1"/>
  <c r="V31" i="1"/>
  <c r="V32" i="1"/>
  <c r="V33" i="1"/>
  <c r="V34" i="1"/>
  <c r="V35" i="1"/>
  <c r="V36" i="1"/>
  <c r="V25" i="1"/>
  <c r="C33" i="1" l="1"/>
  <c r="T25" i="1"/>
  <c r="X20" i="1"/>
  <c r="X21" i="1"/>
  <c r="W20" i="1"/>
  <c r="W21" i="1"/>
  <c r="X19" i="1"/>
  <c r="V21" i="1"/>
  <c r="V20" i="1"/>
  <c r="AD25" i="4" l="1"/>
  <c r="AB25" i="4"/>
  <c r="E4" i="7" l="1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3" i="7"/>
  <c r="E4" i="6"/>
  <c r="E5" i="6"/>
  <c r="E6" i="6"/>
  <c r="E7" i="6"/>
  <c r="E8" i="6"/>
  <c r="E9" i="6"/>
  <c r="E10" i="6"/>
  <c r="E11" i="6"/>
  <c r="E12" i="6"/>
  <c r="E13" i="6"/>
  <c r="E3" i="6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3" i="5"/>
  <c r="E7" i="4"/>
  <c r="E4" i="4"/>
  <c r="E5" i="4"/>
  <c r="E6" i="4"/>
  <c r="E8" i="4"/>
  <c r="E9" i="4"/>
  <c r="E10" i="4"/>
  <c r="E11" i="4"/>
  <c r="E12" i="4"/>
  <c r="E13" i="4"/>
  <c r="J6" i="1" l="1"/>
  <c r="J5" i="1"/>
  <c r="J4" i="1"/>
  <c r="J3" i="1"/>
  <c r="B41" i="1"/>
  <c r="B33" i="1"/>
  <c r="B25" i="1"/>
  <c r="B17" i="1"/>
  <c r="E3" i="4" l="1"/>
  <c r="AA25" i="4" l="1"/>
  <c r="AD25" i="7"/>
  <c r="AE25" i="7" s="1"/>
  <c r="AB25" i="7"/>
  <c r="AC25" i="7" s="1"/>
  <c r="Y25" i="6"/>
  <c r="Z25" i="6" s="1"/>
  <c r="W25" i="6"/>
  <c r="X25" i="6" s="1"/>
  <c r="AB30" i="5"/>
  <c r="Z30" i="5"/>
  <c r="AA30" i="5"/>
  <c r="Y30" i="5"/>
  <c r="AC25" i="4"/>
  <c r="AA19" i="4"/>
  <c r="Z19" i="4"/>
  <c r="Z24" i="5"/>
  <c r="Y24" i="5"/>
  <c r="X19" i="6"/>
  <c r="W19" i="6"/>
  <c r="T35" i="7"/>
  <c r="S35" i="7"/>
  <c r="S26" i="1"/>
  <c r="S25" i="1"/>
  <c r="T26" i="1"/>
  <c r="T27" i="1"/>
  <c r="T28" i="1"/>
  <c r="T29" i="1"/>
  <c r="T30" i="1"/>
  <c r="T31" i="1"/>
  <c r="T32" i="1"/>
  <c r="T33" i="1"/>
  <c r="T34" i="1"/>
  <c r="T35" i="1"/>
  <c r="T36" i="1"/>
  <c r="S27" i="1"/>
  <c r="S28" i="1"/>
  <c r="S29" i="1"/>
  <c r="S30" i="1"/>
  <c r="S31" i="1"/>
  <c r="S32" i="1"/>
  <c r="S33" i="1"/>
  <c r="S34" i="1"/>
  <c r="S35" i="1"/>
  <c r="S36" i="1"/>
  <c r="L15" i="4"/>
  <c r="P15" i="4"/>
  <c r="H15" i="4"/>
  <c r="C43" i="1" l="1"/>
  <c r="C44" i="1" s="1"/>
  <c r="E44" i="1" s="1"/>
  <c r="B36" i="1"/>
  <c r="C27" i="1"/>
  <c r="E27" i="1" s="1"/>
  <c r="C35" i="1"/>
  <c r="E35" i="1" s="1"/>
  <c r="B37" i="1"/>
  <c r="B45" i="1"/>
  <c r="B43" i="1"/>
  <c r="B44" i="1" s="1"/>
  <c r="C41" i="1"/>
  <c r="B42" i="1"/>
  <c r="E45" i="1"/>
  <c r="B35" i="1"/>
  <c r="E33" i="1"/>
  <c r="B34" i="1"/>
  <c r="B38" i="1" s="1"/>
  <c r="E37" i="1"/>
  <c r="B29" i="1"/>
  <c r="B27" i="1"/>
  <c r="B28" i="1" s="1"/>
  <c r="B26" i="1"/>
  <c r="C25" i="1"/>
  <c r="C26" i="1" s="1"/>
  <c r="E26" i="1" s="1"/>
  <c r="E29" i="1"/>
  <c r="B19" i="1"/>
  <c r="E21" i="1"/>
  <c r="B21" i="1"/>
  <c r="B20" i="1"/>
  <c r="E38" i="1" l="1"/>
  <c r="C28" i="1"/>
  <c r="E28" i="1" s="1"/>
  <c r="C36" i="1"/>
  <c r="E36" i="1" s="1"/>
  <c r="E43" i="1"/>
  <c r="E41" i="1"/>
  <c r="C42" i="1"/>
  <c r="E42" i="1" s="1"/>
  <c r="B46" i="1"/>
  <c r="E46" i="1" s="1"/>
  <c r="C34" i="1"/>
  <c r="E34" i="1" s="1"/>
  <c r="E25" i="1"/>
  <c r="B30" i="1"/>
  <c r="E30" i="1" s="1"/>
  <c r="B17" i="6" l="1" a="1"/>
  <c r="B17" i="6" s="1"/>
  <c r="F13" i="6"/>
  <c r="F12" i="6"/>
  <c r="F11" i="6"/>
  <c r="F10" i="6"/>
  <c r="F9" i="6"/>
  <c r="F8" i="6"/>
  <c r="F7" i="6"/>
  <c r="F6" i="6"/>
  <c r="F5" i="6"/>
  <c r="F4" i="6"/>
  <c r="F3" i="6"/>
  <c r="B25" i="5" a="1"/>
  <c r="B25" i="5" s="1"/>
  <c r="F3" i="5"/>
  <c r="F18" i="5"/>
  <c r="F19" i="5"/>
  <c r="F20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C18" i="6" l="1"/>
  <c r="C19" i="6" s="1"/>
  <c r="B18" i="6"/>
  <c r="B19" i="6" s="1"/>
  <c r="C17" i="6"/>
  <c r="C26" i="5"/>
  <c r="C27" i="5" s="1"/>
  <c r="B26" i="5"/>
  <c r="B27" i="5" s="1"/>
  <c r="C25" i="5"/>
  <c r="B20" i="7" a="1"/>
  <c r="B20" i="7" s="1"/>
  <c r="B17" i="4" a="1"/>
  <c r="B17" i="4" s="1"/>
  <c r="F9" i="7"/>
  <c r="F9" i="4"/>
  <c r="F3" i="4"/>
  <c r="F4" i="4"/>
  <c r="F5" i="4"/>
  <c r="F6" i="4"/>
  <c r="F7" i="4"/>
  <c r="F8" i="4"/>
  <c r="F10" i="4"/>
  <c r="F11" i="4"/>
  <c r="F12" i="4"/>
  <c r="F13" i="4"/>
  <c r="F4" i="7"/>
  <c r="F5" i="7"/>
  <c r="F6" i="7"/>
  <c r="F7" i="7"/>
  <c r="F8" i="7"/>
  <c r="F10" i="7"/>
  <c r="F11" i="7"/>
  <c r="F12" i="7"/>
  <c r="F13" i="7"/>
  <c r="F14" i="7"/>
  <c r="F15" i="7"/>
  <c r="F16" i="7"/>
  <c r="F17" i="7"/>
  <c r="F3" i="7"/>
  <c r="C21" i="7" l="1"/>
  <c r="B21" i="7"/>
  <c r="B22" i="7" s="1"/>
  <c r="C20" i="7"/>
  <c r="C22" i="7"/>
  <c r="B18" i="4"/>
  <c r="B19" i="4" s="1"/>
  <c r="C17" i="4"/>
  <c r="C18" i="4"/>
  <c r="C19" i="4" s="1"/>
  <c r="N6" i="1" l="1"/>
  <c r="M6" i="1"/>
  <c r="M5" i="1"/>
  <c r="M4" i="1"/>
  <c r="M3" i="1"/>
  <c r="O13" i="1"/>
  <c r="P10" i="1" l="1"/>
  <c r="J18" i="1" l="1"/>
  <c r="J19" i="1"/>
  <c r="J20" i="1"/>
  <c r="J17" i="1"/>
  <c r="P11" i="1"/>
  <c r="P12" i="1"/>
  <c r="P13" i="1"/>
  <c r="Q13" i="1" s="1"/>
  <c r="N11" i="1"/>
  <c r="N12" i="1"/>
  <c r="N13" i="1"/>
  <c r="N10" i="1"/>
  <c r="L11" i="1"/>
  <c r="L12" i="1"/>
  <c r="L13" i="1"/>
  <c r="L10" i="1"/>
  <c r="N5" i="1"/>
  <c r="O12" i="1" s="1"/>
  <c r="Q12" i="1" s="1"/>
  <c r="N4" i="1"/>
  <c r="O11" i="1" s="1"/>
  <c r="Q11" i="1" s="1"/>
  <c r="N3" i="1"/>
  <c r="O10" i="1" s="1"/>
  <c r="Q10" i="1" s="1"/>
  <c r="G3" i="1"/>
  <c r="B7" i="1" l="1"/>
  <c r="B6" i="1"/>
  <c r="B5" i="1"/>
  <c r="B4" i="1"/>
  <c r="B2" i="1"/>
  <c r="B13" i="1"/>
  <c r="B12" i="1"/>
  <c r="B11" i="1"/>
  <c r="B10" i="1"/>
  <c r="B8" i="1"/>
  <c r="B18" i="1" l="1"/>
  <c r="C17" i="1"/>
  <c r="C19" i="1"/>
  <c r="J12" i="1"/>
  <c r="M19" i="1" s="1"/>
  <c r="K5" i="1"/>
  <c r="K12" i="1" s="1"/>
  <c r="M12" i="1" s="1"/>
  <c r="J10" i="1"/>
  <c r="K3" i="1"/>
  <c r="K10" i="1" s="1"/>
  <c r="M10" i="1" s="1"/>
  <c r="J13" i="1"/>
  <c r="M20" i="1" s="1"/>
  <c r="K6" i="1"/>
  <c r="K13" i="1" s="1"/>
  <c r="M13" i="1" s="1"/>
  <c r="J11" i="1"/>
  <c r="M18" i="1" s="1"/>
  <c r="K4" i="1"/>
  <c r="K11" i="1" s="1"/>
  <c r="M11" i="1" s="1"/>
  <c r="N19" i="1" l="1"/>
  <c r="M17" i="1"/>
  <c r="N17" i="1"/>
  <c r="B22" i="1"/>
  <c r="E22" i="1"/>
  <c r="E17" i="1"/>
  <c r="C18" i="1"/>
  <c r="E18" i="1" s="1"/>
  <c r="E19" i="1"/>
  <c r="C20" i="1"/>
  <c r="E20" i="1" s="1"/>
  <c r="N18" i="1"/>
  <c r="N20" i="1"/>
</calcChain>
</file>

<file path=xl/sharedStrings.xml><?xml version="1.0" encoding="utf-8"?>
<sst xmlns="http://schemas.openxmlformats.org/spreadsheetml/2006/main" count="313" uniqueCount="96">
  <si>
    <t>Masse (g)</t>
  </si>
  <si>
    <t>do (mauve)</t>
  </si>
  <si>
    <t>ré (jaune)</t>
  </si>
  <si>
    <t>sol (rouge)</t>
  </si>
  <si>
    <t>la (noir)</t>
  </si>
  <si>
    <t>Longueur (cm)</t>
  </si>
  <si>
    <t>0.001g</t>
  </si>
  <si>
    <t>Longueur: avec règle à condurière (incertitude de 1 mm)  - mesurer de 2,5 cm à l'extrémité de la corde</t>
  </si>
  <si>
    <t>Masse des blocs (kg)</t>
  </si>
  <si>
    <t>Précision 2%</t>
  </si>
  <si>
    <t>0.1 cm</t>
  </si>
  <si>
    <t>Do (Mauve)</t>
  </si>
  <si>
    <t>La (Noir)</t>
  </si>
  <si>
    <t>Ré (Jaune)</t>
  </si>
  <si>
    <t>Sol (Rouge)</t>
  </si>
  <si>
    <t>Longueurs (cm)</t>
  </si>
  <si>
    <t>Valeur</t>
  </si>
  <si>
    <t>∆ inst.</t>
  </si>
  <si>
    <t>∆ non-inst.</t>
  </si>
  <si>
    <t>Masses (g)</t>
  </si>
  <si>
    <t>Tensions (N)</t>
  </si>
  <si>
    <t>Longueurs (m)</t>
  </si>
  <si>
    <t>Masses (kg)</t>
  </si>
  <si>
    <t>Densité linéique (kg/m)</t>
  </si>
  <si>
    <t>∆ totale</t>
  </si>
  <si>
    <t>n</t>
  </si>
  <si>
    <t>Pente</t>
  </si>
  <si>
    <t>b</t>
  </si>
  <si>
    <t>Médiane</t>
  </si>
  <si>
    <t>EC type</t>
  </si>
  <si>
    <t>Incertitude</t>
  </si>
  <si>
    <t>f (Hz)</t>
  </si>
  <si>
    <t>∆f (Hz)</t>
  </si>
  <si>
    <t>f1 (Hz)</t>
  </si>
  <si>
    <t>f2 (Hz)</t>
  </si>
  <si>
    <t>f3 (Hz)</t>
  </si>
  <si>
    <t>Fréquences selon leur numéro des harmoniques</t>
  </si>
  <si>
    <t>A</t>
  </si>
  <si>
    <t>∆A</t>
  </si>
  <si>
    <t>t</t>
  </si>
  <si>
    <t>Longueur de la corde (cm)</t>
  </si>
  <si>
    <t>Longueur de la corde (m)</t>
  </si>
  <si>
    <t>Masse de la corde (g)</t>
  </si>
  <si>
    <t>Masse de la corde (kg)</t>
  </si>
  <si>
    <t>Tension de la corde (N)</t>
  </si>
  <si>
    <t>--</t>
  </si>
  <si>
    <t>Vitesse rapide (Tirer) - 2.653 s</t>
  </si>
  <si>
    <t>Vitesse lente - 6.390 s</t>
  </si>
  <si>
    <t>Pousser (Vitesse rapide) - 2.486 s</t>
  </si>
  <si>
    <t>Vitesse rapide (Tirer) - 2.603 s</t>
  </si>
  <si>
    <t>Vitesse lente - 5.255 s</t>
  </si>
  <si>
    <t>Pousser (Vitesse rapide) - 1.585 s</t>
  </si>
  <si>
    <t>Vitesse rapide (Tirer) - 2.286 s</t>
  </si>
  <si>
    <t>Vitesse lente - 4.954 s</t>
  </si>
  <si>
    <t>Pousser (Vitesse rapide) - 2.152 s</t>
  </si>
  <si>
    <t>Vitesse rapide (Tirer) - 2.486 s</t>
  </si>
  <si>
    <t>Vitesse lente - 5.539 s</t>
  </si>
  <si>
    <t>Pousser (Vitesse rapide) - 1.919 s</t>
  </si>
  <si>
    <t>Longueur de l'archet frottée à la corde (cm)</t>
  </si>
  <si>
    <t>Temps court (Archet tiré) (s)</t>
  </si>
  <si>
    <t>Temps long (Archet tiré) (s)</t>
  </si>
  <si>
    <t>Temps court (Archet poussé) (s)</t>
  </si>
  <si>
    <t>Corde de do</t>
  </si>
  <si>
    <t>Corde de sol</t>
  </si>
  <si>
    <t>Corde de ré</t>
  </si>
  <si>
    <t>Corde de la</t>
  </si>
  <si>
    <t>Vitesse rapide (Archet tiré) (cm/s)</t>
  </si>
  <si>
    <t>Vitesse longue (Archet tiré) (cm/s)</t>
  </si>
  <si>
    <t>Vitesse rapide (Archet poussé) (cm/s)</t>
  </si>
  <si>
    <t>t1 (s)</t>
  </si>
  <si>
    <t>A1 (ua)</t>
  </si>
  <si>
    <t>t2 (s)</t>
  </si>
  <si>
    <t>A2 (ua)</t>
  </si>
  <si>
    <t>t3 (s)</t>
  </si>
  <si>
    <t>A3 (ua)</t>
  </si>
  <si>
    <r>
      <t>t</t>
    </r>
    <r>
      <rPr>
        <vertAlign val="sub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(s)</t>
    </r>
  </si>
  <si>
    <r>
      <t>A</t>
    </r>
    <r>
      <rPr>
        <vertAlign val="subscript"/>
        <sz val="11"/>
        <color rgb="FF000000"/>
        <rFont val="Calibri"/>
        <family val="2"/>
        <scheme val="minor"/>
      </rPr>
      <t>1</t>
    </r>
    <r>
      <rPr>
        <sz val="11"/>
        <color rgb="FF000000"/>
        <rFont val="Calibri"/>
        <family val="2"/>
        <scheme val="minor"/>
      </rPr>
      <t xml:space="preserve"> (ua)</t>
    </r>
  </si>
  <si>
    <r>
      <t>t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(s)</t>
    </r>
  </si>
  <si>
    <r>
      <t>A</t>
    </r>
    <r>
      <rPr>
        <vertAlign val="subscript"/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(ua)</t>
    </r>
  </si>
  <si>
    <r>
      <t>t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(s)</t>
    </r>
  </si>
  <si>
    <r>
      <t>A</t>
    </r>
    <r>
      <rPr>
        <vertAlign val="subscript"/>
        <sz val="11"/>
        <color rgb="FF000000"/>
        <rFont val="Calibri"/>
        <family val="2"/>
        <scheme val="minor"/>
      </rPr>
      <t>3</t>
    </r>
    <r>
      <rPr>
        <sz val="11"/>
        <color rgb="FF000000"/>
        <rFont val="Calibri"/>
        <family val="2"/>
        <scheme val="minor"/>
      </rPr>
      <t xml:space="preserve"> (ua)</t>
    </r>
  </si>
  <si>
    <r>
      <t>t</t>
    </r>
    <r>
      <rPr>
        <vertAlign val="subscript"/>
        <sz val="11"/>
        <color rgb="FF000000"/>
        <rFont val="Calibri"/>
        <family val="2"/>
        <scheme val="minor"/>
      </rPr>
      <t>1max</t>
    </r>
    <r>
      <rPr>
        <sz val="11"/>
        <color rgb="FF000000"/>
        <rFont val="Calibri"/>
        <family val="2"/>
        <scheme val="minor"/>
      </rPr>
      <t xml:space="preserve"> (s)</t>
    </r>
  </si>
  <si>
    <r>
      <t>A</t>
    </r>
    <r>
      <rPr>
        <vertAlign val="subscript"/>
        <sz val="11"/>
        <color rgb="FF000000"/>
        <rFont val="Calibri"/>
        <family val="2"/>
        <scheme val="minor"/>
      </rPr>
      <t>1max</t>
    </r>
    <r>
      <rPr>
        <sz val="11"/>
        <color rgb="FF000000"/>
        <rFont val="Calibri"/>
        <family val="2"/>
        <scheme val="minor"/>
      </rPr>
      <t xml:space="preserve"> (ua)</t>
    </r>
  </si>
  <si>
    <r>
      <t>t</t>
    </r>
    <r>
      <rPr>
        <vertAlign val="subscript"/>
        <sz val="11"/>
        <color rgb="FF000000"/>
        <rFont val="Calibri"/>
        <family val="2"/>
        <scheme val="minor"/>
      </rPr>
      <t>2max</t>
    </r>
    <r>
      <rPr>
        <sz val="11"/>
        <color rgb="FF000000"/>
        <rFont val="Calibri"/>
        <family val="2"/>
        <scheme val="minor"/>
      </rPr>
      <t xml:space="preserve"> (s)</t>
    </r>
  </si>
  <si>
    <r>
      <t>A</t>
    </r>
    <r>
      <rPr>
        <vertAlign val="subscript"/>
        <sz val="11"/>
        <color rgb="FF000000"/>
        <rFont val="Calibri"/>
        <family val="2"/>
        <scheme val="minor"/>
      </rPr>
      <t>2max</t>
    </r>
    <r>
      <rPr>
        <sz val="11"/>
        <color rgb="FF000000"/>
        <rFont val="Calibri"/>
        <family val="2"/>
        <scheme val="minor"/>
      </rPr>
      <t xml:space="preserve"> (ua)</t>
    </r>
  </si>
  <si>
    <r>
      <t>t</t>
    </r>
    <r>
      <rPr>
        <vertAlign val="subscript"/>
        <sz val="11"/>
        <color rgb="FF000000"/>
        <rFont val="Calibri"/>
        <family val="2"/>
        <scheme val="minor"/>
      </rPr>
      <t>3max</t>
    </r>
    <r>
      <rPr>
        <sz val="11"/>
        <color rgb="FF000000"/>
        <rFont val="Calibri"/>
        <family val="2"/>
        <scheme val="minor"/>
      </rPr>
      <t xml:space="preserve"> (s)</t>
    </r>
  </si>
  <si>
    <r>
      <t>A</t>
    </r>
    <r>
      <rPr>
        <vertAlign val="subscript"/>
        <sz val="11"/>
        <color rgb="FF000000"/>
        <rFont val="Calibri"/>
        <family val="2"/>
        <scheme val="minor"/>
      </rPr>
      <t>3max</t>
    </r>
    <r>
      <rPr>
        <sz val="11"/>
        <color rgb="FF000000"/>
        <rFont val="Calibri"/>
        <family val="2"/>
        <scheme val="minor"/>
      </rPr>
      <t xml:space="preserve"> (ua)</t>
    </r>
  </si>
  <si>
    <t>A2max/A1max</t>
  </si>
  <si>
    <t>A3max/A1max</t>
  </si>
  <si>
    <t>∆ A2max/A1max</t>
  </si>
  <si>
    <t>∆ A3max/A1max</t>
  </si>
  <si>
    <t>Les décimaux et les chiffres significatifs + MOYENNE</t>
  </si>
  <si>
    <t>Vitesse rapide (Tiré) (cm/s)</t>
  </si>
  <si>
    <t>Vitesse lente (Tiré) (cm/s)</t>
  </si>
  <si>
    <t>Vitesse rapide (Poussé) (cm/s)</t>
  </si>
  <si>
    <t>∆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</si>
</sst>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"/>
    <numFmt numFmtId="166" formatCode="0.000000"/>
    <numFmt numFmtId="167" formatCode="0.0000"/>
    <numFmt numFmtId="168" formatCode="0.00000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2" fontId="0" fillId="0" borderId="0" xfId="0" applyNumberForma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2" fontId="0" fillId="0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/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66" fontId="0" fillId="0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6" fontId="0" fillId="0" borderId="0" xfId="0" applyNumberFormat="1" applyFill="1"/>
    <xf numFmtId="0" fontId="4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167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8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167" fontId="0" fillId="0" borderId="1" xfId="0" applyNumberFormat="1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167" fontId="0" fillId="8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7" fillId="9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center" vertical="center"/>
    </xf>
    <xf numFmtId="2" fontId="8" fillId="0" borderId="1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6" borderId="0" xfId="0" applyFont="1" applyFill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000" b="0" i="0" baseline="0">
                <a:effectLst/>
              </a:rPr>
              <a:t>Amplitude des harmoniques de l'archet poussé sur la corde de do avec une vitesse de 18,58 cm/s en fonction du temps</a:t>
            </a:r>
            <a:endParaRPr lang="fr-CA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DO!$P$3:$P$13</c:f>
              <c:numCache>
                <c:formatCode>0.0000</c:formatCode>
                <c:ptCount val="11"/>
                <c:pt idx="0">
                  <c:v>2.8500000000000001E-2</c:v>
                </c:pt>
                <c:pt idx="1">
                  <c:v>5.7099999999999998E-2</c:v>
                </c:pt>
                <c:pt idx="2">
                  <c:v>8.5599999999999996E-2</c:v>
                </c:pt>
                <c:pt idx="3">
                  <c:v>0.1142</c:v>
                </c:pt>
                <c:pt idx="4">
                  <c:v>0.14269999999999999</c:v>
                </c:pt>
                <c:pt idx="5">
                  <c:v>0.17130000000000001</c:v>
                </c:pt>
                <c:pt idx="6">
                  <c:v>0.19980000000000001</c:v>
                </c:pt>
                <c:pt idx="7">
                  <c:v>0.22839999999999999</c:v>
                </c:pt>
                <c:pt idx="8">
                  <c:v>0.25690000000000002</c:v>
                </c:pt>
                <c:pt idx="9">
                  <c:v>0.28549999999999998</c:v>
                </c:pt>
                <c:pt idx="10">
                  <c:v>0.314</c:v>
                </c:pt>
              </c:numCache>
            </c:numRef>
          </c:xVal>
          <c:yVal>
            <c:numRef>
              <c:f>DO!$Q$3:$Q$13</c:f>
              <c:numCache>
                <c:formatCode>0.000000</c:formatCode>
                <c:ptCount val="11"/>
                <c:pt idx="0">
                  <c:v>1.45145602504E-2</c:v>
                </c:pt>
                <c:pt idx="1">
                  <c:v>9.2501855407700007E-2</c:v>
                </c:pt>
                <c:pt idx="2">
                  <c:v>0.15405169866999999</c:v>
                </c:pt>
                <c:pt idx="3">
                  <c:v>2.46433102003E-2</c:v>
                </c:pt>
                <c:pt idx="4">
                  <c:v>6.8440643851299998E-2</c:v>
                </c:pt>
                <c:pt idx="5">
                  <c:v>0.120999578761</c:v>
                </c:pt>
                <c:pt idx="6">
                  <c:v>1.69145791348E-2</c:v>
                </c:pt>
                <c:pt idx="7">
                  <c:v>2.1783474958099999E-2</c:v>
                </c:pt>
                <c:pt idx="8">
                  <c:v>1.4179322794899999E-2</c:v>
                </c:pt>
                <c:pt idx="9">
                  <c:v>3.0034601661399998E-2</c:v>
                </c:pt>
                <c:pt idx="10">
                  <c:v>5.33186602475E-3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645680"/>
        <c:axId val="376641760"/>
      </c:scatterChart>
      <c:valAx>
        <c:axId val="37664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6641760"/>
        <c:crosses val="autoZero"/>
        <c:crossBetween val="midCat"/>
      </c:valAx>
      <c:valAx>
        <c:axId val="376641760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Amplitude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6645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000" b="0" i="0" baseline="0">
                <a:effectLst/>
              </a:rPr>
              <a:t>Amplitude des harmoniques de l'archet tiré sur la corde de do avec une vitesse de 7,23 cm/s en fonction du temps</a:t>
            </a:r>
            <a:endParaRPr lang="fr-CA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3621981627296587"/>
          <c:y val="0.16393518518518516"/>
          <c:w val="0.79840529308836394"/>
          <c:h val="0.72866542723826189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DO!$L$3:$L$13</c:f>
              <c:numCache>
                <c:formatCode>0.0000</c:formatCode>
                <c:ptCount val="11"/>
                <c:pt idx="0">
                  <c:v>0.1134</c:v>
                </c:pt>
                <c:pt idx="1">
                  <c:v>0.2263</c:v>
                </c:pt>
                <c:pt idx="2">
                  <c:v>0.33829999999999999</c:v>
                </c:pt>
                <c:pt idx="3">
                  <c:v>0.4511</c:v>
                </c:pt>
                <c:pt idx="4">
                  <c:v>0.56410000000000005</c:v>
                </c:pt>
                <c:pt idx="5">
                  <c:v>0.67849999999999999</c:v>
                </c:pt>
                <c:pt idx="6">
                  <c:v>0.78949999999999998</c:v>
                </c:pt>
                <c:pt idx="7">
                  <c:v>0.9032</c:v>
                </c:pt>
                <c:pt idx="8">
                  <c:v>1.0158</c:v>
                </c:pt>
                <c:pt idx="9">
                  <c:v>1.1298999999999999</c:v>
                </c:pt>
                <c:pt idx="10">
                  <c:v>1.2394000000000001</c:v>
                </c:pt>
              </c:numCache>
            </c:numRef>
          </c:xVal>
          <c:yVal>
            <c:numRef>
              <c:f>DO!$M$3:$M$13</c:f>
              <c:numCache>
                <c:formatCode>0.000000</c:formatCode>
                <c:ptCount val="11"/>
                <c:pt idx="0">
                  <c:v>1.58508947174E-3</c:v>
                </c:pt>
                <c:pt idx="1">
                  <c:v>1.01293062284E-2</c:v>
                </c:pt>
                <c:pt idx="2">
                  <c:v>3.2505278121599999E-2</c:v>
                </c:pt>
                <c:pt idx="3">
                  <c:v>3.5447495123899997E-2</c:v>
                </c:pt>
                <c:pt idx="4">
                  <c:v>2.5421254352299999E-2</c:v>
                </c:pt>
                <c:pt idx="5">
                  <c:v>1.1056351735000001E-2</c:v>
                </c:pt>
                <c:pt idx="6">
                  <c:v>1.18431739516E-2</c:v>
                </c:pt>
                <c:pt idx="7">
                  <c:v>1.16842029762E-2</c:v>
                </c:pt>
                <c:pt idx="8">
                  <c:v>7.9818291107399998E-3</c:v>
                </c:pt>
                <c:pt idx="9">
                  <c:v>3.0918178413600001E-3</c:v>
                </c:pt>
                <c:pt idx="10">
                  <c:v>5.7255091358499998E-3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644504"/>
        <c:axId val="376645288"/>
      </c:scatterChart>
      <c:valAx>
        <c:axId val="376644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Temps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6645288"/>
        <c:crosses val="autoZero"/>
        <c:crossBetween val="midCat"/>
      </c:valAx>
      <c:valAx>
        <c:axId val="376645288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Amplitude (ua)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6644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000"/>
              <a:t>Amplitude des</a:t>
            </a:r>
            <a:r>
              <a:rPr lang="fr-CA" sz="1000" baseline="0"/>
              <a:t> harmoniques de l'archet tiré sur la corde de do avec une vitesse de 17,41 cm/s en fonction du temps</a:t>
            </a:r>
            <a:endParaRPr lang="fr-CA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5010870516185476"/>
          <c:y val="0.13930555555555557"/>
          <c:w val="0.81107195975503066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DO!$H$3:$H$13</c:f>
              <c:numCache>
                <c:formatCode>0.0000</c:formatCode>
                <c:ptCount val="11"/>
                <c:pt idx="0">
                  <c:v>2.8400000000000002E-2</c:v>
                </c:pt>
                <c:pt idx="1">
                  <c:v>5.6800000000000003E-2</c:v>
                </c:pt>
                <c:pt idx="2">
                  <c:v>8.5199999999999998E-2</c:v>
                </c:pt>
                <c:pt idx="3">
                  <c:v>0.11360000000000001</c:v>
                </c:pt>
                <c:pt idx="4">
                  <c:v>0.14199999999999999</c:v>
                </c:pt>
                <c:pt idx="5">
                  <c:v>0.1704</c:v>
                </c:pt>
                <c:pt idx="6">
                  <c:v>0.1988</c:v>
                </c:pt>
                <c:pt idx="7">
                  <c:v>0.22720000000000001</c:v>
                </c:pt>
                <c:pt idx="8">
                  <c:v>0.25559999999999999</c:v>
                </c:pt>
                <c:pt idx="9">
                  <c:v>0.28399999999999997</c:v>
                </c:pt>
                <c:pt idx="10">
                  <c:v>0.31119999999999998</c:v>
                </c:pt>
              </c:numCache>
            </c:numRef>
          </c:xVal>
          <c:yVal>
            <c:numRef>
              <c:f>DO!$I$3:$I$13</c:f>
              <c:numCache>
                <c:formatCode>0.000000</c:formatCode>
                <c:ptCount val="11"/>
                <c:pt idx="0">
                  <c:v>1.30613496315E-2</c:v>
                </c:pt>
                <c:pt idx="1">
                  <c:v>6.8762662229400001E-2</c:v>
                </c:pt>
                <c:pt idx="2">
                  <c:v>0.107108717864</c:v>
                </c:pt>
                <c:pt idx="3">
                  <c:v>0.18030346508600001</c:v>
                </c:pt>
                <c:pt idx="4">
                  <c:v>0.132910153344</c:v>
                </c:pt>
                <c:pt idx="5">
                  <c:v>0.16421020227499999</c:v>
                </c:pt>
                <c:pt idx="6">
                  <c:v>2.96160682493E-2</c:v>
                </c:pt>
                <c:pt idx="7">
                  <c:v>2.8440015673700001E-2</c:v>
                </c:pt>
                <c:pt idx="8">
                  <c:v>1.28782752364E-2</c:v>
                </c:pt>
                <c:pt idx="9">
                  <c:v>1.4839089772499999E-2</c:v>
                </c:pt>
                <c:pt idx="10">
                  <c:v>1.1645294882399999E-3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641368"/>
        <c:axId val="376642544"/>
      </c:scatterChart>
      <c:valAx>
        <c:axId val="376641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Temps (s)</a:t>
                </a:r>
              </a:p>
            </c:rich>
          </c:tx>
          <c:layout>
            <c:manualLayout>
              <c:xMode val="edge"/>
              <c:yMode val="edge"/>
              <c:x val="0.44285945353239164"/>
              <c:y val="0.929606299212598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6642544"/>
        <c:crosses val="autoZero"/>
        <c:crossBetween val="midCat"/>
      </c:valAx>
      <c:valAx>
        <c:axId val="37664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Amplitude</a:t>
                </a:r>
                <a:r>
                  <a:rPr lang="fr-CA" baseline="0"/>
                  <a:t> (ua)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6641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200"/>
              <a:t>Fréquence selon le nombre de l'harmonique pour la</a:t>
            </a:r>
            <a:r>
              <a:rPr lang="fr-CA" sz="1200" baseline="0"/>
              <a:t> corde de do</a:t>
            </a:r>
            <a:endParaRPr lang="fr-CA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36121689277077695"/>
                  <c:y val="-0.1489595050618672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(86.560±0.075)x + (0.11±0.72)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0381433492098436"/>
                  <c:y val="-8.7054743157105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DO!$F$3:$F$13</c:f>
                <c:numCache>
                  <c:formatCode>General</c:formatCode>
                  <c:ptCount val="11"/>
                  <c:pt idx="0">
                    <c:v>0.22888183594999845</c:v>
                  </c:pt>
                  <c:pt idx="1">
                    <c:v>0.80108642599999769</c:v>
                  </c:pt>
                  <c:pt idx="2">
                    <c:v>1.5640258790000132</c:v>
                  </c:pt>
                  <c:pt idx="3">
                    <c:v>2.1743774414999848</c:v>
                  </c:pt>
                  <c:pt idx="4">
                    <c:v>2.5558471679999855</c:v>
                  </c:pt>
                  <c:pt idx="5">
                    <c:v>2.5558471680000139</c:v>
                  </c:pt>
                  <c:pt idx="6">
                    <c:v>3.7002563479999822</c:v>
                  </c:pt>
                  <c:pt idx="7">
                    <c:v>3.9672851560000026</c:v>
                  </c:pt>
                  <c:pt idx="8">
                    <c:v>4.5013427735000278</c:v>
                  </c:pt>
                  <c:pt idx="9">
                    <c:v>4.6157836914999848</c:v>
                  </c:pt>
                  <c:pt idx="10">
                    <c:v>6.3323974610000278</c:v>
                  </c:pt>
                </c:numCache>
              </c:numRef>
            </c:plus>
            <c:minus>
              <c:numRef>
                <c:f>DO!$F$3:$F$13</c:f>
                <c:numCache>
                  <c:formatCode>General</c:formatCode>
                  <c:ptCount val="11"/>
                  <c:pt idx="0">
                    <c:v>0.22888183594999845</c:v>
                  </c:pt>
                  <c:pt idx="1">
                    <c:v>0.80108642599999769</c:v>
                  </c:pt>
                  <c:pt idx="2">
                    <c:v>1.5640258790000132</c:v>
                  </c:pt>
                  <c:pt idx="3">
                    <c:v>2.1743774414999848</c:v>
                  </c:pt>
                  <c:pt idx="4">
                    <c:v>2.5558471679999855</c:v>
                  </c:pt>
                  <c:pt idx="5">
                    <c:v>2.5558471680000139</c:v>
                  </c:pt>
                  <c:pt idx="6">
                    <c:v>3.7002563479999822</c:v>
                  </c:pt>
                  <c:pt idx="7">
                    <c:v>3.9672851560000026</c:v>
                  </c:pt>
                  <c:pt idx="8">
                    <c:v>4.5013427735000278</c:v>
                  </c:pt>
                  <c:pt idx="9">
                    <c:v>4.6157836914999848</c:v>
                  </c:pt>
                  <c:pt idx="10">
                    <c:v>6.3323974610000278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DO!$A$3:$A$13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DO!$E$3:$E$13</c:f>
              <c:numCache>
                <c:formatCode>0.00</c:formatCode>
                <c:ptCount val="11"/>
                <c:pt idx="0">
                  <c:v>86.72078450523334</c:v>
                </c:pt>
                <c:pt idx="1">
                  <c:v>173.41613769533333</c:v>
                </c:pt>
                <c:pt idx="2">
                  <c:v>259.78088378899997</c:v>
                </c:pt>
                <c:pt idx="3">
                  <c:v>346.45080566433336</c:v>
                </c:pt>
                <c:pt idx="4">
                  <c:v>433.06986490899999</c:v>
                </c:pt>
                <c:pt idx="5">
                  <c:v>520.14668782533329</c:v>
                </c:pt>
                <c:pt idx="6">
                  <c:v>606.25712076833338</c:v>
                </c:pt>
                <c:pt idx="7">
                  <c:v>693.15592447933341</c:v>
                </c:pt>
                <c:pt idx="8">
                  <c:v>779.67325846333324</c:v>
                </c:pt>
                <c:pt idx="9">
                  <c:v>866.67378743500001</c:v>
                </c:pt>
                <c:pt idx="10">
                  <c:v>951.18204752600002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644112"/>
        <c:axId val="376644896"/>
      </c:scatterChart>
      <c:valAx>
        <c:axId val="37664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Nombre de l'harmonique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6644896"/>
        <c:crosses val="autoZero"/>
        <c:crossBetween val="midCat"/>
      </c:valAx>
      <c:valAx>
        <c:axId val="37664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Fréquence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664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000" b="0" i="0" baseline="0">
                <a:effectLst/>
              </a:rPr>
              <a:t>Amplitude des harmoniques de l'archet tiré sur la corde de sol avec une vitesse de 18,58 cm/s en fonction du temps</a:t>
            </a:r>
            <a:endParaRPr lang="fr-CA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SOL!$H$3:$H$20</c:f>
              <c:numCache>
                <c:formatCode>0.0000</c:formatCode>
                <c:ptCount val="18"/>
                <c:pt idx="0">
                  <c:v>3.5499999999999997E-2</c:v>
                </c:pt>
                <c:pt idx="1">
                  <c:v>7.0999999999999994E-2</c:v>
                </c:pt>
                <c:pt idx="2">
                  <c:v>0.1077</c:v>
                </c:pt>
                <c:pt idx="3">
                  <c:v>0.1421</c:v>
                </c:pt>
                <c:pt idx="4">
                  <c:v>0.17749999999999999</c:v>
                </c:pt>
                <c:pt idx="5">
                  <c:v>0.21310000000000001</c:v>
                </c:pt>
                <c:pt idx="6">
                  <c:v>0.24879999999999999</c:v>
                </c:pt>
                <c:pt idx="7">
                  <c:v>0.28410000000000002</c:v>
                </c:pt>
                <c:pt idx="8">
                  <c:v>0.31969999999999998</c:v>
                </c:pt>
                <c:pt idx="9">
                  <c:v>0.35520000000000002</c:v>
                </c:pt>
                <c:pt idx="10">
                  <c:v>0.39069999999999999</c:v>
                </c:pt>
                <c:pt idx="11">
                  <c:v>0.4264</c:v>
                </c:pt>
                <c:pt idx="12">
                  <c:v>0.46179999999999999</c:v>
                </c:pt>
                <c:pt idx="13">
                  <c:v>0.49719999999999998</c:v>
                </c:pt>
                <c:pt idx="14">
                  <c:v>0.53269999999999995</c:v>
                </c:pt>
                <c:pt idx="15">
                  <c:v>0.56820000000000004</c:v>
                </c:pt>
                <c:pt idx="16">
                  <c:v>0.60099999999999998</c:v>
                </c:pt>
                <c:pt idx="17">
                  <c:v>0.6391</c:v>
                </c:pt>
              </c:numCache>
            </c:numRef>
          </c:xVal>
          <c:yVal>
            <c:numRef>
              <c:f>SOL!$I$3:$I$20</c:f>
              <c:numCache>
                <c:formatCode>0.000000</c:formatCode>
                <c:ptCount val="18"/>
                <c:pt idx="0">
                  <c:v>1.7997033253500001E-2</c:v>
                </c:pt>
                <c:pt idx="1">
                  <c:v>4.32619785709E-2</c:v>
                </c:pt>
                <c:pt idx="2">
                  <c:v>0.25965878540499998</c:v>
                </c:pt>
                <c:pt idx="3">
                  <c:v>0.245415079112</c:v>
                </c:pt>
                <c:pt idx="4">
                  <c:v>0.19952791110400001</c:v>
                </c:pt>
                <c:pt idx="5">
                  <c:v>0.129684219569</c:v>
                </c:pt>
                <c:pt idx="6">
                  <c:v>1.85381692607E-2</c:v>
                </c:pt>
                <c:pt idx="7">
                  <c:v>2.2273732695899998E-2</c:v>
                </c:pt>
                <c:pt idx="8">
                  <c:v>3.4406454797600003E-2</c:v>
                </c:pt>
                <c:pt idx="9">
                  <c:v>7.7700859955700002E-2</c:v>
                </c:pt>
                <c:pt idx="10">
                  <c:v>4.6829180600199999E-2</c:v>
                </c:pt>
                <c:pt idx="11">
                  <c:v>5.2627051820999998E-2</c:v>
                </c:pt>
                <c:pt idx="12">
                  <c:v>2.2589480500600001E-2</c:v>
                </c:pt>
                <c:pt idx="13">
                  <c:v>7.9029663702100003E-2</c:v>
                </c:pt>
                <c:pt idx="14">
                  <c:v>2.6885585918099999E-2</c:v>
                </c:pt>
                <c:pt idx="15">
                  <c:v>2.14880830122E-2</c:v>
                </c:pt>
                <c:pt idx="16">
                  <c:v>2.2073672260999998E-2</c:v>
                </c:pt>
                <c:pt idx="17">
                  <c:v>2.1609159665399998E-2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276784"/>
        <c:axId val="377274432"/>
      </c:scatterChart>
      <c:valAx>
        <c:axId val="37727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274432"/>
        <c:crosses val="autoZero"/>
        <c:crossBetween val="midCat"/>
      </c:valAx>
      <c:valAx>
        <c:axId val="37727443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27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000" b="0" i="0" baseline="0">
                <a:effectLst/>
              </a:rPr>
              <a:t>Amplitude des harmoniques de l'archet tiré sur la corde de sol avec une vitesse de 8,34 cm/s en fonction du temps</a:t>
            </a:r>
            <a:endParaRPr lang="fr-CA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SOL!$L$3:$L$20</c:f>
              <c:numCache>
                <c:formatCode>0.0000</c:formatCode>
                <c:ptCount val="18"/>
                <c:pt idx="0">
                  <c:v>0.1411</c:v>
                </c:pt>
                <c:pt idx="1">
                  <c:v>0.28239999999999998</c:v>
                </c:pt>
                <c:pt idx="2">
                  <c:v>0.42349999999999999</c:v>
                </c:pt>
                <c:pt idx="3">
                  <c:v>0.56510000000000005</c:v>
                </c:pt>
                <c:pt idx="4">
                  <c:v>0.70620000000000005</c:v>
                </c:pt>
                <c:pt idx="5">
                  <c:v>0.84519999999999995</c:v>
                </c:pt>
                <c:pt idx="6">
                  <c:v>0.99429999999999996</c:v>
                </c:pt>
                <c:pt idx="7">
                  <c:v>1.1361000000000001</c:v>
                </c:pt>
                <c:pt idx="8">
                  <c:v>1.2786</c:v>
                </c:pt>
                <c:pt idx="9">
                  <c:v>1.4197</c:v>
                </c:pt>
                <c:pt idx="10">
                  <c:v>1.5627</c:v>
                </c:pt>
                <c:pt idx="11">
                  <c:v>1.7060999999999999</c:v>
                </c:pt>
                <c:pt idx="12">
                  <c:v>1.8474999999999999</c:v>
                </c:pt>
                <c:pt idx="13">
                  <c:v>1.9884999999999999</c:v>
                </c:pt>
                <c:pt idx="14">
                  <c:v>2.1301999999999999</c:v>
                </c:pt>
                <c:pt idx="15">
                  <c:v>2.2728000000000002</c:v>
                </c:pt>
                <c:pt idx="16">
                  <c:v>2.4036</c:v>
                </c:pt>
                <c:pt idx="17">
                  <c:v>2.5552000000000001</c:v>
                </c:pt>
              </c:numCache>
            </c:numRef>
          </c:xVal>
          <c:yVal>
            <c:numRef>
              <c:f>SOL!$M$3:$M$20</c:f>
              <c:numCache>
                <c:formatCode>0.000000</c:formatCode>
                <c:ptCount val="18"/>
                <c:pt idx="0">
                  <c:v>3.8471034705199999E-3</c:v>
                </c:pt>
                <c:pt idx="1">
                  <c:v>8.3893020901499998E-3</c:v>
                </c:pt>
                <c:pt idx="2">
                  <c:v>2.0466655738200001E-2</c:v>
                </c:pt>
                <c:pt idx="3">
                  <c:v>7.24398727543E-2</c:v>
                </c:pt>
                <c:pt idx="4">
                  <c:v>0.112364073725</c:v>
                </c:pt>
                <c:pt idx="5">
                  <c:v>1.2051256666700001E-2</c:v>
                </c:pt>
                <c:pt idx="6">
                  <c:v>1.8011647468400001E-3</c:v>
                </c:pt>
                <c:pt idx="7">
                  <c:v>8.2391010459199996E-4</c:v>
                </c:pt>
                <c:pt idx="8">
                  <c:v>9.5703961868999997E-4</c:v>
                </c:pt>
                <c:pt idx="9">
                  <c:v>3.1155578956599999E-3</c:v>
                </c:pt>
                <c:pt idx="10">
                  <c:v>2.6344271245900002E-3</c:v>
                </c:pt>
                <c:pt idx="11">
                  <c:v>2.8053070697000001E-3</c:v>
                </c:pt>
                <c:pt idx="12">
                  <c:v>1.25933889431E-3</c:v>
                </c:pt>
                <c:pt idx="13">
                  <c:v>3.4766428189500001E-3</c:v>
                </c:pt>
                <c:pt idx="14">
                  <c:v>1.50834957527E-3</c:v>
                </c:pt>
                <c:pt idx="15">
                  <c:v>8.4242402497499997E-4</c:v>
                </c:pt>
                <c:pt idx="16">
                  <c:v>1.8454464102E-3</c:v>
                </c:pt>
                <c:pt idx="17">
                  <c:v>1.3009783967900001E-3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274040"/>
        <c:axId val="377272864"/>
      </c:scatterChart>
      <c:valAx>
        <c:axId val="377274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272864"/>
        <c:crosses val="autoZero"/>
        <c:crossBetween val="midCat"/>
      </c:valAx>
      <c:valAx>
        <c:axId val="3772728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274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000" b="0" i="0" baseline="0">
                <a:effectLst/>
              </a:rPr>
              <a:t>Amplitude des harmoniques de l'archet poussé sur la corde de sol avec une vitesse de 24,08 cm/s en fonction du temps</a:t>
            </a:r>
            <a:endParaRPr lang="fr-CA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SOL!$P$3:$P$20</c:f>
              <c:numCache>
                <c:formatCode>0.0000</c:formatCode>
                <c:ptCount val="18"/>
                <c:pt idx="0">
                  <c:v>3.5299999999999998E-2</c:v>
                </c:pt>
                <c:pt idx="1">
                  <c:v>7.0499999999999993E-2</c:v>
                </c:pt>
                <c:pt idx="2">
                  <c:v>0.10580000000000001</c:v>
                </c:pt>
                <c:pt idx="3">
                  <c:v>0.14099999999999999</c:v>
                </c:pt>
                <c:pt idx="4">
                  <c:v>0.17630000000000001</c:v>
                </c:pt>
                <c:pt idx="5">
                  <c:v>0.21149999999999999</c:v>
                </c:pt>
                <c:pt idx="6">
                  <c:v>0.24859999999999999</c:v>
                </c:pt>
                <c:pt idx="7">
                  <c:v>0.28410000000000002</c:v>
                </c:pt>
                <c:pt idx="8">
                  <c:v>0.31919999999999998</c:v>
                </c:pt>
                <c:pt idx="9">
                  <c:v>0.35460000000000003</c:v>
                </c:pt>
                <c:pt idx="10">
                  <c:v>0.3901</c:v>
                </c:pt>
                <c:pt idx="11">
                  <c:v>0.42630000000000001</c:v>
                </c:pt>
                <c:pt idx="12">
                  <c:v>0.46160000000000001</c:v>
                </c:pt>
                <c:pt idx="13">
                  <c:v>0.49709999999999999</c:v>
                </c:pt>
                <c:pt idx="14">
                  <c:v>0.53290000000000004</c:v>
                </c:pt>
                <c:pt idx="15">
                  <c:v>0.56830000000000003</c:v>
                </c:pt>
                <c:pt idx="16">
                  <c:v>0.60219999999999996</c:v>
                </c:pt>
                <c:pt idx="17">
                  <c:v>0.63929999999999998</c:v>
                </c:pt>
              </c:numCache>
            </c:numRef>
          </c:xVal>
          <c:yVal>
            <c:numRef>
              <c:f>SOL!$Q$3:$Q$20</c:f>
              <c:numCache>
                <c:formatCode>0.000000</c:formatCode>
                <c:ptCount val="18"/>
                <c:pt idx="0">
                  <c:v>1.02777316995E-2</c:v>
                </c:pt>
                <c:pt idx="1">
                  <c:v>6.3671653645599999E-2</c:v>
                </c:pt>
                <c:pt idx="2">
                  <c:v>0.85762615045500001</c:v>
                </c:pt>
                <c:pt idx="3">
                  <c:v>0.42730437835000001</c:v>
                </c:pt>
                <c:pt idx="4">
                  <c:v>0.334270066827</c:v>
                </c:pt>
                <c:pt idx="5">
                  <c:v>0.29014331926499998</c:v>
                </c:pt>
                <c:pt idx="6">
                  <c:v>1.44569850101E-3</c:v>
                </c:pt>
                <c:pt idx="7">
                  <c:v>2.6392912422899999E-3</c:v>
                </c:pt>
                <c:pt idx="8">
                  <c:v>4.2562694654399999E-3</c:v>
                </c:pt>
                <c:pt idx="9">
                  <c:v>8.0097646189900007E-3</c:v>
                </c:pt>
                <c:pt idx="10">
                  <c:v>4.8687701761399999E-3</c:v>
                </c:pt>
                <c:pt idx="11">
                  <c:v>3.8232422850100001E-3</c:v>
                </c:pt>
                <c:pt idx="12">
                  <c:v>3.2477078642299999E-3</c:v>
                </c:pt>
                <c:pt idx="13">
                  <c:v>3.4557607560900001E-3</c:v>
                </c:pt>
                <c:pt idx="14">
                  <c:v>3.4653392695399999E-4</c:v>
                </c:pt>
                <c:pt idx="15">
                  <c:v>8.6927458580600002E-4</c:v>
                </c:pt>
                <c:pt idx="16">
                  <c:v>8.7122461484199999E-4</c:v>
                </c:pt>
                <c:pt idx="17">
                  <c:v>8.3479628476600001E-4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272472"/>
        <c:axId val="377275216"/>
      </c:scatterChart>
      <c:valAx>
        <c:axId val="377272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275216"/>
        <c:crosses val="autoZero"/>
        <c:crossBetween val="midCat"/>
      </c:valAx>
      <c:valAx>
        <c:axId val="37727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272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000" b="0" i="0" baseline="0">
                <a:effectLst/>
              </a:rPr>
              <a:t>Fréquence selon le nombre de l'harmonique pour la corde de sol</a:t>
            </a:r>
            <a:endParaRPr lang="fr-CA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4872047244094492E-2"/>
                  <c:y val="-6.193533100029163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(108.36±0.17)x - (0.75±1.9)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7895538057742783"/>
                  <c:y val="-7.261592300962379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SOL!$F$3:$F$20</c:f>
                <c:numCache>
                  <c:formatCode>General</c:formatCode>
                  <c:ptCount val="18"/>
                  <c:pt idx="0">
                    <c:v>0.34332275399999901</c:v>
                  </c:pt>
                  <c:pt idx="1">
                    <c:v>0.76293945349999603</c:v>
                  </c:pt>
                  <c:pt idx="2">
                    <c:v>2.899169921500004</c:v>
                  </c:pt>
                  <c:pt idx="3">
                    <c:v>1.678466796500004</c:v>
                  </c:pt>
                  <c:pt idx="4">
                    <c:v>1.8310546875</c:v>
                  </c:pt>
                  <c:pt idx="5">
                    <c:v>2.7465820314999974</c:v>
                  </c:pt>
                  <c:pt idx="6">
                    <c:v>0.3433227539999848</c:v>
                  </c:pt>
                  <c:pt idx="7">
                    <c:v>0.11444091800001388</c:v>
                  </c:pt>
                  <c:pt idx="8">
                    <c:v>0.76293945300000132</c:v>
                  </c:pt>
                  <c:pt idx="9">
                    <c:v>0.91552734499998678</c:v>
                  </c:pt>
                  <c:pt idx="10">
                    <c:v>0.91552733999992597</c:v>
                  </c:pt>
                  <c:pt idx="11">
                    <c:v>0.34332275499991738</c:v>
                  </c:pt>
                  <c:pt idx="12">
                    <c:v>0.41961670000000595</c:v>
                  </c:pt>
                  <c:pt idx="13">
                    <c:v>0.15258789500001058</c:v>
                  </c:pt>
                  <c:pt idx="14">
                    <c:v>0.53405761499993787</c:v>
                  </c:pt>
                  <c:pt idx="15">
                    <c:v>0.15258788999994977</c:v>
                  </c:pt>
                  <c:pt idx="16">
                    <c:v>1.983642580000037</c:v>
                  </c:pt>
                  <c:pt idx="17">
                    <c:v>0.7629394499999762</c:v>
                  </c:pt>
                </c:numCache>
              </c:numRef>
            </c:plus>
            <c:minus>
              <c:numRef>
                <c:f>SOL!$F$3:$F$20</c:f>
                <c:numCache>
                  <c:formatCode>General</c:formatCode>
                  <c:ptCount val="18"/>
                  <c:pt idx="0">
                    <c:v>0.34332275399999901</c:v>
                  </c:pt>
                  <c:pt idx="1">
                    <c:v>0.76293945349999603</c:v>
                  </c:pt>
                  <c:pt idx="2">
                    <c:v>2.899169921500004</c:v>
                  </c:pt>
                  <c:pt idx="3">
                    <c:v>1.678466796500004</c:v>
                  </c:pt>
                  <c:pt idx="4">
                    <c:v>1.8310546875</c:v>
                  </c:pt>
                  <c:pt idx="5">
                    <c:v>2.7465820314999974</c:v>
                  </c:pt>
                  <c:pt idx="6">
                    <c:v>0.3433227539999848</c:v>
                  </c:pt>
                  <c:pt idx="7">
                    <c:v>0.11444091800001388</c:v>
                  </c:pt>
                  <c:pt idx="8">
                    <c:v>0.76293945300000132</c:v>
                  </c:pt>
                  <c:pt idx="9">
                    <c:v>0.91552734499998678</c:v>
                  </c:pt>
                  <c:pt idx="10">
                    <c:v>0.91552733999992597</c:v>
                  </c:pt>
                  <c:pt idx="11">
                    <c:v>0.34332275499991738</c:v>
                  </c:pt>
                  <c:pt idx="12">
                    <c:v>0.41961670000000595</c:v>
                  </c:pt>
                  <c:pt idx="13">
                    <c:v>0.15258789500001058</c:v>
                  </c:pt>
                  <c:pt idx="14">
                    <c:v>0.53405761499993787</c:v>
                  </c:pt>
                  <c:pt idx="15">
                    <c:v>0.15258788999994977</c:v>
                  </c:pt>
                  <c:pt idx="16">
                    <c:v>1.983642580000037</c:v>
                  </c:pt>
                  <c:pt idx="17">
                    <c:v>0.7629394499999762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SOL!$A$3:$A$20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SOL!$E$3:$E$20</c:f>
              <c:numCache>
                <c:formatCode>0.00</c:formatCode>
                <c:ptCount val="18"/>
                <c:pt idx="0">
                  <c:v>107.905069987</c:v>
                </c:pt>
                <c:pt idx="1">
                  <c:v>215.759277344</c:v>
                </c:pt>
                <c:pt idx="2">
                  <c:v>324.88505045566666</c:v>
                </c:pt>
                <c:pt idx="3">
                  <c:v>431.69657389333332</c:v>
                </c:pt>
                <c:pt idx="4">
                  <c:v>539.49991862000013</c:v>
                </c:pt>
                <c:pt idx="5">
                  <c:v>646.8709309896667</c:v>
                </c:pt>
                <c:pt idx="6">
                  <c:v>758.84501139333349</c:v>
                </c:pt>
                <c:pt idx="7">
                  <c:v>866.92810058566658</c:v>
                </c:pt>
                <c:pt idx="8">
                  <c:v>975.08748372399998</c:v>
                </c:pt>
                <c:pt idx="9">
                  <c:v>1083.09427897</c:v>
                </c:pt>
                <c:pt idx="10">
                  <c:v>1191.6859944666667</c:v>
                </c:pt>
                <c:pt idx="11">
                  <c:v>1301.2949625666668</c:v>
                </c:pt>
                <c:pt idx="12">
                  <c:v>1409.1746012366666</c:v>
                </c:pt>
                <c:pt idx="13">
                  <c:v>1517.1559651699999</c:v>
                </c:pt>
                <c:pt idx="14">
                  <c:v>1625.7222493500001</c:v>
                </c:pt>
                <c:pt idx="15">
                  <c:v>1734.11051432</c:v>
                </c:pt>
                <c:pt idx="16">
                  <c:v>1835.2254231766667</c:v>
                </c:pt>
                <c:pt idx="17">
                  <c:v>1950.2766927100001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273256"/>
        <c:axId val="377276392"/>
      </c:scatterChart>
      <c:valAx>
        <c:axId val="377273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Nombre d'harmonique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276392"/>
        <c:crosses val="autoZero"/>
        <c:crossBetween val="midCat"/>
      </c:valAx>
      <c:valAx>
        <c:axId val="377276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Fréquence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273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050" b="0" i="0" baseline="0">
                <a:effectLst/>
              </a:rPr>
              <a:t>Fréquence selon le nombre de l'harmonique pour la corde de ré</a:t>
            </a:r>
            <a:endParaRPr lang="fr-CA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0670341207349081"/>
                  <c:y val="-2.943205016039661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(164.50±0.27)x - (3.7±1.8)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21784230096237969"/>
                  <c:y val="2.612350539515893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RÉ!$F$3:$F$13</c:f>
                <c:numCache>
                  <c:formatCode>General</c:formatCode>
                  <c:ptCount val="11"/>
                  <c:pt idx="0">
                    <c:v>1.8310546875</c:v>
                  </c:pt>
                  <c:pt idx="1">
                    <c:v>3.3569335935000026</c:v>
                  </c:pt>
                  <c:pt idx="2">
                    <c:v>5.4931640625</c:v>
                  </c:pt>
                  <c:pt idx="3">
                    <c:v>1.220703125</c:v>
                  </c:pt>
                  <c:pt idx="4">
                    <c:v>0.57220459000001256</c:v>
                  </c:pt>
                  <c:pt idx="5">
                    <c:v>0.15258789050000132</c:v>
                  </c:pt>
                  <c:pt idx="6">
                    <c:v>0.15258788999994977</c:v>
                  </c:pt>
                  <c:pt idx="7">
                    <c:v>1.7166137699999808</c:v>
                  </c:pt>
                  <c:pt idx="8">
                    <c:v>1.1062622099999544</c:v>
                  </c:pt>
                  <c:pt idx="9">
                    <c:v>0.45776366999996299</c:v>
                  </c:pt>
                  <c:pt idx="10">
                    <c:v>0.41961670000000595</c:v>
                  </c:pt>
                </c:numCache>
              </c:numRef>
            </c:plus>
            <c:minus>
              <c:numRef>
                <c:f>RÉ!$F$3:$F$13</c:f>
                <c:numCache>
                  <c:formatCode>General</c:formatCode>
                  <c:ptCount val="11"/>
                  <c:pt idx="0">
                    <c:v>1.8310546875</c:v>
                  </c:pt>
                  <c:pt idx="1">
                    <c:v>3.3569335935000026</c:v>
                  </c:pt>
                  <c:pt idx="2">
                    <c:v>5.4931640625</c:v>
                  </c:pt>
                  <c:pt idx="3">
                    <c:v>1.220703125</c:v>
                  </c:pt>
                  <c:pt idx="4">
                    <c:v>0.57220459000001256</c:v>
                  </c:pt>
                  <c:pt idx="5">
                    <c:v>0.15258789050000132</c:v>
                  </c:pt>
                  <c:pt idx="6">
                    <c:v>0.15258788999994977</c:v>
                  </c:pt>
                  <c:pt idx="7">
                    <c:v>1.7166137699999808</c:v>
                  </c:pt>
                  <c:pt idx="8">
                    <c:v>1.1062622099999544</c:v>
                  </c:pt>
                  <c:pt idx="9">
                    <c:v>0.45776366999996299</c:v>
                  </c:pt>
                  <c:pt idx="10">
                    <c:v>0.41961670000000595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RÉ!$A$3:$A$13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RÉ!$E$3:$E$13</c:f>
              <c:numCache>
                <c:formatCode>0.00</c:formatCode>
                <c:ptCount val="11"/>
                <c:pt idx="0">
                  <c:v>162.76041666699999</c:v>
                </c:pt>
                <c:pt idx="1">
                  <c:v>325.77514648466666</c:v>
                </c:pt>
                <c:pt idx="2">
                  <c:v>488.12866210966666</c:v>
                </c:pt>
                <c:pt idx="3">
                  <c:v>655.517578125</c:v>
                </c:pt>
                <c:pt idx="4">
                  <c:v>817.18444824200003</c:v>
                </c:pt>
                <c:pt idx="5">
                  <c:v>982.46256510433341</c:v>
                </c:pt>
                <c:pt idx="6">
                  <c:v>1145.73160807</c:v>
                </c:pt>
                <c:pt idx="7">
                  <c:v>1312.4338785799998</c:v>
                </c:pt>
                <c:pt idx="8">
                  <c:v>1477.4322509766669</c:v>
                </c:pt>
                <c:pt idx="9">
                  <c:v>1642.6086425800002</c:v>
                </c:pt>
                <c:pt idx="10">
                  <c:v>1806.1574300133334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277176"/>
        <c:axId val="377273648"/>
      </c:scatterChart>
      <c:valAx>
        <c:axId val="37727717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Nombre d'harmonique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273648"/>
        <c:crosses val="autoZero"/>
        <c:crossBetween val="midCat"/>
      </c:valAx>
      <c:valAx>
        <c:axId val="37727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Fréquence</a:t>
                </a:r>
                <a:r>
                  <a:rPr lang="fr-CA" baseline="0"/>
                  <a:t> (Hz)</a:t>
                </a:r>
                <a:endParaRPr lang="fr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277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000" b="0" i="0" baseline="0">
                <a:effectLst/>
              </a:rPr>
              <a:t>Amplitude des harmoniques de l'archet tiré sur la corde de ré avec une vitesse de 20,21 cm/s en fonction du temps</a:t>
            </a:r>
            <a:endParaRPr lang="fr-CA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RÉ!$H$3:$H$13</c:f>
              <c:numCache>
                <c:formatCode>0.0000</c:formatCode>
                <c:ptCount val="11"/>
                <c:pt idx="0">
                  <c:v>5.3800000000000001E-2</c:v>
                </c:pt>
                <c:pt idx="1">
                  <c:v>0.1076</c:v>
                </c:pt>
                <c:pt idx="2">
                  <c:v>0.16139999999999999</c:v>
                </c:pt>
                <c:pt idx="3">
                  <c:v>0.2152</c:v>
                </c:pt>
                <c:pt idx="4">
                  <c:v>0.26800000000000002</c:v>
                </c:pt>
                <c:pt idx="5">
                  <c:v>0.32190000000000002</c:v>
                </c:pt>
                <c:pt idx="6">
                  <c:v>0.37540000000000001</c:v>
                </c:pt>
                <c:pt idx="7">
                  <c:v>0.43049999999999999</c:v>
                </c:pt>
                <c:pt idx="8">
                  <c:v>0.48430000000000001</c:v>
                </c:pt>
                <c:pt idx="9">
                  <c:v>0.53810000000000002</c:v>
                </c:pt>
                <c:pt idx="10">
                  <c:v>0.59199999999999997</c:v>
                </c:pt>
              </c:numCache>
            </c:numRef>
          </c:xVal>
          <c:yVal>
            <c:numRef>
              <c:f>RÉ!$I$3:$I$13</c:f>
              <c:numCache>
                <c:formatCode>0.000000</c:formatCode>
                <c:ptCount val="11"/>
                <c:pt idx="0">
                  <c:v>0.103900667531</c:v>
                </c:pt>
                <c:pt idx="1">
                  <c:v>0.32245413670599998</c:v>
                </c:pt>
                <c:pt idx="2">
                  <c:v>0.267057476854</c:v>
                </c:pt>
                <c:pt idx="3">
                  <c:v>0.56491787262199999</c:v>
                </c:pt>
                <c:pt idx="4">
                  <c:v>8.4437605384400007E-3</c:v>
                </c:pt>
                <c:pt idx="5">
                  <c:v>7.6486746064200004E-3</c:v>
                </c:pt>
                <c:pt idx="6">
                  <c:v>1.18827332524E-2</c:v>
                </c:pt>
                <c:pt idx="7">
                  <c:v>0.43812904149100002</c:v>
                </c:pt>
                <c:pt idx="8">
                  <c:v>0.110306173008</c:v>
                </c:pt>
                <c:pt idx="9">
                  <c:v>0.122660316107</c:v>
                </c:pt>
                <c:pt idx="10">
                  <c:v>6.4875490002700001E-2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278352"/>
        <c:axId val="377275608"/>
      </c:scatterChart>
      <c:valAx>
        <c:axId val="37727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275608"/>
        <c:crosses val="autoZero"/>
        <c:crossBetween val="midCat"/>
      </c:valAx>
      <c:valAx>
        <c:axId val="377275608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278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000" b="0" i="0" baseline="0">
                <a:effectLst/>
              </a:rPr>
              <a:t>Amplitude des harmoniques de l'archet tiré sur la corde de ré avec une vitesse de 9,33 cm/s en fonction du temps</a:t>
            </a:r>
            <a:endParaRPr lang="fr-CA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RÉ!$L$3:$L$13</c:f>
              <c:numCache>
                <c:formatCode>0.0000</c:formatCode>
                <c:ptCount val="11"/>
                <c:pt idx="0">
                  <c:v>0.21440000000000001</c:v>
                </c:pt>
                <c:pt idx="1">
                  <c:v>0.42899999999999999</c:v>
                </c:pt>
                <c:pt idx="2">
                  <c:v>0.64259999999999995</c:v>
                </c:pt>
                <c:pt idx="3">
                  <c:v>0.85760000000000003</c:v>
                </c:pt>
                <c:pt idx="4">
                  <c:v>1.0705</c:v>
                </c:pt>
                <c:pt idx="5">
                  <c:v>1.2876000000000001</c:v>
                </c:pt>
                <c:pt idx="6">
                  <c:v>1.502</c:v>
                </c:pt>
                <c:pt idx="7">
                  <c:v>1.7175</c:v>
                </c:pt>
                <c:pt idx="8">
                  <c:v>1.9347000000000001</c:v>
                </c:pt>
                <c:pt idx="9">
                  <c:v>2.153</c:v>
                </c:pt>
                <c:pt idx="10">
                  <c:v>2.3668999999999998</c:v>
                </c:pt>
              </c:numCache>
            </c:numRef>
          </c:xVal>
          <c:yVal>
            <c:numRef>
              <c:f>RÉ!$M$3:$M$13</c:f>
              <c:numCache>
                <c:formatCode>0.000000</c:formatCode>
                <c:ptCount val="11"/>
                <c:pt idx="0">
                  <c:v>6.3562763290900007E-2</c:v>
                </c:pt>
                <c:pt idx="1">
                  <c:v>0.119681191763</c:v>
                </c:pt>
                <c:pt idx="2">
                  <c:v>6.0997447025100002E-2</c:v>
                </c:pt>
                <c:pt idx="3">
                  <c:v>2.0429631219199999E-2</c:v>
                </c:pt>
                <c:pt idx="4">
                  <c:v>2.0874903461299998E-2</c:v>
                </c:pt>
                <c:pt idx="5">
                  <c:v>2.15144341112E-2</c:v>
                </c:pt>
                <c:pt idx="6">
                  <c:v>2.7844620621800001E-2</c:v>
                </c:pt>
                <c:pt idx="7">
                  <c:v>6.7966068646800007E-2</c:v>
                </c:pt>
                <c:pt idx="8">
                  <c:v>8.2970855930200003E-3</c:v>
                </c:pt>
                <c:pt idx="9">
                  <c:v>5.1341900050700003E-3</c:v>
                </c:pt>
                <c:pt idx="10">
                  <c:v>5.4078889763100003E-3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278744"/>
        <c:axId val="377279920"/>
      </c:scatterChart>
      <c:valAx>
        <c:axId val="377278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279920"/>
        <c:crosses val="autoZero"/>
        <c:crossBetween val="midCat"/>
      </c:valAx>
      <c:valAx>
        <c:axId val="377279920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278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000" b="0" i="0" baseline="0">
                <a:effectLst/>
              </a:rPr>
              <a:t>Amplitude des harmoniques de l'archet poussé sur la corde de sol avec une vitesse de 21,47 cm/s en fonction du temps</a:t>
            </a:r>
            <a:endParaRPr lang="fr-CA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RÉ!$P$3:$P$13</c:f>
              <c:numCache>
                <c:formatCode>0.0000</c:formatCode>
                <c:ptCount val="11"/>
                <c:pt idx="0">
                  <c:v>5.2600000000000001E-2</c:v>
                </c:pt>
                <c:pt idx="1">
                  <c:v>0.10539999999999999</c:v>
                </c:pt>
                <c:pt idx="2">
                  <c:v>0.1578</c:v>
                </c:pt>
                <c:pt idx="3">
                  <c:v>0.21479999999999999</c:v>
                </c:pt>
                <c:pt idx="4">
                  <c:v>0.26769999999999999</c:v>
                </c:pt>
                <c:pt idx="5">
                  <c:v>0.32200000000000001</c:v>
                </c:pt>
                <c:pt idx="6">
                  <c:v>0.37540000000000001</c:v>
                </c:pt>
                <c:pt idx="7">
                  <c:v>0.43030000000000002</c:v>
                </c:pt>
                <c:pt idx="8">
                  <c:v>0.4844</c:v>
                </c:pt>
                <c:pt idx="9">
                  <c:v>0.53839999999999999</c:v>
                </c:pt>
                <c:pt idx="10">
                  <c:v>0.59179999999999999</c:v>
                </c:pt>
              </c:numCache>
            </c:numRef>
          </c:xVal>
          <c:yVal>
            <c:numRef>
              <c:f>RÉ!$Q$3:$Q$13</c:f>
              <c:numCache>
                <c:formatCode>0.000000</c:formatCode>
                <c:ptCount val="11"/>
                <c:pt idx="0">
                  <c:v>5.5418678838800001E-2</c:v>
                </c:pt>
                <c:pt idx="1">
                  <c:v>4.2851691312199999E-2</c:v>
                </c:pt>
                <c:pt idx="2">
                  <c:v>1.07143769514</c:v>
                </c:pt>
                <c:pt idx="3">
                  <c:v>1.76878366476E-3</c:v>
                </c:pt>
                <c:pt idx="4">
                  <c:v>1.84089964849E-3</c:v>
                </c:pt>
                <c:pt idx="5">
                  <c:v>1.0347485902E-3</c:v>
                </c:pt>
                <c:pt idx="6">
                  <c:v>1.40511018475E-3</c:v>
                </c:pt>
                <c:pt idx="7">
                  <c:v>1.7748317466199999E-3</c:v>
                </c:pt>
                <c:pt idx="8">
                  <c:v>1.03797448781E-3</c:v>
                </c:pt>
                <c:pt idx="9">
                  <c:v>1.19616904328E-3</c:v>
                </c:pt>
                <c:pt idx="10">
                  <c:v>1.2578527233E-3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6646856"/>
        <c:axId val="165364264"/>
      </c:scatterChart>
      <c:valAx>
        <c:axId val="376646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5364264"/>
        <c:crosses val="autoZero"/>
        <c:crossBetween val="midCat"/>
      </c:valAx>
      <c:valAx>
        <c:axId val="165364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6646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000" b="0" i="0" baseline="0">
                <a:effectLst/>
              </a:rPr>
              <a:t>Fréquence selon le nombre de l'harmonique pour la corde de la</a:t>
            </a:r>
            <a:endParaRPr lang="fr-CA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34994269466316713"/>
                  <c:y val="-8.073089822105569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(271.55±0.11)x + (0.71±0.96)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267869641294837"/>
                  <c:y val="-2.980497229512977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LA!$F$3:$F$17</c:f>
                <c:numCache>
                  <c:formatCode>General</c:formatCode>
                  <c:ptCount val="15"/>
                  <c:pt idx="0">
                    <c:v>0.38146972650000066</c:v>
                  </c:pt>
                  <c:pt idx="1">
                    <c:v>0.99182128950002379</c:v>
                  </c:pt>
                  <c:pt idx="2">
                    <c:v>1.7929077145000178</c:v>
                  </c:pt>
                  <c:pt idx="3">
                    <c:v>0.15258789500001058</c:v>
                  </c:pt>
                  <c:pt idx="4">
                    <c:v>0.61035156500008725</c:v>
                  </c:pt>
                  <c:pt idx="5">
                    <c:v>2.136230464999926</c:v>
                  </c:pt>
                  <c:pt idx="6">
                    <c:v>2.3651123050000251</c:v>
                  </c:pt>
                  <c:pt idx="7">
                    <c:v>2.7084350600000562</c:v>
                  </c:pt>
                  <c:pt idx="8">
                    <c:v>2.6321411149999676</c:v>
                  </c:pt>
                  <c:pt idx="9">
                    <c:v>2.44140625</c:v>
                  </c:pt>
                  <c:pt idx="10">
                    <c:v>0.91552734500010047</c:v>
                  </c:pt>
                  <c:pt idx="11">
                    <c:v>3.7384033200000886</c:v>
                  </c:pt>
                  <c:pt idx="12">
                    <c:v>7.1716308599998229</c:v>
                  </c:pt>
                  <c:pt idx="13">
                    <c:v>5.1116943350000383</c:v>
                  </c:pt>
                  <c:pt idx="14">
                    <c:v>4.1580200199998671</c:v>
                  </c:pt>
                </c:numCache>
              </c:numRef>
            </c:plus>
            <c:minus>
              <c:numRef>
                <c:f>LA!$F$3:$F$17</c:f>
                <c:numCache>
                  <c:formatCode>General</c:formatCode>
                  <c:ptCount val="15"/>
                  <c:pt idx="0">
                    <c:v>0.38146972650000066</c:v>
                  </c:pt>
                  <c:pt idx="1">
                    <c:v>0.99182128950002379</c:v>
                  </c:pt>
                  <c:pt idx="2">
                    <c:v>1.7929077145000178</c:v>
                  </c:pt>
                  <c:pt idx="3">
                    <c:v>0.15258789500001058</c:v>
                  </c:pt>
                  <c:pt idx="4">
                    <c:v>0.61035156500008725</c:v>
                  </c:pt>
                  <c:pt idx="5">
                    <c:v>2.136230464999926</c:v>
                  </c:pt>
                  <c:pt idx="6">
                    <c:v>2.3651123050000251</c:v>
                  </c:pt>
                  <c:pt idx="7">
                    <c:v>2.7084350600000562</c:v>
                  </c:pt>
                  <c:pt idx="8">
                    <c:v>2.6321411149999676</c:v>
                  </c:pt>
                  <c:pt idx="9">
                    <c:v>2.44140625</c:v>
                  </c:pt>
                  <c:pt idx="10">
                    <c:v>0.91552734500010047</c:v>
                  </c:pt>
                  <c:pt idx="11">
                    <c:v>3.7384033200000886</c:v>
                  </c:pt>
                  <c:pt idx="12">
                    <c:v>7.1716308599998229</c:v>
                  </c:pt>
                  <c:pt idx="13">
                    <c:v>5.1116943350000383</c:v>
                  </c:pt>
                  <c:pt idx="14">
                    <c:v>4.1580200199998671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LA!$A$3:$A$17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LA!$E$3:$E$17</c:f>
              <c:numCache>
                <c:formatCode>0.00</c:formatCode>
                <c:ptCount val="15"/>
                <c:pt idx="0">
                  <c:v>271.65730794300003</c:v>
                </c:pt>
                <c:pt idx="1">
                  <c:v>543.16202799500002</c:v>
                </c:pt>
                <c:pt idx="2">
                  <c:v>814.53959147133321</c:v>
                </c:pt>
                <c:pt idx="3">
                  <c:v>1087.5447591166665</c:v>
                </c:pt>
                <c:pt idx="4">
                  <c:v>1358.31197103</c:v>
                </c:pt>
                <c:pt idx="5">
                  <c:v>1630.2490234366667</c:v>
                </c:pt>
                <c:pt idx="6">
                  <c:v>1902.0080566433332</c:v>
                </c:pt>
                <c:pt idx="7">
                  <c:v>2173.6907958966663</c:v>
                </c:pt>
                <c:pt idx="8">
                  <c:v>2445.4498291033337</c:v>
                </c:pt>
                <c:pt idx="9">
                  <c:v>2717.6920572933336</c:v>
                </c:pt>
                <c:pt idx="10">
                  <c:v>2987.0859781899999</c:v>
                </c:pt>
                <c:pt idx="11">
                  <c:v>3260.6506347666668</c:v>
                </c:pt>
                <c:pt idx="12">
                  <c:v>3530.4768880200004</c:v>
                </c:pt>
                <c:pt idx="13">
                  <c:v>3801.3203938833335</c:v>
                </c:pt>
                <c:pt idx="14">
                  <c:v>4072.850545246667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754160"/>
        <c:axId val="377751024"/>
      </c:scatterChart>
      <c:valAx>
        <c:axId val="377754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Nombre d'harmonique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751024"/>
        <c:crosses val="autoZero"/>
        <c:crossBetween val="midCat"/>
      </c:valAx>
      <c:valAx>
        <c:axId val="3777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Fréquence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754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000" b="0" i="0" baseline="0">
                <a:effectLst/>
              </a:rPr>
              <a:t>Amplitude des harmoniques de l'archet tiré sur la corde de la avec une vitesse de 17,75 cm/s en fonction du temps</a:t>
            </a:r>
            <a:endParaRPr lang="fr-CA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LA!$H$3:$H$17</c:f>
              <c:numCache>
                <c:formatCode>0.0000</c:formatCode>
                <c:ptCount val="15"/>
                <c:pt idx="0">
                  <c:v>8.9099999999999999E-2</c:v>
                </c:pt>
                <c:pt idx="1">
                  <c:v>0.1782</c:v>
                </c:pt>
                <c:pt idx="2">
                  <c:v>0.26729999999999998</c:v>
                </c:pt>
                <c:pt idx="3">
                  <c:v>0.35639999999999999</c:v>
                </c:pt>
                <c:pt idx="4">
                  <c:v>0.44490000000000002</c:v>
                </c:pt>
                <c:pt idx="5">
                  <c:v>0.53469999999999995</c:v>
                </c:pt>
                <c:pt idx="6">
                  <c:v>0.62380000000000002</c:v>
                </c:pt>
                <c:pt idx="7">
                  <c:v>0.71289999999999998</c:v>
                </c:pt>
                <c:pt idx="8">
                  <c:v>0.80200000000000005</c:v>
                </c:pt>
                <c:pt idx="9">
                  <c:v>0.89119999999999999</c:v>
                </c:pt>
                <c:pt idx="10">
                  <c:v>0.97860000000000003</c:v>
                </c:pt>
                <c:pt idx="11">
                  <c:v>1.0693999999999999</c:v>
                </c:pt>
                <c:pt idx="12">
                  <c:v>1.1586000000000001</c:v>
                </c:pt>
                <c:pt idx="13">
                  <c:v>1.2470000000000001</c:v>
                </c:pt>
                <c:pt idx="14">
                  <c:v>1.3341000000000001</c:v>
                </c:pt>
              </c:numCache>
            </c:numRef>
          </c:xVal>
          <c:yVal>
            <c:numRef>
              <c:f>LA!$I$3:$I$17</c:f>
              <c:numCache>
                <c:formatCode>0.000000</c:formatCode>
                <c:ptCount val="15"/>
                <c:pt idx="0">
                  <c:v>0.147357603502</c:v>
                </c:pt>
                <c:pt idx="1">
                  <c:v>0.16014426383700001</c:v>
                </c:pt>
                <c:pt idx="2">
                  <c:v>0.113722333599</c:v>
                </c:pt>
                <c:pt idx="3">
                  <c:v>0.11245940174000001</c:v>
                </c:pt>
                <c:pt idx="4">
                  <c:v>1.99798669485E-2</c:v>
                </c:pt>
                <c:pt idx="5">
                  <c:v>8.3410686926200003E-2</c:v>
                </c:pt>
                <c:pt idx="6">
                  <c:v>6.4831193630800005E-2</c:v>
                </c:pt>
                <c:pt idx="7">
                  <c:v>5.8077417107100002E-2</c:v>
                </c:pt>
                <c:pt idx="8">
                  <c:v>2.61205396792E-2</c:v>
                </c:pt>
                <c:pt idx="9">
                  <c:v>3.3702142052399998E-2</c:v>
                </c:pt>
                <c:pt idx="10">
                  <c:v>5.4325872439900001E-3</c:v>
                </c:pt>
                <c:pt idx="11">
                  <c:v>3.0381724701899999E-2</c:v>
                </c:pt>
                <c:pt idx="12">
                  <c:v>2.48082481021E-2</c:v>
                </c:pt>
                <c:pt idx="13">
                  <c:v>1.34020025278E-2</c:v>
                </c:pt>
                <c:pt idx="14">
                  <c:v>4.74444946527E-3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753376"/>
        <c:axId val="377756120"/>
      </c:scatterChart>
      <c:valAx>
        <c:axId val="37775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756120"/>
        <c:crosses val="autoZero"/>
        <c:crossBetween val="midCat"/>
      </c:valAx>
      <c:valAx>
        <c:axId val="377756120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753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000" b="0" i="0" baseline="0">
                <a:effectLst/>
              </a:rPr>
              <a:t>Amplitude des harmoniques de l'archet tiré sur la corde de la avec une vitesse de 8,79 cm/s en fonction du temps</a:t>
            </a:r>
            <a:endParaRPr lang="fr-CA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LA!$L$3:$L$17</c:f>
              <c:numCache>
                <c:formatCode>0.0000</c:formatCode>
                <c:ptCount val="15"/>
                <c:pt idx="0">
                  <c:v>0.35539999999999999</c:v>
                </c:pt>
                <c:pt idx="1">
                  <c:v>0.71020000000000005</c:v>
                </c:pt>
                <c:pt idx="2">
                  <c:v>1.0645</c:v>
                </c:pt>
                <c:pt idx="3">
                  <c:v>1.4252</c:v>
                </c:pt>
                <c:pt idx="4">
                  <c:v>1.7803</c:v>
                </c:pt>
                <c:pt idx="5">
                  <c:v>2.1332</c:v>
                </c:pt>
                <c:pt idx="6">
                  <c:v>2.4889999999999999</c:v>
                </c:pt>
                <c:pt idx="7">
                  <c:v>2.8445</c:v>
                </c:pt>
                <c:pt idx="8">
                  <c:v>3.2010999999999998</c:v>
                </c:pt>
                <c:pt idx="9">
                  <c:v>3.5583999999999998</c:v>
                </c:pt>
                <c:pt idx="10">
                  <c:v>3.9144999999999999</c:v>
                </c:pt>
                <c:pt idx="11">
                  <c:v>4.2678000000000003</c:v>
                </c:pt>
                <c:pt idx="12">
                  <c:v>4.6155999999999997</c:v>
                </c:pt>
                <c:pt idx="13">
                  <c:v>4.9745999999999997</c:v>
                </c:pt>
                <c:pt idx="14">
                  <c:v>5.3338999999999999</c:v>
                </c:pt>
              </c:numCache>
            </c:numRef>
          </c:xVal>
          <c:yVal>
            <c:numRef>
              <c:f>LA!$M$3:$M$17</c:f>
              <c:numCache>
                <c:formatCode>0.000000</c:formatCode>
                <c:ptCount val="15"/>
                <c:pt idx="0">
                  <c:v>5.5670489428999999E-2</c:v>
                </c:pt>
                <c:pt idx="1">
                  <c:v>4.7921325584200002E-2</c:v>
                </c:pt>
                <c:pt idx="2">
                  <c:v>1.04022647892E-2</c:v>
                </c:pt>
                <c:pt idx="3">
                  <c:v>1.70752879155E-2</c:v>
                </c:pt>
                <c:pt idx="4">
                  <c:v>1.60389412876E-2</c:v>
                </c:pt>
                <c:pt idx="5">
                  <c:v>5.1731198900699998E-3</c:v>
                </c:pt>
                <c:pt idx="6">
                  <c:v>1.10489499936E-2</c:v>
                </c:pt>
                <c:pt idx="7">
                  <c:v>7.8909332088400001E-3</c:v>
                </c:pt>
                <c:pt idx="8">
                  <c:v>1.89980804398E-3</c:v>
                </c:pt>
                <c:pt idx="9">
                  <c:v>7.9896464637499998E-3</c:v>
                </c:pt>
                <c:pt idx="10">
                  <c:v>2.5264275270299999E-3</c:v>
                </c:pt>
                <c:pt idx="11">
                  <c:v>1.4067106559400001E-3</c:v>
                </c:pt>
                <c:pt idx="12">
                  <c:v>1.4303179657E-3</c:v>
                </c:pt>
                <c:pt idx="13">
                  <c:v>4.8366354603599998E-3</c:v>
                </c:pt>
                <c:pt idx="14">
                  <c:v>2.2854411813399999E-3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755728"/>
        <c:axId val="377756512"/>
      </c:scatterChart>
      <c:valAx>
        <c:axId val="37775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756512"/>
        <c:crosses val="autoZero"/>
        <c:crossBetween val="midCat"/>
      </c:valAx>
      <c:valAx>
        <c:axId val="377756512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75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 sz="1000" b="0" i="0" baseline="0">
                <a:effectLst/>
              </a:rPr>
              <a:t>Amplitude des harmoniques de l'archet poussé sur la corde de la avec une vitesse de 29,15 cm/s en fonction du temps</a:t>
            </a:r>
            <a:endParaRPr lang="fr-CA" sz="10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LA!$P$3:$P$17</c:f>
              <c:numCache>
                <c:formatCode>0.0000</c:formatCode>
                <c:ptCount val="15"/>
                <c:pt idx="0">
                  <c:v>8.9099999999999999E-2</c:v>
                </c:pt>
                <c:pt idx="1">
                  <c:v>0.1782</c:v>
                </c:pt>
                <c:pt idx="2">
                  <c:v>0.26729999999999998</c:v>
                </c:pt>
                <c:pt idx="3">
                  <c:v>0.35639999999999999</c:v>
                </c:pt>
                <c:pt idx="4">
                  <c:v>0.44529999999999997</c:v>
                </c:pt>
                <c:pt idx="5">
                  <c:v>0.53459999999999996</c:v>
                </c:pt>
                <c:pt idx="6">
                  <c:v>0.62370000000000003</c:v>
                </c:pt>
                <c:pt idx="7">
                  <c:v>0.71279999999999999</c:v>
                </c:pt>
                <c:pt idx="8">
                  <c:v>0.80169999999999997</c:v>
                </c:pt>
                <c:pt idx="9">
                  <c:v>0.89080000000000004</c:v>
                </c:pt>
                <c:pt idx="10">
                  <c:v>0.97919999999999996</c:v>
                </c:pt>
                <c:pt idx="11">
                  <c:v>1.069</c:v>
                </c:pt>
                <c:pt idx="12">
                  <c:v>1.1580999999999999</c:v>
                </c:pt>
                <c:pt idx="13">
                  <c:v>1.2462</c:v>
                </c:pt>
                <c:pt idx="14">
                  <c:v>1.3362000000000001</c:v>
                </c:pt>
              </c:numCache>
            </c:numRef>
          </c:xVal>
          <c:yVal>
            <c:numRef>
              <c:f>LA!$Q$3:$Q$17</c:f>
              <c:numCache>
                <c:formatCode>0.000000</c:formatCode>
                <c:ptCount val="15"/>
                <c:pt idx="0">
                  <c:v>0.18217295706200001</c:v>
                </c:pt>
                <c:pt idx="1">
                  <c:v>0.15838434348200001</c:v>
                </c:pt>
                <c:pt idx="2">
                  <c:v>0.13446064512799999</c:v>
                </c:pt>
                <c:pt idx="3">
                  <c:v>4.2002693645399998E-2</c:v>
                </c:pt>
                <c:pt idx="4">
                  <c:v>1.4745142755099999E-2</c:v>
                </c:pt>
                <c:pt idx="5">
                  <c:v>0.116534153522</c:v>
                </c:pt>
                <c:pt idx="6">
                  <c:v>7.77796014791E-2</c:v>
                </c:pt>
                <c:pt idx="7">
                  <c:v>5.9316593182399999E-2</c:v>
                </c:pt>
                <c:pt idx="8">
                  <c:v>3.9252692819100002E-2</c:v>
                </c:pt>
                <c:pt idx="9">
                  <c:v>3.6749555137999997E-2</c:v>
                </c:pt>
                <c:pt idx="10">
                  <c:v>8.1051234269599991E-3</c:v>
                </c:pt>
                <c:pt idx="11">
                  <c:v>3.9963503293699999E-2</c:v>
                </c:pt>
                <c:pt idx="12">
                  <c:v>2.4007444929300001E-2</c:v>
                </c:pt>
                <c:pt idx="13">
                  <c:v>1.8691235328900001E-2</c:v>
                </c:pt>
                <c:pt idx="14">
                  <c:v>1.21692753057E-2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754944"/>
        <c:axId val="377755336"/>
      </c:scatterChart>
      <c:valAx>
        <c:axId val="37775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755336"/>
        <c:crosses val="autoZero"/>
        <c:crossBetween val="midCat"/>
      </c:valAx>
      <c:valAx>
        <c:axId val="37775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775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95250</xdr:colOff>
      <xdr:row>16</xdr:row>
      <xdr:rowOff>47624</xdr:rowOff>
    </xdr:from>
    <xdr:to>
      <xdr:col>24</xdr:col>
      <xdr:colOff>600075</xdr:colOff>
      <xdr:row>31</xdr:row>
      <xdr:rowOff>161925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561975</xdr:colOff>
      <xdr:row>16</xdr:row>
      <xdr:rowOff>52387</xdr:rowOff>
    </xdr:from>
    <xdr:to>
      <xdr:col>17</xdr:col>
      <xdr:colOff>504825</xdr:colOff>
      <xdr:row>31</xdr:row>
      <xdr:rowOff>142875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257175</xdr:colOff>
      <xdr:row>16</xdr:row>
      <xdr:rowOff>61911</xdr:rowOff>
    </xdr:from>
    <xdr:to>
      <xdr:col>11</xdr:col>
      <xdr:colOff>409575</xdr:colOff>
      <xdr:row>32</xdr:row>
      <xdr:rowOff>38100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171451</xdr:colOff>
      <xdr:row>1</xdr:row>
      <xdr:rowOff>9525</xdr:rowOff>
    </xdr:from>
    <xdr:to>
      <xdr:col>25</xdr:col>
      <xdr:colOff>133350</xdr:colOff>
      <xdr:row>15</xdr:row>
      <xdr:rowOff>9525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104776</xdr:colOff>
      <xdr:row>20</xdr:row>
      <xdr:rowOff>171450</xdr:rowOff>
    </xdr:from>
    <xdr:to>
      <xdr:col>10</xdr:col>
      <xdr:colOff>238126</xdr:colOff>
      <xdr:row>34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371475</xdr:colOff>
      <xdr:row>20</xdr:row>
      <xdr:rowOff>133350</xdr:rowOff>
    </xdr:from>
    <xdr:to>
      <xdr:col>17</xdr:col>
      <xdr:colOff>57150</xdr:colOff>
      <xdr:row>32</xdr:row>
      <xdr:rowOff>157162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180975</xdr:colOff>
      <xdr:row>20</xdr:row>
      <xdr:rowOff>161925</xdr:rowOff>
    </xdr:from>
    <xdr:to>
      <xdr:col>23</xdr:col>
      <xdr:colOff>57150</xdr:colOff>
      <xdr:row>33</xdr:row>
      <xdr:rowOff>128587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76200</xdr:colOff>
      <xdr:row>1</xdr:row>
      <xdr:rowOff>138112</xdr:rowOff>
    </xdr:from>
    <xdr:to>
      <xdr:col>24</xdr:col>
      <xdr:colOff>466725</xdr:colOff>
      <xdr:row>16</xdr:row>
      <xdr:rowOff>23812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180975</xdr:colOff>
      <xdr:row>0</xdr:row>
      <xdr:rowOff>76200</xdr:rowOff>
    </xdr:from>
    <xdr:to>
      <xdr:col>25</xdr:col>
      <xdr:colOff>85725</xdr:colOff>
      <xdr:row>14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76201</xdr:colOff>
      <xdr:row>14</xdr:row>
      <xdr:rowOff>161925</xdr:rowOff>
    </xdr:from>
    <xdr:to>
      <xdr:col>9</xdr:col>
      <xdr:colOff>342901</xdr:colOff>
      <xdr:row>27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381000</xdr:colOff>
      <xdr:row>14</xdr:row>
      <xdr:rowOff>147637</xdr:rowOff>
    </xdr:from>
    <xdr:to>
      <xdr:col>15</xdr:col>
      <xdr:colOff>295275</xdr:colOff>
      <xdr:row>27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381000</xdr:colOff>
      <xdr:row>14</xdr:row>
      <xdr:rowOff>185737</xdr:rowOff>
    </xdr:from>
    <xdr:to>
      <xdr:col>21</xdr:col>
      <xdr:colOff>314325</xdr:colOff>
      <xdr:row>27</xdr:row>
      <xdr:rowOff>28575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</xdr:row>
      <xdr:rowOff>23812</xdr:rowOff>
    </xdr:from>
    <xdr:to>
      <xdr:col>25</xdr:col>
      <xdr:colOff>409575</xdr:colOff>
      <xdr:row>15</xdr:row>
      <xdr:rowOff>100012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123825</xdr:colOff>
      <xdr:row>17</xdr:row>
      <xdr:rowOff>176212</xdr:rowOff>
    </xdr:from>
    <xdr:to>
      <xdr:col>10</xdr:col>
      <xdr:colOff>428625</xdr:colOff>
      <xdr:row>32</xdr:row>
      <xdr:rowOff>61912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504825</xdr:colOff>
      <xdr:row>17</xdr:row>
      <xdr:rowOff>185737</xdr:rowOff>
    </xdr:from>
    <xdr:to>
      <xdr:col>18</xdr:col>
      <xdr:colOff>200025</xdr:colOff>
      <xdr:row>32</xdr:row>
      <xdr:rowOff>71437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304800</xdr:colOff>
      <xdr:row>18</xdr:row>
      <xdr:rowOff>4762</xdr:rowOff>
    </xdr:from>
    <xdr:to>
      <xdr:col>26</xdr:col>
      <xdr:colOff>0</xdr:colOff>
      <xdr:row>32</xdr:row>
      <xdr:rowOff>80962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"/>
  <sheetViews>
    <sheetView tabSelected="1" topLeftCell="U17" workbookViewId="0">
      <selection activeCell="X30" sqref="X30"/>
    </sheetView>
  </sheetViews>
  <sheetFormatPr defaultRowHeight="15" x14ac:dyDescent="0.25"/>
  <cols>
    <col min="1" max="1" width="29.42578125" style="1" customWidth="1"/>
    <col min="2" max="2" width="13.140625" style="1" customWidth="1"/>
    <col min="3" max="3" width="14.7109375" style="1" customWidth="1"/>
    <col min="4" max="4" width="11.85546875" style="1" customWidth="1"/>
    <col min="5" max="5" width="12.140625" style="1" customWidth="1"/>
    <col min="6" max="6" width="18.140625" customWidth="1"/>
    <col min="7" max="7" width="12.42578125" customWidth="1"/>
    <col min="9" max="9" width="14.5703125" customWidth="1"/>
    <col min="10" max="10" width="11.28515625" customWidth="1"/>
    <col min="12" max="12" width="12" customWidth="1"/>
    <col min="14" max="14" width="11.5703125" bestFit="1" customWidth="1"/>
    <col min="15" max="15" width="10.42578125" customWidth="1"/>
    <col min="16" max="16" width="9.85546875" customWidth="1"/>
    <col min="17" max="17" width="10.28515625" customWidth="1"/>
    <col min="21" max="21" width="11.5703125" customWidth="1"/>
    <col min="24" max="24" width="31.7109375" customWidth="1"/>
    <col min="26" max="26" width="15.5703125" customWidth="1"/>
  </cols>
  <sheetData>
    <row r="1" spans="1:17" x14ac:dyDescent="0.25">
      <c r="B1" s="1" t="s">
        <v>5</v>
      </c>
      <c r="D1" s="1" t="s">
        <v>0</v>
      </c>
      <c r="F1" t="s">
        <v>8</v>
      </c>
      <c r="I1" s="4"/>
      <c r="J1" s="67" t="s">
        <v>15</v>
      </c>
      <c r="K1" s="67"/>
      <c r="L1" s="67"/>
      <c r="M1" s="68" t="s">
        <v>19</v>
      </c>
      <c r="N1" s="68"/>
      <c r="O1" s="68"/>
    </row>
    <row r="2" spans="1:17" x14ac:dyDescent="0.25">
      <c r="A2" s="1" t="s">
        <v>1</v>
      </c>
      <c r="B2" s="1">
        <f>64.1-2.5</f>
        <v>61.599999999999994</v>
      </c>
      <c r="C2" s="1" t="s">
        <v>10</v>
      </c>
      <c r="D2" s="1">
        <v>2.7829999999999999</v>
      </c>
      <c r="E2" s="1" t="s">
        <v>6</v>
      </c>
      <c r="F2" s="66">
        <v>2.5</v>
      </c>
      <c r="G2" t="s">
        <v>9</v>
      </c>
      <c r="I2" s="4"/>
      <c r="J2" s="4" t="s">
        <v>16</v>
      </c>
      <c r="K2" s="4" t="s">
        <v>17</v>
      </c>
      <c r="L2" s="4" t="s">
        <v>18</v>
      </c>
      <c r="M2" s="3" t="s">
        <v>16</v>
      </c>
      <c r="N2" s="3" t="s">
        <v>17</v>
      </c>
      <c r="O2" s="3" t="s">
        <v>18</v>
      </c>
    </row>
    <row r="3" spans="1:17" x14ac:dyDescent="0.25">
      <c r="B3" s="1">
        <v>61.6</v>
      </c>
      <c r="D3" s="1">
        <v>2.7839999999999998</v>
      </c>
      <c r="F3" s="66"/>
      <c r="G3">
        <f>2%*F2</f>
        <v>0.05</v>
      </c>
      <c r="I3" s="4" t="s">
        <v>11</v>
      </c>
      <c r="J3" s="6">
        <f>AVERAGE(B2:B4)</f>
        <v>61.833333333333336</v>
      </c>
      <c r="K3" s="4">
        <f>(MAX(B2:B4)-MIN(B2:B4))/2</f>
        <v>0.35000000000000142</v>
      </c>
      <c r="L3" s="4">
        <v>0.1</v>
      </c>
      <c r="M3" s="8">
        <f>(MAX(D2:D4)+MIN(D2:D4))/2</f>
        <v>2.7835000000000001</v>
      </c>
      <c r="N3" s="8">
        <f>(MAX(D2:D4)-MIN(D2:D4))/2</f>
        <v>4.9999999999994493E-4</v>
      </c>
      <c r="O3" s="3">
        <v>1E-3</v>
      </c>
    </row>
    <row r="4" spans="1:17" x14ac:dyDescent="0.25">
      <c r="B4" s="1">
        <f>64.8-2.5</f>
        <v>62.3</v>
      </c>
      <c r="D4" s="1">
        <v>2.7829999999999999</v>
      </c>
      <c r="F4" s="66"/>
      <c r="I4" s="4" t="s">
        <v>12</v>
      </c>
      <c r="J4" s="6">
        <f>AVERAGE(B5:B7)</f>
        <v>53.866666666666667</v>
      </c>
      <c r="K4" s="4">
        <f>(MAX(B5:B7)-MIN(B5:B7))/2</f>
        <v>5.0000000000000711E-2</v>
      </c>
      <c r="L4" s="4">
        <v>0.1</v>
      </c>
      <c r="M4" s="8">
        <f>(MAX(D5:D7)+MIN(D5:D7))/2</f>
        <v>0.46250000000000002</v>
      </c>
      <c r="N4" s="8">
        <f>(MAX(D5:D7)-MIN(D5:D7))/2</f>
        <v>5.0000000000000044E-4</v>
      </c>
      <c r="O4" s="3">
        <v>1E-3</v>
      </c>
    </row>
    <row r="5" spans="1:17" x14ac:dyDescent="0.25">
      <c r="A5" s="1" t="s">
        <v>4</v>
      </c>
      <c r="B5" s="1">
        <f>56.4-2.5</f>
        <v>53.9</v>
      </c>
      <c r="D5" s="1">
        <v>0.46200000000000002</v>
      </c>
      <c r="F5" s="66"/>
      <c r="I5" s="4" t="s">
        <v>13</v>
      </c>
      <c r="J5" s="6">
        <f>AVERAGE(B8:B10)</f>
        <v>57.633333333333333</v>
      </c>
      <c r="K5" s="4">
        <f>((MAX(B8:B10)-MIN(B8:B10))/2)</f>
        <v>5.0000000000000711E-2</v>
      </c>
      <c r="L5" s="4">
        <v>0.1</v>
      </c>
      <c r="M5" s="8">
        <f>(MAX(D8:D10)+MIN(D8:D10))/2</f>
        <v>0.85749999999999993</v>
      </c>
      <c r="N5" s="8">
        <f>(MAX(D8:D10)-MIN(D8:D10))/2</f>
        <v>1.5000000000000013E-3</v>
      </c>
      <c r="O5" s="3">
        <v>1E-3</v>
      </c>
    </row>
    <row r="6" spans="1:17" x14ac:dyDescent="0.25">
      <c r="B6" s="1">
        <f>56.4-2.5</f>
        <v>53.9</v>
      </c>
      <c r="D6" s="1">
        <v>0.46200000000000002</v>
      </c>
      <c r="F6" s="66"/>
      <c r="I6" s="4" t="s">
        <v>14</v>
      </c>
      <c r="J6" s="6">
        <f>AVERAGE(B11:B13)</f>
        <v>54.833333333333336</v>
      </c>
      <c r="K6" s="4">
        <f>((MAX(B11:B13)-MIN(B11:B13))/2)</f>
        <v>5.0000000000000711E-2</v>
      </c>
      <c r="L6" s="4">
        <v>0.1</v>
      </c>
      <c r="M6" s="8">
        <f>(MAX(D11:D13)+MIN(D11:D13))/2</f>
        <v>1.675</v>
      </c>
      <c r="N6" s="3">
        <f>(MAX(D11:D13)-MIN(D11:D13))/2</f>
        <v>2.0000000000000018E-3</v>
      </c>
      <c r="O6" s="3">
        <v>1E-3</v>
      </c>
    </row>
    <row r="7" spans="1:17" x14ac:dyDescent="0.25">
      <c r="B7" s="1">
        <f>56.3-2.5</f>
        <v>53.8</v>
      </c>
      <c r="D7" s="1">
        <v>0.46300000000000002</v>
      </c>
      <c r="F7" s="66"/>
      <c r="I7" s="4"/>
      <c r="J7" s="4"/>
      <c r="K7" s="4"/>
      <c r="L7" s="4"/>
    </row>
    <row r="8" spans="1:17" x14ac:dyDescent="0.25">
      <c r="A8" s="1" t="s">
        <v>2</v>
      </c>
      <c r="B8" s="1">
        <f>60.1-2.5</f>
        <v>57.6</v>
      </c>
      <c r="D8" s="2">
        <v>0.85599999999999998</v>
      </c>
      <c r="F8" s="66"/>
      <c r="I8" s="4"/>
      <c r="J8" s="67" t="s">
        <v>21</v>
      </c>
      <c r="K8" s="67"/>
      <c r="L8" s="67"/>
      <c r="N8" s="4" t="s">
        <v>22</v>
      </c>
      <c r="O8" s="4"/>
      <c r="P8" s="4"/>
    </row>
    <row r="9" spans="1:17" x14ac:dyDescent="0.25">
      <c r="B9" s="1">
        <v>57.6</v>
      </c>
      <c r="D9" s="2">
        <v>0.85799999999999998</v>
      </c>
      <c r="F9" s="66"/>
      <c r="I9" s="4"/>
      <c r="J9" s="4" t="s">
        <v>16</v>
      </c>
      <c r="K9" s="4" t="s">
        <v>17</v>
      </c>
      <c r="L9" s="4" t="s">
        <v>18</v>
      </c>
      <c r="M9" s="4" t="s">
        <v>24</v>
      </c>
      <c r="N9" s="3" t="s">
        <v>16</v>
      </c>
      <c r="O9" s="3" t="s">
        <v>17</v>
      </c>
      <c r="P9" s="3" t="s">
        <v>18</v>
      </c>
      <c r="Q9" s="4" t="s">
        <v>24</v>
      </c>
    </row>
    <row r="10" spans="1:17" x14ac:dyDescent="0.25">
      <c r="B10" s="1">
        <f>60.2-2.5</f>
        <v>57.7</v>
      </c>
      <c r="D10" s="2">
        <v>0.85899999999999999</v>
      </c>
      <c r="F10" s="66"/>
      <c r="I10" s="4" t="s">
        <v>11</v>
      </c>
      <c r="J10" s="7">
        <f>J3/100</f>
        <v>0.6183333333333334</v>
      </c>
      <c r="K10" s="7">
        <f>K3/100</f>
        <v>3.5000000000000144E-3</v>
      </c>
      <c r="L10" s="4">
        <f>0.1/100</f>
        <v>1E-3</v>
      </c>
      <c r="M10" s="5">
        <f>K10+L10</f>
        <v>4.5000000000000144E-3</v>
      </c>
      <c r="N10" s="9">
        <f t="shared" ref="N10:P13" si="0">M3/1000</f>
        <v>2.7834999999999999E-3</v>
      </c>
      <c r="O10" s="9">
        <f>N3/1000</f>
        <v>4.9999999999994492E-7</v>
      </c>
      <c r="P10" s="3">
        <f>O3/1000</f>
        <v>9.9999999999999995E-7</v>
      </c>
      <c r="Q10" s="10">
        <f>O10+P10</f>
        <v>1.499999999999945E-6</v>
      </c>
    </row>
    <row r="11" spans="1:17" x14ac:dyDescent="0.25">
      <c r="A11" s="1" t="s">
        <v>3</v>
      </c>
      <c r="B11" s="1">
        <f>57.3-2.5</f>
        <v>54.8</v>
      </c>
      <c r="D11" s="1">
        <v>1.673</v>
      </c>
      <c r="F11" s="66"/>
      <c r="I11" s="4" t="s">
        <v>12</v>
      </c>
      <c r="J11" s="7">
        <f t="shared" ref="J11:K13" si="1">J4/100</f>
        <v>0.53866666666666663</v>
      </c>
      <c r="K11" s="7">
        <f t="shared" si="1"/>
        <v>5.0000000000000706E-4</v>
      </c>
      <c r="L11" s="4">
        <f t="shared" ref="L11:L13" si="2">0.1/100</f>
        <v>1E-3</v>
      </c>
      <c r="M11" s="5">
        <f t="shared" ref="M11:M13" si="3">K11+L11</f>
        <v>1.500000000000007E-3</v>
      </c>
      <c r="N11" s="9">
        <f t="shared" si="0"/>
        <v>4.6250000000000002E-4</v>
      </c>
      <c r="O11" s="9">
        <f t="shared" si="0"/>
        <v>5.000000000000004E-7</v>
      </c>
      <c r="P11" s="3">
        <f t="shared" si="0"/>
        <v>9.9999999999999995E-7</v>
      </c>
      <c r="Q11" s="10">
        <f t="shared" ref="Q11:Q13" si="4">O11+P11</f>
        <v>1.5000000000000005E-6</v>
      </c>
    </row>
    <row r="12" spans="1:17" x14ac:dyDescent="0.25">
      <c r="B12" s="1">
        <f>57.3-2.5</f>
        <v>54.8</v>
      </c>
      <c r="D12" s="2">
        <v>1.677</v>
      </c>
      <c r="F12" s="66"/>
      <c r="I12" s="4" t="s">
        <v>13</v>
      </c>
      <c r="J12" s="7">
        <f t="shared" si="1"/>
        <v>0.57633333333333336</v>
      </c>
      <c r="K12" s="7">
        <f t="shared" si="1"/>
        <v>5.0000000000000706E-4</v>
      </c>
      <c r="L12" s="4">
        <f t="shared" si="2"/>
        <v>1E-3</v>
      </c>
      <c r="M12" s="5">
        <f t="shared" si="3"/>
        <v>1.500000000000007E-3</v>
      </c>
      <c r="N12" s="9">
        <f t="shared" si="0"/>
        <v>8.5749999999999997E-4</v>
      </c>
      <c r="O12" s="9">
        <f t="shared" si="0"/>
        <v>1.5000000000000013E-6</v>
      </c>
      <c r="P12" s="3">
        <f t="shared" si="0"/>
        <v>9.9999999999999995E-7</v>
      </c>
      <c r="Q12" s="10">
        <f t="shared" si="4"/>
        <v>2.5000000000000015E-6</v>
      </c>
    </row>
    <row r="13" spans="1:17" x14ac:dyDescent="0.25">
      <c r="B13" s="1">
        <f>57.4-2.5</f>
        <v>54.9</v>
      </c>
      <c r="D13" s="2">
        <v>1.6759999999999999</v>
      </c>
      <c r="F13" s="66"/>
      <c r="I13" s="4" t="s">
        <v>14</v>
      </c>
      <c r="J13" s="7">
        <f t="shared" si="1"/>
        <v>0.54833333333333334</v>
      </c>
      <c r="K13" s="7">
        <f t="shared" si="1"/>
        <v>5.0000000000000706E-4</v>
      </c>
      <c r="L13" s="4">
        <f t="shared" si="2"/>
        <v>1E-3</v>
      </c>
      <c r="M13" s="5">
        <f t="shared" si="3"/>
        <v>1.500000000000007E-3</v>
      </c>
      <c r="N13" s="9">
        <f t="shared" si="0"/>
        <v>1.6750000000000001E-3</v>
      </c>
      <c r="O13" s="9">
        <f>N6/1000</f>
        <v>2.0000000000000016E-6</v>
      </c>
      <c r="P13" s="3">
        <f t="shared" si="0"/>
        <v>9.9999999999999995E-7</v>
      </c>
      <c r="Q13" s="10">
        <f t="shared" si="4"/>
        <v>3.0000000000000018E-6</v>
      </c>
    </row>
    <row r="15" spans="1:17" x14ac:dyDescent="0.25">
      <c r="A15" s="28"/>
      <c r="B15" s="28"/>
      <c r="C15" s="28"/>
      <c r="D15" s="28"/>
      <c r="E15" s="28"/>
      <c r="J15" s="68" t="s">
        <v>20</v>
      </c>
      <c r="K15" s="68"/>
      <c r="L15" s="68"/>
      <c r="M15" s="68" t="s">
        <v>23</v>
      </c>
      <c r="N15" s="68"/>
      <c r="O15" s="68"/>
    </row>
    <row r="16" spans="1:17" x14ac:dyDescent="0.25">
      <c r="A16" s="30" t="s">
        <v>62</v>
      </c>
      <c r="B16" s="31" t="s">
        <v>16</v>
      </c>
      <c r="C16" s="32" t="s">
        <v>17</v>
      </c>
      <c r="D16" s="32" t="s">
        <v>18</v>
      </c>
      <c r="E16" s="31" t="s">
        <v>24</v>
      </c>
      <c r="J16" s="4" t="s">
        <v>16</v>
      </c>
      <c r="K16" s="4" t="s">
        <v>17</v>
      </c>
      <c r="L16" s="4" t="s">
        <v>18</v>
      </c>
      <c r="M16" s="3" t="s">
        <v>16</v>
      </c>
      <c r="N16" s="4" t="s">
        <v>24</v>
      </c>
      <c r="O16" s="4"/>
    </row>
    <row r="17" spans="1:26" x14ac:dyDescent="0.25">
      <c r="A17" s="31" t="s">
        <v>40</v>
      </c>
      <c r="B17" s="47">
        <f>AVERAGE(B2:B4)</f>
        <v>61.833333333333336</v>
      </c>
      <c r="C17" s="47">
        <f>(MAX(B2:B4)-MIN(B2:B4))/2</f>
        <v>0.35000000000000142</v>
      </c>
      <c r="D17" s="34">
        <v>0.1</v>
      </c>
      <c r="E17" s="49">
        <f>C17+D17</f>
        <v>0.4500000000000014</v>
      </c>
      <c r="I17" s="4" t="s">
        <v>11</v>
      </c>
      <c r="J17">
        <f>2.5*9.8</f>
        <v>24.5</v>
      </c>
      <c r="K17">
        <v>0</v>
      </c>
      <c r="L17">
        <v>0.05</v>
      </c>
      <c r="M17">
        <f>N10/J10</f>
        <v>4.5016172506738535E-3</v>
      </c>
      <c r="N17" s="10">
        <f>((Q10/N10)+(M10/J10))*M17</f>
        <v>3.5186971905173608E-5</v>
      </c>
    </row>
    <row r="18" spans="1:26" x14ac:dyDescent="0.25">
      <c r="A18" s="31" t="s">
        <v>41</v>
      </c>
      <c r="B18" s="46">
        <f>B17/100</f>
        <v>0.6183333333333334</v>
      </c>
      <c r="C18" s="40">
        <f>C17/100</f>
        <v>3.5000000000000144E-3</v>
      </c>
      <c r="D18" s="40">
        <v>1E-3</v>
      </c>
      <c r="E18" s="40">
        <f t="shared" ref="E18:E21" si="5">C18+D18</f>
        <v>4.5000000000000144E-3</v>
      </c>
      <c r="I18" s="4" t="s">
        <v>12</v>
      </c>
      <c r="J18">
        <f t="shared" ref="J18:J20" si="6">2.5*9.8</f>
        <v>24.5</v>
      </c>
      <c r="K18">
        <v>0</v>
      </c>
      <c r="L18">
        <v>0.05</v>
      </c>
      <c r="M18">
        <f>N11/J11</f>
        <v>8.5860148514851496E-4</v>
      </c>
      <c r="N18" s="10">
        <f>((Q11/N11)+(M11/J11))*M18</f>
        <v>5.1755610663170411E-6</v>
      </c>
    </row>
    <row r="19" spans="1:26" x14ac:dyDescent="0.25">
      <c r="A19" s="31" t="s">
        <v>42</v>
      </c>
      <c r="B19" s="40">
        <f>(MAX(D2:D4)+MIN(D2:D4))/2</f>
        <v>2.7835000000000001</v>
      </c>
      <c r="C19" s="40">
        <f>(MAX(B11:B13)-MIN(B11:B13))/2</f>
        <v>5.0000000000000711E-2</v>
      </c>
      <c r="D19" s="34">
        <v>1E-3</v>
      </c>
      <c r="E19" s="40">
        <f t="shared" si="5"/>
        <v>5.1000000000000711E-2</v>
      </c>
      <c r="I19" s="4" t="s">
        <v>13</v>
      </c>
      <c r="J19">
        <f t="shared" si="6"/>
        <v>24.5</v>
      </c>
      <c r="K19">
        <v>0</v>
      </c>
      <c r="L19">
        <v>0.05</v>
      </c>
      <c r="M19">
        <f>N12/J12</f>
        <v>1.4878542510121456E-3</v>
      </c>
      <c r="N19" s="10">
        <f t="shared" ref="N19" si="7">((Q12/N12)+(M12/J12))*M19</f>
        <v>8.2101469806562694E-6</v>
      </c>
      <c r="V19" s="11">
        <f>AVERAGE(S25,S28,S31,S34)</f>
        <v>18.489261002873654</v>
      </c>
      <c r="W19">
        <f>STDEVA(S25,S28,S31,S34)</f>
        <v>1.2481784847114283</v>
      </c>
      <c r="X19">
        <f>2*W19</f>
        <v>2.4963569694228567</v>
      </c>
    </row>
    <row r="20" spans="1:26" x14ac:dyDescent="0.25">
      <c r="A20" s="31" t="s">
        <v>43</v>
      </c>
      <c r="B20" s="38">
        <f>B19/1000</f>
        <v>2.7834999999999999E-3</v>
      </c>
      <c r="C20" s="38">
        <f>C19/1000</f>
        <v>5.0000000000000714E-5</v>
      </c>
      <c r="D20" s="34">
        <v>9.9999999999999995E-7</v>
      </c>
      <c r="E20" s="38">
        <f t="shared" si="5"/>
        <v>5.1000000000000711E-5</v>
      </c>
      <c r="I20" s="4" t="s">
        <v>14</v>
      </c>
      <c r="J20">
        <f t="shared" si="6"/>
        <v>24.5</v>
      </c>
      <c r="K20">
        <v>0</v>
      </c>
      <c r="L20">
        <v>0.05</v>
      </c>
      <c r="M20">
        <f t="shared" ref="M20" si="8">N13/J13</f>
        <v>3.054711246200608E-3</v>
      </c>
      <c r="N20" s="10">
        <f>((Q13/N13)+(M13/J13))*M20</f>
        <v>1.3827477573193196E-5</v>
      </c>
      <c r="V20" s="11">
        <f>AVERAGE(S26,S29,S32,S35)</f>
        <v>8.422081763965652</v>
      </c>
      <c r="W20">
        <f>STDEVA(S26,S29,S32,S35)</f>
        <v>0.89084420613360782</v>
      </c>
      <c r="X20">
        <f t="shared" ref="X20:X21" si="9">2*W20</f>
        <v>1.7816884122672156</v>
      </c>
    </row>
    <row r="21" spans="1:26" x14ac:dyDescent="0.25">
      <c r="A21" s="31" t="s">
        <v>44</v>
      </c>
      <c r="B21" s="35">
        <f>F2*9.8</f>
        <v>24.5</v>
      </c>
      <c r="C21" s="35">
        <v>0</v>
      </c>
      <c r="D21" s="34">
        <v>0.05</v>
      </c>
      <c r="E21" s="35">
        <f t="shared" si="5"/>
        <v>0.05</v>
      </c>
      <c r="V21" s="11">
        <f>AVERAGE(S27,S30,S33,S36)</f>
        <v>23.318944087632957</v>
      </c>
      <c r="W21">
        <f>STDEVA(S27,S30,S33,S36)</f>
        <v>4.4868769672430986</v>
      </c>
      <c r="X21">
        <f t="shared" si="9"/>
        <v>8.9737539344861972</v>
      </c>
    </row>
    <row r="22" spans="1:26" x14ac:dyDescent="0.25">
      <c r="A22" s="31" t="s">
        <v>23</v>
      </c>
      <c r="B22" s="48">
        <f>B20/B18</f>
        <v>4.5016172506738535E-3</v>
      </c>
      <c r="C22" s="39" t="s">
        <v>45</v>
      </c>
      <c r="D22" s="39" t="s">
        <v>45</v>
      </c>
      <c r="E22" s="48">
        <f>((E20/B20)+E18/B18)*B22</f>
        <v>1.1524088026096997E-4</v>
      </c>
      <c r="W22" s="11">
        <f>AVERAGE(V25,V28,V31,V34)</f>
        <v>3.3411637757530081E-2</v>
      </c>
      <c r="X22" s="11">
        <f>AVERAGE(V26,V29,V32,V35)</f>
        <v>1.4932543624620639E-2</v>
      </c>
    </row>
    <row r="23" spans="1:26" ht="15.75" thickBot="1" x14ac:dyDescent="0.3">
      <c r="G23" s="69" t="s">
        <v>91</v>
      </c>
      <c r="H23" s="69"/>
      <c r="I23" s="69"/>
      <c r="J23" s="69"/>
    </row>
    <row r="24" spans="1:26" ht="16.5" thickBot="1" x14ac:dyDescent="0.3">
      <c r="A24" s="30" t="s">
        <v>63</v>
      </c>
      <c r="B24" s="31" t="s">
        <v>16</v>
      </c>
      <c r="C24" s="32" t="s">
        <v>17</v>
      </c>
      <c r="D24" s="32" t="s">
        <v>18</v>
      </c>
      <c r="E24" s="31" t="s">
        <v>24</v>
      </c>
      <c r="N24" s="70"/>
      <c r="O24" s="71"/>
      <c r="P24" s="71"/>
      <c r="Q24" s="71"/>
      <c r="R24" s="72"/>
      <c r="S24" s="32" t="s">
        <v>16</v>
      </c>
      <c r="T24" s="32" t="s">
        <v>17</v>
      </c>
      <c r="U24" s="61" t="s">
        <v>18</v>
      </c>
      <c r="V24" s="61" t="s">
        <v>24</v>
      </c>
      <c r="X24" s="62"/>
      <c r="Y24" s="63" t="s">
        <v>16</v>
      </c>
      <c r="Z24" s="63" t="s">
        <v>95</v>
      </c>
    </row>
    <row r="25" spans="1:26" ht="16.5" thickBot="1" x14ac:dyDescent="0.3">
      <c r="A25" s="31" t="s">
        <v>40</v>
      </c>
      <c r="B25" s="47">
        <f>AVERAGE(B11:B13)</f>
        <v>54.833333333333336</v>
      </c>
      <c r="C25" s="47">
        <f>(MAX(B11:B13)-MIN(B11:B13))/2</f>
        <v>5.0000000000000711E-2</v>
      </c>
      <c r="D25" s="34">
        <v>0.1</v>
      </c>
      <c r="E25" s="49">
        <f>C25+D25</f>
        <v>0.15000000000000072</v>
      </c>
      <c r="F25" s="70"/>
      <c r="G25" s="71"/>
      <c r="H25" s="71"/>
      <c r="I25" s="71"/>
      <c r="J25" s="72"/>
      <c r="K25" s="32" t="s">
        <v>16</v>
      </c>
      <c r="L25" s="32" t="s">
        <v>17</v>
      </c>
      <c r="N25" s="74" t="s">
        <v>62</v>
      </c>
      <c r="O25" s="73" t="s">
        <v>66</v>
      </c>
      <c r="P25" s="73"/>
      <c r="Q25" s="73"/>
      <c r="R25" s="73"/>
      <c r="S25" s="33">
        <f>$K$26/K27</f>
        <v>17.414248021108179</v>
      </c>
      <c r="T25" s="33">
        <f>(L26/K26+L27/K27)*S25</f>
        <v>4.4257160957824421E-2</v>
      </c>
      <c r="U25" s="41">
        <v>0.01</v>
      </c>
      <c r="V25" s="33">
        <f>U25+T25</f>
        <v>5.4257160957824423E-2</v>
      </c>
      <c r="X25" s="64" t="s">
        <v>92</v>
      </c>
      <c r="Y25" s="65">
        <f>AVERAGE(S25,S28,S31,S33,S27,S30,S34,S36)</f>
        <v>20.904102545253302</v>
      </c>
      <c r="Z25" s="65">
        <f>AVERAGE(V25,V28,V31,V33,V27,V30,V34,V36)</f>
        <v>2.9896104528618885E-2</v>
      </c>
    </row>
    <row r="26" spans="1:26" ht="16.5" thickBot="1" x14ac:dyDescent="0.3">
      <c r="A26" s="31" t="s">
        <v>41</v>
      </c>
      <c r="B26" s="46">
        <f>B25/100</f>
        <v>0.54833333333333334</v>
      </c>
      <c r="C26" s="40">
        <f>C25/100</f>
        <v>5.0000000000000706E-4</v>
      </c>
      <c r="D26" s="40">
        <v>1E-3</v>
      </c>
      <c r="E26" s="40">
        <f t="shared" ref="E26:E29" si="10">C26+D26</f>
        <v>1.500000000000007E-3</v>
      </c>
      <c r="F26" s="75" t="s">
        <v>58</v>
      </c>
      <c r="G26" s="76"/>
      <c r="H26" s="76"/>
      <c r="I26" s="76"/>
      <c r="J26" s="77"/>
      <c r="K26" s="41">
        <v>46.2</v>
      </c>
      <c r="L26" s="41">
        <v>0.1</v>
      </c>
      <c r="N26" s="74"/>
      <c r="O26" s="73" t="s">
        <v>67</v>
      </c>
      <c r="P26" s="73"/>
      <c r="Q26" s="73"/>
      <c r="R26" s="73"/>
      <c r="S26" s="33">
        <f>$K$26/K28</f>
        <v>7.2300469483568079</v>
      </c>
      <c r="T26" s="33">
        <f t="shared" ref="T26:T36" si="11">(L27/K27+L28/K28)*S26</f>
        <v>3.8566971783200298E-3</v>
      </c>
      <c r="U26" s="41">
        <v>0.01</v>
      </c>
      <c r="V26" s="33">
        <f t="shared" ref="V26:V36" si="12">U26+T26</f>
        <v>1.385669717832003E-2</v>
      </c>
      <c r="X26" s="64" t="s">
        <v>93</v>
      </c>
      <c r="Y26" s="65">
        <f t="shared" ref="Y26:Y27" si="13">AVERAGE(S26,S29,S32,S34)</f>
        <v>10.661362868656024</v>
      </c>
      <c r="Z26" s="65">
        <f t="shared" ref="Z26:Z27" si="14">AVERAGE(V26,V29,V32,V34)</f>
        <v>1.7436452667153976E-2</v>
      </c>
    </row>
    <row r="27" spans="1:26" ht="16.5" thickBot="1" x14ac:dyDescent="0.3">
      <c r="A27" s="31" t="s">
        <v>42</v>
      </c>
      <c r="B27" s="40">
        <f>(MAX(D11:D13)+MIN(D11:D13))/2</f>
        <v>1.675</v>
      </c>
      <c r="C27" s="40">
        <f>(MAX(D11:D13)-MIN(D11:D13))/2</f>
        <v>2.0000000000000018E-3</v>
      </c>
      <c r="D27" s="34">
        <v>1E-3</v>
      </c>
      <c r="E27" s="42">
        <f t="shared" si="10"/>
        <v>3.0000000000000018E-3</v>
      </c>
      <c r="F27" s="74" t="s">
        <v>62</v>
      </c>
      <c r="G27" s="73" t="s">
        <v>59</v>
      </c>
      <c r="H27" s="73"/>
      <c r="I27" s="73"/>
      <c r="J27" s="73"/>
      <c r="K27" s="41">
        <v>2.653</v>
      </c>
      <c r="L27" s="41">
        <v>1E-3</v>
      </c>
      <c r="N27" s="74"/>
      <c r="O27" s="73" t="s">
        <v>68</v>
      </c>
      <c r="P27" s="73"/>
      <c r="Q27" s="73"/>
      <c r="R27" s="73"/>
      <c r="S27" s="33">
        <f t="shared" ref="S27:S36" si="15">$K$26/K29</f>
        <v>18.584070796460178</v>
      </c>
      <c r="T27" s="33">
        <f t="shared" si="11"/>
        <v>1.0383796357528955E-2</v>
      </c>
      <c r="U27" s="41">
        <v>0.01</v>
      </c>
      <c r="V27" s="33">
        <f t="shared" si="12"/>
        <v>2.0383796357528954E-2</v>
      </c>
      <c r="X27" s="64" t="s">
        <v>94</v>
      </c>
      <c r="Y27" s="65">
        <f t="shared" si="13"/>
        <v>18.229784597047153</v>
      </c>
      <c r="Z27" s="65">
        <f t="shared" si="14"/>
        <v>2.1658986249897698E-2</v>
      </c>
    </row>
    <row r="28" spans="1:26" x14ac:dyDescent="0.25">
      <c r="A28" s="31" t="s">
        <v>43</v>
      </c>
      <c r="B28" s="38">
        <f>B27/1000</f>
        <v>1.6750000000000001E-3</v>
      </c>
      <c r="C28" s="38">
        <f>C27/1000</f>
        <v>2.0000000000000016E-6</v>
      </c>
      <c r="D28" s="34">
        <v>9.9999999999999995E-7</v>
      </c>
      <c r="E28" s="43">
        <f t="shared" si="10"/>
        <v>3.0000000000000018E-6</v>
      </c>
      <c r="F28" s="74"/>
      <c r="G28" s="73" t="s">
        <v>60</v>
      </c>
      <c r="H28" s="73"/>
      <c r="I28" s="73"/>
      <c r="J28" s="73"/>
      <c r="K28" s="46">
        <v>6.39</v>
      </c>
      <c r="L28" s="41">
        <v>1E-3</v>
      </c>
      <c r="N28" s="74" t="s">
        <v>63</v>
      </c>
      <c r="O28" s="73" t="s">
        <v>66</v>
      </c>
      <c r="P28" s="73"/>
      <c r="Q28" s="73"/>
      <c r="R28" s="73"/>
      <c r="S28" s="33">
        <f t="shared" si="15"/>
        <v>18.584070796460178</v>
      </c>
      <c r="T28" s="33">
        <f t="shared" si="11"/>
        <v>1.4950982137136104E-2</v>
      </c>
      <c r="U28" s="41">
        <v>0.01</v>
      </c>
      <c r="V28" s="33">
        <f t="shared" si="12"/>
        <v>2.4950982137136105E-2</v>
      </c>
    </row>
    <row r="29" spans="1:26" x14ac:dyDescent="0.25">
      <c r="A29" s="31" t="s">
        <v>44</v>
      </c>
      <c r="B29" s="35">
        <f>F2*9.8</f>
        <v>24.5</v>
      </c>
      <c r="C29" s="35">
        <v>0</v>
      </c>
      <c r="D29" s="34">
        <v>0.05</v>
      </c>
      <c r="E29" s="44">
        <f t="shared" si="10"/>
        <v>0.05</v>
      </c>
      <c r="F29" s="74"/>
      <c r="G29" s="73" t="s">
        <v>61</v>
      </c>
      <c r="H29" s="73"/>
      <c r="I29" s="73"/>
      <c r="J29" s="73"/>
      <c r="K29" s="41">
        <v>2.4860000000000002</v>
      </c>
      <c r="L29" s="41">
        <v>1E-3</v>
      </c>
      <c r="N29" s="74"/>
      <c r="O29" s="73" t="s">
        <v>67</v>
      </c>
      <c r="P29" s="73"/>
      <c r="Q29" s="73"/>
      <c r="R29" s="73"/>
      <c r="S29" s="33">
        <f t="shared" si="15"/>
        <v>8.3408557501354039</v>
      </c>
      <c r="T29" s="33">
        <f t="shared" si="11"/>
        <v>4.8609724763667775E-3</v>
      </c>
      <c r="U29" s="41">
        <v>0.01</v>
      </c>
      <c r="V29" s="33">
        <f t="shared" si="12"/>
        <v>1.4860972476366778E-2</v>
      </c>
    </row>
    <row r="30" spans="1:26" x14ac:dyDescent="0.25">
      <c r="A30" s="31" t="s">
        <v>23</v>
      </c>
      <c r="B30" s="48">
        <f>B28/B26</f>
        <v>3.054711246200608E-3</v>
      </c>
      <c r="C30" s="39" t="s">
        <v>45</v>
      </c>
      <c r="D30" s="39" t="s">
        <v>45</v>
      </c>
      <c r="E30" s="51">
        <f>((E28/B28)+E26/B26)*B30</f>
        <v>1.3827477573193196E-5</v>
      </c>
      <c r="F30" s="74" t="s">
        <v>63</v>
      </c>
      <c r="G30" s="73" t="s">
        <v>59</v>
      </c>
      <c r="H30" s="73"/>
      <c r="I30" s="73"/>
      <c r="J30" s="73"/>
      <c r="K30" s="41">
        <v>2.4860000000000002</v>
      </c>
      <c r="L30" s="41">
        <v>1E-3</v>
      </c>
      <c r="N30" s="74"/>
      <c r="O30" s="73" t="s">
        <v>68</v>
      </c>
      <c r="P30" s="73"/>
      <c r="Q30" s="73"/>
      <c r="R30" s="73"/>
      <c r="S30" s="33">
        <f t="shared" si="15"/>
        <v>24.075039082855653</v>
      </c>
      <c r="T30" s="33">
        <f t="shared" si="11"/>
        <v>1.6892076515367928E-2</v>
      </c>
      <c r="U30" s="41">
        <v>0.01</v>
      </c>
      <c r="V30" s="33">
        <f t="shared" si="12"/>
        <v>2.689207651536793E-2</v>
      </c>
    </row>
    <row r="31" spans="1:26" x14ac:dyDescent="0.25">
      <c r="F31" s="74"/>
      <c r="G31" s="73" t="s">
        <v>60</v>
      </c>
      <c r="H31" s="73"/>
      <c r="I31" s="73"/>
      <c r="J31" s="73"/>
      <c r="K31" s="41">
        <v>5.5389999999999997</v>
      </c>
      <c r="L31" s="41">
        <v>1E-3</v>
      </c>
      <c r="N31" s="74" t="s">
        <v>64</v>
      </c>
      <c r="O31" s="73" t="s">
        <v>66</v>
      </c>
      <c r="P31" s="73"/>
      <c r="Q31" s="73"/>
      <c r="R31" s="73"/>
      <c r="S31" s="33">
        <f t="shared" si="15"/>
        <v>20.209973753280842</v>
      </c>
      <c r="T31" s="33">
        <f t="shared" si="11"/>
        <v>1.9372271581861982E-2</v>
      </c>
      <c r="U31" s="41">
        <v>0.01</v>
      </c>
      <c r="V31" s="33">
        <f t="shared" si="12"/>
        <v>2.9372271581861981E-2</v>
      </c>
    </row>
    <row r="32" spans="1:26" x14ac:dyDescent="0.25">
      <c r="A32" s="30" t="s">
        <v>64</v>
      </c>
      <c r="B32" s="31" t="s">
        <v>16</v>
      </c>
      <c r="C32" s="32" t="s">
        <v>17</v>
      </c>
      <c r="D32" s="32" t="s">
        <v>18</v>
      </c>
      <c r="E32" s="45" t="s">
        <v>24</v>
      </c>
      <c r="F32" s="74"/>
      <c r="G32" s="73" t="s">
        <v>61</v>
      </c>
      <c r="H32" s="73"/>
      <c r="I32" s="73"/>
      <c r="J32" s="73"/>
      <c r="K32" s="41">
        <v>1.919</v>
      </c>
      <c r="L32" s="41">
        <v>1E-3</v>
      </c>
      <c r="N32" s="74"/>
      <c r="O32" s="73" t="s">
        <v>67</v>
      </c>
      <c r="P32" s="73"/>
      <c r="Q32" s="73"/>
      <c r="R32" s="73"/>
      <c r="S32" s="33">
        <f t="shared" si="15"/>
        <v>9.3257973354864774</v>
      </c>
      <c r="T32" s="33">
        <f t="shared" si="11"/>
        <v>5.9620046606312718E-3</v>
      </c>
      <c r="U32" s="41">
        <v>0.01</v>
      </c>
      <c r="V32" s="33">
        <f t="shared" si="12"/>
        <v>1.5962004660631274E-2</v>
      </c>
    </row>
    <row r="33" spans="1:22" x14ac:dyDescent="0.25">
      <c r="A33" s="31" t="s">
        <v>40</v>
      </c>
      <c r="B33" s="47">
        <f>AVERAGE(B8:B10)</f>
        <v>57.633333333333333</v>
      </c>
      <c r="C33" s="47">
        <f>(MAX(B8:B10)-MIN(B8:B10))/2</f>
        <v>5.0000000000000711E-2</v>
      </c>
      <c r="D33" s="49">
        <v>0.1</v>
      </c>
      <c r="E33" s="50">
        <f>C33+D33</f>
        <v>0.15000000000000072</v>
      </c>
      <c r="F33" s="74" t="s">
        <v>64</v>
      </c>
      <c r="G33" s="73" t="s">
        <v>59</v>
      </c>
      <c r="H33" s="73"/>
      <c r="I33" s="73"/>
      <c r="J33" s="73"/>
      <c r="K33" s="41">
        <v>2.286</v>
      </c>
      <c r="L33" s="41">
        <v>1E-3</v>
      </c>
      <c r="N33" s="74"/>
      <c r="O33" s="73" t="s">
        <v>68</v>
      </c>
      <c r="P33" s="73"/>
      <c r="Q33" s="73"/>
      <c r="R33" s="73"/>
      <c r="S33" s="33">
        <f t="shared" si="15"/>
        <v>21.468401486988849</v>
      </c>
      <c r="T33" s="33">
        <f t="shared" si="11"/>
        <v>1.4309571943529425E-2</v>
      </c>
      <c r="U33" s="41">
        <v>0.01</v>
      </c>
      <c r="V33" s="33">
        <f t="shared" si="12"/>
        <v>2.4309571943529423E-2</v>
      </c>
    </row>
    <row r="34" spans="1:22" x14ac:dyDescent="0.25">
      <c r="A34" s="31" t="s">
        <v>41</v>
      </c>
      <c r="B34" s="46">
        <f>B33/100</f>
        <v>0.57633333333333336</v>
      </c>
      <c r="C34" s="40">
        <f>C33/100</f>
        <v>5.0000000000000706E-4</v>
      </c>
      <c r="D34" s="40">
        <v>1E-3</v>
      </c>
      <c r="E34" s="42">
        <f t="shared" ref="E34:E37" si="16">C34+D34</f>
        <v>1.500000000000007E-3</v>
      </c>
      <c r="F34" s="74"/>
      <c r="G34" s="73" t="s">
        <v>60</v>
      </c>
      <c r="H34" s="73"/>
      <c r="I34" s="73"/>
      <c r="J34" s="73"/>
      <c r="K34" s="41">
        <v>4.9539999999999997</v>
      </c>
      <c r="L34" s="41">
        <v>1E-3</v>
      </c>
      <c r="N34" s="74" t="s">
        <v>65</v>
      </c>
      <c r="O34" s="73" t="s">
        <v>66</v>
      </c>
      <c r="P34" s="73"/>
      <c r="Q34" s="73"/>
      <c r="R34" s="73"/>
      <c r="S34" s="33">
        <f t="shared" si="15"/>
        <v>17.74875144064541</v>
      </c>
      <c r="T34" s="33">
        <f t="shared" si="11"/>
        <v>1.5066136353297831E-2</v>
      </c>
      <c r="U34" s="41">
        <v>0.01</v>
      </c>
      <c r="V34" s="33">
        <f t="shared" si="12"/>
        <v>2.5066136353297831E-2</v>
      </c>
    </row>
    <row r="35" spans="1:22" x14ac:dyDescent="0.25">
      <c r="A35" s="31" t="s">
        <v>42</v>
      </c>
      <c r="B35" s="35">
        <f>(MAX(D8:D10)+MIN(D8:D10))/2</f>
        <v>0.85749999999999993</v>
      </c>
      <c r="C35" s="37">
        <f>(MAX(D8:D10)-MIN(D8:D10))/2</f>
        <v>1.5000000000000013E-3</v>
      </c>
      <c r="D35" s="34">
        <v>1E-3</v>
      </c>
      <c r="E35" s="44">
        <f t="shared" si="16"/>
        <v>2.5000000000000014E-3</v>
      </c>
      <c r="F35" s="74"/>
      <c r="G35" s="73" t="s">
        <v>61</v>
      </c>
      <c r="H35" s="73"/>
      <c r="I35" s="73"/>
      <c r="J35" s="73"/>
      <c r="K35" s="41">
        <v>2.1520000000000001</v>
      </c>
      <c r="L35" s="41">
        <v>1E-3</v>
      </c>
      <c r="N35" s="74"/>
      <c r="O35" s="73" t="s">
        <v>67</v>
      </c>
      <c r="P35" s="73"/>
      <c r="Q35" s="73"/>
      <c r="R35" s="73"/>
      <c r="S35" s="33">
        <f t="shared" si="15"/>
        <v>8.7916270218839205</v>
      </c>
      <c r="T35" s="33">
        <f t="shared" si="11"/>
        <v>5.0505001831644778E-3</v>
      </c>
      <c r="U35" s="41">
        <v>0.01</v>
      </c>
      <c r="V35" s="33">
        <f t="shared" si="12"/>
        <v>1.5050500183164478E-2</v>
      </c>
    </row>
    <row r="36" spans="1:22" x14ac:dyDescent="0.25">
      <c r="A36" s="31" t="s">
        <v>43</v>
      </c>
      <c r="B36" s="38">
        <f>B35/1000</f>
        <v>8.5749999999999997E-4</v>
      </c>
      <c r="C36" s="38">
        <f>C35/1000</f>
        <v>1.5000000000000013E-6</v>
      </c>
      <c r="D36" s="34">
        <v>9.9999999999999995E-7</v>
      </c>
      <c r="E36" s="43">
        <f t="shared" si="16"/>
        <v>2.5000000000000015E-6</v>
      </c>
      <c r="F36" s="74" t="s">
        <v>65</v>
      </c>
      <c r="G36" s="73" t="s">
        <v>59</v>
      </c>
      <c r="H36" s="73"/>
      <c r="I36" s="73"/>
      <c r="J36" s="73"/>
      <c r="K36" s="41">
        <v>2.6030000000000002</v>
      </c>
      <c r="L36" s="41">
        <v>1E-3</v>
      </c>
      <c r="N36" s="74"/>
      <c r="O36" s="73" t="s">
        <v>68</v>
      </c>
      <c r="P36" s="73"/>
      <c r="Q36" s="73"/>
      <c r="R36" s="73"/>
      <c r="S36" s="33">
        <f t="shared" si="15"/>
        <v>29.148264984227133</v>
      </c>
      <c r="T36" s="33">
        <f t="shared" si="11"/>
        <v>2.3936840382404453E-2</v>
      </c>
      <c r="U36" s="41">
        <v>0.01</v>
      </c>
      <c r="V36" s="33">
        <f t="shared" si="12"/>
        <v>3.3936840382404451E-2</v>
      </c>
    </row>
    <row r="37" spans="1:22" x14ac:dyDescent="0.25">
      <c r="A37" s="31" t="s">
        <v>44</v>
      </c>
      <c r="B37" s="35">
        <f>F2*9.8</f>
        <v>24.5</v>
      </c>
      <c r="C37" s="35">
        <v>0</v>
      </c>
      <c r="D37" s="34">
        <v>0.05</v>
      </c>
      <c r="E37" s="44">
        <f t="shared" si="16"/>
        <v>0.05</v>
      </c>
      <c r="F37" s="74"/>
      <c r="G37" s="73" t="s">
        <v>60</v>
      </c>
      <c r="H37" s="73"/>
      <c r="I37" s="73"/>
      <c r="J37" s="73"/>
      <c r="K37" s="41">
        <v>5.2549999999999999</v>
      </c>
      <c r="L37" s="41">
        <v>1E-3</v>
      </c>
    </row>
    <row r="38" spans="1:22" x14ac:dyDescent="0.25">
      <c r="A38" s="31" t="s">
        <v>23</v>
      </c>
      <c r="B38" s="48">
        <f>B36/B34</f>
        <v>1.4878542510121456E-3</v>
      </c>
      <c r="C38" s="39" t="s">
        <v>45</v>
      </c>
      <c r="D38" s="39" t="s">
        <v>45</v>
      </c>
      <c r="E38" s="51">
        <f>((E36/B36)+E34/B34)*B38</f>
        <v>8.2101469806562694E-6</v>
      </c>
      <c r="F38" s="74"/>
      <c r="G38" s="73" t="s">
        <v>61</v>
      </c>
      <c r="H38" s="73"/>
      <c r="I38" s="73"/>
      <c r="J38" s="73"/>
      <c r="K38" s="41">
        <v>1.585</v>
      </c>
      <c r="L38" s="41">
        <v>1E-3</v>
      </c>
    </row>
    <row r="40" spans="1:22" x14ac:dyDescent="0.25">
      <c r="A40" s="30" t="s">
        <v>65</v>
      </c>
      <c r="B40" s="31" t="s">
        <v>16</v>
      </c>
      <c r="C40" s="32" t="s">
        <v>17</v>
      </c>
      <c r="D40" s="32" t="s">
        <v>18</v>
      </c>
      <c r="E40" s="31" t="s">
        <v>24</v>
      </c>
    </row>
    <row r="41" spans="1:22" x14ac:dyDescent="0.25">
      <c r="A41" s="31" t="s">
        <v>40</v>
      </c>
      <c r="B41" s="47">
        <f>AVERAGE(B5:B7)</f>
        <v>53.866666666666667</v>
      </c>
      <c r="C41" s="47">
        <f>(MAX(B5:B7)-MIN(B5:B7))/2</f>
        <v>5.0000000000000711E-2</v>
      </c>
      <c r="D41" s="49">
        <v>0.1</v>
      </c>
      <c r="E41" s="49">
        <f>C41+D41</f>
        <v>0.15000000000000072</v>
      </c>
    </row>
    <row r="42" spans="1:22" x14ac:dyDescent="0.25">
      <c r="A42" s="31" t="s">
        <v>41</v>
      </c>
      <c r="B42" s="46">
        <f>B41/100</f>
        <v>0.53866666666666663</v>
      </c>
      <c r="C42" s="40">
        <f>C41/100</f>
        <v>5.0000000000000706E-4</v>
      </c>
      <c r="D42" s="40">
        <v>1E-3</v>
      </c>
      <c r="E42" s="40">
        <f t="shared" ref="E42:E45" si="17">C42+D42</f>
        <v>1.500000000000007E-3</v>
      </c>
    </row>
    <row r="43" spans="1:22" x14ac:dyDescent="0.25">
      <c r="A43" s="31" t="s">
        <v>42</v>
      </c>
      <c r="B43" s="35">
        <f>(MAX(D5:D7)+MIN(D5:D7))/2</f>
        <v>0.46250000000000002</v>
      </c>
      <c r="C43" s="35">
        <f>(MAX(D5:D7)-MIN(D5:D7))/2</f>
        <v>5.0000000000000044E-4</v>
      </c>
      <c r="D43" s="34">
        <v>1E-3</v>
      </c>
      <c r="E43" s="35">
        <f t="shared" si="17"/>
        <v>1.5000000000000005E-3</v>
      </c>
    </row>
    <row r="44" spans="1:22" x14ac:dyDescent="0.25">
      <c r="A44" s="31" t="s">
        <v>43</v>
      </c>
      <c r="B44" s="38">
        <f>B43/1000</f>
        <v>4.6250000000000002E-4</v>
      </c>
      <c r="C44" s="38">
        <f>C43/1000</f>
        <v>5.000000000000004E-7</v>
      </c>
      <c r="D44" s="34">
        <v>9.9999999999999995E-7</v>
      </c>
      <c r="E44" s="38">
        <f t="shared" si="17"/>
        <v>1.5000000000000005E-6</v>
      </c>
    </row>
    <row r="45" spans="1:22" x14ac:dyDescent="0.25">
      <c r="A45" s="31" t="s">
        <v>44</v>
      </c>
      <c r="B45" s="35">
        <f>F2*9.8</f>
        <v>24.5</v>
      </c>
      <c r="C45" s="35">
        <v>0</v>
      </c>
      <c r="D45" s="34">
        <v>0.05</v>
      </c>
      <c r="E45" s="35">
        <f t="shared" si="17"/>
        <v>0.05</v>
      </c>
    </row>
    <row r="46" spans="1:22" x14ac:dyDescent="0.25">
      <c r="A46" s="31" t="s">
        <v>23</v>
      </c>
      <c r="B46" s="38">
        <f>B44/B42</f>
        <v>8.5860148514851496E-4</v>
      </c>
      <c r="C46" s="39" t="s">
        <v>45</v>
      </c>
      <c r="D46" s="39" t="s">
        <v>45</v>
      </c>
      <c r="E46" s="38">
        <f>((E44/B44)+E42/B42)*B46</f>
        <v>5.1755610663170411E-6</v>
      </c>
    </row>
  </sheetData>
  <mergeCells count="42">
    <mergeCell ref="N24:R24"/>
    <mergeCell ref="N31:N33"/>
    <mergeCell ref="O31:R31"/>
    <mergeCell ref="O32:R32"/>
    <mergeCell ref="O33:R33"/>
    <mergeCell ref="N34:N36"/>
    <mergeCell ref="O34:R34"/>
    <mergeCell ref="O35:R35"/>
    <mergeCell ref="O36:R36"/>
    <mergeCell ref="N25:N27"/>
    <mergeCell ref="O25:R25"/>
    <mergeCell ref="O26:R26"/>
    <mergeCell ref="O27:R27"/>
    <mergeCell ref="N28:N30"/>
    <mergeCell ref="O28:R28"/>
    <mergeCell ref="O29:R29"/>
    <mergeCell ref="O30:R30"/>
    <mergeCell ref="F36:F38"/>
    <mergeCell ref="F26:J26"/>
    <mergeCell ref="G36:J36"/>
    <mergeCell ref="G37:J37"/>
    <mergeCell ref="G38:J38"/>
    <mergeCell ref="G35:J35"/>
    <mergeCell ref="G34:J34"/>
    <mergeCell ref="G27:J27"/>
    <mergeCell ref="G28:J28"/>
    <mergeCell ref="G29:J29"/>
    <mergeCell ref="G30:J30"/>
    <mergeCell ref="G23:J23"/>
    <mergeCell ref="F25:J25"/>
    <mergeCell ref="G31:J31"/>
    <mergeCell ref="G32:J32"/>
    <mergeCell ref="G33:J33"/>
    <mergeCell ref="F27:F29"/>
    <mergeCell ref="F30:F32"/>
    <mergeCell ref="F33:F35"/>
    <mergeCell ref="F2:F13"/>
    <mergeCell ref="J1:L1"/>
    <mergeCell ref="M1:O1"/>
    <mergeCell ref="J15:L15"/>
    <mergeCell ref="M15:O15"/>
    <mergeCell ref="J8:L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"/>
  <sheetViews>
    <sheetView workbookViewId="0">
      <selection activeCell="T34" sqref="T34"/>
    </sheetView>
  </sheetViews>
  <sheetFormatPr defaultRowHeight="15" x14ac:dyDescent="0.25"/>
  <cols>
    <col min="1" max="1" width="10.28515625" customWidth="1"/>
    <col min="4" max="4" width="9.140625" customWidth="1"/>
    <col min="7" max="7" width="10.42578125" customWidth="1"/>
    <col min="9" max="9" width="10.42578125" customWidth="1"/>
    <col min="12" max="12" width="10.5703125" bestFit="1" customWidth="1"/>
    <col min="15" max="15" width="12" customWidth="1"/>
    <col min="17" max="17" width="12.140625" customWidth="1"/>
    <col min="27" max="27" width="14.42578125" customWidth="1"/>
    <col min="28" max="28" width="15.140625" customWidth="1"/>
    <col min="29" max="29" width="14" customWidth="1"/>
    <col min="30" max="30" width="16.42578125" customWidth="1"/>
  </cols>
  <sheetData>
    <row r="1" spans="1:33" x14ac:dyDescent="0.25">
      <c r="A1" s="78" t="s">
        <v>36</v>
      </c>
      <c r="B1" s="78"/>
      <c r="C1" s="78"/>
      <c r="D1" s="78"/>
      <c r="E1" s="78"/>
      <c r="F1" s="78"/>
      <c r="H1" s="79" t="s">
        <v>46</v>
      </c>
      <c r="I1" s="79"/>
      <c r="J1" s="79"/>
      <c r="K1" s="20"/>
      <c r="L1" s="79" t="s">
        <v>47</v>
      </c>
      <c r="M1" s="79"/>
      <c r="N1" s="79"/>
      <c r="O1" s="20"/>
      <c r="P1" s="79" t="s">
        <v>48</v>
      </c>
      <c r="Q1" s="79"/>
      <c r="R1" s="79"/>
      <c r="S1" s="20"/>
      <c r="T1" s="20"/>
      <c r="U1" s="20"/>
      <c r="V1" s="20"/>
      <c r="W1" s="20"/>
      <c r="X1" s="20"/>
    </row>
    <row r="2" spans="1:33" x14ac:dyDescent="0.25">
      <c r="A2" s="12" t="s">
        <v>25</v>
      </c>
      <c r="B2" s="12" t="s">
        <v>33</v>
      </c>
      <c r="C2" s="12" t="s">
        <v>34</v>
      </c>
      <c r="D2" s="12" t="s">
        <v>35</v>
      </c>
      <c r="E2" s="12" t="s">
        <v>31</v>
      </c>
      <c r="F2" s="12" t="s">
        <v>32</v>
      </c>
      <c r="H2" s="13" t="s">
        <v>39</v>
      </c>
      <c r="I2" s="12" t="s">
        <v>37</v>
      </c>
      <c r="J2" s="12" t="s">
        <v>38</v>
      </c>
      <c r="K2" s="18"/>
      <c r="L2" s="13" t="s">
        <v>39</v>
      </c>
      <c r="M2" s="12" t="s">
        <v>37</v>
      </c>
      <c r="N2" s="12" t="s">
        <v>38</v>
      </c>
      <c r="O2" s="19"/>
      <c r="P2" s="13" t="s">
        <v>39</v>
      </c>
      <c r="Q2" s="12" t="s">
        <v>37</v>
      </c>
      <c r="R2" s="12" t="s">
        <v>38</v>
      </c>
      <c r="S2" s="18"/>
      <c r="T2" s="18"/>
      <c r="U2" s="18"/>
      <c r="V2" s="19"/>
      <c r="W2" s="19"/>
    </row>
    <row r="3" spans="1:33" x14ac:dyDescent="0.25">
      <c r="A3" s="15">
        <v>1</v>
      </c>
      <c r="B3" s="21">
        <v>86.669921875</v>
      </c>
      <c r="C3" s="22">
        <v>86.517333984399997</v>
      </c>
      <c r="D3" s="22">
        <v>86.975097656299994</v>
      </c>
      <c r="E3" s="60">
        <f>AVERAGE(B3:D3)</f>
        <v>86.72078450523334</v>
      </c>
      <c r="F3" s="21">
        <f>(MAX(B3:D3)-MIN(B3:D3))/2</f>
        <v>0.22888183594999845</v>
      </c>
      <c r="H3" s="23">
        <v>2.8400000000000002E-2</v>
      </c>
      <c r="I3" s="26">
        <v>1.30613496315E-2</v>
      </c>
      <c r="J3" s="18">
        <v>9.9999999999999995E-7</v>
      </c>
      <c r="K3" s="18"/>
      <c r="L3" s="24">
        <v>0.1134</v>
      </c>
      <c r="M3" s="27">
        <v>1.58508947174E-3</v>
      </c>
      <c r="N3" s="26">
        <v>9.9999999999999995E-7</v>
      </c>
      <c r="O3" s="21"/>
      <c r="P3" s="24">
        <v>2.8500000000000001E-2</v>
      </c>
      <c r="Q3" s="27">
        <v>1.45145602504E-2</v>
      </c>
      <c r="R3" s="26">
        <v>9.9999999999999995E-7</v>
      </c>
      <c r="S3" s="17"/>
      <c r="T3" s="17"/>
      <c r="U3" s="14"/>
      <c r="V3" s="14"/>
      <c r="W3" s="17"/>
    </row>
    <row r="4" spans="1:33" x14ac:dyDescent="0.25">
      <c r="A4" s="15">
        <v>2</v>
      </c>
      <c r="B4" s="21">
        <v>173.33984375</v>
      </c>
      <c r="C4" s="22">
        <v>172.653198242</v>
      </c>
      <c r="D4" s="22">
        <v>174.255371094</v>
      </c>
      <c r="E4" s="60">
        <f t="shared" ref="E4:E13" si="0">AVERAGE(B4:D4)</f>
        <v>173.41613769533333</v>
      </c>
      <c r="F4" s="21">
        <f t="shared" ref="F4:F13" si="1">(MAX(B4:D4)-MIN(B4:D4))/2</f>
        <v>0.80108642599999769</v>
      </c>
      <c r="H4" s="23">
        <v>5.6800000000000003E-2</v>
      </c>
      <c r="I4" s="26">
        <v>6.8762662229400001E-2</v>
      </c>
      <c r="J4" s="18">
        <v>9.9999999999999995E-7</v>
      </c>
      <c r="K4" s="18"/>
      <c r="L4" s="24">
        <v>0.2263</v>
      </c>
      <c r="M4" s="27">
        <v>1.01293062284E-2</v>
      </c>
      <c r="N4" s="26">
        <v>9.9999999999999995E-7</v>
      </c>
      <c r="O4" s="21"/>
      <c r="P4" s="24">
        <v>5.7099999999999998E-2</v>
      </c>
      <c r="Q4" s="27">
        <v>9.2501855407700007E-2</v>
      </c>
      <c r="R4" s="26">
        <v>9.9999999999999995E-7</v>
      </c>
      <c r="S4" s="17"/>
      <c r="T4" s="17"/>
      <c r="U4" s="14"/>
      <c r="V4" s="14"/>
      <c r="W4" s="17"/>
      <c r="AA4" s="32" t="s">
        <v>69</v>
      </c>
      <c r="AB4" s="32" t="s">
        <v>70</v>
      </c>
      <c r="AC4" s="32" t="s">
        <v>71</v>
      </c>
      <c r="AD4" s="32" t="s">
        <v>72</v>
      </c>
      <c r="AE4" s="32" t="s">
        <v>73</v>
      </c>
      <c r="AF4" s="32" t="s">
        <v>74</v>
      </c>
      <c r="AG4" s="32" t="s">
        <v>38</v>
      </c>
    </row>
    <row r="5" spans="1:33" x14ac:dyDescent="0.25">
      <c r="A5" s="15">
        <v>3</v>
      </c>
      <c r="B5" s="21">
        <v>260.009765625</v>
      </c>
      <c r="C5" s="22">
        <v>258.10241699199997</v>
      </c>
      <c r="D5" s="22">
        <v>261.23046875</v>
      </c>
      <c r="E5" s="60">
        <f t="shared" si="0"/>
        <v>259.78088378899997</v>
      </c>
      <c r="F5" s="21">
        <f t="shared" si="1"/>
        <v>1.5640258790000132</v>
      </c>
      <c r="H5" s="23">
        <v>8.5199999999999998E-2</v>
      </c>
      <c r="I5" s="26">
        <v>0.107108717864</v>
      </c>
      <c r="J5" s="18">
        <v>9.9999999999999995E-7</v>
      </c>
      <c r="K5" s="18"/>
      <c r="L5" s="24">
        <v>0.33829999999999999</v>
      </c>
      <c r="M5" s="27">
        <v>3.2505278121599999E-2</v>
      </c>
      <c r="N5" s="26">
        <v>9.9999999999999995E-7</v>
      </c>
      <c r="O5" s="21"/>
      <c r="P5" s="57">
        <v>8.5599999999999996E-2</v>
      </c>
      <c r="Q5" s="58">
        <v>0.15405169866999999</v>
      </c>
      <c r="R5" s="58">
        <v>9.9999999999999995E-7</v>
      </c>
      <c r="S5" s="14"/>
      <c r="T5" s="17"/>
      <c r="U5" s="14"/>
      <c r="V5" s="14"/>
      <c r="W5" s="17"/>
      <c r="AA5" s="52">
        <v>2.8400000000000002E-2</v>
      </c>
      <c r="AB5" s="53">
        <v>1.30613496315E-2</v>
      </c>
      <c r="AC5" s="36">
        <v>0.1134</v>
      </c>
      <c r="AD5" s="54">
        <v>1.58508947174E-3</v>
      </c>
      <c r="AE5" s="36">
        <v>2.8500000000000001E-2</v>
      </c>
      <c r="AF5" s="54">
        <v>1.45145602504E-2</v>
      </c>
      <c r="AG5" s="55">
        <v>1.0000000000000001E-5</v>
      </c>
    </row>
    <row r="6" spans="1:33" x14ac:dyDescent="0.25">
      <c r="A6" s="15">
        <v>4</v>
      </c>
      <c r="B6" s="22">
        <v>346.6796875</v>
      </c>
      <c r="C6" s="22">
        <v>344.16198730500003</v>
      </c>
      <c r="D6" s="22">
        <v>348.51074218799999</v>
      </c>
      <c r="E6" s="60">
        <f t="shared" si="0"/>
        <v>346.45080566433336</v>
      </c>
      <c r="F6" s="21">
        <f t="shared" si="1"/>
        <v>2.1743774414999848</v>
      </c>
      <c r="H6" s="57">
        <v>0.11360000000000001</v>
      </c>
      <c r="I6" s="58">
        <v>0.18030346508600001</v>
      </c>
      <c r="J6" s="59">
        <v>9.9999999999999995E-7</v>
      </c>
      <c r="K6" s="18"/>
      <c r="L6" s="57">
        <v>0.4511</v>
      </c>
      <c r="M6" s="58">
        <v>3.5447495123899997E-2</v>
      </c>
      <c r="N6" s="58">
        <v>9.9999999999999995E-7</v>
      </c>
      <c r="O6" s="21"/>
      <c r="P6" s="24">
        <v>0.1142</v>
      </c>
      <c r="Q6" s="27">
        <v>2.46433102003E-2</v>
      </c>
      <c r="R6" s="26">
        <v>9.9999999999999995E-7</v>
      </c>
      <c r="S6" s="17"/>
      <c r="T6" s="17"/>
      <c r="U6" s="14"/>
      <c r="V6" s="14"/>
      <c r="W6" s="17"/>
      <c r="AA6" s="52">
        <v>5.6800000000000003E-2</v>
      </c>
      <c r="AB6" s="53">
        <v>6.8762662229400001E-2</v>
      </c>
      <c r="AC6" s="36">
        <v>0.2263</v>
      </c>
      <c r="AD6" s="54">
        <v>1.01293062284E-2</v>
      </c>
      <c r="AE6" s="36">
        <v>5.7099999999999998E-2</v>
      </c>
      <c r="AF6" s="54">
        <v>9.2501855407700007E-2</v>
      </c>
      <c r="AG6" s="55">
        <v>1.0000000000000001E-5</v>
      </c>
    </row>
    <row r="7" spans="1:33" x14ac:dyDescent="0.25">
      <c r="A7" s="15">
        <v>5</v>
      </c>
      <c r="B7" s="22">
        <v>433.349609375</v>
      </c>
      <c r="C7" s="22">
        <v>430.37414550800003</v>
      </c>
      <c r="D7" s="22">
        <v>435.485839844</v>
      </c>
      <c r="E7" s="60">
        <f>AVERAGE(B7:D7)</f>
        <v>433.06986490899999</v>
      </c>
      <c r="F7" s="21">
        <f t="shared" si="1"/>
        <v>2.5558471679999855</v>
      </c>
      <c r="H7" s="24">
        <v>0.14199999999999999</v>
      </c>
      <c r="I7" s="27">
        <v>0.132910153344</v>
      </c>
      <c r="J7" s="18">
        <v>9.9999999999999995E-7</v>
      </c>
      <c r="K7" s="18"/>
      <c r="L7" s="24">
        <v>0.56410000000000005</v>
      </c>
      <c r="M7" s="27">
        <v>2.5421254352299999E-2</v>
      </c>
      <c r="N7" s="26">
        <v>9.9999999999999995E-7</v>
      </c>
      <c r="O7" s="21"/>
      <c r="P7" s="24">
        <v>0.14269999999999999</v>
      </c>
      <c r="Q7" s="27">
        <v>6.8440643851299998E-2</v>
      </c>
      <c r="R7" s="26">
        <v>9.9999999999999995E-7</v>
      </c>
      <c r="S7" s="17"/>
      <c r="T7" s="17"/>
      <c r="U7" s="14"/>
      <c r="V7" s="14"/>
      <c r="W7" s="17"/>
      <c r="AA7" s="52">
        <v>8.5199999999999998E-2</v>
      </c>
      <c r="AB7" s="53">
        <v>0.107108717864</v>
      </c>
      <c r="AC7" s="36">
        <v>0.33829999999999999</v>
      </c>
      <c r="AD7" s="54">
        <v>3.2505278121599999E-2</v>
      </c>
      <c r="AE7" s="36">
        <v>8.5599999999999996E-2</v>
      </c>
      <c r="AF7" s="54">
        <v>0.15405169866999999</v>
      </c>
      <c r="AG7" s="55">
        <v>1.0000000000000001E-5</v>
      </c>
    </row>
    <row r="8" spans="1:33" x14ac:dyDescent="0.25">
      <c r="A8" s="15">
        <v>6</v>
      </c>
      <c r="B8" s="22">
        <v>520.01953125</v>
      </c>
      <c r="C8" s="22">
        <v>517.65441894499997</v>
      </c>
      <c r="D8" s="22">
        <v>522.766113281</v>
      </c>
      <c r="E8" s="60">
        <f t="shared" si="0"/>
        <v>520.14668782533329</v>
      </c>
      <c r="F8" s="21">
        <f t="shared" si="1"/>
        <v>2.5558471680000139</v>
      </c>
      <c r="H8" s="24">
        <v>0.1704</v>
      </c>
      <c r="I8" s="27">
        <v>0.16421020227499999</v>
      </c>
      <c r="J8" s="18">
        <v>9.9999999999999995E-7</v>
      </c>
      <c r="K8" s="18"/>
      <c r="L8" s="24">
        <v>0.67849999999999999</v>
      </c>
      <c r="M8" s="27">
        <v>1.1056351735000001E-2</v>
      </c>
      <c r="N8" s="26">
        <v>9.9999999999999995E-7</v>
      </c>
      <c r="O8" s="21"/>
      <c r="P8" s="24">
        <v>0.17130000000000001</v>
      </c>
      <c r="Q8" s="27">
        <v>0.120999578761</v>
      </c>
      <c r="R8" s="26">
        <v>9.9999999999999995E-7</v>
      </c>
      <c r="S8" s="17"/>
      <c r="T8" s="17"/>
      <c r="U8" s="14"/>
      <c r="V8" s="14"/>
      <c r="W8" s="17"/>
      <c r="AA8" s="36">
        <v>0.11360000000000001</v>
      </c>
      <c r="AB8" s="54">
        <v>0.18030346508600001</v>
      </c>
      <c r="AC8" s="36">
        <v>0.4511</v>
      </c>
      <c r="AD8" s="54">
        <v>3.5447495123899997E-2</v>
      </c>
      <c r="AE8" s="36">
        <v>0.1142</v>
      </c>
      <c r="AF8" s="54">
        <v>2.46433102003E-2</v>
      </c>
      <c r="AG8" s="55">
        <v>1.0000000000000001E-5</v>
      </c>
    </row>
    <row r="9" spans="1:33" x14ac:dyDescent="0.25">
      <c r="A9" s="15">
        <v>7</v>
      </c>
      <c r="B9" s="22">
        <v>606.689453125</v>
      </c>
      <c r="C9" s="22">
        <v>602.34069824200003</v>
      </c>
      <c r="D9" s="22">
        <v>609.74121093799999</v>
      </c>
      <c r="E9" s="60">
        <f t="shared" si="0"/>
        <v>606.25712076833338</v>
      </c>
      <c r="F9" s="21">
        <f>(MAX(B9:D9)-MIN(B9:D9))/2</f>
        <v>3.7002563479999822</v>
      </c>
      <c r="H9" s="24">
        <v>0.1988</v>
      </c>
      <c r="I9" s="27">
        <v>2.96160682493E-2</v>
      </c>
      <c r="J9" s="18">
        <v>9.9999999999999995E-7</v>
      </c>
      <c r="K9" s="15"/>
      <c r="L9" s="24">
        <v>0.78949999999999998</v>
      </c>
      <c r="M9" s="27">
        <v>1.18431739516E-2</v>
      </c>
      <c r="N9" s="26">
        <v>9.9999999999999995E-7</v>
      </c>
      <c r="O9" s="22"/>
      <c r="P9" s="24">
        <v>0.19980000000000001</v>
      </c>
      <c r="Q9" s="27">
        <v>1.69145791348E-2</v>
      </c>
      <c r="R9" s="26">
        <v>9.9999999999999995E-7</v>
      </c>
      <c r="T9" s="17"/>
      <c r="U9" s="14"/>
      <c r="V9" s="11"/>
      <c r="AA9" s="36">
        <v>0.14199999999999999</v>
      </c>
      <c r="AB9" s="54">
        <v>0.132910153344</v>
      </c>
      <c r="AC9" s="36">
        <v>0.56410000000000005</v>
      </c>
      <c r="AD9" s="54">
        <v>2.5421254352299999E-2</v>
      </c>
      <c r="AE9" s="36">
        <v>0.14269999999999999</v>
      </c>
      <c r="AF9" s="54">
        <v>6.8440643851299998E-2</v>
      </c>
      <c r="AG9" s="55">
        <v>1.0000000000000001E-5</v>
      </c>
    </row>
    <row r="10" spans="1:33" x14ac:dyDescent="0.25">
      <c r="A10" s="15">
        <v>8</v>
      </c>
      <c r="B10" s="22">
        <v>693.359375</v>
      </c>
      <c r="C10" s="22">
        <v>689.08691406299999</v>
      </c>
      <c r="D10" s="22">
        <v>697.021484375</v>
      </c>
      <c r="E10" s="60">
        <f t="shared" si="0"/>
        <v>693.15592447933341</v>
      </c>
      <c r="F10" s="21">
        <f t="shared" si="1"/>
        <v>3.9672851560000026</v>
      </c>
      <c r="H10" s="24">
        <v>0.22720000000000001</v>
      </c>
      <c r="I10" s="27">
        <v>2.8440015673700001E-2</v>
      </c>
      <c r="J10" s="18">
        <v>9.9999999999999995E-7</v>
      </c>
      <c r="K10" s="15"/>
      <c r="L10" s="24">
        <v>0.9032</v>
      </c>
      <c r="M10" s="27">
        <v>1.16842029762E-2</v>
      </c>
      <c r="N10" s="26">
        <v>9.9999999999999995E-7</v>
      </c>
      <c r="O10" s="22"/>
      <c r="P10" s="24">
        <v>0.22839999999999999</v>
      </c>
      <c r="Q10" s="27">
        <v>2.1783474958099999E-2</v>
      </c>
      <c r="R10" s="26">
        <v>9.9999999999999995E-7</v>
      </c>
      <c r="T10" s="17"/>
      <c r="U10" s="14"/>
      <c r="V10" s="11"/>
      <c r="AA10" s="36">
        <v>0.1704</v>
      </c>
      <c r="AB10" s="54">
        <v>0.16421020227499999</v>
      </c>
      <c r="AC10" s="36">
        <v>0.67849999999999999</v>
      </c>
      <c r="AD10" s="54">
        <v>1.1056351735000001E-2</v>
      </c>
      <c r="AE10" s="36">
        <v>0.17130000000000001</v>
      </c>
      <c r="AF10" s="54">
        <v>0.120999578761</v>
      </c>
      <c r="AG10" s="55">
        <v>1.0000000000000001E-5</v>
      </c>
    </row>
    <row r="11" spans="1:33" x14ac:dyDescent="0.25">
      <c r="A11" s="15">
        <v>9</v>
      </c>
      <c r="B11" s="22">
        <v>780.029296875</v>
      </c>
      <c r="C11" s="22">
        <v>774.99389648399995</v>
      </c>
      <c r="D11" s="22">
        <v>783.996582031</v>
      </c>
      <c r="E11" s="60">
        <f t="shared" si="0"/>
        <v>779.67325846333324</v>
      </c>
      <c r="F11" s="21">
        <f t="shared" si="1"/>
        <v>4.5013427735000278</v>
      </c>
      <c r="H11" s="24">
        <v>0.25559999999999999</v>
      </c>
      <c r="I11" s="27">
        <v>1.28782752364E-2</v>
      </c>
      <c r="J11" s="18">
        <v>9.9999999999999995E-7</v>
      </c>
      <c r="K11" s="15"/>
      <c r="L11" s="24">
        <v>1.0158</v>
      </c>
      <c r="M11" s="27">
        <v>7.9818291107399998E-3</v>
      </c>
      <c r="N11" s="26">
        <v>9.9999999999999995E-7</v>
      </c>
      <c r="O11" s="22"/>
      <c r="P11" s="24">
        <v>0.25690000000000002</v>
      </c>
      <c r="Q11" s="27">
        <v>1.4179322794899999E-2</v>
      </c>
      <c r="R11" s="26">
        <v>9.9999999999999995E-7</v>
      </c>
      <c r="T11" s="17"/>
      <c r="U11" s="14"/>
      <c r="V11" s="11"/>
      <c r="AA11" s="36">
        <v>0.1988</v>
      </c>
      <c r="AB11" s="54">
        <v>2.96160682493E-2</v>
      </c>
      <c r="AC11" s="36">
        <v>0.78949999999999998</v>
      </c>
      <c r="AD11" s="54">
        <v>1.18431739516E-2</v>
      </c>
      <c r="AE11" s="36">
        <v>0.19980000000000001</v>
      </c>
      <c r="AF11" s="54">
        <v>1.69145791348E-2</v>
      </c>
      <c r="AG11" s="55">
        <v>1.0000000000000001E-5</v>
      </c>
    </row>
    <row r="12" spans="1:33" x14ac:dyDescent="0.25">
      <c r="A12" s="15">
        <v>10</v>
      </c>
      <c r="B12" s="22">
        <v>866.69921875</v>
      </c>
      <c r="C12" s="22">
        <v>862.04528808600003</v>
      </c>
      <c r="D12" s="22">
        <v>871.276855469</v>
      </c>
      <c r="E12" s="60">
        <f t="shared" si="0"/>
        <v>866.67378743500001</v>
      </c>
      <c r="F12" s="21">
        <f t="shared" si="1"/>
        <v>4.6157836914999848</v>
      </c>
      <c r="H12" s="24">
        <v>0.28399999999999997</v>
      </c>
      <c r="I12" s="27">
        <v>1.4839089772499999E-2</v>
      </c>
      <c r="J12" s="18">
        <v>9.9999999999999995E-7</v>
      </c>
      <c r="K12" s="15"/>
      <c r="L12" s="24">
        <v>1.1298999999999999</v>
      </c>
      <c r="M12" s="27">
        <v>3.0918178413600001E-3</v>
      </c>
      <c r="N12" s="26">
        <v>9.9999999999999995E-7</v>
      </c>
      <c r="O12" s="22"/>
      <c r="P12" s="24">
        <v>0.28549999999999998</v>
      </c>
      <c r="Q12" s="27">
        <v>3.0034601661399998E-2</v>
      </c>
      <c r="R12" s="26">
        <v>9.9999999999999995E-7</v>
      </c>
      <c r="T12" s="17"/>
      <c r="U12" s="14"/>
      <c r="V12" s="11"/>
      <c r="AA12" s="36">
        <v>0.22720000000000001</v>
      </c>
      <c r="AB12" s="54">
        <v>2.8440015673700001E-2</v>
      </c>
      <c r="AC12" s="36">
        <v>0.9032</v>
      </c>
      <c r="AD12" s="54">
        <v>1.16842029762E-2</v>
      </c>
      <c r="AE12" s="36">
        <v>0.22839999999999999</v>
      </c>
      <c r="AF12" s="54">
        <v>2.1783474958099999E-2</v>
      </c>
      <c r="AG12" s="55">
        <v>1.0000000000000001E-5</v>
      </c>
    </row>
    <row r="13" spans="1:33" x14ac:dyDescent="0.25">
      <c r="A13" s="15">
        <v>11</v>
      </c>
      <c r="B13" s="22">
        <v>949.70703125</v>
      </c>
      <c r="C13" s="22">
        <v>945.58715820299994</v>
      </c>
      <c r="D13" s="22">
        <v>958.251953125</v>
      </c>
      <c r="E13" s="60">
        <f t="shared" si="0"/>
        <v>951.18204752600002</v>
      </c>
      <c r="F13" s="21">
        <f t="shared" si="1"/>
        <v>6.3323974610000278</v>
      </c>
      <c r="H13" s="24">
        <v>0.31119999999999998</v>
      </c>
      <c r="I13" s="27">
        <v>1.1645294882399999E-3</v>
      </c>
      <c r="J13" s="18">
        <v>9.9999999999999995E-7</v>
      </c>
      <c r="K13" s="15"/>
      <c r="L13" s="24">
        <v>1.2394000000000001</v>
      </c>
      <c r="M13" s="27">
        <v>5.7255091358499998E-3</v>
      </c>
      <c r="N13" s="26">
        <v>9.9999999999999995E-7</v>
      </c>
      <c r="O13" s="22"/>
      <c r="P13" s="24">
        <v>0.314</v>
      </c>
      <c r="Q13" s="27">
        <v>5.33186602475E-3</v>
      </c>
      <c r="R13" s="26">
        <v>9.9999999999999995E-7</v>
      </c>
      <c r="T13" s="17"/>
      <c r="U13" s="14"/>
      <c r="V13" s="11"/>
      <c r="AA13" s="36">
        <v>0.25559999999999999</v>
      </c>
      <c r="AB13" s="54">
        <v>1.28782752364E-2</v>
      </c>
      <c r="AC13" s="36">
        <v>1.0158</v>
      </c>
      <c r="AD13" s="54">
        <v>7.9818291107399998E-3</v>
      </c>
      <c r="AE13" s="36">
        <v>0.25690000000000002</v>
      </c>
      <c r="AF13" s="54">
        <v>1.4179322794899999E-2</v>
      </c>
      <c r="AG13" s="55">
        <v>1.0000000000000001E-5</v>
      </c>
    </row>
    <row r="14" spans="1:33" x14ac:dyDescent="0.25">
      <c r="B14" s="11"/>
      <c r="C14" s="11"/>
      <c r="D14" s="11"/>
      <c r="E14" s="11"/>
      <c r="F14" s="11"/>
      <c r="AA14" s="36">
        <v>0.28399999999999997</v>
      </c>
      <c r="AB14" s="54">
        <v>1.4839089772499999E-2</v>
      </c>
      <c r="AC14" s="36">
        <v>1.1298999999999999</v>
      </c>
      <c r="AD14" s="54">
        <v>3.0918178413600001E-3</v>
      </c>
      <c r="AE14" s="36">
        <v>0.28549999999999998</v>
      </c>
      <c r="AF14" s="54">
        <v>3.0034601661399998E-2</v>
      </c>
      <c r="AG14" s="55">
        <v>1.0000000000000001E-5</v>
      </c>
    </row>
    <row r="15" spans="1:33" x14ac:dyDescent="0.25">
      <c r="B15" s="11"/>
      <c r="C15" s="11"/>
      <c r="D15" s="11"/>
      <c r="E15" s="11"/>
      <c r="F15" s="11"/>
      <c r="G15" s="5"/>
      <c r="H15">
        <f>46.2/2.653</f>
        <v>17.414248021108179</v>
      </c>
      <c r="L15">
        <f>46.2/6.39</f>
        <v>7.2300469483568079</v>
      </c>
      <c r="M15" s="11"/>
      <c r="N15" s="11"/>
      <c r="P15">
        <f>46.2/2.486</f>
        <v>18.584070796460178</v>
      </c>
      <c r="AA15" s="36">
        <v>0.31119999999999998</v>
      </c>
      <c r="AB15" s="54">
        <v>1.1645294882399999E-3</v>
      </c>
      <c r="AC15" s="36">
        <v>1.2394000000000001</v>
      </c>
      <c r="AD15" s="54">
        <v>5.7255091358499998E-3</v>
      </c>
      <c r="AE15" s="36">
        <v>0.314</v>
      </c>
      <c r="AF15" s="54">
        <v>5.33186602475E-3</v>
      </c>
      <c r="AG15" s="55">
        <v>1.0000000000000001E-5</v>
      </c>
    </row>
    <row r="16" spans="1:33" x14ac:dyDescent="0.25">
      <c r="B16" s="11" t="s">
        <v>26</v>
      </c>
      <c r="C16" s="11" t="s">
        <v>27</v>
      </c>
      <c r="D16" s="11"/>
      <c r="E16" s="11"/>
      <c r="F16" s="11"/>
      <c r="G16" s="5"/>
    </row>
    <row r="17" spans="1:33" x14ac:dyDescent="0.25">
      <c r="A17" t="s">
        <v>28</v>
      </c>
      <c r="B17" s="17">
        <f t="array" ref="B17:C18">LINEST(E3:E13,A3:A13,TRUE,TRUE)</f>
        <v>86.560104832498496</v>
      </c>
      <c r="C17" s="17">
        <v>0.32367128321197924</v>
      </c>
      <c r="D17" s="17"/>
    </row>
    <row r="18" spans="1:33" x14ac:dyDescent="0.25">
      <c r="A18" t="s">
        <v>29</v>
      </c>
      <c r="B18" s="17">
        <v>5.3028895031292052E-2</v>
      </c>
      <c r="C18" s="17">
        <v>0.35965946474273464</v>
      </c>
      <c r="D18" s="17"/>
    </row>
    <row r="19" spans="1:33" x14ac:dyDescent="0.25">
      <c r="A19" t="s">
        <v>30</v>
      </c>
      <c r="B19" s="17">
        <f>2*B18</f>
        <v>0.1060577900625841</v>
      </c>
      <c r="C19" s="17">
        <f>2*C18</f>
        <v>0.71931892948546927</v>
      </c>
      <c r="D19" s="17"/>
      <c r="Z19">
        <f>Q5/I6</f>
        <v>0.85440231887125062</v>
      </c>
      <c r="AA19">
        <f>M6/I6</f>
        <v>0.19659907870873405</v>
      </c>
    </row>
    <row r="21" spans="1:33" ht="18" x14ac:dyDescent="0.25">
      <c r="AA21" s="56" t="s">
        <v>81</v>
      </c>
      <c r="AB21" s="56" t="s">
        <v>82</v>
      </c>
      <c r="AC21" s="56" t="s">
        <v>83</v>
      </c>
      <c r="AD21" s="56" t="s">
        <v>84</v>
      </c>
      <c r="AE21" s="56" t="s">
        <v>85</v>
      </c>
      <c r="AF21" s="56" t="s">
        <v>86</v>
      </c>
      <c r="AG21" s="56" t="s">
        <v>38</v>
      </c>
    </row>
    <row r="22" spans="1:33" x14ac:dyDescent="0.25">
      <c r="AA22" s="23">
        <v>0.11360000000000001</v>
      </c>
      <c r="AB22" s="26">
        <v>0.18030346508600001</v>
      </c>
      <c r="AC22" s="23">
        <v>0.4511</v>
      </c>
      <c r="AD22" s="26">
        <v>3.5447495123899997E-2</v>
      </c>
      <c r="AE22" s="23">
        <v>8.5599999999999996E-2</v>
      </c>
      <c r="AF22" s="26">
        <v>0.15405169866999999</v>
      </c>
      <c r="AG22" s="18">
        <v>9.9999999999999995E-7</v>
      </c>
    </row>
    <row r="24" spans="1:33" x14ac:dyDescent="0.25">
      <c r="AA24" s="56" t="s">
        <v>87</v>
      </c>
      <c r="AB24" s="56" t="s">
        <v>89</v>
      </c>
      <c r="AC24" s="56" t="s">
        <v>88</v>
      </c>
      <c r="AD24" s="56" t="s">
        <v>90</v>
      </c>
    </row>
    <row r="25" spans="1:33" x14ac:dyDescent="0.25">
      <c r="AA25" s="27">
        <f>AD22/AB22</f>
        <v>0.19659907870873405</v>
      </c>
      <c r="AB25" s="27">
        <f>(AG22/AD22+AG22/AB22)*AA25</f>
        <v>6.6365839288667454E-6</v>
      </c>
      <c r="AC25" s="27">
        <f>AF22/AB22</f>
        <v>0.85440231887125062</v>
      </c>
      <c r="AD25" s="27">
        <f>(AG22/AF22+AG22/AB22)*AC25</f>
        <v>1.0284895622980674E-5</v>
      </c>
    </row>
  </sheetData>
  <mergeCells count="4">
    <mergeCell ref="A1:F1"/>
    <mergeCell ref="L1:N1"/>
    <mergeCell ref="H1:J1"/>
    <mergeCell ref="P1:R1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opLeftCell="U1" workbookViewId="0">
      <selection activeCell="AE27" sqref="AE27"/>
    </sheetView>
  </sheetViews>
  <sheetFormatPr defaultRowHeight="15" x14ac:dyDescent="0.25"/>
  <cols>
    <col min="1" max="1" width="14" customWidth="1"/>
    <col min="9" max="10" width="9.5703125" bestFit="1" customWidth="1"/>
    <col min="13" max="13" width="9.5703125" bestFit="1" customWidth="1"/>
    <col min="17" max="17" width="9.5703125" bestFit="1" customWidth="1"/>
    <col min="18" max="18" width="11.28515625" customWidth="1"/>
    <col min="23" max="23" width="17" customWidth="1"/>
  </cols>
  <sheetData>
    <row r="1" spans="1:32" x14ac:dyDescent="0.25">
      <c r="A1" s="78" t="s">
        <v>36</v>
      </c>
      <c r="B1" s="78"/>
      <c r="C1" s="78"/>
      <c r="D1" s="78"/>
      <c r="E1" s="78"/>
      <c r="F1" s="78"/>
      <c r="H1" s="79" t="s">
        <v>55</v>
      </c>
      <c r="I1" s="79"/>
      <c r="J1" s="79"/>
      <c r="K1" s="20"/>
      <c r="L1" s="79" t="s">
        <v>56</v>
      </c>
      <c r="M1" s="79"/>
      <c r="N1" s="79"/>
      <c r="O1" s="20"/>
      <c r="P1" s="79" t="s">
        <v>57</v>
      </c>
      <c r="Q1" s="79"/>
      <c r="R1" s="79"/>
      <c r="S1" s="20"/>
      <c r="T1" s="20"/>
      <c r="U1" s="20"/>
      <c r="V1" s="20"/>
      <c r="W1" s="20"/>
    </row>
    <row r="2" spans="1:32" x14ac:dyDescent="0.25">
      <c r="A2" s="12" t="s">
        <v>25</v>
      </c>
      <c r="B2" s="12" t="s">
        <v>33</v>
      </c>
      <c r="C2" s="12" t="s">
        <v>34</v>
      </c>
      <c r="D2" s="12" t="s">
        <v>35</v>
      </c>
      <c r="E2" s="12" t="s">
        <v>31</v>
      </c>
      <c r="F2" s="12" t="s">
        <v>32</v>
      </c>
      <c r="H2" s="13" t="s">
        <v>39</v>
      </c>
      <c r="I2" s="12" t="s">
        <v>37</v>
      </c>
      <c r="J2" s="12" t="s">
        <v>38</v>
      </c>
      <c r="K2" s="18"/>
      <c r="L2" s="13" t="s">
        <v>39</v>
      </c>
      <c r="M2" s="12" t="s">
        <v>37</v>
      </c>
      <c r="N2" s="12" t="s">
        <v>38</v>
      </c>
      <c r="O2" s="19"/>
      <c r="P2" s="13" t="s">
        <v>39</v>
      </c>
      <c r="Q2" s="12" t="s">
        <v>37</v>
      </c>
      <c r="R2" s="12" t="s">
        <v>38</v>
      </c>
      <c r="S2" s="18"/>
      <c r="T2" s="18"/>
      <c r="U2" s="18"/>
      <c r="V2" s="19"/>
      <c r="W2" s="19"/>
    </row>
    <row r="3" spans="1:32" ht="18" x14ac:dyDescent="0.25">
      <c r="A3" s="16">
        <v>1</v>
      </c>
      <c r="B3" s="22">
        <v>108.337402344</v>
      </c>
      <c r="C3" s="22">
        <v>107.650756836</v>
      </c>
      <c r="D3" s="22">
        <v>107.727050781</v>
      </c>
      <c r="E3" s="21">
        <f>AVERAGE(B3:D3)</f>
        <v>107.905069987</v>
      </c>
      <c r="F3" s="21">
        <f>(MAX(B3:D3)-MIN(B3:D3))/2</f>
        <v>0.34332275399999901</v>
      </c>
      <c r="G3" s="21"/>
      <c r="H3" s="24">
        <v>3.5499999999999997E-2</v>
      </c>
      <c r="I3" s="27">
        <v>1.7997033253500001E-2</v>
      </c>
      <c r="J3" s="18">
        <v>9.9999999999999995E-7</v>
      </c>
      <c r="K3" s="21"/>
      <c r="L3" s="24">
        <v>0.1411</v>
      </c>
      <c r="M3" s="27">
        <v>3.8471034705199999E-3</v>
      </c>
      <c r="N3" s="18">
        <v>9.9999999999999995E-7</v>
      </c>
      <c r="O3" s="18"/>
      <c r="P3" s="24">
        <v>3.5299999999999998E-2</v>
      </c>
      <c r="Q3" s="27">
        <v>1.02777316995E-2</v>
      </c>
      <c r="R3" s="18">
        <v>9.9999999999999995E-7</v>
      </c>
      <c r="S3" s="14"/>
      <c r="T3" s="14"/>
      <c r="U3" s="14"/>
      <c r="V3" s="14"/>
      <c r="W3" s="17"/>
      <c r="Z3" s="56" t="s">
        <v>75</v>
      </c>
      <c r="AA3" s="56" t="s">
        <v>76</v>
      </c>
      <c r="AB3" s="56" t="s">
        <v>77</v>
      </c>
      <c r="AC3" s="56" t="s">
        <v>78</v>
      </c>
      <c r="AD3" s="56" t="s">
        <v>79</v>
      </c>
      <c r="AE3" s="56" t="s">
        <v>80</v>
      </c>
      <c r="AF3" s="56" t="s">
        <v>38</v>
      </c>
    </row>
    <row r="4" spans="1:32" x14ac:dyDescent="0.25">
      <c r="A4" s="16">
        <v>2</v>
      </c>
      <c r="B4" s="22">
        <v>216.67480468799999</v>
      </c>
      <c r="C4" s="22">
        <v>215.45410156299999</v>
      </c>
      <c r="D4" s="22">
        <v>215.148925781</v>
      </c>
      <c r="E4" s="21">
        <f t="shared" ref="E4:E20" si="0">AVERAGE(B4:D4)</f>
        <v>215.759277344</v>
      </c>
      <c r="F4" s="21">
        <f t="shared" ref="F4:F17" si="1">(MAX(B4:D4)-MIN(B4:D4))/2</f>
        <v>0.76293945349999603</v>
      </c>
      <c r="G4" s="21"/>
      <c r="H4" s="24">
        <v>7.0999999999999994E-2</v>
      </c>
      <c r="I4" s="27">
        <v>4.32619785709E-2</v>
      </c>
      <c r="J4" s="18">
        <v>9.9999999999999995E-7</v>
      </c>
      <c r="K4" s="21"/>
      <c r="L4" s="24">
        <v>0.28239999999999998</v>
      </c>
      <c r="M4" s="27">
        <v>8.3893020901499998E-3</v>
      </c>
      <c r="N4" s="18">
        <v>9.9999999999999995E-7</v>
      </c>
      <c r="O4" s="18"/>
      <c r="P4" s="24">
        <v>7.0499999999999993E-2</v>
      </c>
      <c r="Q4" s="27">
        <v>6.3671653645599999E-2</v>
      </c>
      <c r="R4" s="18">
        <v>9.9999999999999995E-7</v>
      </c>
      <c r="S4" s="14"/>
      <c r="T4" s="14"/>
      <c r="U4" s="14"/>
      <c r="V4" s="14"/>
      <c r="W4" s="17"/>
      <c r="Z4" s="36">
        <v>3.5499999999999997E-2</v>
      </c>
      <c r="AA4" s="54">
        <v>1.7997033253500001E-2</v>
      </c>
      <c r="AB4" s="36">
        <v>0.1411</v>
      </c>
      <c r="AC4" s="54">
        <v>3.8471034705199999E-3</v>
      </c>
      <c r="AD4" s="36">
        <v>3.5299999999999998E-2</v>
      </c>
      <c r="AE4" s="54">
        <v>1.02777316995E-2</v>
      </c>
      <c r="AF4" s="18">
        <v>9.9999999999999995E-7</v>
      </c>
    </row>
    <row r="5" spans="1:32" x14ac:dyDescent="0.25">
      <c r="A5" s="16">
        <v>3</v>
      </c>
      <c r="B5" s="22">
        <v>328.674316406</v>
      </c>
      <c r="C5" s="22">
        <v>323.10485839799998</v>
      </c>
      <c r="D5" s="22">
        <v>322.87597656299999</v>
      </c>
      <c r="E5" s="21">
        <f t="shared" si="0"/>
        <v>324.88505045566666</v>
      </c>
      <c r="F5" s="21">
        <f t="shared" si="1"/>
        <v>2.899169921500004</v>
      </c>
      <c r="G5" s="21"/>
      <c r="H5" s="57">
        <v>0.1077</v>
      </c>
      <c r="I5" s="58">
        <v>0.25965878540499998</v>
      </c>
      <c r="J5" s="18">
        <v>9.9999999999999995E-7</v>
      </c>
      <c r="K5" s="21"/>
      <c r="L5" s="24">
        <v>0.42349999999999999</v>
      </c>
      <c r="M5" s="27">
        <v>2.0466655738200001E-2</v>
      </c>
      <c r="N5" s="18">
        <v>9.9999999999999995E-7</v>
      </c>
      <c r="O5" s="18"/>
      <c r="P5" s="57">
        <v>0.10580000000000001</v>
      </c>
      <c r="Q5" s="58">
        <v>0.85762615045500001</v>
      </c>
      <c r="R5" s="18">
        <v>9.9999999999999995E-7</v>
      </c>
      <c r="S5" s="14"/>
      <c r="T5" s="14"/>
      <c r="U5" s="14"/>
      <c r="V5" s="14"/>
      <c r="W5" s="17"/>
      <c r="Z5" s="36">
        <v>7.0999999999999994E-2</v>
      </c>
      <c r="AA5" s="54">
        <v>4.32619785709E-2</v>
      </c>
      <c r="AB5" s="36">
        <v>0.28239999999999998</v>
      </c>
      <c r="AC5" s="54">
        <v>8.3893020901499998E-3</v>
      </c>
      <c r="AD5" s="36">
        <v>7.0499999999999993E-2</v>
      </c>
      <c r="AE5" s="54">
        <v>6.3671653645599999E-2</v>
      </c>
      <c r="AF5" s="18">
        <v>9.9999999999999995E-7</v>
      </c>
    </row>
    <row r="6" spans="1:32" x14ac:dyDescent="0.25">
      <c r="A6" s="16">
        <v>4</v>
      </c>
      <c r="B6" s="22">
        <v>433.654785156</v>
      </c>
      <c r="C6" s="22">
        <v>431.13708496100003</v>
      </c>
      <c r="D6" s="22">
        <v>430.29785156299999</v>
      </c>
      <c r="E6" s="21">
        <f t="shared" si="0"/>
        <v>431.69657389333332</v>
      </c>
      <c r="F6" s="21">
        <f t="shared" si="1"/>
        <v>1.678466796500004</v>
      </c>
      <c r="G6" s="21"/>
      <c r="H6" s="24">
        <v>0.1421</v>
      </c>
      <c r="I6" s="27">
        <v>0.245415079112</v>
      </c>
      <c r="J6" s="18">
        <v>9.9999999999999995E-7</v>
      </c>
      <c r="K6" s="21"/>
      <c r="L6" s="24">
        <v>0.56510000000000005</v>
      </c>
      <c r="M6" s="27">
        <v>7.24398727543E-2</v>
      </c>
      <c r="N6" s="18">
        <v>9.9999999999999995E-7</v>
      </c>
      <c r="O6" s="18"/>
      <c r="P6" s="24">
        <v>0.14099999999999999</v>
      </c>
      <c r="Q6" s="27">
        <v>0.42730437835000001</v>
      </c>
      <c r="R6" s="18">
        <v>9.9999999999999995E-7</v>
      </c>
      <c r="S6" s="14"/>
      <c r="T6" s="14"/>
      <c r="U6" s="14"/>
      <c r="V6" s="14"/>
      <c r="W6" s="17"/>
      <c r="Z6" s="36">
        <v>0.1077</v>
      </c>
      <c r="AA6" s="54">
        <v>0.25965878540499998</v>
      </c>
      <c r="AB6" s="36">
        <v>0.42349999999999999</v>
      </c>
      <c r="AC6" s="54">
        <v>2.0466655738200001E-2</v>
      </c>
      <c r="AD6" s="36">
        <v>0.10580000000000001</v>
      </c>
      <c r="AE6" s="54">
        <v>0.85762615045500001</v>
      </c>
      <c r="AF6" s="18">
        <v>9.9999999999999995E-7</v>
      </c>
    </row>
    <row r="7" spans="1:32" x14ac:dyDescent="0.25">
      <c r="A7" s="16">
        <v>5</v>
      </c>
      <c r="B7" s="22">
        <v>541.687011719</v>
      </c>
      <c r="C7" s="22">
        <v>538.78784179700006</v>
      </c>
      <c r="D7" s="22">
        <v>538.024902344</v>
      </c>
      <c r="E7" s="21">
        <f t="shared" si="0"/>
        <v>539.49991862000013</v>
      </c>
      <c r="F7" s="21">
        <f t="shared" si="1"/>
        <v>1.8310546875</v>
      </c>
      <c r="G7" s="21"/>
      <c r="H7" s="24">
        <v>0.17749999999999999</v>
      </c>
      <c r="I7" s="27">
        <v>0.19952791110400001</v>
      </c>
      <c r="J7" s="18">
        <v>9.9999999999999995E-7</v>
      </c>
      <c r="K7" s="21"/>
      <c r="L7" s="57">
        <v>0.70620000000000005</v>
      </c>
      <c r="M7" s="58">
        <v>0.112364073725</v>
      </c>
      <c r="N7" s="18">
        <v>9.9999999999999995E-7</v>
      </c>
      <c r="O7" s="18"/>
      <c r="P7" s="24">
        <v>0.17630000000000001</v>
      </c>
      <c r="Q7" s="27">
        <v>0.334270066827</v>
      </c>
      <c r="R7" s="18">
        <v>9.9999999999999995E-7</v>
      </c>
      <c r="S7" s="14"/>
      <c r="T7" s="14"/>
      <c r="U7" s="14"/>
      <c r="V7" s="14"/>
      <c r="W7" s="17"/>
      <c r="Z7" s="36">
        <v>0.1421</v>
      </c>
      <c r="AA7" s="54">
        <v>0.245415079112</v>
      </c>
      <c r="AB7" s="36">
        <v>0.56510000000000005</v>
      </c>
      <c r="AC7" s="54">
        <v>7.24398727543E-2</v>
      </c>
      <c r="AD7" s="36">
        <v>0.14099999999999999</v>
      </c>
      <c r="AE7" s="54">
        <v>0.42730437835000001</v>
      </c>
      <c r="AF7" s="18">
        <v>9.9999999999999995E-7</v>
      </c>
    </row>
    <row r="8" spans="1:32" x14ac:dyDescent="0.25">
      <c r="A8" s="16">
        <v>6</v>
      </c>
      <c r="B8" s="22">
        <v>650.329589844</v>
      </c>
      <c r="C8" s="22">
        <v>644.836425781</v>
      </c>
      <c r="D8" s="22">
        <v>645.446777344</v>
      </c>
      <c r="E8" s="21">
        <f t="shared" si="0"/>
        <v>646.8709309896667</v>
      </c>
      <c r="F8" s="21">
        <f t="shared" si="1"/>
        <v>2.7465820314999974</v>
      </c>
      <c r="G8" s="21"/>
      <c r="H8" s="24">
        <v>0.21310000000000001</v>
      </c>
      <c r="I8" s="27">
        <v>0.129684219569</v>
      </c>
      <c r="J8" s="18">
        <v>9.9999999999999995E-7</v>
      </c>
      <c r="K8" s="21"/>
      <c r="L8" s="24">
        <v>0.84519999999999995</v>
      </c>
      <c r="M8" s="27">
        <v>1.2051256666700001E-2</v>
      </c>
      <c r="N8" s="18">
        <v>9.9999999999999995E-7</v>
      </c>
      <c r="O8" s="18"/>
      <c r="P8" s="24">
        <v>0.21149999999999999</v>
      </c>
      <c r="Q8" s="27">
        <v>0.29014331926499998</v>
      </c>
      <c r="R8" s="18">
        <v>9.9999999999999995E-7</v>
      </c>
      <c r="S8" s="14"/>
      <c r="T8" s="14"/>
      <c r="U8" s="14"/>
      <c r="V8" s="14"/>
      <c r="W8" s="17"/>
      <c r="Z8" s="36">
        <v>0.17749999999999999</v>
      </c>
      <c r="AA8" s="54">
        <v>0.19952791110400001</v>
      </c>
      <c r="AB8" s="36">
        <v>0.70620000000000005</v>
      </c>
      <c r="AC8" s="54">
        <v>0.112364073725</v>
      </c>
      <c r="AD8" s="36">
        <v>0.17630000000000001</v>
      </c>
      <c r="AE8" s="54">
        <v>0.334270066827</v>
      </c>
      <c r="AF8" s="18">
        <v>9.9999999999999995E-7</v>
      </c>
    </row>
    <row r="9" spans="1:32" x14ac:dyDescent="0.25">
      <c r="A9" s="16">
        <v>7</v>
      </c>
      <c r="B9" s="22">
        <v>759.27734375</v>
      </c>
      <c r="C9" s="22">
        <v>758.59069824200003</v>
      </c>
      <c r="D9" s="22">
        <v>758.66699218799999</v>
      </c>
      <c r="E9" s="21">
        <f t="shared" si="0"/>
        <v>758.84501139333349</v>
      </c>
      <c r="F9" s="21">
        <f>(MAX(B9:D9)-MIN(B9:D9))/2</f>
        <v>0.3433227539999848</v>
      </c>
      <c r="G9" s="21"/>
      <c r="H9" s="24">
        <v>0.24879999999999999</v>
      </c>
      <c r="I9" s="27">
        <v>1.85381692607E-2</v>
      </c>
      <c r="J9" s="18">
        <v>9.9999999999999995E-7</v>
      </c>
      <c r="K9" s="21"/>
      <c r="L9" s="24">
        <v>0.99429999999999996</v>
      </c>
      <c r="M9" s="27">
        <v>1.8011647468400001E-3</v>
      </c>
      <c r="N9" s="18">
        <v>9.9999999999999995E-7</v>
      </c>
      <c r="O9" s="18"/>
      <c r="P9" s="24">
        <v>0.24859999999999999</v>
      </c>
      <c r="Q9" s="27">
        <v>1.44569850101E-3</v>
      </c>
      <c r="R9" s="18">
        <v>9.9999999999999995E-7</v>
      </c>
      <c r="S9" s="14"/>
      <c r="T9" s="14"/>
      <c r="U9" s="14"/>
      <c r="V9" s="14"/>
      <c r="W9" s="17"/>
      <c r="Z9" s="36">
        <v>0.21310000000000001</v>
      </c>
      <c r="AA9" s="54">
        <v>0.129684219569</v>
      </c>
      <c r="AB9" s="36">
        <v>0.84519999999999995</v>
      </c>
      <c r="AC9" s="54">
        <v>1.2051256666700001E-2</v>
      </c>
      <c r="AD9" s="36">
        <v>0.21149999999999999</v>
      </c>
      <c r="AE9" s="54">
        <v>0.29014331926499998</v>
      </c>
      <c r="AF9" s="18">
        <v>9.9999999999999995E-7</v>
      </c>
    </row>
    <row r="10" spans="1:32" x14ac:dyDescent="0.25">
      <c r="A10" s="16">
        <v>8</v>
      </c>
      <c r="B10" s="22">
        <v>867.004394531</v>
      </c>
      <c r="C10" s="22">
        <v>866.77551269499997</v>
      </c>
      <c r="D10" s="22">
        <v>867.004394531</v>
      </c>
      <c r="E10" s="21">
        <f t="shared" si="0"/>
        <v>866.92810058566658</v>
      </c>
      <c r="F10" s="21">
        <f t="shared" si="1"/>
        <v>0.11444091800001388</v>
      </c>
      <c r="G10" s="21"/>
      <c r="H10" s="24">
        <v>0.28410000000000002</v>
      </c>
      <c r="I10" s="27">
        <v>2.2273732695899998E-2</v>
      </c>
      <c r="J10" s="18">
        <v>9.9999999999999995E-7</v>
      </c>
      <c r="K10" s="21"/>
      <c r="L10" s="24">
        <v>1.1361000000000001</v>
      </c>
      <c r="M10" s="27">
        <v>8.2391010459199996E-4</v>
      </c>
      <c r="N10" s="18">
        <v>9.9999999999999995E-7</v>
      </c>
      <c r="O10" s="18"/>
      <c r="P10" s="24">
        <v>0.28410000000000002</v>
      </c>
      <c r="Q10" s="27">
        <v>2.6392912422899999E-3</v>
      </c>
      <c r="R10" s="18">
        <v>9.9999999999999995E-7</v>
      </c>
      <c r="S10" s="14"/>
      <c r="T10" s="14"/>
      <c r="U10" s="14"/>
      <c r="V10" s="14"/>
      <c r="W10" s="17"/>
      <c r="Z10" s="36">
        <v>0.24879999999999999</v>
      </c>
      <c r="AA10" s="54">
        <v>1.85381692607E-2</v>
      </c>
      <c r="AB10" s="36">
        <v>0.99429999999999996</v>
      </c>
      <c r="AC10" s="54">
        <v>1.8011647468400001E-3</v>
      </c>
      <c r="AD10" s="36">
        <v>0.24859999999999999</v>
      </c>
      <c r="AE10" s="54">
        <v>1.44569850101E-3</v>
      </c>
      <c r="AF10" s="18">
        <v>9.9999999999999995E-7</v>
      </c>
    </row>
    <row r="11" spans="1:32" x14ac:dyDescent="0.25">
      <c r="A11" s="16">
        <v>9</v>
      </c>
      <c r="B11" s="22">
        <v>975.646972656</v>
      </c>
      <c r="C11" s="22">
        <v>975.49438476600005</v>
      </c>
      <c r="D11" s="22">
        <v>974.12109375</v>
      </c>
      <c r="E11" s="21">
        <f t="shared" si="0"/>
        <v>975.08748372399998</v>
      </c>
      <c r="F11" s="21">
        <f t="shared" si="1"/>
        <v>0.76293945300000132</v>
      </c>
      <c r="G11" s="21"/>
      <c r="H11" s="24">
        <v>0.31969999999999998</v>
      </c>
      <c r="I11" s="27">
        <v>3.4406454797600003E-2</v>
      </c>
      <c r="J11" s="18">
        <v>9.9999999999999995E-7</v>
      </c>
      <c r="K11" s="21"/>
      <c r="L11" s="24">
        <v>1.2786</v>
      </c>
      <c r="M11" s="27">
        <v>9.5703961868999997E-4</v>
      </c>
      <c r="N11" s="18">
        <v>9.9999999999999995E-7</v>
      </c>
      <c r="O11" s="18"/>
      <c r="P11" s="24">
        <v>0.31919999999999998</v>
      </c>
      <c r="Q11" s="27">
        <v>4.2562694654399999E-3</v>
      </c>
      <c r="R11" s="18">
        <v>9.9999999999999995E-7</v>
      </c>
      <c r="S11" s="14"/>
      <c r="T11" s="14"/>
      <c r="U11" s="14"/>
      <c r="V11" s="14"/>
      <c r="W11" s="17"/>
      <c r="Z11" s="36">
        <v>0.28410000000000002</v>
      </c>
      <c r="AA11" s="54">
        <v>2.2273732695899998E-2</v>
      </c>
      <c r="AB11" s="36">
        <v>1.1361000000000001</v>
      </c>
      <c r="AC11" s="54">
        <v>8.2391010459199996E-4</v>
      </c>
      <c r="AD11" s="36">
        <v>0.28410000000000002</v>
      </c>
      <c r="AE11" s="54">
        <v>2.6392912422899999E-3</v>
      </c>
      <c r="AF11" s="18">
        <v>9.9999999999999995E-7</v>
      </c>
    </row>
    <row r="12" spans="1:32" x14ac:dyDescent="0.25">
      <c r="A12" s="16">
        <v>10</v>
      </c>
      <c r="B12" s="22">
        <v>1083.984375</v>
      </c>
      <c r="C12" s="22">
        <v>1083.1451416</v>
      </c>
      <c r="D12" s="22">
        <v>1082.15332031</v>
      </c>
      <c r="E12" s="21">
        <f t="shared" si="0"/>
        <v>1083.09427897</v>
      </c>
      <c r="F12" s="21">
        <f t="shared" si="1"/>
        <v>0.91552734499998678</v>
      </c>
      <c r="G12" s="21"/>
      <c r="H12" s="24">
        <v>0.35520000000000002</v>
      </c>
      <c r="I12" s="27">
        <v>7.7700859955700002E-2</v>
      </c>
      <c r="J12" s="18">
        <v>9.9999999999999995E-7</v>
      </c>
      <c r="K12" s="21"/>
      <c r="L12" s="24">
        <v>1.4197</v>
      </c>
      <c r="M12" s="27">
        <v>3.1155578956599999E-3</v>
      </c>
      <c r="N12" s="18">
        <v>9.9999999999999995E-7</v>
      </c>
      <c r="O12" s="18"/>
      <c r="P12" s="24">
        <v>0.35460000000000003</v>
      </c>
      <c r="Q12" s="27">
        <v>8.0097646189900007E-3</v>
      </c>
      <c r="R12" s="18">
        <v>9.9999999999999995E-7</v>
      </c>
      <c r="S12" s="14"/>
      <c r="T12" s="14"/>
      <c r="U12" s="14"/>
      <c r="V12" s="14"/>
      <c r="W12" s="17"/>
      <c r="Z12" s="36">
        <v>0.31969999999999998</v>
      </c>
      <c r="AA12" s="54">
        <v>3.4406454797600003E-2</v>
      </c>
      <c r="AB12" s="36">
        <v>1.2786</v>
      </c>
      <c r="AC12" s="54">
        <v>9.5703961868999997E-4</v>
      </c>
      <c r="AD12" s="36">
        <v>0.31919999999999998</v>
      </c>
      <c r="AE12" s="54">
        <v>4.2562694654399999E-3</v>
      </c>
      <c r="AF12" s="18">
        <v>9.9999999999999995E-7</v>
      </c>
    </row>
    <row r="13" spans="1:32" x14ac:dyDescent="0.25">
      <c r="A13" s="16">
        <v>11</v>
      </c>
      <c r="B13" s="22">
        <v>1192.3217773399999</v>
      </c>
      <c r="C13" s="22">
        <v>1192.2454834</v>
      </c>
      <c r="D13" s="22">
        <v>1190.4907226600001</v>
      </c>
      <c r="E13" s="21">
        <f t="shared" si="0"/>
        <v>1191.6859944666667</v>
      </c>
      <c r="F13" s="21">
        <f t="shared" si="1"/>
        <v>0.91552733999992597</v>
      </c>
      <c r="G13" s="21"/>
      <c r="H13" s="24">
        <v>0.39069999999999999</v>
      </c>
      <c r="I13" s="27">
        <v>4.6829180600199999E-2</v>
      </c>
      <c r="J13" s="18">
        <v>9.9999999999999995E-7</v>
      </c>
      <c r="K13" s="21"/>
      <c r="L13" s="24">
        <v>1.5627</v>
      </c>
      <c r="M13" s="27">
        <v>2.6344271245900002E-3</v>
      </c>
      <c r="N13" s="18">
        <v>9.9999999999999995E-7</v>
      </c>
      <c r="O13" s="18"/>
      <c r="P13" s="24">
        <v>0.3901</v>
      </c>
      <c r="Q13" s="27">
        <v>4.8687701761399999E-3</v>
      </c>
      <c r="R13" s="18">
        <v>9.9999999999999995E-7</v>
      </c>
      <c r="S13" s="14"/>
      <c r="T13" s="14"/>
      <c r="U13" s="14"/>
      <c r="V13" s="14"/>
      <c r="W13" s="17"/>
      <c r="Z13" s="36">
        <v>0.35520000000000002</v>
      </c>
      <c r="AA13" s="54">
        <v>7.7700859955700002E-2</v>
      </c>
      <c r="AB13" s="36">
        <v>1.4197</v>
      </c>
      <c r="AC13" s="54">
        <v>3.1155578956599999E-3</v>
      </c>
      <c r="AD13" s="36">
        <v>0.35460000000000003</v>
      </c>
      <c r="AE13" s="54">
        <v>8.0097646189900007E-3</v>
      </c>
      <c r="AF13" s="18">
        <v>9.9999999999999995E-7</v>
      </c>
    </row>
    <row r="14" spans="1:32" x14ac:dyDescent="0.25">
      <c r="A14" s="16">
        <v>12</v>
      </c>
      <c r="B14" s="22">
        <v>1301.26953125</v>
      </c>
      <c r="C14" s="22">
        <v>1301.6510009799999</v>
      </c>
      <c r="D14" s="22">
        <v>1300.9643554700001</v>
      </c>
      <c r="E14" s="21">
        <f t="shared" si="0"/>
        <v>1301.2949625666668</v>
      </c>
      <c r="F14" s="21">
        <f t="shared" si="1"/>
        <v>0.34332275499991738</v>
      </c>
      <c r="G14" s="21"/>
      <c r="H14" s="24">
        <v>0.4264</v>
      </c>
      <c r="I14" s="27">
        <v>5.2627051820999998E-2</v>
      </c>
      <c r="J14" s="18">
        <v>9.9999999999999995E-7</v>
      </c>
      <c r="K14" s="21"/>
      <c r="L14" s="24">
        <v>1.7060999999999999</v>
      </c>
      <c r="M14" s="27">
        <v>2.8053070697000001E-3</v>
      </c>
      <c r="N14" s="18">
        <v>9.9999999999999995E-7</v>
      </c>
      <c r="O14" s="18"/>
      <c r="P14" s="24">
        <v>0.42630000000000001</v>
      </c>
      <c r="Q14" s="27">
        <v>3.8232422850100001E-3</v>
      </c>
      <c r="R14" s="18">
        <v>9.9999999999999995E-7</v>
      </c>
      <c r="S14" s="14"/>
      <c r="T14" s="14"/>
      <c r="U14" s="14"/>
      <c r="V14" s="14"/>
      <c r="W14" s="17"/>
      <c r="Z14" s="36">
        <v>0.39069999999999999</v>
      </c>
      <c r="AA14" s="54">
        <v>4.6829180600199999E-2</v>
      </c>
      <c r="AB14" s="36">
        <v>1.5627</v>
      </c>
      <c r="AC14" s="54">
        <v>2.6344271245900002E-3</v>
      </c>
      <c r="AD14" s="36">
        <v>0.3901</v>
      </c>
      <c r="AE14" s="54">
        <v>4.8687701761399999E-3</v>
      </c>
      <c r="AF14" s="18">
        <v>9.9999999999999995E-7</v>
      </c>
    </row>
    <row r="15" spans="1:32" x14ac:dyDescent="0.25">
      <c r="A15" s="16">
        <v>13</v>
      </c>
      <c r="B15" s="22">
        <v>1409.30175781</v>
      </c>
      <c r="C15" s="22">
        <v>1409.53063965</v>
      </c>
      <c r="D15" s="22">
        <v>1408.69140625</v>
      </c>
      <c r="E15" s="21">
        <f t="shared" si="0"/>
        <v>1409.1746012366666</v>
      </c>
      <c r="F15" s="21">
        <f t="shared" si="1"/>
        <v>0.41961670000000595</v>
      </c>
      <c r="G15" s="21"/>
      <c r="H15" s="24">
        <v>0.46179999999999999</v>
      </c>
      <c r="I15" s="27">
        <v>2.2589480500600001E-2</v>
      </c>
      <c r="J15" s="18">
        <v>9.9999999999999995E-7</v>
      </c>
      <c r="K15" s="21"/>
      <c r="L15" s="24">
        <v>1.8474999999999999</v>
      </c>
      <c r="M15" s="27">
        <v>1.25933889431E-3</v>
      </c>
      <c r="N15" s="18">
        <v>9.9999999999999995E-7</v>
      </c>
      <c r="O15" s="18"/>
      <c r="P15" s="24">
        <v>0.46160000000000001</v>
      </c>
      <c r="Q15" s="27">
        <v>3.2477078642299999E-3</v>
      </c>
      <c r="R15" s="18">
        <v>9.9999999999999995E-7</v>
      </c>
      <c r="S15" s="14"/>
      <c r="T15" s="14"/>
      <c r="U15" s="14"/>
      <c r="V15" s="14"/>
      <c r="W15" s="17"/>
      <c r="Z15" s="36">
        <v>0.4264</v>
      </c>
      <c r="AA15" s="54">
        <v>5.2627051820999998E-2</v>
      </c>
      <c r="AB15" s="36">
        <v>1.7060999999999999</v>
      </c>
      <c r="AC15" s="54">
        <v>2.8053070697000001E-3</v>
      </c>
      <c r="AD15" s="36">
        <v>0.42630000000000001</v>
      </c>
      <c r="AE15" s="54">
        <v>3.8232422850100001E-3</v>
      </c>
      <c r="AF15" s="18">
        <v>9.9999999999999995E-7</v>
      </c>
    </row>
    <row r="16" spans="1:32" x14ac:dyDescent="0.25">
      <c r="A16" s="16">
        <v>14</v>
      </c>
      <c r="B16" s="22">
        <v>1517.3339843799999</v>
      </c>
      <c r="C16" s="22">
        <v>1517.10510254</v>
      </c>
      <c r="D16" s="22">
        <v>1517.0288085899999</v>
      </c>
      <c r="E16" s="21">
        <f t="shared" si="0"/>
        <v>1517.1559651699999</v>
      </c>
      <c r="F16" s="21">
        <f t="shared" si="1"/>
        <v>0.15258789500001058</v>
      </c>
      <c r="G16" s="21"/>
      <c r="H16" s="24">
        <v>0.49719999999999998</v>
      </c>
      <c r="I16" s="27">
        <v>7.9029663702100003E-2</v>
      </c>
      <c r="J16" s="18">
        <v>9.9999999999999995E-7</v>
      </c>
      <c r="K16" s="21"/>
      <c r="L16" s="24">
        <v>1.9884999999999999</v>
      </c>
      <c r="M16" s="27">
        <v>3.4766428189500001E-3</v>
      </c>
      <c r="N16" s="18">
        <v>9.9999999999999995E-7</v>
      </c>
      <c r="O16" s="18"/>
      <c r="P16" s="24">
        <v>0.49709999999999999</v>
      </c>
      <c r="Q16" s="27">
        <v>3.4557607560900001E-3</v>
      </c>
      <c r="R16" s="18">
        <v>9.9999999999999995E-7</v>
      </c>
      <c r="S16" s="14"/>
      <c r="T16" s="14"/>
      <c r="U16" s="14"/>
      <c r="V16" s="14"/>
      <c r="W16" s="17"/>
      <c r="Z16" s="36">
        <v>0.46179999999999999</v>
      </c>
      <c r="AA16" s="54">
        <v>2.2589480500600001E-2</v>
      </c>
      <c r="AB16" s="36">
        <v>1.8474999999999999</v>
      </c>
      <c r="AC16" s="54">
        <v>1.25933889431E-3</v>
      </c>
      <c r="AD16" s="36">
        <v>0.46160000000000001</v>
      </c>
      <c r="AE16" s="54">
        <v>3.2477078642299999E-3</v>
      </c>
      <c r="AF16" s="18">
        <v>9.9999999999999995E-7</v>
      </c>
    </row>
    <row r="17" spans="1:32" x14ac:dyDescent="0.25">
      <c r="A17" s="16">
        <v>15</v>
      </c>
      <c r="B17" s="22">
        <v>1625.6713867200001</v>
      </c>
      <c r="C17" s="22">
        <v>1625.21362305</v>
      </c>
      <c r="D17" s="22">
        <v>1626.2817382799999</v>
      </c>
      <c r="E17" s="21">
        <f t="shared" si="0"/>
        <v>1625.7222493500001</v>
      </c>
      <c r="F17" s="21">
        <f t="shared" si="1"/>
        <v>0.53405761499993787</v>
      </c>
      <c r="G17" s="21"/>
      <c r="H17" s="24">
        <v>0.53269999999999995</v>
      </c>
      <c r="I17" s="27">
        <v>2.6885585918099999E-2</v>
      </c>
      <c r="J17" s="18">
        <v>9.9999999999999995E-7</v>
      </c>
      <c r="K17" s="21"/>
      <c r="L17" s="24">
        <v>2.1301999999999999</v>
      </c>
      <c r="M17" s="27">
        <v>1.50834957527E-3</v>
      </c>
      <c r="N17" s="18">
        <v>9.9999999999999995E-7</v>
      </c>
      <c r="O17" s="18"/>
      <c r="P17" s="24">
        <v>0.53290000000000004</v>
      </c>
      <c r="Q17" s="27">
        <v>3.4653392695399999E-4</v>
      </c>
      <c r="R17" s="18">
        <v>9.9999999999999995E-7</v>
      </c>
      <c r="S17" s="14"/>
      <c r="T17" s="14"/>
      <c r="U17" s="14"/>
      <c r="V17" s="14"/>
      <c r="W17" s="17"/>
      <c r="Z17" s="36">
        <v>0.49719999999999998</v>
      </c>
      <c r="AA17" s="54">
        <v>7.9029663702100003E-2</v>
      </c>
      <c r="AB17" s="36">
        <v>1.9884999999999999</v>
      </c>
      <c r="AC17" s="54">
        <v>3.4766428189500001E-3</v>
      </c>
      <c r="AD17" s="36">
        <v>0.49709999999999999</v>
      </c>
      <c r="AE17" s="54">
        <v>3.4557607560900001E-3</v>
      </c>
      <c r="AF17" s="18">
        <v>9.9999999999999995E-7</v>
      </c>
    </row>
    <row r="18" spans="1:32" x14ac:dyDescent="0.25">
      <c r="A18" s="16">
        <v>16</v>
      </c>
      <c r="B18" s="22">
        <v>1734.00878906</v>
      </c>
      <c r="C18" s="22">
        <v>1734.00878906</v>
      </c>
      <c r="D18" s="22">
        <v>1734.3139648399999</v>
      </c>
      <c r="E18" s="21">
        <f t="shared" si="0"/>
        <v>1734.11051432</v>
      </c>
      <c r="F18" s="21">
        <f>(MAX(B18:D18)-MIN(B18:D18))/2</f>
        <v>0.15258788999994977</v>
      </c>
      <c r="G18" s="21"/>
      <c r="H18" s="24">
        <v>0.56820000000000004</v>
      </c>
      <c r="I18" s="27">
        <v>2.14880830122E-2</v>
      </c>
      <c r="J18" s="18">
        <v>9.9999999999999995E-7</v>
      </c>
      <c r="K18" s="21"/>
      <c r="L18" s="24">
        <v>2.2728000000000002</v>
      </c>
      <c r="M18" s="27">
        <v>8.4242402497499997E-4</v>
      </c>
      <c r="N18" s="18">
        <v>9.9999999999999995E-7</v>
      </c>
      <c r="O18" s="18"/>
      <c r="P18" s="24">
        <v>0.56830000000000003</v>
      </c>
      <c r="Q18" s="27">
        <v>8.6927458580600002E-4</v>
      </c>
      <c r="R18" s="18">
        <v>9.9999999999999995E-7</v>
      </c>
      <c r="S18" s="14"/>
      <c r="T18" s="14"/>
      <c r="U18" s="14"/>
      <c r="V18" s="14"/>
      <c r="W18" s="17"/>
      <c r="Z18" s="36">
        <v>0.53269999999999995</v>
      </c>
      <c r="AA18" s="54">
        <v>2.6885585918099999E-2</v>
      </c>
      <c r="AB18" s="36">
        <v>2.1301999999999999</v>
      </c>
      <c r="AC18" s="54">
        <v>1.50834957527E-3</v>
      </c>
      <c r="AD18" s="36">
        <v>0.53290000000000004</v>
      </c>
      <c r="AE18" s="54">
        <v>3.4653392695399999E-4</v>
      </c>
      <c r="AF18" s="18">
        <v>9.9999999999999995E-7</v>
      </c>
    </row>
    <row r="19" spans="1:32" x14ac:dyDescent="0.25">
      <c r="A19" s="16">
        <v>17</v>
      </c>
      <c r="B19" s="22">
        <v>1834.10644531</v>
      </c>
      <c r="C19" s="22">
        <v>1833.8012695299999</v>
      </c>
      <c r="D19" s="22">
        <v>1837.76855469</v>
      </c>
      <c r="E19" s="21">
        <f t="shared" si="0"/>
        <v>1835.2254231766667</v>
      </c>
      <c r="F19" s="21">
        <f t="shared" ref="F19:F20" si="2">(MAX(B19:D19)-MIN(B19:D19))/2</f>
        <v>1.983642580000037</v>
      </c>
      <c r="G19" s="21"/>
      <c r="H19" s="24">
        <v>0.60099999999999998</v>
      </c>
      <c r="I19" s="27">
        <v>2.2073672260999998E-2</v>
      </c>
      <c r="J19" s="18">
        <v>9.9999999999999995E-7</v>
      </c>
      <c r="K19" s="21"/>
      <c r="L19" s="24">
        <v>2.4036</v>
      </c>
      <c r="M19" s="27">
        <v>1.8454464102E-3</v>
      </c>
      <c r="N19" s="18">
        <v>9.9999999999999995E-7</v>
      </c>
      <c r="O19" s="18"/>
      <c r="P19" s="24">
        <v>0.60219999999999996</v>
      </c>
      <c r="Q19" s="27">
        <v>8.7122461484199999E-4</v>
      </c>
      <c r="R19" s="18">
        <v>9.9999999999999995E-7</v>
      </c>
      <c r="S19" s="14"/>
      <c r="T19" s="14"/>
      <c r="U19" s="14"/>
      <c r="V19" s="14"/>
      <c r="W19" s="17"/>
      <c r="Z19" s="36">
        <v>0.56820000000000004</v>
      </c>
      <c r="AA19" s="54">
        <v>2.14880830122E-2</v>
      </c>
      <c r="AB19" s="36">
        <v>2.2728000000000002</v>
      </c>
      <c r="AC19" s="54">
        <v>8.4242402497499997E-4</v>
      </c>
      <c r="AD19" s="36">
        <v>0.56830000000000003</v>
      </c>
      <c r="AE19" s="54">
        <v>8.6927458580600002E-4</v>
      </c>
      <c r="AF19" s="18">
        <v>9.9999999999999995E-7</v>
      </c>
    </row>
    <row r="20" spans="1:32" x14ac:dyDescent="0.25">
      <c r="A20" s="16">
        <v>18</v>
      </c>
      <c r="B20" s="22">
        <v>1950.3784179700001</v>
      </c>
      <c r="C20" s="22">
        <v>1949.4628906299999</v>
      </c>
      <c r="D20" s="22">
        <v>1950.9887695299999</v>
      </c>
      <c r="E20" s="21">
        <f t="shared" si="0"/>
        <v>1950.2766927100001</v>
      </c>
      <c r="F20" s="21">
        <f t="shared" si="2"/>
        <v>0.7629394499999762</v>
      </c>
      <c r="G20" s="21"/>
      <c r="H20" s="24">
        <v>0.6391</v>
      </c>
      <c r="I20" s="27">
        <v>2.1609159665399998E-2</v>
      </c>
      <c r="J20" s="18">
        <v>9.9999999999999995E-7</v>
      </c>
      <c r="K20" s="21"/>
      <c r="L20" s="24">
        <v>2.5552000000000001</v>
      </c>
      <c r="M20" s="27">
        <v>1.3009783967900001E-3</v>
      </c>
      <c r="N20" s="18">
        <v>9.9999999999999995E-7</v>
      </c>
      <c r="O20" s="18"/>
      <c r="P20" s="24">
        <v>0.63929999999999998</v>
      </c>
      <c r="Q20" s="27">
        <v>8.3479628476600001E-4</v>
      </c>
      <c r="R20" s="18">
        <v>9.9999999999999995E-7</v>
      </c>
      <c r="S20" s="14"/>
      <c r="T20" s="14"/>
      <c r="U20" s="14"/>
      <c r="V20" s="14"/>
      <c r="W20" s="17"/>
      <c r="Z20" s="36">
        <v>0.60099999999999998</v>
      </c>
      <c r="AA20" s="54">
        <v>2.2073672260999998E-2</v>
      </c>
      <c r="AB20" s="36">
        <v>2.4036</v>
      </c>
      <c r="AC20" s="54">
        <v>1.8454464102E-3</v>
      </c>
      <c r="AD20" s="36">
        <v>0.60219999999999996</v>
      </c>
      <c r="AE20" s="54">
        <v>8.7122461484199999E-4</v>
      </c>
      <c r="AF20" s="18">
        <v>9.9999999999999995E-7</v>
      </c>
    </row>
    <row r="21" spans="1:32" x14ac:dyDescent="0.25">
      <c r="A21" s="17"/>
      <c r="B21" s="14"/>
      <c r="C21" s="14"/>
      <c r="D21" s="14"/>
      <c r="E21" s="14"/>
      <c r="F21" s="14"/>
      <c r="G21" s="14"/>
      <c r="H21" s="17"/>
      <c r="I21" s="29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Z21" s="36">
        <v>0.6391</v>
      </c>
      <c r="AA21" s="54">
        <v>2.1609159665399998E-2</v>
      </c>
      <c r="AB21" s="36">
        <v>2.5552000000000001</v>
      </c>
      <c r="AC21" s="54">
        <v>1.3009783967900001E-3</v>
      </c>
      <c r="AD21" s="36">
        <v>0.63929999999999998</v>
      </c>
      <c r="AE21" s="54">
        <v>8.3479628476600001E-4</v>
      </c>
      <c r="AF21" s="18">
        <v>9.9999999999999995E-7</v>
      </c>
    </row>
    <row r="22" spans="1:32" x14ac:dyDescent="0.25">
      <c r="B22" s="11"/>
      <c r="C22" s="11"/>
      <c r="D22" s="11"/>
      <c r="E22" s="11"/>
      <c r="F22" s="11"/>
      <c r="G22" s="11"/>
    </row>
    <row r="23" spans="1:32" x14ac:dyDescent="0.25">
      <c r="B23" s="11"/>
      <c r="C23" s="11"/>
      <c r="E23" s="11"/>
      <c r="F23" s="11"/>
      <c r="G23" s="11"/>
    </row>
    <row r="24" spans="1:32" x14ac:dyDescent="0.25">
      <c r="B24" s="11" t="s">
        <v>26</v>
      </c>
      <c r="C24" s="11" t="s">
        <v>27</v>
      </c>
      <c r="E24" s="11"/>
      <c r="F24" s="11"/>
      <c r="G24" s="11"/>
      <c r="Y24">
        <f>Q5/I5</f>
        <v>3.3028967193131051</v>
      </c>
      <c r="Z24">
        <f>M7/I5</f>
        <v>0.43273742326777564</v>
      </c>
    </row>
    <row r="25" spans="1:32" x14ac:dyDescent="0.25">
      <c r="A25" t="s">
        <v>28</v>
      </c>
      <c r="B25" s="17">
        <f t="array" ref="B25:C26">LINEST(E3:E20,A3:A20,TRUE,TRUE)</f>
        <v>108.35509141122324</v>
      </c>
      <c r="C25" s="17">
        <v>-0.75014068665791456</v>
      </c>
      <c r="E25" s="11"/>
      <c r="F25" s="11"/>
      <c r="G25" s="11"/>
    </row>
    <row r="26" spans="1:32" ht="18" x14ac:dyDescent="0.25">
      <c r="A26" t="s">
        <v>29</v>
      </c>
      <c r="B26" s="17">
        <v>8.6759422700990949E-2</v>
      </c>
      <c r="C26" s="17">
        <v>0.93911481295496957</v>
      </c>
      <c r="E26" s="11"/>
      <c r="F26" s="11"/>
      <c r="G26" s="11"/>
      <c r="Y26" s="56" t="s">
        <v>81</v>
      </c>
      <c r="Z26" s="56" t="s">
        <v>82</v>
      </c>
      <c r="AA26" s="56" t="s">
        <v>83</v>
      </c>
      <c r="AB26" s="56" t="s">
        <v>84</v>
      </c>
      <c r="AC26" s="56" t="s">
        <v>85</v>
      </c>
      <c r="AD26" s="56" t="s">
        <v>86</v>
      </c>
      <c r="AE26" s="56" t="s">
        <v>38</v>
      </c>
    </row>
    <row r="27" spans="1:32" x14ac:dyDescent="0.25">
      <c r="A27" t="s">
        <v>30</v>
      </c>
      <c r="B27" s="17">
        <f>2*B26</f>
        <v>0.1735188454019819</v>
      </c>
      <c r="C27" s="17">
        <f>2*C26</f>
        <v>1.8782296259099391</v>
      </c>
      <c r="E27" s="11"/>
      <c r="F27" s="11"/>
      <c r="G27" s="11"/>
      <c r="Y27" s="52">
        <v>0.1077</v>
      </c>
      <c r="Z27" s="53">
        <v>0.25965878540499998</v>
      </c>
      <c r="AA27" s="52">
        <v>0.70620000000000005</v>
      </c>
      <c r="AB27" s="53">
        <v>0.112364073725</v>
      </c>
      <c r="AC27" s="52">
        <v>0.10580000000000001</v>
      </c>
      <c r="AD27" s="53">
        <v>0.85762615045500001</v>
      </c>
      <c r="AE27" s="18">
        <v>9.9999999999999995E-7</v>
      </c>
    </row>
    <row r="29" spans="1:32" x14ac:dyDescent="0.25">
      <c r="Y29" s="56" t="s">
        <v>87</v>
      </c>
      <c r="Z29" s="56" t="s">
        <v>89</v>
      </c>
      <c r="AA29" s="56" t="s">
        <v>88</v>
      </c>
      <c r="AB29" s="56" t="s">
        <v>90</v>
      </c>
    </row>
    <row r="30" spans="1:32" x14ac:dyDescent="0.25">
      <c r="Y30" s="54">
        <f>AB27/Z27</f>
        <v>0.43273742326777564</v>
      </c>
      <c r="Z30" s="54">
        <f>(AE27/AB27+AE27/Z27)*Y30</f>
        <v>5.5177698726160139E-6</v>
      </c>
      <c r="AA30" s="54">
        <f>AD27/Z27</f>
        <v>3.3028967193131051</v>
      </c>
      <c r="AB30" s="54">
        <f>(AE27/AD27+AE27/Z27)*AA30</f>
        <v>1.6571350407426837E-5</v>
      </c>
    </row>
  </sheetData>
  <mergeCells count="4">
    <mergeCell ref="A1:F1"/>
    <mergeCell ref="H1:J1"/>
    <mergeCell ref="L1:N1"/>
    <mergeCell ref="P1:R1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opLeftCell="V1" workbookViewId="0">
      <selection activeCell="AC22" sqref="AC22"/>
    </sheetView>
  </sheetViews>
  <sheetFormatPr defaultRowHeight="15" x14ac:dyDescent="0.25"/>
  <cols>
    <col min="1" max="1" width="11.42578125" customWidth="1"/>
    <col min="2" max="4" width="10.5703125" bestFit="1" customWidth="1"/>
    <col min="5" max="5" width="9.5703125" bestFit="1" customWidth="1"/>
    <col min="6" max="6" width="9.28515625" bestFit="1" customWidth="1"/>
    <col min="18" max="18" width="11.85546875" customWidth="1"/>
    <col min="23" max="23" width="15.140625" customWidth="1"/>
  </cols>
  <sheetData>
    <row r="1" spans="1:33" x14ac:dyDescent="0.25">
      <c r="A1" s="78" t="s">
        <v>36</v>
      </c>
      <c r="B1" s="78"/>
      <c r="C1" s="78"/>
      <c r="D1" s="78"/>
      <c r="E1" s="78"/>
      <c r="F1" s="78"/>
      <c r="H1" s="79" t="s">
        <v>52</v>
      </c>
      <c r="I1" s="79"/>
      <c r="J1" s="79"/>
      <c r="K1" s="20"/>
      <c r="L1" s="79" t="s">
        <v>53</v>
      </c>
      <c r="M1" s="79"/>
      <c r="N1" s="79"/>
      <c r="O1" s="20"/>
      <c r="P1" s="79" t="s">
        <v>54</v>
      </c>
      <c r="Q1" s="79"/>
      <c r="R1" s="79"/>
      <c r="S1" s="20"/>
      <c r="T1" s="20"/>
      <c r="U1" s="20"/>
      <c r="V1" s="20"/>
      <c r="W1" s="20"/>
    </row>
    <row r="2" spans="1:33" x14ac:dyDescent="0.25">
      <c r="A2" s="12" t="s">
        <v>25</v>
      </c>
      <c r="B2" s="12" t="s">
        <v>33</v>
      </c>
      <c r="C2" s="12" t="s">
        <v>34</v>
      </c>
      <c r="D2" s="12" t="s">
        <v>35</v>
      </c>
      <c r="E2" s="12" t="s">
        <v>31</v>
      </c>
      <c r="F2" s="12" t="s">
        <v>32</v>
      </c>
      <c r="H2" s="13" t="s">
        <v>39</v>
      </c>
      <c r="I2" s="12" t="s">
        <v>37</v>
      </c>
      <c r="J2" s="12" t="s">
        <v>38</v>
      </c>
      <c r="K2" s="18"/>
      <c r="L2" s="13" t="s">
        <v>39</v>
      </c>
      <c r="M2" s="12" t="s">
        <v>37</v>
      </c>
      <c r="N2" s="12" t="s">
        <v>38</v>
      </c>
      <c r="O2" s="19"/>
      <c r="P2" s="13" t="s">
        <v>39</v>
      </c>
      <c r="Q2" s="12" t="s">
        <v>37</v>
      </c>
      <c r="R2" s="12" t="s">
        <v>38</v>
      </c>
      <c r="S2" s="20"/>
      <c r="T2" s="20"/>
      <c r="U2" s="20"/>
      <c r="V2" s="20"/>
      <c r="W2" s="20"/>
    </row>
    <row r="3" spans="1:33" ht="18" x14ac:dyDescent="0.25">
      <c r="A3" s="16">
        <v>1</v>
      </c>
      <c r="B3" s="22">
        <v>164.18457031299999</v>
      </c>
      <c r="C3" s="22">
        <v>163.57421875</v>
      </c>
      <c r="D3" s="22">
        <v>160.52246093799999</v>
      </c>
      <c r="E3" s="21">
        <f>AVERAGE(B3:D3)</f>
        <v>162.76041666699999</v>
      </c>
      <c r="F3" s="21">
        <f>(MAX(B3:D3)-MIN(B3:D3))/2</f>
        <v>1.8310546875</v>
      </c>
      <c r="G3" s="18"/>
      <c r="H3" s="24">
        <v>5.3800000000000001E-2</v>
      </c>
      <c r="I3" s="27">
        <v>0.103900667531</v>
      </c>
      <c r="J3" s="18">
        <v>9.9999999999999995E-7</v>
      </c>
      <c r="K3" s="18"/>
      <c r="L3" s="24">
        <v>0.21440000000000001</v>
      </c>
      <c r="M3" s="27">
        <v>6.3562763290900007E-2</v>
      </c>
      <c r="N3" s="18">
        <v>9.9999999999999995E-7</v>
      </c>
      <c r="O3" s="18"/>
      <c r="P3" s="24">
        <v>5.2600000000000001E-2</v>
      </c>
      <c r="Q3" s="27">
        <v>5.5418678838800001E-2</v>
      </c>
      <c r="R3" s="18">
        <v>9.9999999999999995E-7</v>
      </c>
      <c r="S3" s="20"/>
      <c r="T3" s="20"/>
      <c r="U3" s="20"/>
      <c r="V3" s="20"/>
      <c r="W3" s="20"/>
      <c r="AA3" s="56" t="s">
        <v>75</v>
      </c>
      <c r="AB3" s="56" t="s">
        <v>76</v>
      </c>
      <c r="AC3" s="56" t="s">
        <v>77</v>
      </c>
      <c r="AD3" s="56" t="s">
        <v>78</v>
      </c>
      <c r="AE3" s="56" t="s">
        <v>79</v>
      </c>
      <c r="AF3" s="56" t="s">
        <v>80</v>
      </c>
      <c r="AG3" s="56" t="s">
        <v>38</v>
      </c>
    </row>
    <row r="4" spans="1:33" x14ac:dyDescent="0.25">
      <c r="A4" s="16">
        <v>2</v>
      </c>
      <c r="B4" s="22">
        <v>328.369140625</v>
      </c>
      <c r="C4" s="22">
        <v>327.301025391</v>
      </c>
      <c r="D4" s="22">
        <v>321.65527343799999</v>
      </c>
      <c r="E4" s="21">
        <f t="shared" ref="E4:E13" si="0">AVERAGE(B4:D4)</f>
        <v>325.77514648466666</v>
      </c>
      <c r="F4" s="21">
        <f t="shared" ref="F4:F13" si="1">(MAX(B4:D4)-MIN(B4:D4))/2</f>
        <v>3.3569335935000026</v>
      </c>
      <c r="G4" s="18"/>
      <c r="H4" s="24">
        <v>0.1076</v>
      </c>
      <c r="I4" s="27">
        <v>0.32245413670599998</v>
      </c>
      <c r="J4" s="18">
        <v>9.9999999999999995E-7</v>
      </c>
      <c r="K4" s="18"/>
      <c r="L4" s="57">
        <v>0.42899999999999999</v>
      </c>
      <c r="M4" s="58">
        <v>0.119681191763</v>
      </c>
      <c r="N4" s="18">
        <v>9.9999999999999995E-7</v>
      </c>
      <c r="O4" s="18"/>
      <c r="P4" s="24">
        <v>0.10539999999999999</v>
      </c>
      <c r="Q4" s="27">
        <v>4.2851691312199999E-2</v>
      </c>
      <c r="R4" s="18">
        <v>9.9999999999999995E-7</v>
      </c>
      <c r="S4" s="20"/>
      <c r="T4" s="20"/>
      <c r="U4" s="20"/>
      <c r="V4" s="20"/>
      <c r="W4" s="20"/>
      <c r="AA4" s="36">
        <v>5.3800000000000001E-2</v>
      </c>
      <c r="AB4" s="54">
        <v>0.103900667531</v>
      </c>
      <c r="AC4" s="36">
        <v>0.21440000000000001</v>
      </c>
      <c r="AD4" s="54">
        <v>6.3562763290900007E-2</v>
      </c>
      <c r="AE4" s="36">
        <v>5.2600000000000001E-2</v>
      </c>
      <c r="AF4" s="54">
        <v>5.5418678838800001E-2</v>
      </c>
      <c r="AG4" s="18">
        <v>9.9999999999999995E-7</v>
      </c>
    </row>
    <row r="5" spans="1:33" x14ac:dyDescent="0.25">
      <c r="A5" s="16">
        <v>3</v>
      </c>
      <c r="B5" s="22">
        <v>492.55371093799999</v>
      </c>
      <c r="C5" s="22">
        <v>490.264892578</v>
      </c>
      <c r="D5" s="22">
        <v>481.56738281299999</v>
      </c>
      <c r="E5" s="21">
        <f t="shared" si="0"/>
        <v>488.12866210966666</v>
      </c>
      <c r="F5" s="21">
        <f t="shared" si="1"/>
        <v>5.4931640625</v>
      </c>
      <c r="G5" s="18"/>
      <c r="H5" s="24">
        <v>0.16139999999999999</v>
      </c>
      <c r="I5" s="27">
        <v>0.267057476854</v>
      </c>
      <c r="J5" s="18">
        <v>9.9999999999999995E-7</v>
      </c>
      <c r="K5" s="18"/>
      <c r="L5" s="24">
        <v>0.64259999999999995</v>
      </c>
      <c r="M5" s="27">
        <v>6.0997447025100002E-2</v>
      </c>
      <c r="N5" s="18">
        <v>9.9999999999999995E-7</v>
      </c>
      <c r="O5" s="18"/>
      <c r="P5" s="57">
        <v>0.1578</v>
      </c>
      <c r="Q5" s="58">
        <v>1.07143769514</v>
      </c>
      <c r="R5" s="18">
        <v>9.9999999999999995E-7</v>
      </c>
      <c r="S5" s="20"/>
      <c r="T5" s="20"/>
      <c r="U5" s="20"/>
      <c r="V5" s="20"/>
      <c r="W5" s="20"/>
      <c r="AA5" s="36">
        <v>0.1076</v>
      </c>
      <c r="AB5" s="54">
        <v>0.32245413670599998</v>
      </c>
      <c r="AC5" s="36">
        <v>0.42899999999999999</v>
      </c>
      <c r="AD5" s="54">
        <v>0.119681191763</v>
      </c>
      <c r="AE5" s="36">
        <v>0.10539999999999999</v>
      </c>
      <c r="AF5" s="54">
        <v>4.2851691312199999E-2</v>
      </c>
      <c r="AG5" s="18">
        <v>9.9999999999999995E-7</v>
      </c>
    </row>
    <row r="6" spans="1:33" x14ac:dyDescent="0.25">
      <c r="A6" s="16">
        <v>4</v>
      </c>
      <c r="B6" s="22">
        <v>656.73828125</v>
      </c>
      <c r="C6" s="22">
        <v>654.296875</v>
      </c>
      <c r="D6" s="22">
        <v>655.517578125</v>
      </c>
      <c r="E6" s="21">
        <f t="shared" si="0"/>
        <v>655.517578125</v>
      </c>
      <c r="F6" s="21">
        <f t="shared" si="1"/>
        <v>1.220703125</v>
      </c>
      <c r="G6" s="18"/>
      <c r="H6" s="57">
        <v>0.2152</v>
      </c>
      <c r="I6" s="58">
        <v>0.56491787262199999</v>
      </c>
      <c r="J6" s="18">
        <v>9.9999999999999995E-7</v>
      </c>
      <c r="K6" s="18"/>
      <c r="L6" s="24">
        <v>0.85760000000000003</v>
      </c>
      <c r="M6" s="27">
        <v>2.0429631219199999E-2</v>
      </c>
      <c r="N6" s="18">
        <v>9.9999999999999995E-7</v>
      </c>
      <c r="O6" s="18"/>
      <c r="P6" s="24">
        <v>0.21479999999999999</v>
      </c>
      <c r="Q6" s="27">
        <v>1.76878366476E-3</v>
      </c>
      <c r="R6" s="18">
        <v>9.9999999999999995E-7</v>
      </c>
      <c r="S6" s="20"/>
      <c r="T6" s="20"/>
      <c r="U6" s="20"/>
      <c r="V6" s="20"/>
      <c r="W6" s="20"/>
      <c r="AA6" s="36">
        <v>0.16139999999999999</v>
      </c>
      <c r="AB6" s="54">
        <v>0.267057476854</v>
      </c>
      <c r="AC6" s="36">
        <v>0.64259999999999995</v>
      </c>
      <c r="AD6" s="54">
        <v>6.0997447025100002E-2</v>
      </c>
      <c r="AE6" s="36">
        <v>0.1578</v>
      </c>
      <c r="AF6" s="54">
        <v>1.07143769514</v>
      </c>
      <c r="AG6" s="18">
        <v>9.9999999999999995E-7</v>
      </c>
    </row>
    <row r="7" spans="1:33" x14ac:dyDescent="0.25">
      <c r="A7" s="16">
        <v>5</v>
      </c>
      <c r="B7" s="22">
        <v>817.87109375</v>
      </c>
      <c r="C7" s="22">
        <v>816.72668456999997</v>
      </c>
      <c r="D7" s="22">
        <v>816.955566406</v>
      </c>
      <c r="E7" s="21">
        <f t="shared" si="0"/>
        <v>817.18444824200003</v>
      </c>
      <c r="F7" s="21">
        <f t="shared" si="1"/>
        <v>0.57220459000001256</v>
      </c>
      <c r="G7" s="18"/>
      <c r="H7" s="24">
        <v>0.26800000000000002</v>
      </c>
      <c r="I7" s="27">
        <v>8.4437605384400007E-3</v>
      </c>
      <c r="J7" s="18">
        <v>9.9999999999999995E-7</v>
      </c>
      <c r="K7" s="18"/>
      <c r="L7" s="24">
        <v>1.0705</v>
      </c>
      <c r="M7" s="27">
        <v>2.0874903461299998E-2</v>
      </c>
      <c r="N7" s="18">
        <v>9.9999999999999995E-7</v>
      </c>
      <c r="O7" s="18"/>
      <c r="P7" s="24">
        <v>0.26769999999999999</v>
      </c>
      <c r="Q7" s="27">
        <v>1.84089964849E-3</v>
      </c>
      <c r="R7" s="18">
        <v>9.9999999999999995E-7</v>
      </c>
      <c r="S7" s="20"/>
      <c r="T7" s="20"/>
      <c r="U7" s="20"/>
      <c r="V7" s="20"/>
      <c r="W7" s="20"/>
      <c r="AA7" s="36">
        <v>0.2152</v>
      </c>
      <c r="AB7" s="54">
        <v>0.56491787262199999</v>
      </c>
      <c r="AC7" s="36">
        <v>0.85760000000000003</v>
      </c>
      <c r="AD7" s="54">
        <v>2.0429631219199999E-2</v>
      </c>
      <c r="AE7" s="36">
        <v>0.21479999999999999</v>
      </c>
      <c r="AF7" s="54">
        <v>1.76878366476E-3</v>
      </c>
      <c r="AG7" s="18">
        <v>9.9999999999999995E-7</v>
      </c>
    </row>
    <row r="8" spans="1:33" x14ac:dyDescent="0.25">
      <c r="A8" s="16">
        <v>6</v>
      </c>
      <c r="B8" s="22">
        <v>982.360839844</v>
      </c>
      <c r="C8" s="22">
        <v>982.360839844</v>
      </c>
      <c r="D8" s="22">
        <v>982.666015625</v>
      </c>
      <c r="E8" s="21">
        <f t="shared" si="0"/>
        <v>982.46256510433341</v>
      </c>
      <c r="F8" s="21">
        <f t="shared" si="1"/>
        <v>0.15258789050000132</v>
      </c>
      <c r="G8" s="18"/>
      <c r="H8" s="24">
        <v>0.32190000000000002</v>
      </c>
      <c r="I8" s="27">
        <v>7.6486746064200004E-3</v>
      </c>
      <c r="J8" s="18">
        <v>9.9999999999999995E-7</v>
      </c>
      <c r="K8" s="18"/>
      <c r="L8" s="24">
        <v>1.2876000000000001</v>
      </c>
      <c r="M8" s="27">
        <v>2.15144341112E-2</v>
      </c>
      <c r="N8" s="18">
        <v>9.9999999999999995E-7</v>
      </c>
      <c r="O8" s="18"/>
      <c r="P8" s="24">
        <v>0.32200000000000001</v>
      </c>
      <c r="Q8" s="27">
        <v>1.0347485902E-3</v>
      </c>
      <c r="R8" s="18">
        <v>9.9999999999999995E-7</v>
      </c>
      <c r="S8" s="20"/>
      <c r="T8" s="20"/>
      <c r="U8" s="20"/>
      <c r="V8" s="20"/>
      <c r="W8" s="20"/>
      <c r="AA8" s="36">
        <v>0.26800000000000002</v>
      </c>
      <c r="AB8" s="54">
        <v>8.4437605384400007E-3</v>
      </c>
      <c r="AC8" s="36">
        <v>1.0705</v>
      </c>
      <c r="AD8" s="54">
        <v>2.0874903461299998E-2</v>
      </c>
      <c r="AE8" s="36">
        <v>0.26769999999999999</v>
      </c>
      <c r="AF8" s="54">
        <v>1.84089964849E-3</v>
      </c>
      <c r="AG8" s="18">
        <v>9.9999999999999995E-7</v>
      </c>
    </row>
    <row r="9" spans="1:33" x14ac:dyDescent="0.25">
      <c r="A9" s="16">
        <v>7</v>
      </c>
      <c r="B9" s="22">
        <v>1145.62988281</v>
      </c>
      <c r="C9" s="22">
        <v>1145.9350585899999</v>
      </c>
      <c r="D9" s="22">
        <v>1145.62988281</v>
      </c>
      <c r="E9" s="21">
        <f t="shared" si="0"/>
        <v>1145.73160807</v>
      </c>
      <c r="F9" s="21">
        <f>(MAX(B9:D9)-MIN(B9:D9))/2</f>
        <v>0.15258788999994977</v>
      </c>
      <c r="G9" s="18"/>
      <c r="H9" s="24">
        <v>0.37540000000000001</v>
      </c>
      <c r="I9" s="27">
        <v>1.18827332524E-2</v>
      </c>
      <c r="J9" s="18">
        <v>9.9999999999999995E-7</v>
      </c>
      <c r="K9" s="18"/>
      <c r="L9" s="24">
        <v>1.502</v>
      </c>
      <c r="M9" s="27">
        <v>2.7844620621800001E-2</v>
      </c>
      <c r="N9" s="18">
        <v>9.9999999999999995E-7</v>
      </c>
      <c r="O9" s="18"/>
      <c r="P9" s="24">
        <v>0.37540000000000001</v>
      </c>
      <c r="Q9" s="27">
        <v>1.40511018475E-3</v>
      </c>
      <c r="R9" s="18">
        <v>9.9999999999999995E-7</v>
      </c>
      <c r="S9" s="20"/>
      <c r="T9" s="20"/>
      <c r="U9" s="20"/>
      <c r="V9" s="20"/>
      <c r="W9" s="20"/>
      <c r="AA9" s="36">
        <v>0.32190000000000002</v>
      </c>
      <c r="AB9" s="54">
        <v>7.6486746064200004E-3</v>
      </c>
      <c r="AC9" s="36">
        <v>1.2876000000000001</v>
      </c>
      <c r="AD9" s="54">
        <v>2.15144341112E-2</v>
      </c>
      <c r="AE9" s="36">
        <v>0.32200000000000001</v>
      </c>
      <c r="AF9" s="54">
        <v>1.0347485902E-3</v>
      </c>
      <c r="AG9" s="18">
        <v>9.9999999999999995E-7</v>
      </c>
    </row>
    <row r="10" spans="1:33" x14ac:dyDescent="0.25">
      <c r="A10" s="16">
        <v>8</v>
      </c>
      <c r="B10" s="22">
        <v>1313.7817382799999</v>
      </c>
      <c r="C10" s="22">
        <v>1310.3485107399999</v>
      </c>
      <c r="D10" s="22">
        <v>1313.1713867200001</v>
      </c>
      <c r="E10" s="21">
        <f t="shared" si="0"/>
        <v>1312.4338785799998</v>
      </c>
      <c r="F10" s="21">
        <f t="shared" si="1"/>
        <v>1.7166137699999808</v>
      </c>
      <c r="G10" s="18"/>
      <c r="H10" s="24">
        <v>0.43049999999999999</v>
      </c>
      <c r="I10" s="27">
        <v>0.43812904149100002</v>
      </c>
      <c r="J10" s="18">
        <v>9.9999999999999995E-7</v>
      </c>
      <c r="K10" s="18"/>
      <c r="L10" s="24">
        <v>1.7175</v>
      </c>
      <c r="M10" s="27">
        <v>6.7966068646800007E-2</v>
      </c>
      <c r="N10" s="18">
        <v>9.9999999999999995E-7</v>
      </c>
      <c r="O10" s="18"/>
      <c r="P10" s="24">
        <v>0.43030000000000002</v>
      </c>
      <c r="Q10" s="27">
        <v>1.7748317466199999E-3</v>
      </c>
      <c r="R10" s="18">
        <v>9.9999999999999995E-7</v>
      </c>
      <c r="S10" s="20"/>
      <c r="T10" s="20"/>
      <c r="U10" s="20"/>
      <c r="V10" s="20"/>
      <c r="W10" s="20"/>
      <c r="AA10" s="36">
        <v>0.37540000000000001</v>
      </c>
      <c r="AB10" s="54">
        <v>1.18827332524E-2</v>
      </c>
      <c r="AC10" s="36">
        <v>1.502</v>
      </c>
      <c r="AD10" s="54">
        <v>2.7844620621800001E-2</v>
      </c>
      <c r="AE10" s="36">
        <v>0.37540000000000001</v>
      </c>
      <c r="AF10" s="54">
        <v>1.40511018475E-3</v>
      </c>
      <c r="AG10" s="18">
        <v>9.9999999999999995E-7</v>
      </c>
    </row>
    <row r="11" spans="1:33" x14ac:dyDescent="0.25">
      <c r="A11" s="16">
        <v>9</v>
      </c>
      <c r="B11" s="22">
        <v>1477.9663085899999</v>
      </c>
      <c r="C11" s="22">
        <v>1476.05895996</v>
      </c>
      <c r="D11" s="22">
        <v>1478.2714843799999</v>
      </c>
      <c r="E11" s="21">
        <f t="shared" si="0"/>
        <v>1477.4322509766669</v>
      </c>
      <c r="F11" s="21">
        <f t="shared" si="1"/>
        <v>1.1062622099999544</v>
      </c>
      <c r="G11" s="18"/>
      <c r="H11" s="24">
        <v>0.48430000000000001</v>
      </c>
      <c r="I11" s="27">
        <v>0.110306173008</v>
      </c>
      <c r="J11" s="18">
        <v>9.9999999999999995E-7</v>
      </c>
      <c r="K11" s="18"/>
      <c r="L11" s="24">
        <v>1.9347000000000001</v>
      </c>
      <c r="M11" s="27">
        <v>8.2970855930200003E-3</v>
      </c>
      <c r="N11" s="18">
        <v>9.9999999999999995E-7</v>
      </c>
      <c r="O11" s="18"/>
      <c r="P11" s="24">
        <v>0.4844</v>
      </c>
      <c r="Q11" s="27">
        <v>1.03797448781E-3</v>
      </c>
      <c r="R11" s="18">
        <v>9.9999999999999995E-7</v>
      </c>
      <c r="S11" s="20"/>
      <c r="T11" s="20"/>
      <c r="U11" s="20"/>
      <c r="V11" s="20"/>
      <c r="W11" s="20"/>
      <c r="AA11" s="36">
        <v>0.43049999999999999</v>
      </c>
      <c r="AB11" s="54">
        <v>0.43812904149100002</v>
      </c>
      <c r="AC11" s="36">
        <v>1.7175</v>
      </c>
      <c r="AD11" s="54">
        <v>6.7966068646800007E-2</v>
      </c>
      <c r="AE11" s="36">
        <v>0.43030000000000002</v>
      </c>
      <c r="AF11" s="54">
        <v>1.7748317466199999E-3</v>
      </c>
      <c r="AG11" s="18">
        <v>9.9999999999999995E-7</v>
      </c>
    </row>
    <row r="12" spans="1:33" x14ac:dyDescent="0.25">
      <c r="A12" s="16">
        <v>10</v>
      </c>
      <c r="B12" s="22">
        <v>1642.1508789100001</v>
      </c>
      <c r="C12" s="22">
        <v>1642.6086425799999</v>
      </c>
      <c r="D12" s="22">
        <v>1643.06640625</v>
      </c>
      <c r="E12" s="21">
        <f t="shared" si="0"/>
        <v>1642.6086425800002</v>
      </c>
      <c r="F12" s="21">
        <f t="shared" si="1"/>
        <v>0.45776366999996299</v>
      </c>
      <c r="G12" s="18"/>
      <c r="H12" s="24">
        <v>0.53810000000000002</v>
      </c>
      <c r="I12" s="27">
        <v>0.122660316107</v>
      </c>
      <c r="J12" s="18">
        <v>9.9999999999999995E-7</v>
      </c>
      <c r="K12" s="18"/>
      <c r="L12" s="24">
        <v>2.153</v>
      </c>
      <c r="M12" s="27">
        <v>5.1341900050700003E-3</v>
      </c>
      <c r="N12" s="18">
        <v>9.9999999999999995E-7</v>
      </c>
      <c r="O12" s="18"/>
      <c r="P12" s="24">
        <v>0.53839999999999999</v>
      </c>
      <c r="Q12" s="27">
        <v>1.19616904328E-3</v>
      </c>
      <c r="R12" s="18">
        <v>9.9999999999999995E-7</v>
      </c>
      <c r="S12" s="20"/>
      <c r="T12" s="20"/>
      <c r="U12" s="20"/>
      <c r="V12" s="20"/>
      <c r="W12" s="20"/>
      <c r="AA12" s="36">
        <v>0.48430000000000001</v>
      </c>
      <c r="AB12" s="54">
        <v>0.110306173008</v>
      </c>
      <c r="AC12" s="36">
        <v>1.9347000000000001</v>
      </c>
      <c r="AD12" s="54">
        <v>8.2970855930200003E-3</v>
      </c>
      <c r="AE12" s="36">
        <v>0.4844</v>
      </c>
      <c r="AF12" s="54">
        <v>1.03797448781E-3</v>
      </c>
      <c r="AG12" s="18">
        <v>9.9999999999999995E-7</v>
      </c>
    </row>
    <row r="13" spans="1:33" x14ac:dyDescent="0.25">
      <c r="A13" s="16">
        <v>11</v>
      </c>
      <c r="B13" s="22">
        <v>1806.640625</v>
      </c>
      <c r="C13" s="22">
        <v>1805.8013916</v>
      </c>
      <c r="D13" s="22">
        <v>1806.03027344</v>
      </c>
      <c r="E13" s="21">
        <f t="shared" si="0"/>
        <v>1806.1574300133334</v>
      </c>
      <c r="F13" s="21">
        <f t="shared" si="1"/>
        <v>0.41961670000000595</v>
      </c>
      <c r="G13" s="18"/>
      <c r="H13" s="24">
        <v>0.59199999999999997</v>
      </c>
      <c r="I13" s="27">
        <v>6.4875490002700001E-2</v>
      </c>
      <c r="J13" s="18">
        <v>9.9999999999999995E-7</v>
      </c>
      <c r="K13" s="18"/>
      <c r="L13" s="24">
        <v>2.3668999999999998</v>
      </c>
      <c r="M13" s="27">
        <v>5.4078889763100003E-3</v>
      </c>
      <c r="N13" s="18">
        <v>9.9999999999999995E-7</v>
      </c>
      <c r="O13" s="18"/>
      <c r="P13" s="24">
        <v>0.59179999999999999</v>
      </c>
      <c r="Q13" s="27">
        <v>1.2578527233E-3</v>
      </c>
      <c r="R13" s="18">
        <v>9.9999999999999995E-7</v>
      </c>
      <c r="S13" s="20"/>
      <c r="T13" s="20"/>
      <c r="U13" s="20"/>
      <c r="V13" s="20"/>
      <c r="W13" s="20"/>
      <c r="AA13" s="36">
        <v>0.53810000000000002</v>
      </c>
      <c r="AB13" s="54">
        <v>0.122660316107</v>
      </c>
      <c r="AC13" s="36">
        <v>2.153</v>
      </c>
      <c r="AD13" s="54">
        <v>5.1341900050700003E-3</v>
      </c>
      <c r="AE13" s="36">
        <v>0.53839999999999999</v>
      </c>
      <c r="AF13" s="54">
        <v>1.19616904328E-3</v>
      </c>
      <c r="AG13" s="18">
        <v>9.9999999999999995E-7</v>
      </c>
    </row>
    <row r="14" spans="1:33" x14ac:dyDescent="0.25">
      <c r="A14" s="16"/>
      <c r="B14" s="22"/>
      <c r="C14" s="22"/>
      <c r="D14" s="22"/>
      <c r="E14" s="21"/>
      <c r="F14" s="21"/>
      <c r="G14" s="16"/>
      <c r="H14" s="16"/>
      <c r="I14" s="16"/>
      <c r="J14" s="55"/>
      <c r="K14" s="22"/>
      <c r="L14" s="22"/>
      <c r="M14" s="22"/>
      <c r="N14" s="22"/>
      <c r="O14" s="22"/>
      <c r="P14" s="16"/>
      <c r="Q14" s="16"/>
      <c r="R14" s="16"/>
      <c r="AA14" s="36">
        <v>0.59199999999999997</v>
      </c>
      <c r="AB14" s="54">
        <v>6.4875490002700001E-2</v>
      </c>
      <c r="AC14" s="36">
        <v>2.3668999999999998</v>
      </c>
      <c r="AD14" s="54">
        <v>5.4078889763100003E-3</v>
      </c>
      <c r="AE14" s="36">
        <v>0.59179999999999999</v>
      </c>
      <c r="AF14" s="54">
        <v>1.2578527233E-3</v>
      </c>
      <c r="AG14" s="18">
        <v>9.9999999999999995E-7</v>
      </c>
    </row>
    <row r="15" spans="1:33" x14ac:dyDescent="0.25">
      <c r="B15" s="11"/>
      <c r="C15" s="11"/>
      <c r="D15" s="11"/>
      <c r="E15" s="21"/>
      <c r="F15" s="21"/>
      <c r="J15" s="55"/>
      <c r="K15" s="11"/>
      <c r="L15" s="11"/>
      <c r="M15" s="11"/>
      <c r="N15" s="11"/>
      <c r="O15" s="11"/>
    </row>
    <row r="16" spans="1:33" x14ac:dyDescent="0.25">
      <c r="B16" s="11" t="s">
        <v>26</v>
      </c>
      <c r="C16" s="11" t="s">
        <v>27</v>
      </c>
      <c r="E16" s="21"/>
      <c r="F16" s="21"/>
      <c r="M16" s="11"/>
      <c r="N16" s="11"/>
      <c r="O16" s="11"/>
    </row>
    <row r="17" spans="1:29" x14ac:dyDescent="0.25">
      <c r="A17" t="s">
        <v>28</v>
      </c>
      <c r="B17" s="17">
        <f t="array" ref="B17:C18">LINEST(E3:E13,A3:A13,TRUE,TRUE)</f>
        <v>164.49645071320003</v>
      </c>
      <c r="C17" s="17">
        <v>-3.6884654653214284</v>
      </c>
      <c r="E17" s="21"/>
      <c r="F17" s="21"/>
      <c r="M17" s="11"/>
      <c r="N17" s="11"/>
      <c r="O17" s="11"/>
    </row>
    <row r="18" spans="1:29" x14ac:dyDescent="0.25">
      <c r="A18" t="s">
        <v>29</v>
      </c>
      <c r="B18" s="17">
        <v>0.13554956218173309</v>
      </c>
      <c r="C18" s="17">
        <v>0.91934185978467131</v>
      </c>
      <c r="E18" s="21"/>
      <c r="F18" s="21"/>
      <c r="M18" s="11"/>
      <c r="N18" s="11"/>
      <c r="O18" s="11"/>
    </row>
    <row r="19" spans="1:29" x14ac:dyDescent="0.25">
      <c r="A19" t="s">
        <v>30</v>
      </c>
      <c r="B19" s="17">
        <f>2*B18</f>
        <v>0.27109912436346617</v>
      </c>
      <c r="C19" s="17">
        <f>2*C18</f>
        <v>1.8386837195693426</v>
      </c>
      <c r="E19" s="21"/>
      <c r="F19" s="21"/>
      <c r="M19" s="11"/>
      <c r="N19" s="11"/>
      <c r="O19" s="11"/>
      <c r="W19">
        <f>Q5/I6</f>
        <v>1.8966255929681384</v>
      </c>
      <c r="X19">
        <f>M4/I6</f>
        <v>0.21185591315692279</v>
      </c>
    </row>
    <row r="20" spans="1:29" x14ac:dyDescent="0.25">
      <c r="E20" s="21"/>
      <c r="F20" s="21"/>
      <c r="M20" s="11"/>
      <c r="N20" s="11"/>
      <c r="O20" s="11"/>
    </row>
    <row r="21" spans="1:29" ht="18" x14ac:dyDescent="0.25">
      <c r="E21" s="11"/>
      <c r="F21" s="11"/>
      <c r="M21" s="11"/>
      <c r="N21" s="11"/>
      <c r="O21" s="11"/>
      <c r="W21" s="56" t="s">
        <v>81</v>
      </c>
      <c r="X21" s="56" t="s">
        <v>82</v>
      </c>
      <c r="Y21" s="56" t="s">
        <v>83</v>
      </c>
      <c r="Z21" s="56" t="s">
        <v>84</v>
      </c>
      <c r="AA21" s="56" t="s">
        <v>85</v>
      </c>
      <c r="AB21" s="56" t="s">
        <v>86</v>
      </c>
      <c r="AC21" s="56" t="s">
        <v>38</v>
      </c>
    </row>
    <row r="22" spans="1:29" x14ac:dyDescent="0.25">
      <c r="M22" s="11"/>
      <c r="N22" s="11"/>
      <c r="O22" s="11"/>
      <c r="W22" s="52">
        <v>0.2152</v>
      </c>
      <c r="X22" s="53">
        <v>0.56491787262199999</v>
      </c>
      <c r="Y22" s="52">
        <v>0.42899999999999999</v>
      </c>
      <c r="Z22" s="53">
        <v>0.119681191763</v>
      </c>
      <c r="AA22" s="52">
        <v>0.1578</v>
      </c>
      <c r="AB22" s="53">
        <v>1.07143769514</v>
      </c>
      <c r="AC22" s="18">
        <v>9.9999999999999995E-7</v>
      </c>
    </row>
    <row r="23" spans="1:29" x14ac:dyDescent="0.25">
      <c r="M23" s="11"/>
      <c r="N23" s="11"/>
      <c r="O23" s="11"/>
    </row>
    <row r="24" spans="1:29" x14ac:dyDescent="0.25">
      <c r="M24" s="11"/>
      <c r="N24" s="11"/>
      <c r="O24" s="11"/>
      <c r="W24" s="56" t="s">
        <v>87</v>
      </c>
      <c r="X24" s="56" t="s">
        <v>89</v>
      </c>
      <c r="Y24" s="56" t="s">
        <v>88</v>
      </c>
      <c r="Z24" s="56" t="s">
        <v>90</v>
      </c>
    </row>
    <row r="25" spans="1:29" x14ac:dyDescent="0.25">
      <c r="M25" s="11"/>
      <c r="N25" s="11"/>
      <c r="O25" s="11"/>
      <c r="W25" s="54">
        <f>Z22/X22</f>
        <v>0.21185591315692279</v>
      </c>
      <c r="X25" s="54">
        <f>(AC22/Z22+AC22/X22)*W25</f>
        <v>2.1451895432733181E-6</v>
      </c>
      <c r="Y25" s="54">
        <f>AB22/X22</f>
        <v>1.8966255929681384</v>
      </c>
      <c r="Z25" s="54">
        <f>(AC22/AB22+AC22/X22)*Y25</f>
        <v>5.1275162874982001E-6</v>
      </c>
    </row>
    <row r="26" spans="1:29" x14ac:dyDescent="0.25">
      <c r="M26" s="11"/>
      <c r="N26" s="11"/>
      <c r="O26" s="11"/>
    </row>
  </sheetData>
  <mergeCells count="4">
    <mergeCell ref="A1:F1"/>
    <mergeCell ref="H1:J1"/>
    <mergeCell ref="L1:N1"/>
    <mergeCell ref="P1:R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workbookViewId="0">
      <selection activeCell="AE25" sqref="AB25:AE25"/>
    </sheetView>
  </sheetViews>
  <sheetFormatPr defaultRowHeight="15" x14ac:dyDescent="0.25"/>
  <cols>
    <col min="1" max="1" width="10.5703125" customWidth="1"/>
    <col min="2" max="4" width="10.5703125" bestFit="1" customWidth="1"/>
    <col min="9" max="9" width="9.5703125" bestFit="1" customWidth="1"/>
    <col min="17" max="17" width="10.5703125" bestFit="1" customWidth="1"/>
    <col min="18" max="18" width="10.7109375" customWidth="1"/>
  </cols>
  <sheetData>
    <row r="1" spans="1:34" x14ac:dyDescent="0.25">
      <c r="A1" s="78" t="s">
        <v>36</v>
      </c>
      <c r="B1" s="78"/>
      <c r="C1" s="78"/>
      <c r="D1" s="78"/>
      <c r="E1" s="78"/>
      <c r="F1" s="78"/>
      <c r="H1" s="79" t="s">
        <v>49</v>
      </c>
      <c r="I1" s="79"/>
      <c r="J1" s="79"/>
      <c r="K1" s="20"/>
      <c r="L1" s="79" t="s">
        <v>50</v>
      </c>
      <c r="M1" s="79"/>
      <c r="N1" s="79"/>
      <c r="O1" s="20"/>
      <c r="P1" s="79" t="s">
        <v>51</v>
      </c>
      <c r="Q1" s="79"/>
      <c r="R1" s="79"/>
      <c r="S1" s="20"/>
      <c r="T1" s="20"/>
      <c r="U1" s="20"/>
      <c r="V1" s="20"/>
      <c r="W1" s="20"/>
    </row>
    <row r="2" spans="1:34" ht="18" x14ac:dyDescent="0.25">
      <c r="A2" s="12" t="s">
        <v>25</v>
      </c>
      <c r="B2" s="12" t="s">
        <v>33</v>
      </c>
      <c r="C2" s="12" t="s">
        <v>34</v>
      </c>
      <c r="D2" s="12" t="s">
        <v>35</v>
      </c>
      <c r="E2" s="12" t="s">
        <v>31</v>
      </c>
      <c r="F2" s="12" t="s">
        <v>32</v>
      </c>
      <c r="H2" s="13" t="s">
        <v>39</v>
      </c>
      <c r="I2" s="12" t="s">
        <v>37</v>
      </c>
      <c r="J2" s="12" t="s">
        <v>38</v>
      </c>
      <c r="K2" s="18"/>
      <c r="L2" s="13" t="s">
        <v>39</v>
      </c>
      <c r="M2" s="12" t="s">
        <v>37</v>
      </c>
      <c r="N2" s="12" t="s">
        <v>38</v>
      </c>
      <c r="O2" s="19"/>
      <c r="P2" s="13" t="s">
        <v>39</v>
      </c>
      <c r="Q2" s="12" t="s">
        <v>37</v>
      </c>
      <c r="R2" s="12" t="s">
        <v>38</v>
      </c>
      <c r="S2" s="18"/>
      <c r="T2" s="18"/>
      <c r="U2" s="18"/>
      <c r="V2" s="19"/>
      <c r="W2" s="19"/>
      <c r="AB2" s="56" t="s">
        <v>75</v>
      </c>
      <c r="AC2" s="56" t="s">
        <v>76</v>
      </c>
      <c r="AD2" s="56" t="s">
        <v>77</v>
      </c>
      <c r="AE2" s="56" t="s">
        <v>78</v>
      </c>
      <c r="AF2" s="56" t="s">
        <v>79</v>
      </c>
      <c r="AG2" s="56" t="s">
        <v>80</v>
      </c>
      <c r="AH2" s="56" t="s">
        <v>38</v>
      </c>
    </row>
    <row r="3" spans="1:34" x14ac:dyDescent="0.25">
      <c r="A3" s="15">
        <v>1</v>
      </c>
      <c r="B3" s="22">
        <v>271.911621094</v>
      </c>
      <c r="C3" s="22">
        <v>271.148681641</v>
      </c>
      <c r="D3" s="22">
        <v>271.911621094</v>
      </c>
      <c r="E3" s="21">
        <f>AVERAGE(B3:D3)</f>
        <v>271.65730794300003</v>
      </c>
      <c r="F3" s="21">
        <f>(MAX(B3:D3)-MIN(B3:D3))/2</f>
        <v>0.38146972650000066</v>
      </c>
      <c r="G3" s="21"/>
      <c r="H3" s="24">
        <v>8.9099999999999999E-2</v>
      </c>
      <c r="I3" s="27">
        <v>0.147357603502</v>
      </c>
      <c r="J3" s="18">
        <v>9.9999999999999995E-7</v>
      </c>
      <c r="K3" s="21"/>
      <c r="L3" s="57">
        <v>0.35539999999999999</v>
      </c>
      <c r="M3" s="58">
        <v>5.5670489428999999E-2</v>
      </c>
      <c r="N3" s="18">
        <v>9.9999999999999995E-7</v>
      </c>
      <c r="O3" s="21"/>
      <c r="P3" s="57">
        <v>8.9099999999999999E-2</v>
      </c>
      <c r="Q3" s="58">
        <v>0.18217295706200001</v>
      </c>
      <c r="R3" s="18">
        <v>9.9999999999999995E-7</v>
      </c>
      <c r="S3" s="14"/>
      <c r="T3" s="14"/>
      <c r="U3" s="14"/>
      <c r="V3" s="14"/>
      <c r="W3" s="14"/>
      <c r="AB3" s="36">
        <v>8.9099999999999999E-2</v>
      </c>
      <c r="AC3" s="54">
        <v>0.147357603502</v>
      </c>
      <c r="AD3" s="36">
        <v>0.35539999999999999</v>
      </c>
      <c r="AE3" s="54">
        <v>5.5670489428999999E-2</v>
      </c>
      <c r="AF3" s="36">
        <v>8.9099999999999999E-2</v>
      </c>
      <c r="AG3" s="54">
        <v>0.18217295706200001</v>
      </c>
      <c r="AH3" s="18">
        <v>9.9999999999999995E-7</v>
      </c>
    </row>
    <row r="4" spans="1:34" x14ac:dyDescent="0.25">
      <c r="A4" s="15">
        <v>2</v>
      </c>
      <c r="B4" s="22">
        <v>543.82324218799999</v>
      </c>
      <c r="C4" s="22">
        <v>541.83959960899995</v>
      </c>
      <c r="D4" s="22">
        <v>543.82324218799999</v>
      </c>
      <c r="E4" s="21">
        <f t="shared" ref="E4:E17" si="0">AVERAGE(B4:D4)</f>
        <v>543.16202799500002</v>
      </c>
      <c r="F4" s="21">
        <f t="shared" ref="F4:F17" si="1">(MAX(B4:D4)-MIN(B4:D4))/2</f>
        <v>0.99182128950002379</v>
      </c>
      <c r="G4" s="21"/>
      <c r="H4" s="57">
        <v>0.1782</v>
      </c>
      <c r="I4" s="58">
        <v>0.16014426383700001</v>
      </c>
      <c r="J4" s="18">
        <v>9.9999999999999995E-7</v>
      </c>
      <c r="K4" s="21"/>
      <c r="L4" s="24">
        <v>0.71020000000000005</v>
      </c>
      <c r="M4" s="27">
        <v>4.7921325584200002E-2</v>
      </c>
      <c r="N4" s="18">
        <v>9.9999999999999995E-7</v>
      </c>
      <c r="O4" s="21"/>
      <c r="P4" s="24">
        <v>0.1782</v>
      </c>
      <c r="Q4" s="27">
        <v>0.15838434348200001</v>
      </c>
      <c r="R4" s="18">
        <v>9.9999999999999995E-7</v>
      </c>
      <c r="S4" s="14"/>
      <c r="T4" s="14"/>
      <c r="U4" s="14"/>
      <c r="V4" s="14"/>
      <c r="W4" s="14"/>
      <c r="AB4" s="36">
        <v>0.1782</v>
      </c>
      <c r="AC4" s="54">
        <v>0.16014426383700001</v>
      </c>
      <c r="AD4" s="36">
        <v>0.71020000000000005</v>
      </c>
      <c r="AE4" s="54">
        <v>4.7921325584200002E-2</v>
      </c>
      <c r="AF4" s="36">
        <v>0.1782</v>
      </c>
      <c r="AG4" s="54">
        <v>0.15838434348200001</v>
      </c>
      <c r="AH4" s="18">
        <v>9.9999999999999995E-7</v>
      </c>
    </row>
    <row r="5" spans="1:34" x14ac:dyDescent="0.25">
      <c r="A5" s="15">
        <v>3</v>
      </c>
      <c r="B5" s="22">
        <v>815.734863281</v>
      </c>
      <c r="C5" s="22">
        <v>812.14904785199997</v>
      </c>
      <c r="D5" s="22">
        <v>815.734863281</v>
      </c>
      <c r="E5" s="21">
        <f t="shared" si="0"/>
        <v>814.53959147133321</v>
      </c>
      <c r="F5" s="21">
        <f t="shared" si="1"/>
        <v>1.7929077145000178</v>
      </c>
      <c r="G5" s="21"/>
      <c r="H5" s="24">
        <v>0.26729999999999998</v>
      </c>
      <c r="I5" s="27">
        <v>0.113722333599</v>
      </c>
      <c r="J5" s="18">
        <v>9.9999999999999995E-7</v>
      </c>
      <c r="K5" s="21"/>
      <c r="L5" s="24">
        <v>1.0645</v>
      </c>
      <c r="M5" s="27">
        <v>1.04022647892E-2</v>
      </c>
      <c r="N5" s="18">
        <v>9.9999999999999995E-7</v>
      </c>
      <c r="O5" s="21"/>
      <c r="P5" s="24">
        <v>0.26729999999999998</v>
      </c>
      <c r="Q5" s="27">
        <v>0.13446064512799999</v>
      </c>
      <c r="R5" s="18">
        <v>9.9999999999999995E-7</v>
      </c>
      <c r="S5" s="14"/>
      <c r="T5" s="14"/>
      <c r="U5" s="14"/>
      <c r="V5" s="14"/>
      <c r="W5" s="14"/>
      <c r="AB5" s="36">
        <v>0.26729999999999998</v>
      </c>
      <c r="AC5" s="54">
        <v>0.113722333599</v>
      </c>
      <c r="AD5" s="36">
        <v>1.0645</v>
      </c>
      <c r="AE5" s="54">
        <v>1.04022647892E-2</v>
      </c>
      <c r="AF5" s="36">
        <v>0.26729999999999998</v>
      </c>
      <c r="AG5" s="54">
        <v>0.13446064512799999</v>
      </c>
      <c r="AH5" s="18">
        <v>9.9999999999999995E-7</v>
      </c>
    </row>
    <row r="6" spans="1:34" x14ac:dyDescent="0.25">
      <c r="A6" s="15">
        <v>4</v>
      </c>
      <c r="B6" s="22">
        <v>1087.6464843799999</v>
      </c>
      <c r="C6" s="22">
        <v>1087.3413085899999</v>
      </c>
      <c r="D6" s="22">
        <v>1087.6464843799999</v>
      </c>
      <c r="E6" s="21">
        <f t="shared" si="0"/>
        <v>1087.5447591166665</v>
      </c>
      <c r="F6" s="21">
        <f t="shared" si="1"/>
        <v>0.15258789500001058</v>
      </c>
      <c r="G6" s="21"/>
      <c r="H6" s="24">
        <v>0.35639999999999999</v>
      </c>
      <c r="I6" s="27">
        <v>0.11245940174000001</v>
      </c>
      <c r="J6" s="18">
        <v>9.9999999999999995E-7</v>
      </c>
      <c r="K6" s="21"/>
      <c r="L6" s="24">
        <v>1.4252</v>
      </c>
      <c r="M6" s="27">
        <v>1.70752879155E-2</v>
      </c>
      <c r="N6" s="18">
        <v>9.9999999999999995E-7</v>
      </c>
      <c r="O6" s="25"/>
      <c r="P6" s="24">
        <v>0.35639999999999999</v>
      </c>
      <c r="Q6" s="27">
        <v>4.2002693645399998E-2</v>
      </c>
      <c r="R6" s="18">
        <v>9.9999999999999995E-7</v>
      </c>
      <c r="S6" s="14"/>
      <c r="T6" s="14"/>
      <c r="U6" s="14"/>
      <c r="V6" s="14"/>
      <c r="W6" s="14"/>
      <c r="AB6" s="36">
        <v>0.35639999999999999</v>
      </c>
      <c r="AC6" s="54">
        <v>0.11245940174000001</v>
      </c>
      <c r="AD6" s="36">
        <v>1.4252</v>
      </c>
      <c r="AE6" s="54">
        <v>1.70752879155E-2</v>
      </c>
      <c r="AF6" s="36">
        <v>0.35639999999999999</v>
      </c>
      <c r="AG6" s="54">
        <v>4.2002693645399998E-2</v>
      </c>
      <c r="AH6" s="18">
        <v>9.9999999999999995E-7</v>
      </c>
    </row>
    <row r="7" spans="1:34" x14ac:dyDescent="0.25">
      <c r="A7" s="15">
        <v>5</v>
      </c>
      <c r="B7" s="22">
        <v>1357.7270507799999</v>
      </c>
      <c r="C7" s="22">
        <v>1358.2611084</v>
      </c>
      <c r="D7" s="22">
        <v>1358.9477539100001</v>
      </c>
      <c r="E7" s="21">
        <f t="shared" si="0"/>
        <v>1358.31197103</v>
      </c>
      <c r="F7" s="21">
        <f t="shared" si="1"/>
        <v>0.61035156500008725</v>
      </c>
      <c r="G7" s="21"/>
      <c r="H7" s="24">
        <v>0.44490000000000002</v>
      </c>
      <c r="I7" s="27">
        <v>1.99798669485E-2</v>
      </c>
      <c r="J7" s="18">
        <v>9.9999999999999995E-7</v>
      </c>
      <c r="K7" s="21"/>
      <c r="L7" s="24">
        <v>1.7803</v>
      </c>
      <c r="M7" s="27">
        <v>1.60389412876E-2</v>
      </c>
      <c r="N7" s="18">
        <v>9.9999999999999995E-7</v>
      </c>
      <c r="O7" s="21"/>
      <c r="P7" s="24">
        <v>0.44529999999999997</v>
      </c>
      <c r="Q7" s="27">
        <v>1.4745142755099999E-2</v>
      </c>
      <c r="R7" s="18">
        <v>9.9999999999999995E-7</v>
      </c>
      <c r="S7" s="14"/>
      <c r="T7" s="14"/>
      <c r="U7" s="14"/>
      <c r="V7" s="14"/>
      <c r="W7" s="14"/>
      <c r="AB7" s="36">
        <v>0.44490000000000002</v>
      </c>
      <c r="AC7" s="54">
        <v>1.99798669485E-2</v>
      </c>
      <c r="AD7" s="36">
        <v>1.7803</v>
      </c>
      <c r="AE7" s="54">
        <v>1.60389412876E-2</v>
      </c>
      <c r="AF7" s="36">
        <v>0.44529999999999997</v>
      </c>
      <c r="AG7" s="54">
        <v>1.4745142755099999E-2</v>
      </c>
      <c r="AH7" s="18">
        <v>9.9999999999999995E-7</v>
      </c>
    </row>
    <row r="8" spans="1:34" x14ac:dyDescent="0.25">
      <c r="A8" s="15">
        <v>6</v>
      </c>
      <c r="B8" s="22">
        <v>1631.7749023399999</v>
      </c>
      <c r="C8" s="22">
        <v>1627.5024414100001</v>
      </c>
      <c r="D8" s="22">
        <v>1631.46972656</v>
      </c>
      <c r="E8" s="21">
        <f t="shared" si="0"/>
        <v>1630.2490234366667</v>
      </c>
      <c r="F8" s="21">
        <f t="shared" si="1"/>
        <v>2.136230464999926</v>
      </c>
      <c r="G8" s="21"/>
      <c r="H8" s="24">
        <v>0.53469999999999995</v>
      </c>
      <c r="I8" s="27">
        <v>8.3410686926200003E-2</v>
      </c>
      <c r="J8" s="18">
        <v>9.9999999999999995E-7</v>
      </c>
      <c r="K8" s="21"/>
      <c r="L8" s="24">
        <v>2.1332</v>
      </c>
      <c r="M8" s="27">
        <v>5.1731198900699998E-3</v>
      </c>
      <c r="N8" s="18">
        <v>9.9999999999999995E-7</v>
      </c>
      <c r="O8" s="21"/>
      <c r="P8" s="24">
        <v>0.53459999999999996</v>
      </c>
      <c r="Q8" s="27">
        <v>0.116534153522</v>
      </c>
      <c r="R8" s="18">
        <v>9.9999999999999995E-7</v>
      </c>
      <c r="S8" s="14"/>
      <c r="T8" s="14"/>
      <c r="U8" s="14"/>
      <c r="V8" s="14"/>
      <c r="W8" s="14"/>
      <c r="AB8" s="36">
        <v>0.53469999999999995</v>
      </c>
      <c r="AC8" s="54">
        <v>8.3410686926200003E-2</v>
      </c>
      <c r="AD8" s="36">
        <v>2.1332</v>
      </c>
      <c r="AE8" s="54">
        <v>5.1731198900699998E-3</v>
      </c>
      <c r="AF8" s="36">
        <v>0.53459999999999996</v>
      </c>
      <c r="AG8" s="54">
        <v>0.116534153522</v>
      </c>
      <c r="AH8" s="18">
        <v>9.9999999999999995E-7</v>
      </c>
    </row>
    <row r="9" spans="1:34" x14ac:dyDescent="0.25">
      <c r="A9" s="15">
        <v>7</v>
      </c>
      <c r="B9" s="22">
        <v>1903.68652344</v>
      </c>
      <c r="C9" s="22">
        <v>1898.9562988299999</v>
      </c>
      <c r="D9" s="22">
        <v>1903.3813476600001</v>
      </c>
      <c r="E9" s="21">
        <f t="shared" si="0"/>
        <v>1902.0080566433332</v>
      </c>
      <c r="F9" s="21">
        <f>(MAX(B9:D9)-MIN(B9:D9))/2</f>
        <v>2.3651123050000251</v>
      </c>
      <c r="G9" s="21"/>
      <c r="H9" s="24">
        <v>0.62380000000000002</v>
      </c>
      <c r="I9" s="27">
        <v>6.4831193630800005E-2</v>
      </c>
      <c r="J9" s="18">
        <v>9.9999999999999995E-7</v>
      </c>
      <c r="K9" s="21"/>
      <c r="L9" s="24">
        <v>2.4889999999999999</v>
      </c>
      <c r="M9" s="27">
        <v>1.10489499936E-2</v>
      </c>
      <c r="N9" s="18">
        <v>9.9999999999999995E-7</v>
      </c>
      <c r="O9" s="21"/>
      <c r="P9" s="24">
        <v>0.62370000000000003</v>
      </c>
      <c r="Q9" s="27">
        <v>7.77796014791E-2</v>
      </c>
      <c r="R9" s="18">
        <v>9.9999999999999995E-7</v>
      </c>
      <c r="S9" s="14"/>
      <c r="T9" s="14"/>
      <c r="U9" s="14"/>
      <c r="V9" s="14"/>
      <c r="W9" s="14"/>
      <c r="AB9" s="36">
        <v>0.62380000000000002</v>
      </c>
      <c r="AC9" s="54">
        <v>6.4831193630800005E-2</v>
      </c>
      <c r="AD9" s="36">
        <v>2.4889999999999999</v>
      </c>
      <c r="AE9" s="54">
        <v>1.10489499936E-2</v>
      </c>
      <c r="AF9" s="36">
        <v>0.62370000000000003</v>
      </c>
      <c r="AG9" s="54">
        <v>7.77796014791E-2</v>
      </c>
      <c r="AH9" s="18">
        <v>9.9999999999999995E-7</v>
      </c>
    </row>
    <row r="10" spans="1:34" x14ac:dyDescent="0.25">
      <c r="A10" s="15">
        <v>8</v>
      </c>
      <c r="B10" s="22">
        <v>2175.5981445299999</v>
      </c>
      <c r="C10" s="22">
        <v>2170.1812744099998</v>
      </c>
      <c r="D10" s="22">
        <v>2175.29296875</v>
      </c>
      <c r="E10" s="21">
        <f t="shared" si="0"/>
        <v>2173.6907958966663</v>
      </c>
      <c r="F10" s="21">
        <f t="shared" si="1"/>
        <v>2.7084350600000562</v>
      </c>
      <c r="G10" s="21"/>
      <c r="H10" s="24">
        <v>0.71289999999999998</v>
      </c>
      <c r="I10" s="27">
        <v>5.8077417107100002E-2</v>
      </c>
      <c r="J10" s="18">
        <v>9.9999999999999995E-7</v>
      </c>
      <c r="K10" s="21"/>
      <c r="L10" s="24">
        <v>2.8445</v>
      </c>
      <c r="M10" s="27">
        <v>7.8909332088400001E-3</v>
      </c>
      <c r="N10" s="18">
        <v>9.9999999999999995E-7</v>
      </c>
      <c r="O10" s="21"/>
      <c r="P10" s="24">
        <v>0.71279999999999999</v>
      </c>
      <c r="Q10" s="27">
        <v>5.9316593182399999E-2</v>
      </c>
      <c r="R10" s="18">
        <v>9.9999999999999995E-7</v>
      </c>
      <c r="S10" s="14"/>
      <c r="T10" s="14"/>
      <c r="U10" s="14"/>
      <c r="V10" s="14"/>
      <c r="W10" s="14"/>
      <c r="AB10" s="36">
        <v>0.71289999999999998</v>
      </c>
      <c r="AC10" s="54">
        <v>5.8077417107100002E-2</v>
      </c>
      <c r="AD10" s="36">
        <v>2.8445</v>
      </c>
      <c r="AE10" s="54">
        <v>7.8909332088400001E-3</v>
      </c>
      <c r="AF10" s="36">
        <v>0.71279999999999999</v>
      </c>
      <c r="AG10" s="54">
        <v>5.9316593182399999E-2</v>
      </c>
      <c r="AH10" s="18">
        <v>9.9999999999999995E-7</v>
      </c>
    </row>
    <row r="11" spans="1:34" x14ac:dyDescent="0.25">
      <c r="A11" s="15">
        <v>9</v>
      </c>
      <c r="B11" s="22">
        <v>2447.5097656299999</v>
      </c>
      <c r="C11" s="22">
        <v>2442.2454834</v>
      </c>
      <c r="D11" s="22">
        <v>2446.5942382799999</v>
      </c>
      <c r="E11" s="21">
        <f t="shared" si="0"/>
        <v>2445.4498291033337</v>
      </c>
      <c r="F11" s="21">
        <f t="shared" si="1"/>
        <v>2.6321411149999676</v>
      </c>
      <c r="G11" s="21"/>
      <c r="H11" s="24">
        <v>0.80200000000000005</v>
      </c>
      <c r="I11" s="27">
        <v>2.61205396792E-2</v>
      </c>
      <c r="J11" s="18">
        <v>9.9999999999999995E-7</v>
      </c>
      <c r="K11" s="21"/>
      <c r="L11" s="24">
        <v>3.2010999999999998</v>
      </c>
      <c r="M11" s="27">
        <v>1.89980804398E-3</v>
      </c>
      <c r="N11" s="18">
        <v>9.9999999999999995E-7</v>
      </c>
      <c r="O11" s="21"/>
      <c r="P11" s="24">
        <v>0.80169999999999997</v>
      </c>
      <c r="Q11" s="27">
        <v>3.9252692819100002E-2</v>
      </c>
      <c r="R11" s="18">
        <v>9.9999999999999995E-7</v>
      </c>
      <c r="S11" s="14"/>
      <c r="T11" s="14"/>
      <c r="U11" s="14"/>
      <c r="V11" s="14"/>
      <c r="W11" s="14"/>
      <c r="AB11" s="36">
        <v>0.80200000000000005</v>
      </c>
      <c r="AC11" s="54">
        <v>2.61205396792E-2</v>
      </c>
      <c r="AD11" s="36">
        <v>3.2010999999999998</v>
      </c>
      <c r="AE11" s="54">
        <v>1.89980804398E-3</v>
      </c>
      <c r="AF11" s="36">
        <v>0.80169999999999997</v>
      </c>
      <c r="AG11" s="54">
        <v>3.9252692819100002E-2</v>
      </c>
      <c r="AH11" s="18">
        <v>9.9999999999999995E-7</v>
      </c>
    </row>
    <row r="12" spans="1:34" x14ac:dyDescent="0.25">
      <c r="A12" s="15">
        <v>10</v>
      </c>
      <c r="B12" s="22">
        <v>2719.7265625</v>
      </c>
      <c r="C12" s="22">
        <v>2714.84375</v>
      </c>
      <c r="D12" s="22">
        <v>2718.5058593799999</v>
      </c>
      <c r="E12" s="21">
        <f t="shared" si="0"/>
        <v>2717.6920572933336</v>
      </c>
      <c r="F12" s="21">
        <f t="shared" si="1"/>
        <v>2.44140625</v>
      </c>
      <c r="G12" s="21"/>
      <c r="H12" s="24">
        <v>0.89119999999999999</v>
      </c>
      <c r="I12" s="27">
        <v>3.3702142052399998E-2</v>
      </c>
      <c r="J12" s="18">
        <v>9.9999999999999995E-7</v>
      </c>
      <c r="K12" s="21"/>
      <c r="L12" s="24">
        <v>3.5583999999999998</v>
      </c>
      <c r="M12" s="27">
        <v>7.9896464637499998E-3</v>
      </c>
      <c r="N12" s="18">
        <v>9.9999999999999995E-7</v>
      </c>
      <c r="O12" s="21"/>
      <c r="P12" s="24">
        <v>0.89080000000000004</v>
      </c>
      <c r="Q12" s="27">
        <v>3.6749555137999997E-2</v>
      </c>
      <c r="R12" s="18">
        <v>9.9999999999999995E-7</v>
      </c>
      <c r="S12" s="14"/>
      <c r="T12" s="14"/>
      <c r="U12" s="14"/>
      <c r="V12" s="14"/>
      <c r="W12" s="14"/>
      <c r="AB12" s="36">
        <v>0.89119999999999999</v>
      </c>
      <c r="AC12" s="54">
        <v>3.3702142052399998E-2</v>
      </c>
      <c r="AD12" s="36">
        <v>3.5583999999999998</v>
      </c>
      <c r="AE12" s="54">
        <v>7.9896464637499998E-3</v>
      </c>
      <c r="AF12" s="36">
        <v>0.89080000000000004</v>
      </c>
      <c r="AG12" s="54">
        <v>3.6749555137999997E-2</v>
      </c>
      <c r="AH12" s="18">
        <v>9.9999999999999995E-7</v>
      </c>
    </row>
    <row r="13" spans="1:34" x14ac:dyDescent="0.25">
      <c r="A13" s="15">
        <v>11</v>
      </c>
      <c r="B13" s="22">
        <v>2986.4501953099998</v>
      </c>
      <c r="C13" s="22">
        <v>2986.5264892599998</v>
      </c>
      <c r="D13" s="22">
        <v>2988.28125</v>
      </c>
      <c r="E13" s="21">
        <f t="shared" si="0"/>
        <v>2987.0859781899999</v>
      </c>
      <c r="F13" s="21">
        <f t="shared" si="1"/>
        <v>0.91552734500010047</v>
      </c>
      <c r="G13" s="21"/>
      <c r="H13" s="24">
        <v>0.97860000000000003</v>
      </c>
      <c r="I13" s="27">
        <v>5.4325872439900001E-3</v>
      </c>
      <c r="J13" s="18">
        <v>9.9999999999999995E-7</v>
      </c>
      <c r="K13" s="21"/>
      <c r="L13" s="24">
        <v>3.9144999999999999</v>
      </c>
      <c r="M13" s="27">
        <v>2.5264275270299999E-3</v>
      </c>
      <c r="N13" s="18">
        <v>9.9999999999999995E-7</v>
      </c>
      <c r="O13" s="21"/>
      <c r="P13" s="24">
        <v>0.97919999999999996</v>
      </c>
      <c r="Q13" s="27">
        <v>8.1051234269599991E-3</v>
      </c>
      <c r="R13" s="18">
        <v>9.9999999999999995E-7</v>
      </c>
      <c r="S13" s="14"/>
      <c r="T13" s="14"/>
      <c r="U13" s="14"/>
      <c r="V13" s="14"/>
      <c r="W13" s="14"/>
      <c r="AB13" s="36">
        <v>0.97860000000000003</v>
      </c>
      <c r="AC13" s="54">
        <v>5.4325872439900001E-3</v>
      </c>
      <c r="AD13" s="36">
        <v>3.9144999999999999</v>
      </c>
      <c r="AE13" s="54">
        <v>2.5264275270299999E-3</v>
      </c>
      <c r="AF13" s="36">
        <v>0.97919999999999996</v>
      </c>
      <c r="AG13" s="54">
        <v>8.1051234269599991E-3</v>
      </c>
      <c r="AH13" s="18">
        <v>9.9999999999999995E-7</v>
      </c>
    </row>
    <row r="14" spans="1:34" x14ac:dyDescent="0.25">
      <c r="A14" s="15">
        <v>12</v>
      </c>
      <c r="B14" s="22">
        <v>3263.5498046900002</v>
      </c>
      <c r="C14" s="22">
        <v>3256.07299805</v>
      </c>
      <c r="D14" s="22">
        <v>3262.3291015599998</v>
      </c>
      <c r="E14" s="21">
        <f t="shared" si="0"/>
        <v>3260.6506347666668</v>
      </c>
      <c r="F14" s="21">
        <f t="shared" si="1"/>
        <v>3.7384033200000886</v>
      </c>
      <c r="G14" s="21"/>
      <c r="H14" s="24">
        <v>1.0693999999999999</v>
      </c>
      <c r="I14" s="27">
        <v>3.0381724701899999E-2</v>
      </c>
      <c r="J14" s="18">
        <v>9.9999999999999995E-7</v>
      </c>
      <c r="K14" s="21"/>
      <c r="L14" s="24">
        <v>4.2678000000000003</v>
      </c>
      <c r="M14" s="27">
        <v>1.4067106559400001E-3</v>
      </c>
      <c r="N14" s="18">
        <v>9.9999999999999995E-7</v>
      </c>
      <c r="O14" s="21"/>
      <c r="P14" s="24">
        <v>1.069</v>
      </c>
      <c r="Q14" s="27">
        <v>3.9963503293699999E-2</v>
      </c>
      <c r="R14" s="18">
        <v>9.9999999999999995E-7</v>
      </c>
      <c r="S14" s="14"/>
      <c r="T14" s="14"/>
      <c r="U14" s="14"/>
      <c r="V14" s="14"/>
      <c r="W14" s="14"/>
      <c r="AB14" s="36">
        <v>1.0693999999999999</v>
      </c>
      <c r="AC14" s="54">
        <v>3.0381724701899999E-2</v>
      </c>
      <c r="AD14" s="36">
        <v>4.2678000000000003</v>
      </c>
      <c r="AE14" s="54">
        <v>1.4067106559400001E-3</v>
      </c>
      <c r="AF14" s="36">
        <v>1.069</v>
      </c>
      <c r="AG14" s="54">
        <v>3.9963503293699999E-2</v>
      </c>
      <c r="AH14" s="18">
        <v>9.9999999999999995E-7</v>
      </c>
    </row>
    <row r="15" spans="1:34" x14ac:dyDescent="0.25">
      <c r="A15" s="15">
        <v>13</v>
      </c>
      <c r="B15" s="22">
        <v>3535.7666015599998</v>
      </c>
      <c r="C15" s="22">
        <v>3521.4233398400002</v>
      </c>
      <c r="D15" s="22">
        <v>3534.2407226599998</v>
      </c>
      <c r="E15" s="21">
        <f t="shared" si="0"/>
        <v>3530.4768880200004</v>
      </c>
      <c r="F15" s="21">
        <f t="shared" si="1"/>
        <v>7.1716308599998229</v>
      </c>
      <c r="G15" s="21"/>
      <c r="H15" s="24">
        <v>1.1586000000000001</v>
      </c>
      <c r="I15" s="27">
        <v>2.48082481021E-2</v>
      </c>
      <c r="J15" s="18">
        <v>9.9999999999999995E-7</v>
      </c>
      <c r="K15" s="21"/>
      <c r="L15" s="24">
        <v>4.6155999999999997</v>
      </c>
      <c r="M15" s="27">
        <v>1.4303179657E-3</v>
      </c>
      <c r="N15" s="18">
        <v>9.9999999999999995E-7</v>
      </c>
      <c r="O15" s="21"/>
      <c r="P15" s="24">
        <v>1.1580999999999999</v>
      </c>
      <c r="Q15" s="27">
        <v>2.4007444929300001E-2</v>
      </c>
      <c r="R15" s="18">
        <v>9.9999999999999995E-7</v>
      </c>
      <c r="S15" s="14"/>
      <c r="T15" s="14"/>
      <c r="U15" s="14"/>
      <c r="V15" s="14"/>
      <c r="W15" s="14"/>
      <c r="AB15" s="36">
        <v>1.1586000000000001</v>
      </c>
      <c r="AC15" s="54">
        <v>2.48082481021E-2</v>
      </c>
      <c r="AD15" s="36">
        <v>4.6155999999999997</v>
      </c>
      <c r="AE15" s="54">
        <v>1.4303179657E-3</v>
      </c>
      <c r="AF15" s="36">
        <v>1.1580999999999999</v>
      </c>
      <c r="AG15" s="54">
        <v>2.4007444929300001E-2</v>
      </c>
      <c r="AH15" s="18">
        <v>9.9999999999999995E-7</v>
      </c>
    </row>
    <row r="16" spans="1:34" x14ac:dyDescent="0.25">
      <c r="A16" s="15">
        <v>14</v>
      </c>
      <c r="B16" s="22">
        <v>3805.5419921900002</v>
      </c>
      <c r="C16" s="22">
        <v>3795.3186035200001</v>
      </c>
      <c r="D16" s="22">
        <v>3803.1005859400002</v>
      </c>
      <c r="E16" s="21">
        <f t="shared" si="0"/>
        <v>3801.3203938833335</v>
      </c>
      <c r="F16" s="21">
        <f t="shared" si="1"/>
        <v>5.1116943350000383</v>
      </c>
      <c r="G16" s="21"/>
      <c r="H16" s="24">
        <v>1.2470000000000001</v>
      </c>
      <c r="I16" s="27">
        <v>1.34020025278E-2</v>
      </c>
      <c r="J16" s="18">
        <v>9.9999999999999995E-7</v>
      </c>
      <c r="K16" s="21"/>
      <c r="L16" s="24">
        <v>4.9745999999999997</v>
      </c>
      <c r="M16" s="27">
        <v>4.8366354603599998E-3</v>
      </c>
      <c r="N16" s="18">
        <v>9.9999999999999995E-7</v>
      </c>
      <c r="O16" s="21"/>
      <c r="P16" s="24">
        <v>1.2462</v>
      </c>
      <c r="Q16" s="27">
        <v>1.8691235328900001E-2</v>
      </c>
      <c r="R16" s="18">
        <v>9.9999999999999995E-7</v>
      </c>
      <c r="S16" s="14"/>
      <c r="T16" s="14"/>
      <c r="U16" s="14"/>
      <c r="V16" s="14"/>
      <c r="W16" s="14"/>
      <c r="AB16" s="36">
        <v>1.2470000000000001</v>
      </c>
      <c r="AC16" s="54">
        <v>1.34020025278E-2</v>
      </c>
      <c r="AD16" s="36">
        <v>4.9745999999999997</v>
      </c>
      <c r="AE16" s="54">
        <v>4.8366354603599998E-3</v>
      </c>
      <c r="AF16" s="36">
        <v>1.2462</v>
      </c>
      <c r="AG16" s="54">
        <v>1.8691235328900001E-2</v>
      </c>
      <c r="AH16" s="18">
        <v>9.9999999999999995E-7</v>
      </c>
    </row>
    <row r="17" spans="1:34" x14ac:dyDescent="0.25">
      <c r="A17" s="15">
        <v>15</v>
      </c>
      <c r="B17" s="22">
        <v>4071.3500976599998</v>
      </c>
      <c r="C17" s="22">
        <v>4069.4427490200001</v>
      </c>
      <c r="D17" s="22">
        <v>4077.7587890599998</v>
      </c>
      <c r="E17" s="21">
        <f t="shared" si="0"/>
        <v>4072.850545246667</v>
      </c>
      <c r="F17" s="21">
        <f t="shared" si="1"/>
        <v>4.1580200199998671</v>
      </c>
      <c r="G17" s="21"/>
      <c r="H17" s="24">
        <v>1.3341000000000001</v>
      </c>
      <c r="I17" s="27">
        <v>4.74444946527E-3</v>
      </c>
      <c r="J17" s="18">
        <v>9.9999999999999995E-7</v>
      </c>
      <c r="K17" s="21"/>
      <c r="L17" s="24">
        <v>5.3338999999999999</v>
      </c>
      <c r="M17" s="27">
        <v>2.2854411813399999E-3</v>
      </c>
      <c r="N17" s="18">
        <v>9.9999999999999995E-7</v>
      </c>
      <c r="O17" s="21"/>
      <c r="P17" s="24">
        <v>1.3362000000000001</v>
      </c>
      <c r="Q17" s="27">
        <v>1.21692753057E-2</v>
      </c>
      <c r="R17" s="18">
        <v>9.9999999999999995E-7</v>
      </c>
      <c r="S17" s="14"/>
      <c r="T17" s="14"/>
      <c r="U17" s="14"/>
      <c r="V17" s="14"/>
      <c r="W17" s="14"/>
      <c r="AB17" s="36">
        <v>1.3341000000000001</v>
      </c>
      <c r="AC17" s="54">
        <v>4.74444946527E-3</v>
      </c>
      <c r="AD17" s="36">
        <v>5.3338999999999999</v>
      </c>
      <c r="AE17" s="54">
        <v>2.2854411813399999E-3</v>
      </c>
      <c r="AF17" s="36">
        <v>1.3362000000000001</v>
      </c>
      <c r="AG17" s="54">
        <v>1.21692753057E-2</v>
      </c>
      <c r="AH17" s="18">
        <v>9.9999999999999995E-7</v>
      </c>
    </row>
    <row r="18" spans="1:34" x14ac:dyDescent="0.25">
      <c r="A18" s="17"/>
      <c r="B18" s="17"/>
      <c r="C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R18" s="14"/>
      <c r="S18" s="14"/>
      <c r="T18" s="14"/>
      <c r="U18" s="14"/>
      <c r="V18" s="14"/>
      <c r="W18" s="14"/>
    </row>
    <row r="19" spans="1:34" x14ac:dyDescent="0.25">
      <c r="B19" s="11" t="s">
        <v>26</v>
      </c>
      <c r="C19" s="11" t="s">
        <v>27</v>
      </c>
    </row>
    <row r="20" spans="1:34" x14ac:dyDescent="0.25">
      <c r="A20" t="s">
        <v>28</v>
      </c>
      <c r="B20" s="17">
        <f t="array" ref="B20:C21">LINEST(E3:E17,A3:A17,TRUE,TRUE)</f>
        <v>271.55022394090122</v>
      </c>
      <c r="C20" s="17">
        <v>0.71086580852352199</v>
      </c>
    </row>
    <row r="21" spans="1:34" ht="18" x14ac:dyDescent="0.25">
      <c r="A21" t="s">
        <v>29</v>
      </c>
      <c r="B21" s="17">
        <v>5.2709381292645102E-2</v>
      </c>
      <c r="C21" s="17">
        <v>0.47924007946986741</v>
      </c>
      <c r="AB21" s="56" t="s">
        <v>81</v>
      </c>
      <c r="AC21" s="56" t="s">
        <v>82</v>
      </c>
      <c r="AD21" s="56" t="s">
        <v>83</v>
      </c>
      <c r="AE21" s="56" t="s">
        <v>84</v>
      </c>
      <c r="AF21" s="56" t="s">
        <v>85</v>
      </c>
      <c r="AG21" s="56" t="s">
        <v>86</v>
      </c>
      <c r="AH21" s="56" t="s">
        <v>38</v>
      </c>
    </row>
    <row r="22" spans="1:34" x14ac:dyDescent="0.25">
      <c r="A22" t="s">
        <v>30</v>
      </c>
      <c r="B22" s="17">
        <f>2*B21</f>
        <v>0.1054187625852902</v>
      </c>
      <c r="C22" s="17">
        <f>2*C21</f>
        <v>0.95848015893973482</v>
      </c>
      <c r="AB22" s="52">
        <v>0.1782</v>
      </c>
      <c r="AC22" s="53">
        <v>0.16014426383700001</v>
      </c>
      <c r="AD22" s="52">
        <v>0.35539999999999999</v>
      </c>
      <c r="AE22" s="53">
        <v>5.5670489428999999E-2</v>
      </c>
      <c r="AF22" s="52">
        <v>8.9099999999999999E-2</v>
      </c>
      <c r="AG22" s="53">
        <v>0.18217295706200001</v>
      </c>
      <c r="AH22" s="18">
        <v>9.9999999999999995E-7</v>
      </c>
    </row>
    <row r="24" spans="1:34" x14ac:dyDescent="0.25">
      <c r="AB24" s="56" t="s">
        <v>87</v>
      </c>
      <c r="AC24" s="56" t="s">
        <v>89</v>
      </c>
      <c r="AD24" s="56" t="s">
        <v>88</v>
      </c>
      <c r="AE24" s="56" t="s">
        <v>90</v>
      </c>
    </row>
    <row r="25" spans="1:34" x14ac:dyDescent="0.25">
      <c r="AB25" s="54">
        <f>AE22/AC22</f>
        <v>0.34762712129148265</v>
      </c>
      <c r="AC25" s="54">
        <f>(AH22/AE22+AH22/AC22)*AB25</f>
        <v>8.4150820579071186E-6</v>
      </c>
      <c r="AD25" s="54">
        <f>AG22/AC22</f>
        <v>1.1375553060546804</v>
      </c>
      <c r="AE25" s="54">
        <f>(AH22/AG22+AH22/AC22)*AD25</f>
        <v>1.3347685735596207E-5</v>
      </c>
    </row>
    <row r="35" spans="19:20" x14ac:dyDescent="0.25">
      <c r="S35">
        <f>Q3/I4</f>
        <v>1.1375553060546804</v>
      </c>
      <c r="T35">
        <f>M3/I4</f>
        <v>0.34762712129148265</v>
      </c>
    </row>
  </sheetData>
  <mergeCells count="4">
    <mergeCell ref="A1:F1"/>
    <mergeCell ref="H1:J1"/>
    <mergeCell ref="L1:N1"/>
    <mergeCell ref="P1:R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ht="21.75" customHeight="1" x14ac:dyDescent="0.2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L, m, T et µ</vt:lpstr>
      <vt:lpstr>DO</vt:lpstr>
      <vt:lpstr>SOL</vt:lpstr>
      <vt:lpstr>RÉ</vt:lpstr>
      <vt:lpstr>LA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Xinyu Liu</dc:creator>
  <cp:lastModifiedBy>Ronnie Xinyu Liu</cp:lastModifiedBy>
  <dcterms:created xsi:type="dcterms:W3CDTF">2018-05-22T13:06:24Z</dcterms:created>
  <dcterms:modified xsi:type="dcterms:W3CDTF">2019-01-16T19:50:03Z</dcterms:modified>
</cp:coreProperties>
</file>