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autoCompressPictures="0"/>
  <mc:AlternateContent xmlns:mc="http://schemas.openxmlformats.org/markup-compatibility/2006">
    <mc:Choice Requires="x15">
      <x15ac:absPath xmlns:x15ac="http://schemas.microsoft.com/office/spreadsheetml/2010/11/ac" url="/Users/emcduffie/Documents/GEOS-Chem/CEDS_Emissions/CEDS_v0611/input/activity/metals/"/>
    </mc:Choice>
  </mc:AlternateContent>
  <xr:revisionPtr revIDLastSave="0" documentId="13_ncr:1_{249D148E-FA13-B347-B65A-81E8ED01A085}" xr6:coauthVersionLast="43" xr6:coauthVersionMax="43" xr10:uidLastSave="{00000000-0000-0000-0000-000000000000}"/>
  <bookViews>
    <workbookView xWindow="1120" yWindow="1120" windowWidth="24480" windowHeight="13760" tabRatio="500" xr2:uid="{00000000-000D-0000-FFFF-FFFF01000000}"/>
  </bookViews>
  <sheets>
    <sheet name="Data" sheetId="1" r:id="rId1"/>
    <sheet name="Data_continuity_checks" sheetId="5" r:id="rId2"/>
    <sheet name="Notes" sheetId="2" r:id="rId3"/>
    <sheet name="SPEW_Pig_iron_production" sheetId="3" r:id="rId4"/>
    <sheet name="Hyde_iron" sheetId="4" r:id="rId5"/>
  </sheets>
  <externalReferences>
    <externalReference r:id="rId6"/>
    <externalReference r:id="rId7"/>
    <externalReference r:id="rId8"/>
    <externalReference r:id="rId9"/>
  </externalReferenc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A63" i="1" l="1"/>
  <c r="EA62" i="1"/>
  <c r="EA61" i="1"/>
  <c r="EA60" i="1"/>
  <c r="EA59" i="1"/>
  <c r="EA58" i="1"/>
  <c r="EA57" i="1"/>
  <c r="EA56" i="1"/>
  <c r="EA55" i="1"/>
  <c r="EA54" i="1"/>
  <c r="EA53" i="1"/>
  <c r="EA52" i="1"/>
  <c r="EA51" i="1"/>
  <c r="EA50" i="1"/>
  <c r="EA49" i="1"/>
  <c r="EA48" i="1"/>
  <c r="EA47" i="1"/>
  <c r="EA46" i="1"/>
  <c r="EA45" i="1"/>
  <c r="EA44" i="1"/>
  <c r="EA43" i="1"/>
  <c r="EA42" i="1"/>
  <c r="EA41" i="1"/>
  <c r="EA40" i="1"/>
  <c r="EA39" i="1"/>
  <c r="EA38" i="1"/>
  <c r="EA37" i="1"/>
  <c r="EA36" i="1"/>
  <c r="EA35" i="1"/>
  <c r="EA34" i="1"/>
  <c r="EA33" i="1"/>
  <c r="EA32" i="1"/>
  <c r="EA31" i="1"/>
  <c r="EA30" i="1"/>
  <c r="EA29" i="1"/>
  <c r="EA28" i="1"/>
  <c r="EA27" i="1"/>
  <c r="EA26" i="1"/>
  <c r="EA25" i="1"/>
  <c r="EA24" i="1"/>
  <c r="EA23" i="1"/>
  <c r="EA22" i="1"/>
  <c r="EA21" i="1"/>
  <c r="EA20" i="1"/>
  <c r="EA19" i="1"/>
  <c r="EA18" i="1"/>
  <c r="EA17" i="1"/>
  <c r="EA16" i="1"/>
  <c r="EA15" i="1"/>
  <c r="EA14" i="1"/>
  <c r="EA13" i="1"/>
  <c r="EA12" i="1"/>
  <c r="EA11" i="1"/>
  <c r="EA10" i="1"/>
  <c r="EA9" i="1"/>
  <c r="EA8" i="1"/>
  <c r="EA7" i="1"/>
  <c r="EA6" i="1"/>
  <c r="EA5" i="1"/>
  <c r="EA64" i="1" s="1"/>
  <c r="EA65" i="1" s="1"/>
  <c r="EA4" i="1"/>
  <c r="DZ63" i="1"/>
  <c r="DZ62" i="1"/>
  <c r="DZ61" i="1"/>
  <c r="DZ60" i="1"/>
  <c r="DZ59" i="1"/>
  <c r="DZ58" i="1"/>
  <c r="DZ57" i="1"/>
  <c r="DZ56" i="1"/>
  <c r="DZ55" i="1"/>
  <c r="DZ54" i="1"/>
  <c r="DZ53" i="1"/>
  <c r="DZ52" i="1"/>
  <c r="DZ51" i="1"/>
  <c r="DZ50" i="1"/>
  <c r="DZ49" i="1"/>
  <c r="DZ48" i="1"/>
  <c r="DZ47" i="1"/>
  <c r="DZ46" i="1"/>
  <c r="DZ45" i="1"/>
  <c r="DZ44" i="1"/>
  <c r="DZ43" i="1"/>
  <c r="DZ42" i="1"/>
  <c r="DZ41" i="1"/>
  <c r="DZ40" i="1"/>
  <c r="DZ39" i="1"/>
  <c r="DZ38" i="1"/>
  <c r="DZ37" i="1"/>
  <c r="DZ36" i="1"/>
  <c r="DZ35" i="1"/>
  <c r="DZ34" i="1"/>
  <c r="DZ33" i="1"/>
  <c r="DZ32" i="1"/>
  <c r="DZ31" i="1"/>
  <c r="DZ30" i="1"/>
  <c r="DZ29" i="1"/>
  <c r="DZ28" i="1"/>
  <c r="DZ27" i="1"/>
  <c r="DZ26" i="1"/>
  <c r="DZ25" i="1"/>
  <c r="DZ24" i="1"/>
  <c r="DZ23" i="1"/>
  <c r="DZ22" i="1"/>
  <c r="DZ21" i="1"/>
  <c r="DZ20" i="1"/>
  <c r="DZ19" i="1"/>
  <c r="DZ18" i="1"/>
  <c r="DZ17" i="1"/>
  <c r="DZ16" i="1"/>
  <c r="DZ15" i="1"/>
  <c r="DZ14" i="1"/>
  <c r="DZ13" i="1"/>
  <c r="DZ12" i="1"/>
  <c r="DZ11" i="1"/>
  <c r="DZ10" i="1"/>
  <c r="DZ9" i="1"/>
  <c r="DZ8" i="1"/>
  <c r="DZ7" i="1"/>
  <c r="DZ6" i="1"/>
  <c r="DZ5" i="1"/>
  <c r="DZ64" i="1" s="1"/>
  <c r="DZ65" i="1" s="1"/>
  <c r="DZ4" i="1"/>
  <c r="DY64" i="1"/>
  <c r="DX64" i="1"/>
  <c r="DY63" i="1"/>
  <c r="DY62" i="1"/>
  <c r="DY61" i="1"/>
  <c r="DY60" i="1"/>
  <c r="DY59" i="1"/>
  <c r="DY58" i="1"/>
  <c r="DY57" i="1"/>
  <c r="DY56" i="1"/>
  <c r="DY55" i="1"/>
  <c r="DY54" i="1"/>
  <c r="DY53" i="1"/>
  <c r="DY52" i="1"/>
  <c r="DY51" i="1"/>
  <c r="DY50" i="1"/>
  <c r="DY49" i="1"/>
  <c r="DY48" i="1"/>
  <c r="DY47" i="1"/>
  <c r="DY46" i="1"/>
  <c r="DY45" i="1"/>
  <c r="DY44" i="1"/>
  <c r="DY43" i="1"/>
  <c r="DY42" i="1"/>
  <c r="DY41" i="1"/>
  <c r="DY40" i="1"/>
  <c r="DY39" i="1"/>
  <c r="DY38" i="1"/>
  <c r="DY37" i="1"/>
  <c r="DY36" i="1"/>
  <c r="DY35" i="1"/>
  <c r="DY34" i="1"/>
  <c r="DY33" i="1"/>
  <c r="DY32" i="1"/>
  <c r="DY31" i="1"/>
  <c r="DY30" i="1"/>
  <c r="DY29" i="1"/>
  <c r="DY28" i="1"/>
  <c r="DY27" i="1"/>
  <c r="DY26" i="1"/>
  <c r="DY25" i="1"/>
  <c r="DY24" i="1"/>
  <c r="DY23" i="1"/>
  <c r="DY22" i="1"/>
  <c r="DY21" i="1"/>
  <c r="DY20" i="1"/>
  <c r="DY19" i="1"/>
  <c r="DY18" i="1"/>
  <c r="DY17" i="1"/>
  <c r="DY16" i="1"/>
  <c r="DY15" i="1"/>
  <c r="DY14" i="1"/>
  <c r="DY13" i="1"/>
  <c r="DY12" i="1"/>
  <c r="DY11" i="1"/>
  <c r="DY10" i="1"/>
  <c r="DY9" i="1"/>
  <c r="DY8" i="1"/>
  <c r="DY7" i="1"/>
  <c r="DY6" i="1"/>
  <c r="DY5" i="1"/>
  <c r="DX5" i="1"/>
  <c r="DY4" i="1"/>
  <c r="DX4" i="1"/>
  <c r="EA72" i="1"/>
  <c r="DZ72" i="1"/>
  <c r="DY72" i="1"/>
  <c r="DX72" i="1"/>
  <c r="DV70" i="1"/>
  <c r="DU70" i="1"/>
  <c r="DT70" i="1"/>
  <c r="DS70" i="1"/>
  <c r="DR70" i="1"/>
  <c r="DQ70" i="1"/>
  <c r="DP70" i="1"/>
  <c r="DO70" i="1"/>
  <c r="DN70" i="1"/>
  <c r="DM70" i="1"/>
  <c r="DL70" i="1"/>
  <c r="DK70" i="1"/>
  <c r="DJ70" i="1"/>
  <c r="DI70" i="1"/>
  <c r="DH70" i="1"/>
  <c r="DG70" i="1"/>
  <c r="DF70" i="1"/>
  <c r="DE70" i="1"/>
  <c r="DD70" i="1"/>
  <c r="DC70" i="1"/>
  <c r="DB70" i="1"/>
  <c r="DA70" i="1"/>
  <c r="CZ70" i="1"/>
  <c r="CY70" i="1"/>
  <c r="CX70" i="1"/>
  <c r="CW70" i="1"/>
  <c r="CV70" i="1"/>
  <c r="CU70" i="1"/>
  <c r="CT70" i="1"/>
  <c r="CS70" i="1"/>
  <c r="CR70" i="1"/>
  <c r="CQ70" i="1"/>
  <c r="CP70" i="1"/>
  <c r="CO70" i="1"/>
  <c r="CN70" i="1"/>
  <c r="CM70" i="1"/>
  <c r="CL70" i="1"/>
  <c r="CK70" i="1"/>
  <c r="CJ70" i="1"/>
  <c r="CI70" i="1"/>
  <c r="CH70" i="1"/>
  <c r="CG70" i="1"/>
  <c r="CF70" i="1"/>
  <c r="CE70" i="1"/>
  <c r="CD70" i="1"/>
  <c r="CC70" i="1"/>
  <c r="CB70" i="1"/>
  <c r="CA70" i="1"/>
  <c r="BZ70" i="1"/>
  <c r="BY70" i="1"/>
  <c r="BX70" i="1"/>
  <c r="BW70" i="1"/>
  <c r="BV70" i="1"/>
  <c r="BU70" i="1"/>
  <c r="BT70" i="1"/>
  <c r="BS70" i="1"/>
  <c r="BR70" i="1"/>
  <c r="BQ70" i="1"/>
  <c r="BP70" i="1"/>
  <c r="BO70" i="1"/>
  <c r="BN70" i="1"/>
  <c r="BM70" i="1"/>
  <c r="BL70" i="1"/>
  <c r="BK70" i="1"/>
  <c r="BJ70" i="1"/>
  <c r="BI70" i="1"/>
  <c r="BH70" i="1"/>
  <c r="BG70" i="1"/>
  <c r="BF70" i="1"/>
  <c r="BE70" i="1"/>
  <c r="BD70" i="1"/>
  <c r="BC70" i="1"/>
  <c r="BB70" i="1"/>
  <c r="BA70" i="1"/>
  <c r="AZ70" i="1"/>
  <c r="AY70" i="1"/>
  <c r="AX70" i="1"/>
  <c r="AW70" i="1"/>
  <c r="AV70" i="1"/>
  <c r="AU70" i="1"/>
  <c r="AT70" i="1"/>
  <c r="AS70" i="1"/>
  <c r="AR70" i="1"/>
  <c r="AQ70" i="1"/>
  <c r="AP70" i="1"/>
  <c r="AO70" i="1"/>
  <c r="AN70" i="1"/>
  <c r="AM70" i="1"/>
  <c r="AL70" i="1"/>
  <c r="AK70" i="1"/>
  <c r="AJ70" i="1"/>
  <c r="AI70" i="1"/>
  <c r="AH70" i="1"/>
  <c r="AG70" i="1"/>
  <c r="AF70" i="1"/>
  <c r="AE70" i="1"/>
  <c r="AD70" i="1"/>
  <c r="AC70" i="1"/>
  <c r="AB70" i="1"/>
  <c r="AA70" i="1"/>
  <c r="Z70" i="1"/>
  <c r="Y70" i="1"/>
  <c r="X70" i="1"/>
  <c r="CO67" i="1"/>
  <c r="CN67" i="1"/>
  <c r="CM67" i="1"/>
  <c r="CL67" i="1"/>
  <c r="CK67" i="1"/>
  <c r="CJ67" i="1"/>
  <c r="CI67" i="1"/>
  <c r="CH67" i="1"/>
  <c r="CG67" i="1"/>
  <c r="CF67" i="1"/>
  <c r="CE67" i="1"/>
  <c r="CD67" i="1"/>
  <c r="CC67" i="1"/>
  <c r="CB67" i="1"/>
  <c r="CA67" i="1"/>
  <c r="BZ67" i="1"/>
  <c r="BY67" i="1"/>
  <c r="BX67" i="1"/>
  <c r="BW67" i="1"/>
  <c r="BV67" i="1"/>
  <c r="BU67" i="1"/>
  <c r="BT67" i="1"/>
  <c r="BS67" i="1"/>
  <c r="BR67" i="1"/>
  <c r="BQ67" i="1"/>
  <c r="BP67" i="1"/>
  <c r="BO67" i="1"/>
  <c r="BN67" i="1"/>
  <c r="BM67" i="1"/>
  <c r="BL67" i="1"/>
  <c r="BK67" i="1"/>
  <c r="BJ67" i="1"/>
  <c r="BI67" i="1"/>
  <c r="BH67" i="1"/>
  <c r="BG67" i="1"/>
  <c r="BF67" i="1"/>
  <c r="BE67" i="1"/>
  <c r="BD67" i="1"/>
  <c r="BC67" i="1"/>
  <c r="BB67" i="1"/>
  <c r="BA67" i="1"/>
  <c r="AZ67" i="1"/>
  <c r="AY67" i="1"/>
  <c r="AX67" i="1"/>
  <c r="AW67" i="1"/>
  <c r="AV67" i="1"/>
  <c r="AU67" i="1"/>
  <c r="AT67" i="1"/>
  <c r="AS67" i="1"/>
  <c r="AR67" i="1"/>
  <c r="AQ67" i="1"/>
  <c r="AP67" i="1"/>
  <c r="AO67" i="1"/>
  <c r="AN67" i="1"/>
  <c r="AM67" i="1"/>
  <c r="AL67" i="1"/>
  <c r="AK67" i="1"/>
  <c r="AJ67" i="1"/>
  <c r="AI67" i="1"/>
  <c r="AH67" i="1"/>
  <c r="AG67" i="1"/>
  <c r="AF67" i="1"/>
  <c r="AE67" i="1"/>
  <c r="AD67" i="1"/>
  <c r="AC67" i="1"/>
  <c r="AB67" i="1"/>
  <c r="AA67" i="1"/>
  <c r="Z67" i="1"/>
  <c r="Y67" i="1"/>
  <c r="X67" i="1"/>
  <c r="CO71" i="1"/>
  <c r="DV71" i="1"/>
  <c r="DU71" i="1"/>
  <c r="DT71" i="1"/>
  <c r="DS71" i="1"/>
  <c r="DR71" i="1"/>
  <c r="DQ71" i="1"/>
  <c r="DP71" i="1"/>
  <c r="DO71" i="1"/>
  <c r="DN71" i="1"/>
  <c r="DM71" i="1"/>
  <c r="DL71" i="1"/>
  <c r="DK71" i="1"/>
  <c r="DJ71" i="1"/>
  <c r="DI71" i="1"/>
  <c r="DH71" i="1"/>
  <c r="DG71" i="1"/>
  <c r="DF71" i="1"/>
  <c r="DE71" i="1"/>
  <c r="DD71" i="1"/>
  <c r="DC71" i="1"/>
  <c r="DB71" i="1"/>
  <c r="DA71" i="1"/>
  <c r="CZ71" i="1"/>
  <c r="CY71" i="1"/>
  <c r="CX71" i="1"/>
  <c r="CW71" i="1"/>
  <c r="CV71" i="1"/>
  <c r="CU71" i="1"/>
  <c r="CT71" i="1"/>
  <c r="CS71" i="1"/>
  <c r="CR71" i="1"/>
  <c r="CQ71" i="1"/>
  <c r="CP71" i="1"/>
  <c r="EA71" i="1"/>
  <c r="DZ71" i="1"/>
  <c r="DY71" i="1"/>
  <c r="DX71" i="1"/>
  <c r="DW71" i="1"/>
  <c r="EA70" i="1"/>
  <c r="DZ70" i="1"/>
  <c r="DY70" i="1"/>
  <c r="DX70" i="1"/>
  <c r="DW70" i="1"/>
  <c r="EA68" i="1"/>
  <c r="DZ68" i="1"/>
  <c r="DY68" i="1"/>
  <c r="DX68" i="1"/>
  <c r="DW68" i="1"/>
  <c r="DV68" i="1"/>
  <c r="DU68" i="1"/>
  <c r="DT68" i="1"/>
  <c r="DS68" i="1"/>
  <c r="DR68" i="1"/>
  <c r="DQ68" i="1"/>
  <c r="DP68" i="1"/>
  <c r="DO68" i="1"/>
  <c r="DN68" i="1"/>
  <c r="DM68" i="1"/>
  <c r="DL68" i="1"/>
  <c r="DK68" i="1"/>
  <c r="DJ68" i="1"/>
  <c r="DI68" i="1"/>
  <c r="DH68" i="1"/>
  <c r="DG68" i="1"/>
  <c r="DF68" i="1"/>
  <c r="DE68" i="1"/>
  <c r="DD68" i="1"/>
  <c r="DC68" i="1"/>
  <c r="DB68" i="1"/>
  <c r="DA68" i="1"/>
  <c r="CZ68" i="1"/>
  <c r="CY68" i="1"/>
  <c r="CX68" i="1"/>
  <c r="CW68" i="1"/>
  <c r="CV68" i="1"/>
  <c r="CU68" i="1"/>
  <c r="CT68" i="1"/>
  <c r="CS68" i="1"/>
  <c r="CR68" i="1"/>
  <c r="CQ68" i="1"/>
  <c r="EA67" i="1"/>
  <c r="DZ67" i="1"/>
  <c r="DY67" i="1"/>
  <c r="DX67" i="1"/>
  <c r="DW67" i="1"/>
  <c r="DV67" i="1"/>
  <c r="DU67" i="1"/>
  <c r="DT67" i="1"/>
  <c r="DS67" i="1"/>
  <c r="DR67" i="1"/>
  <c r="DQ67" i="1"/>
  <c r="DP67" i="1"/>
  <c r="DO67" i="1"/>
  <c r="DN67" i="1"/>
  <c r="DM67" i="1"/>
  <c r="DL67" i="1"/>
  <c r="DK67" i="1"/>
  <c r="DJ67" i="1"/>
  <c r="DI67" i="1"/>
  <c r="DH67" i="1"/>
  <c r="DG67" i="1"/>
  <c r="DF67" i="1"/>
  <c r="DE67" i="1"/>
  <c r="DD67" i="1"/>
  <c r="DC67" i="1"/>
  <c r="DB67" i="1"/>
  <c r="DA67" i="1"/>
  <c r="CZ67" i="1"/>
  <c r="CY67" i="1"/>
  <c r="CX67" i="1"/>
  <c r="CW67" i="1"/>
  <c r="CV67" i="1"/>
  <c r="CU67" i="1"/>
  <c r="CT67" i="1"/>
  <c r="CS67" i="1"/>
  <c r="CR67" i="1"/>
  <c r="CQ67" i="1"/>
  <c r="CP67" i="1"/>
  <c r="DY65" i="1"/>
  <c r="CP8" i="1" l="1"/>
  <c r="CP9" i="1"/>
  <c r="CP21" i="1"/>
  <c r="CP22" i="1"/>
  <c r="CP76" i="1" s="1"/>
  <c r="CP4" i="1"/>
  <c r="CP5" i="1"/>
  <c r="CP6" i="1"/>
  <c r="CP7" i="1"/>
  <c r="CP10" i="1"/>
  <c r="CP11" i="1"/>
  <c r="CP12" i="1"/>
  <c r="CP13" i="1"/>
  <c r="CP14" i="1"/>
  <c r="CP15" i="1"/>
  <c r="CP16" i="1"/>
  <c r="CP17" i="1"/>
  <c r="CP18" i="1"/>
  <c r="CP19" i="1"/>
  <c r="CP20" i="1"/>
  <c r="CP23" i="1"/>
  <c r="CP24" i="1"/>
  <c r="CP25" i="1"/>
  <c r="CP26" i="1"/>
  <c r="CP27" i="1"/>
  <c r="CP28" i="1"/>
  <c r="CP29" i="1"/>
  <c r="CP30" i="1"/>
  <c r="CP31" i="1"/>
  <c r="CP32" i="1"/>
  <c r="CP33" i="1"/>
  <c r="CP34" i="1"/>
  <c r="CP35" i="1"/>
  <c r="CP36" i="1"/>
  <c r="CP37" i="1"/>
  <c r="CP38" i="1"/>
  <c r="CP39" i="1"/>
  <c r="CP40" i="1"/>
  <c r="CP41" i="1"/>
  <c r="CP42" i="1"/>
  <c r="CP79" i="1" s="1"/>
  <c r="CP43" i="1"/>
  <c r="CP44" i="1"/>
  <c r="CP45" i="1"/>
  <c r="CP46" i="1"/>
  <c r="CP47" i="1"/>
  <c r="CP48" i="1"/>
  <c r="CP49" i="1"/>
  <c r="CP50" i="1"/>
  <c r="CP51" i="1"/>
  <c r="CP52" i="1"/>
  <c r="CP53" i="1"/>
  <c r="CP54" i="1"/>
  <c r="CP55" i="1"/>
  <c r="CP56" i="1"/>
  <c r="CP57" i="1"/>
  <c r="CP58" i="1"/>
  <c r="CP59" i="1"/>
  <c r="CP60" i="1"/>
  <c r="CP61" i="1"/>
  <c r="CP62" i="1"/>
  <c r="CP63" i="1"/>
  <c r="CP82" i="1"/>
  <c r="CP75" i="1"/>
  <c r="CP77" i="1"/>
  <c r="CP78" i="1"/>
  <c r="CP80" i="1"/>
  <c r="H59" i="1"/>
  <c r="G59" i="1" s="1"/>
  <c r="F59" i="1" s="1"/>
  <c r="E59" i="1" s="1"/>
  <c r="N59" i="1"/>
  <c r="M59" i="1" s="1"/>
  <c r="L59" i="1" s="1"/>
  <c r="K59" i="1" s="1"/>
  <c r="J59" i="1" s="1"/>
  <c r="I59" i="1"/>
  <c r="D59" i="1"/>
  <c r="AM62" i="1"/>
  <c r="AM10" i="1"/>
  <c r="AM12" i="1"/>
  <c r="AM17" i="1"/>
  <c r="AM4" i="1"/>
  <c r="AM5" i="1"/>
  <c r="AM6" i="1"/>
  <c r="AM7" i="1"/>
  <c r="AM8" i="1"/>
  <c r="AM9" i="1"/>
  <c r="AM11" i="1"/>
  <c r="AM13" i="1"/>
  <c r="AM14" i="1"/>
  <c r="AM15" i="1"/>
  <c r="AM16"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H52" i="1" s="1"/>
  <c r="AL52" i="1" s="1"/>
  <c r="AK52" i="1" s="1"/>
  <c r="AJ52" i="1" s="1"/>
  <c r="AI52" i="1" s="1"/>
  <c r="AM53" i="1"/>
  <c r="AM54" i="1"/>
  <c r="AM55" i="1"/>
  <c r="AM56" i="1"/>
  <c r="AM57" i="1"/>
  <c r="AM58" i="1"/>
  <c r="AM59" i="1"/>
  <c r="AM60" i="1"/>
  <c r="AM61" i="1"/>
  <c r="AM63" i="1"/>
  <c r="AH22" i="1"/>
  <c r="AH59" i="1"/>
  <c r="AC59" i="1"/>
  <c r="X59" i="1"/>
  <c r="D46" i="1"/>
  <c r="D29" i="1"/>
  <c r="D15" i="1"/>
  <c r="D13" i="1"/>
  <c r="D7" i="1"/>
  <c r="I46" i="1"/>
  <c r="H46" i="1" s="1"/>
  <c r="I29" i="1"/>
  <c r="I15" i="1"/>
  <c r="I13" i="1"/>
  <c r="I7" i="1"/>
  <c r="N46" i="1"/>
  <c r="N29" i="1"/>
  <c r="N15" i="1"/>
  <c r="N13" i="1"/>
  <c r="N7" i="1"/>
  <c r="S46" i="1"/>
  <c r="S29" i="1"/>
  <c r="S15" i="1"/>
  <c r="S13" i="1"/>
  <c r="S7" i="1"/>
  <c r="X46" i="1"/>
  <c r="X29" i="1"/>
  <c r="X15" i="1"/>
  <c r="X13" i="1"/>
  <c r="X7" i="1"/>
  <c r="AC68" i="1"/>
  <c r="AC46" i="1"/>
  <c r="AH33" i="1"/>
  <c r="AC33" i="1" s="1"/>
  <c r="AH11" i="1"/>
  <c r="AC29" i="1"/>
  <c r="AC15" i="1"/>
  <c r="AC13" i="1"/>
  <c r="AC7" i="1"/>
  <c r="M63" i="1"/>
  <c r="L63" i="1"/>
  <c r="K63" i="1" s="1"/>
  <c r="J63" i="1" s="1"/>
  <c r="H63" i="1"/>
  <c r="G63" i="1"/>
  <c r="F63" i="1"/>
  <c r="E63" i="1" s="1"/>
  <c r="M61" i="1"/>
  <c r="L61" i="1"/>
  <c r="K61" i="1" s="1"/>
  <c r="J61" i="1" s="1"/>
  <c r="H61" i="1"/>
  <c r="G61" i="1"/>
  <c r="F61" i="1" s="1"/>
  <c r="E61" i="1" s="1"/>
  <c r="M60" i="1"/>
  <c r="L60" i="1" s="1"/>
  <c r="K60" i="1"/>
  <c r="J60" i="1" s="1"/>
  <c r="H60" i="1"/>
  <c r="G60" i="1" s="1"/>
  <c r="F60" i="1" s="1"/>
  <c r="E60" i="1" s="1"/>
  <c r="M57" i="1"/>
  <c r="L57" i="1" s="1"/>
  <c r="K57" i="1"/>
  <c r="J57" i="1" s="1"/>
  <c r="H57" i="1"/>
  <c r="G57" i="1" s="1"/>
  <c r="F57" i="1" s="1"/>
  <c r="E57" i="1" s="1"/>
  <c r="M56" i="1"/>
  <c r="L56" i="1" s="1"/>
  <c r="K56" i="1" s="1"/>
  <c r="J56" i="1" s="1"/>
  <c r="H56" i="1"/>
  <c r="G56" i="1"/>
  <c r="F56" i="1"/>
  <c r="E56" i="1" s="1"/>
  <c r="M55" i="1"/>
  <c r="L55" i="1" s="1"/>
  <c r="K55" i="1"/>
  <c r="J55" i="1" s="1"/>
  <c r="H55" i="1"/>
  <c r="G55" i="1" s="1"/>
  <c r="F55" i="1" s="1"/>
  <c r="E55" i="1" s="1"/>
  <c r="M54" i="1"/>
  <c r="L54" i="1" s="1"/>
  <c r="K54" i="1" s="1"/>
  <c r="J54" i="1" s="1"/>
  <c r="H54" i="1"/>
  <c r="G54" i="1"/>
  <c r="F54" i="1"/>
  <c r="E54" i="1" s="1"/>
  <c r="M53" i="1"/>
  <c r="L53" i="1" s="1"/>
  <c r="K53" i="1"/>
  <c r="J53" i="1" s="1"/>
  <c r="H53" i="1"/>
  <c r="G53" i="1" s="1"/>
  <c r="F53" i="1" s="1"/>
  <c r="E53" i="1" s="1"/>
  <c r="M50" i="1"/>
  <c r="L50" i="1"/>
  <c r="K50" i="1" s="1"/>
  <c r="J50" i="1" s="1"/>
  <c r="H50" i="1"/>
  <c r="G50" i="1"/>
  <c r="F50" i="1"/>
  <c r="E50" i="1" s="1"/>
  <c r="M49" i="1"/>
  <c r="L49" i="1" s="1"/>
  <c r="K49" i="1"/>
  <c r="J49" i="1" s="1"/>
  <c r="H49" i="1"/>
  <c r="G49" i="1" s="1"/>
  <c r="F49" i="1" s="1"/>
  <c r="E49" i="1" s="1"/>
  <c r="M48" i="1"/>
  <c r="L48" i="1"/>
  <c r="K48" i="1" s="1"/>
  <c r="J48" i="1" s="1"/>
  <c r="H48" i="1"/>
  <c r="G48" i="1"/>
  <c r="F48" i="1"/>
  <c r="E48" i="1" s="1"/>
  <c r="M47" i="1"/>
  <c r="L47" i="1" s="1"/>
  <c r="K47" i="1" s="1"/>
  <c r="J47" i="1" s="1"/>
  <c r="H47" i="1"/>
  <c r="G47" i="1" s="1"/>
  <c r="F47" i="1" s="1"/>
  <c r="E47" i="1" s="1"/>
  <c r="M46" i="1"/>
  <c r="L46" i="1"/>
  <c r="K46" i="1" s="1"/>
  <c r="J46" i="1" s="1"/>
  <c r="G46" i="1"/>
  <c r="F46" i="1" s="1"/>
  <c r="E46" i="1" s="1"/>
  <c r="M45" i="1"/>
  <c r="L45" i="1" s="1"/>
  <c r="K45" i="1"/>
  <c r="J45" i="1" s="1"/>
  <c r="H45" i="1"/>
  <c r="G45" i="1" s="1"/>
  <c r="F45" i="1" s="1"/>
  <c r="E45" i="1" s="1"/>
  <c r="M43" i="1"/>
  <c r="L43" i="1" s="1"/>
  <c r="K43" i="1"/>
  <c r="J43" i="1" s="1"/>
  <c r="H43" i="1"/>
  <c r="G43" i="1" s="1"/>
  <c r="F43" i="1" s="1"/>
  <c r="E43" i="1" s="1"/>
  <c r="M41" i="1"/>
  <c r="L41" i="1" s="1"/>
  <c r="K41" i="1" s="1"/>
  <c r="J41" i="1" s="1"/>
  <c r="H41" i="1"/>
  <c r="G41" i="1" s="1"/>
  <c r="F41" i="1" s="1"/>
  <c r="E41" i="1" s="1"/>
  <c r="M40" i="1"/>
  <c r="L40" i="1" s="1"/>
  <c r="K40" i="1" s="1"/>
  <c r="J40" i="1" s="1"/>
  <c r="H40" i="1"/>
  <c r="G40" i="1"/>
  <c r="F40" i="1"/>
  <c r="E40" i="1" s="1"/>
  <c r="M39" i="1"/>
  <c r="L39" i="1" s="1"/>
  <c r="K39" i="1" s="1"/>
  <c r="J39" i="1" s="1"/>
  <c r="H39" i="1"/>
  <c r="G39" i="1" s="1"/>
  <c r="F39" i="1" s="1"/>
  <c r="E39" i="1"/>
  <c r="M38" i="1"/>
  <c r="L38" i="1" s="1"/>
  <c r="K38" i="1" s="1"/>
  <c r="J38" i="1" s="1"/>
  <c r="H38" i="1"/>
  <c r="G38" i="1" s="1"/>
  <c r="F38" i="1" s="1"/>
  <c r="E38" i="1"/>
  <c r="M37" i="1"/>
  <c r="L37" i="1" s="1"/>
  <c r="K37" i="1" s="1"/>
  <c r="J37" i="1" s="1"/>
  <c r="H37" i="1"/>
  <c r="G37" i="1" s="1"/>
  <c r="F37" i="1" s="1"/>
  <c r="E37" i="1"/>
  <c r="M36" i="1"/>
  <c r="L36" i="1" s="1"/>
  <c r="K36" i="1" s="1"/>
  <c r="J36" i="1" s="1"/>
  <c r="H36" i="1"/>
  <c r="G36" i="1" s="1"/>
  <c r="F36" i="1" s="1"/>
  <c r="E36" i="1"/>
  <c r="M34" i="1"/>
  <c r="L34" i="1" s="1"/>
  <c r="K34" i="1" s="1"/>
  <c r="J34" i="1" s="1"/>
  <c r="H34" i="1"/>
  <c r="G34" i="1" s="1"/>
  <c r="F34" i="1" s="1"/>
  <c r="E34" i="1"/>
  <c r="M33" i="1"/>
  <c r="L33" i="1" s="1"/>
  <c r="K33" i="1" s="1"/>
  <c r="J33" i="1" s="1"/>
  <c r="H33" i="1"/>
  <c r="G33" i="1" s="1"/>
  <c r="F33" i="1" s="1"/>
  <c r="E33" i="1"/>
  <c r="M32" i="1"/>
  <c r="L32" i="1" s="1"/>
  <c r="K32" i="1" s="1"/>
  <c r="J32" i="1" s="1"/>
  <c r="H32" i="1"/>
  <c r="G32" i="1" s="1"/>
  <c r="F32" i="1" s="1"/>
  <c r="E32" i="1"/>
  <c r="M30" i="1"/>
  <c r="L30" i="1" s="1"/>
  <c r="K30" i="1" s="1"/>
  <c r="J30" i="1" s="1"/>
  <c r="H30" i="1"/>
  <c r="G30" i="1" s="1"/>
  <c r="F30" i="1" s="1"/>
  <c r="E30" i="1"/>
  <c r="M29" i="1"/>
  <c r="L29" i="1" s="1"/>
  <c r="K29" i="1" s="1"/>
  <c r="J29" i="1" s="1"/>
  <c r="H29" i="1"/>
  <c r="G29" i="1" s="1"/>
  <c r="F29" i="1" s="1"/>
  <c r="E29" i="1"/>
  <c r="M27" i="1"/>
  <c r="L27" i="1" s="1"/>
  <c r="K27" i="1" s="1"/>
  <c r="J27" i="1" s="1"/>
  <c r="H27" i="1"/>
  <c r="G27" i="1" s="1"/>
  <c r="F27" i="1" s="1"/>
  <c r="E27" i="1"/>
  <c r="M26" i="1"/>
  <c r="L26" i="1" s="1"/>
  <c r="K26" i="1" s="1"/>
  <c r="J26" i="1" s="1"/>
  <c r="H26" i="1"/>
  <c r="G26" i="1" s="1"/>
  <c r="F26" i="1" s="1"/>
  <c r="E26" i="1"/>
  <c r="M24" i="1"/>
  <c r="L24" i="1" s="1"/>
  <c r="K24" i="1" s="1"/>
  <c r="J24" i="1" s="1"/>
  <c r="H24" i="1"/>
  <c r="G24" i="1" s="1"/>
  <c r="F24" i="1" s="1"/>
  <c r="E24" i="1"/>
  <c r="M19" i="1"/>
  <c r="L19" i="1" s="1"/>
  <c r="K19" i="1" s="1"/>
  <c r="J19" i="1" s="1"/>
  <c r="H19" i="1"/>
  <c r="G19" i="1" s="1"/>
  <c r="F19" i="1" s="1"/>
  <c r="E19" i="1"/>
  <c r="M16" i="1"/>
  <c r="L16" i="1" s="1"/>
  <c r="K16" i="1" s="1"/>
  <c r="J16" i="1" s="1"/>
  <c r="H16" i="1"/>
  <c r="G16" i="1"/>
  <c r="F16" i="1" s="1"/>
  <c r="E16" i="1" s="1"/>
  <c r="M15" i="1"/>
  <c r="L15" i="1"/>
  <c r="K15" i="1" s="1"/>
  <c r="J15" i="1" s="1"/>
  <c r="H15" i="1"/>
  <c r="G15" i="1"/>
  <c r="F15" i="1" s="1"/>
  <c r="E15" i="1" s="1"/>
  <c r="M14" i="1"/>
  <c r="L14" i="1"/>
  <c r="K14" i="1" s="1"/>
  <c r="J14" i="1" s="1"/>
  <c r="H14" i="1"/>
  <c r="G14" i="1"/>
  <c r="F14" i="1" s="1"/>
  <c r="E14" i="1" s="1"/>
  <c r="M13" i="1"/>
  <c r="L13" i="1"/>
  <c r="K13" i="1" s="1"/>
  <c r="J13" i="1" s="1"/>
  <c r="H13" i="1"/>
  <c r="G13" i="1"/>
  <c r="F13" i="1" s="1"/>
  <c r="E13" i="1" s="1"/>
  <c r="M11" i="1"/>
  <c r="L11" i="1"/>
  <c r="K11" i="1" s="1"/>
  <c r="J11" i="1" s="1"/>
  <c r="H11" i="1"/>
  <c r="G11" i="1"/>
  <c r="F11" i="1" s="1"/>
  <c r="E11" i="1" s="1"/>
  <c r="M7" i="1"/>
  <c r="L7" i="1"/>
  <c r="K7" i="1" s="1"/>
  <c r="J7" i="1" s="1"/>
  <c r="H7" i="1"/>
  <c r="G7" i="1"/>
  <c r="F7" i="1" s="1"/>
  <c r="E7" i="1" s="1"/>
  <c r="M6" i="1"/>
  <c r="L6" i="1"/>
  <c r="K6" i="1" s="1"/>
  <c r="J6" i="1" s="1"/>
  <c r="H6" i="1"/>
  <c r="G6" i="1"/>
  <c r="F6" i="1" s="1"/>
  <c r="E6" i="1" s="1"/>
  <c r="M5" i="1"/>
  <c r="L5" i="1"/>
  <c r="K5" i="1" s="1"/>
  <c r="J5" i="1" s="1"/>
  <c r="H5" i="1"/>
  <c r="G5" i="1"/>
  <c r="F5" i="1" s="1"/>
  <c r="E5" i="1" s="1"/>
  <c r="M4" i="1"/>
  <c r="L4" i="1"/>
  <c r="K4" i="1" s="1"/>
  <c r="J4" i="1" s="1"/>
  <c r="H4" i="1"/>
  <c r="G4" i="1"/>
  <c r="F4" i="1" s="1"/>
  <c r="E4" i="1" s="1"/>
  <c r="W63" i="1"/>
  <c r="V63" i="1"/>
  <c r="U63" i="1" s="1"/>
  <c r="T63" i="1" s="1"/>
  <c r="R63" i="1"/>
  <c r="Q63" i="1"/>
  <c r="P63" i="1" s="1"/>
  <c r="O63" i="1" s="1"/>
  <c r="S59" i="1"/>
  <c r="W61" i="1"/>
  <c r="V61" i="1" s="1"/>
  <c r="U61" i="1" s="1"/>
  <c r="T61" i="1" s="1"/>
  <c r="R61" i="1"/>
  <c r="Q61" i="1" s="1"/>
  <c r="P61" i="1" s="1"/>
  <c r="O61" i="1" s="1"/>
  <c r="W60" i="1"/>
  <c r="V60" i="1" s="1"/>
  <c r="U60" i="1" s="1"/>
  <c r="T60" i="1" s="1"/>
  <c r="R60" i="1"/>
  <c r="Q60" i="1" s="1"/>
  <c r="P60" i="1" s="1"/>
  <c r="O60" i="1" s="1"/>
  <c r="W59" i="1"/>
  <c r="V59" i="1"/>
  <c r="U59" i="1"/>
  <c r="T59" i="1"/>
  <c r="R59" i="1"/>
  <c r="Q59" i="1"/>
  <c r="P59" i="1"/>
  <c r="O59" i="1"/>
  <c r="W57" i="1"/>
  <c r="V57" i="1" s="1"/>
  <c r="U57" i="1" s="1"/>
  <c r="T57" i="1"/>
  <c r="R57" i="1"/>
  <c r="Q57" i="1" s="1"/>
  <c r="P57" i="1"/>
  <c r="O57" i="1" s="1"/>
  <c r="W56" i="1"/>
  <c r="V56" i="1" s="1"/>
  <c r="U56" i="1" s="1"/>
  <c r="T56" i="1" s="1"/>
  <c r="R56" i="1"/>
  <c r="Q56" i="1" s="1"/>
  <c r="P56" i="1"/>
  <c r="O56" i="1" s="1"/>
  <c r="W55" i="1"/>
  <c r="V55" i="1" s="1"/>
  <c r="U55" i="1" s="1"/>
  <c r="T55" i="1"/>
  <c r="R55" i="1"/>
  <c r="Q55" i="1" s="1"/>
  <c r="P55" i="1"/>
  <c r="O55" i="1" s="1"/>
  <c r="W54" i="1"/>
  <c r="V54" i="1" s="1"/>
  <c r="U54" i="1" s="1"/>
  <c r="T54" i="1" s="1"/>
  <c r="R54" i="1"/>
  <c r="Q54" i="1" s="1"/>
  <c r="P54" i="1"/>
  <c r="O54" i="1" s="1"/>
  <c r="W53" i="1"/>
  <c r="V53" i="1" s="1"/>
  <c r="U53" i="1" s="1"/>
  <c r="T53" i="1" s="1"/>
  <c r="R53" i="1"/>
  <c r="Q53" i="1" s="1"/>
  <c r="P53" i="1"/>
  <c r="O53" i="1" s="1"/>
  <c r="W50" i="1"/>
  <c r="V50" i="1" s="1"/>
  <c r="U50" i="1" s="1"/>
  <c r="T50" i="1" s="1"/>
  <c r="R50" i="1"/>
  <c r="Q50" i="1" s="1"/>
  <c r="P50" i="1"/>
  <c r="O50" i="1" s="1"/>
  <c r="W49" i="1"/>
  <c r="V49" i="1" s="1"/>
  <c r="U49" i="1" s="1"/>
  <c r="T49" i="1"/>
  <c r="R49" i="1"/>
  <c r="Q49" i="1" s="1"/>
  <c r="P49" i="1"/>
  <c r="O49" i="1" s="1"/>
  <c r="W48" i="1"/>
  <c r="V48" i="1" s="1"/>
  <c r="U48" i="1" s="1"/>
  <c r="T48" i="1" s="1"/>
  <c r="R48" i="1"/>
  <c r="Q48" i="1" s="1"/>
  <c r="P48" i="1"/>
  <c r="O48" i="1" s="1"/>
  <c r="W47" i="1"/>
  <c r="V47" i="1" s="1"/>
  <c r="U47" i="1" s="1"/>
  <c r="T47" i="1"/>
  <c r="R47" i="1"/>
  <c r="Q47" i="1" s="1"/>
  <c r="P47" i="1"/>
  <c r="O47" i="1" s="1"/>
  <c r="W46" i="1"/>
  <c r="V46" i="1" s="1"/>
  <c r="U46" i="1" s="1"/>
  <c r="T46" i="1" s="1"/>
  <c r="R46" i="1"/>
  <c r="Q46" i="1" s="1"/>
  <c r="P46" i="1"/>
  <c r="O46" i="1" s="1"/>
  <c r="W45" i="1"/>
  <c r="V45" i="1" s="1"/>
  <c r="U45" i="1" s="1"/>
  <c r="T45" i="1" s="1"/>
  <c r="R45" i="1"/>
  <c r="Q45" i="1" s="1"/>
  <c r="P45" i="1"/>
  <c r="O45" i="1" s="1"/>
  <c r="W43" i="1"/>
  <c r="V43" i="1" s="1"/>
  <c r="U43" i="1" s="1"/>
  <c r="T43" i="1"/>
  <c r="R43" i="1"/>
  <c r="Q43" i="1" s="1"/>
  <c r="P43" i="1"/>
  <c r="O43" i="1" s="1"/>
  <c r="W41" i="1"/>
  <c r="V41" i="1" s="1"/>
  <c r="U41" i="1" s="1"/>
  <c r="T41" i="1" s="1"/>
  <c r="R41" i="1"/>
  <c r="Q41" i="1" s="1"/>
  <c r="P41" i="1"/>
  <c r="O41" i="1" s="1"/>
  <c r="W40" i="1"/>
  <c r="V40" i="1" s="1"/>
  <c r="U40" i="1" s="1"/>
  <c r="T40" i="1" s="1"/>
  <c r="R40" i="1"/>
  <c r="Q40" i="1" s="1"/>
  <c r="P40" i="1"/>
  <c r="O40" i="1" s="1"/>
  <c r="W39" i="1"/>
  <c r="V39" i="1" s="1"/>
  <c r="U39" i="1" s="1"/>
  <c r="T39" i="1" s="1"/>
  <c r="R39" i="1"/>
  <c r="Q39" i="1" s="1"/>
  <c r="P39" i="1"/>
  <c r="O39" i="1" s="1"/>
  <c r="W38" i="1"/>
  <c r="V38" i="1" s="1"/>
  <c r="U38" i="1" s="1"/>
  <c r="T38" i="1" s="1"/>
  <c r="R38" i="1"/>
  <c r="Q38" i="1" s="1"/>
  <c r="P38" i="1"/>
  <c r="O38" i="1" s="1"/>
  <c r="W37" i="1"/>
  <c r="V37" i="1" s="1"/>
  <c r="U37" i="1" s="1"/>
  <c r="T37" i="1"/>
  <c r="R37" i="1"/>
  <c r="Q37" i="1" s="1"/>
  <c r="P37" i="1"/>
  <c r="O37" i="1" s="1"/>
  <c r="W36" i="1"/>
  <c r="V36" i="1" s="1"/>
  <c r="U36" i="1" s="1"/>
  <c r="T36" i="1" s="1"/>
  <c r="R36" i="1"/>
  <c r="Q36" i="1" s="1"/>
  <c r="P36" i="1"/>
  <c r="O36" i="1" s="1"/>
  <c r="W34" i="1"/>
  <c r="V34" i="1" s="1"/>
  <c r="U34" i="1" s="1"/>
  <c r="T34" i="1" s="1"/>
  <c r="R34" i="1"/>
  <c r="Q34" i="1" s="1"/>
  <c r="P34" i="1"/>
  <c r="O34" i="1" s="1"/>
  <c r="W33" i="1"/>
  <c r="V33" i="1" s="1"/>
  <c r="U33" i="1" s="1"/>
  <c r="T33" i="1"/>
  <c r="R33" i="1"/>
  <c r="Q33" i="1" s="1"/>
  <c r="P33" i="1"/>
  <c r="O33" i="1" s="1"/>
  <c r="W32" i="1"/>
  <c r="V32" i="1" s="1"/>
  <c r="U32" i="1" s="1"/>
  <c r="T32" i="1" s="1"/>
  <c r="R32" i="1"/>
  <c r="Q32" i="1" s="1"/>
  <c r="P32" i="1"/>
  <c r="O32" i="1" s="1"/>
  <c r="W30" i="1"/>
  <c r="V30" i="1" s="1"/>
  <c r="U30" i="1" s="1"/>
  <c r="T30" i="1" s="1"/>
  <c r="R30" i="1"/>
  <c r="Q30" i="1" s="1"/>
  <c r="P30" i="1"/>
  <c r="O30" i="1" s="1"/>
  <c r="W29" i="1"/>
  <c r="V29" i="1" s="1"/>
  <c r="U29" i="1" s="1"/>
  <c r="T29" i="1" s="1"/>
  <c r="R29" i="1"/>
  <c r="Q29" i="1" s="1"/>
  <c r="P29" i="1"/>
  <c r="O29" i="1" s="1"/>
  <c r="W27" i="1"/>
  <c r="V27" i="1" s="1"/>
  <c r="U27" i="1" s="1"/>
  <c r="T27" i="1"/>
  <c r="R27" i="1"/>
  <c r="Q27" i="1" s="1"/>
  <c r="P27" i="1"/>
  <c r="O27" i="1" s="1"/>
  <c r="W26" i="1"/>
  <c r="V26" i="1" s="1"/>
  <c r="U26" i="1" s="1"/>
  <c r="T26" i="1" s="1"/>
  <c r="R26" i="1"/>
  <c r="Q26" i="1" s="1"/>
  <c r="P26" i="1"/>
  <c r="O26" i="1" s="1"/>
  <c r="W24" i="1"/>
  <c r="V24" i="1" s="1"/>
  <c r="U24" i="1" s="1"/>
  <c r="T24" i="1" s="1"/>
  <c r="R24" i="1"/>
  <c r="Q24" i="1" s="1"/>
  <c r="P24" i="1"/>
  <c r="O24" i="1" s="1"/>
  <c r="W19" i="1"/>
  <c r="V19" i="1" s="1"/>
  <c r="U19" i="1" s="1"/>
  <c r="T19" i="1" s="1"/>
  <c r="R19" i="1"/>
  <c r="Q19" i="1" s="1"/>
  <c r="P19" i="1"/>
  <c r="O19" i="1" s="1"/>
  <c r="W16" i="1"/>
  <c r="V16" i="1" s="1"/>
  <c r="U16" i="1" s="1"/>
  <c r="T16" i="1" s="1"/>
  <c r="R16" i="1"/>
  <c r="Q16" i="1" s="1"/>
  <c r="P16" i="1"/>
  <c r="O16" i="1" s="1"/>
  <c r="W15" i="1"/>
  <c r="V15" i="1" s="1"/>
  <c r="U15" i="1" s="1"/>
  <c r="T15" i="1"/>
  <c r="R15" i="1"/>
  <c r="Q15" i="1" s="1"/>
  <c r="P15" i="1"/>
  <c r="O15" i="1" s="1"/>
  <c r="W14" i="1"/>
  <c r="V14" i="1" s="1"/>
  <c r="U14" i="1" s="1"/>
  <c r="T14" i="1" s="1"/>
  <c r="R14" i="1"/>
  <c r="Q14" i="1" s="1"/>
  <c r="P14" i="1"/>
  <c r="O14" i="1" s="1"/>
  <c r="W13" i="1"/>
  <c r="V13" i="1" s="1"/>
  <c r="U13" i="1" s="1"/>
  <c r="T13" i="1" s="1"/>
  <c r="R13" i="1"/>
  <c r="Q13" i="1" s="1"/>
  <c r="P13" i="1"/>
  <c r="O13" i="1" s="1"/>
  <c r="W11" i="1"/>
  <c r="V11" i="1" s="1"/>
  <c r="U11" i="1" s="1"/>
  <c r="T11" i="1"/>
  <c r="R11" i="1"/>
  <c r="Q11" i="1" s="1"/>
  <c r="P11" i="1"/>
  <c r="O11" i="1" s="1"/>
  <c r="W7" i="1"/>
  <c r="V7" i="1"/>
  <c r="U7" i="1" s="1"/>
  <c r="T7" i="1" s="1"/>
  <c r="R7" i="1"/>
  <c r="Q7" i="1"/>
  <c r="P7" i="1" s="1"/>
  <c r="O7" i="1" s="1"/>
  <c r="W6" i="1"/>
  <c r="V6" i="1"/>
  <c r="U6" i="1" s="1"/>
  <c r="T6" i="1" s="1"/>
  <c r="R6" i="1"/>
  <c r="Q6" i="1"/>
  <c r="P6" i="1" s="1"/>
  <c r="O6" i="1" s="1"/>
  <c r="W5" i="1"/>
  <c r="V5" i="1"/>
  <c r="U5" i="1" s="1"/>
  <c r="T5" i="1" s="1"/>
  <c r="R5" i="1"/>
  <c r="Q5" i="1"/>
  <c r="P5" i="1" s="1"/>
  <c r="O5" i="1" s="1"/>
  <c r="W4" i="1"/>
  <c r="V4" i="1"/>
  <c r="U4" i="1" s="1"/>
  <c r="T4" i="1" s="1"/>
  <c r="R4" i="1"/>
  <c r="Q4" i="1"/>
  <c r="P4" i="1" s="1"/>
  <c r="O4" i="1" s="1"/>
  <c r="AH7" i="1"/>
  <c r="AH13" i="1"/>
  <c r="AH15" i="1"/>
  <c r="AH26" i="1"/>
  <c r="AH29" i="1"/>
  <c r="AH46" i="1"/>
  <c r="AC26" i="1"/>
  <c r="AM2" i="1"/>
  <c r="AR63" i="1"/>
  <c r="AR62" i="1"/>
  <c r="AR61" i="1"/>
  <c r="AR60" i="1"/>
  <c r="AR58" i="1"/>
  <c r="AR57" i="1"/>
  <c r="AR56" i="1"/>
  <c r="AR55" i="1"/>
  <c r="AR54" i="1"/>
  <c r="AR53" i="1"/>
  <c r="AR52" i="1"/>
  <c r="AR51" i="1"/>
  <c r="AR50" i="1"/>
  <c r="AR49" i="1"/>
  <c r="AR48" i="1"/>
  <c r="AR47" i="1"/>
  <c r="AR46" i="1"/>
  <c r="AR45" i="1"/>
  <c r="AR44" i="1"/>
  <c r="AR43" i="1"/>
  <c r="AR42" i="1"/>
  <c r="AR41" i="1"/>
  <c r="AR40" i="1"/>
  <c r="AR39" i="1"/>
  <c r="AR38" i="1"/>
  <c r="AR37" i="1"/>
  <c r="AR36" i="1"/>
  <c r="AR35" i="1"/>
  <c r="AR34" i="1"/>
  <c r="AR33" i="1"/>
  <c r="AR32" i="1"/>
  <c r="AR31" i="1"/>
  <c r="AR30" i="1"/>
  <c r="AR29" i="1"/>
  <c r="AR28" i="1"/>
  <c r="AR27" i="1"/>
  <c r="AR26" i="1"/>
  <c r="AR25" i="1"/>
  <c r="AR24" i="1"/>
  <c r="AR23" i="1"/>
  <c r="AR22" i="1"/>
  <c r="AR21" i="1"/>
  <c r="AR20" i="1"/>
  <c r="AR19" i="1"/>
  <c r="AR18" i="1"/>
  <c r="AR17" i="1"/>
  <c r="AR16" i="1"/>
  <c r="AR15" i="1"/>
  <c r="AR14" i="1"/>
  <c r="AR13" i="1"/>
  <c r="AR12" i="1"/>
  <c r="AR11" i="1"/>
  <c r="AR10" i="1"/>
  <c r="AR9" i="1"/>
  <c r="AR8" i="1"/>
  <c r="AR7" i="1"/>
  <c r="AR6" i="1"/>
  <c r="AR5" i="1"/>
  <c r="AR4" i="1"/>
  <c r="AW63" i="1"/>
  <c r="AW62" i="1"/>
  <c r="AW61" i="1"/>
  <c r="AW60" i="1"/>
  <c r="AW58" i="1"/>
  <c r="AW57" i="1"/>
  <c r="AW56" i="1"/>
  <c r="AW55" i="1"/>
  <c r="AW54" i="1"/>
  <c r="AW53" i="1"/>
  <c r="AW52" i="1"/>
  <c r="AW51" i="1"/>
  <c r="AW50" i="1"/>
  <c r="AW49" i="1"/>
  <c r="AW48" i="1"/>
  <c r="AW47" i="1"/>
  <c r="AW46" i="1"/>
  <c r="AW45" i="1"/>
  <c r="AW44" i="1"/>
  <c r="AW43" i="1"/>
  <c r="AW42" i="1"/>
  <c r="AW41" i="1"/>
  <c r="AW40" i="1"/>
  <c r="AW39" i="1"/>
  <c r="AW38" i="1"/>
  <c r="AW37" i="1"/>
  <c r="AW36" i="1"/>
  <c r="AW35" i="1"/>
  <c r="AW34" i="1"/>
  <c r="AW33" i="1"/>
  <c r="AW32" i="1"/>
  <c r="AW31" i="1"/>
  <c r="AW30" i="1"/>
  <c r="AW29" i="1"/>
  <c r="AW28" i="1"/>
  <c r="AW27" i="1"/>
  <c r="AW26" i="1"/>
  <c r="AW25" i="1"/>
  <c r="AW24" i="1"/>
  <c r="AW23" i="1"/>
  <c r="AW22" i="1"/>
  <c r="AW21" i="1"/>
  <c r="AW20" i="1"/>
  <c r="AW19" i="1"/>
  <c r="AW18" i="1"/>
  <c r="AW17" i="1"/>
  <c r="AW16" i="1"/>
  <c r="AW15" i="1"/>
  <c r="AW14" i="1"/>
  <c r="AW13" i="1"/>
  <c r="AW12" i="1"/>
  <c r="AW11" i="1"/>
  <c r="AW10" i="1"/>
  <c r="AW9" i="1"/>
  <c r="AW8" i="1"/>
  <c r="AW7" i="1"/>
  <c r="AW6" i="1"/>
  <c r="AW5" i="1"/>
  <c r="AW4" i="1"/>
  <c r="BB63" i="1"/>
  <c r="BB62" i="1"/>
  <c r="BB61" i="1"/>
  <c r="BB60" i="1"/>
  <c r="BB58" i="1"/>
  <c r="BB57" i="1"/>
  <c r="BB56" i="1"/>
  <c r="BB55" i="1"/>
  <c r="BB54" i="1"/>
  <c r="BB53" i="1"/>
  <c r="BB52" i="1"/>
  <c r="BB51" i="1"/>
  <c r="BB50" i="1"/>
  <c r="BB49" i="1"/>
  <c r="BB48" i="1"/>
  <c r="BB47" i="1"/>
  <c r="BB46" i="1"/>
  <c r="BB45" i="1"/>
  <c r="BB44" i="1"/>
  <c r="BB43" i="1"/>
  <c r="BF43" i="1" s="1"/>
  <c r="BB42" i="1"/>
  <c r="BB41" i="1"/>
  <c r="BB40" i="1"/>
  <c r="BB39" i="1"/>
  <c r="BF39" i="1" s="1"/>
  <c r="BB38" i="1"/>
  <c r="BB37" i="1"/>
  <c r="BB36" i="1"/>
  <c r="BB35" i="1"/>
  <c r="BF35" i="1" s="1"/>
  <c r="BB34" i="1"/>
  <c r="BB33" i="1"/>
  <c r="BB32" i="1"/>
  <c r="BB31" i="1"/>
  <c r="BF31" i="1" s="1"/>
  <c r="BB30" i="1"/>
  <c r="BB29" i="1"/>
  <c r="BB28" i="1"/>
  <c r="BB27" i="1"/>
  <c r="BF27" i="1" s="1"/>
  <c r="BB26" i="1"/>
  <c r="BB25" i="1"/>
  <c r="BB24" i="1"/>
  <c r="BB23" i="1"/>
  <c r="BF23" i="1" s="1"/>
  <c r="BB22" i="1"/>
  <c r="BB21" i="1"/>
  <c r="BB20" i="1"/>
  <c r="BB19" i="1"/>
  <c r="BF19" i="1" s="1"/>
  <c r="BB18" i="1"/>
  <c r="BB17" i="1"/>
  <c r="BB16" i="1"/>
  <c r="BB15" i="1"/>
  <c r="BF15" i="1" s="1"/>
  <c r="BB14" i="1"/>
  <c r="BB13" i="1"/>
  <c r="BB12" i="1"/>
  <c r="BB11" i="1"/>
  <c r="BF11" i="1" s="1"/>
  <c r="BB10" i="1"/>
  <c r="BB9" i="1"/>
  <c r="BB8" i="1"/>
  <c r="BB7" i="1"/>
  <c r="BF7" i="1" s="1"/>
  <c r="BB6" i="1"/>
  <c r="BB5" i="1"/>
  <c r="BB4" i="1"/>
  <c r="BG63" i="1"/>
  <c r="BG62" i="1"/>
  <c r="BG61" i="1"/>
  <c r="BG60" i="1"/>
  <c r="BG58" i="1"/>
  <c r="BK58" i="1" s="1"/>
  <c r="BG57" i="1"/>
  <c r="BG56" i="1"/>
  <c r="BG55" i="1"/>
  <c r="BG54" i="1"/>
  <c r="BG53" i="1"/>
  <c r="BG52" i="1"/>
  <c r="BG51" i="1"/>
  <c r="BG50" i="1"/>
  <c r="BG49" i="1"/>
  <c r="BG48" i="1"/>
  <c r="BG47" i="1"/>
  <c r="BG46" i="1"/>
  <c r="BG45" i="1"/>
  <c r="BG44" i="1"/>
  <c r="BG43" i="1"/>
  <c r="BG42" i="1"/>
  <c r="BG41" i="1"/>
  <c r="BG40" i="1"/>
  <c r="BG39" i="1"/>
  <c r="BG38" i="1"/>
  <c r="BG37" i="1"/>
  <c r="BG36" i="1"/>
  <c r="BG35" i="1"/>
  <c r="BG34" i="1"/>
  <c r="BG33" i="1"/>
  <c r="BG32" i="1"/>
  <c r="BG31" i="1"/>
  <c r="BG30" i="1"/>
  <c r="BG29" i="1"/>
  <c r="BG28" i="1"/>
  <c r="BG27" i="1"/>
  <c r="BG26" i="1"/>
  <c r="BG25" i="1"/>
  <c r="BG24" i="1"/>
  <c r="BG23" i="1"/>
  <c r="BG22" i="1"/>
  <c r="BG21" i="1"/>
  <c r="BG20" i="1"/>
  <c r="BG19" i="1"/>
  <c r="BG18" i="1"/>
  <c r="BG17" i="1"/>
  <c r="BG16" i="1"/>
  <c r="BG15" i="1"/>
  <c r="BG14" i="1"/>
  <c r="BG13" i="1"/>
  <c r="BG12" i="1"/>
  <c r="BG11" i="1"/>
  <c r="BG10" i="1"/>
  <c r="BG9" i="1"/>
  <c r="BG8" i="1"/>
  <c r="BG7" i="1"/>
  <c r="BG6" i="1"/>
  <c r="BG5" i="1"/>
  <c r="BG4" i="1"/>
  <c r="BL63" i="1"/>
  <c r="BL62" i="1"/>
  <c r="BP62" i="1" s="1"/>
  <c r="BL61" i="1"/>
  <c r="BL60" i="1"/>
  <c r="BL58" i="1"/>
  <c r="BL57" i="1"/>
  <c r="BK57" i="1" s="1"/>
  <c r="BL56" i="1"/>
  <c r="BL55" i="1"/>
  <c r="BL54" i="1"/>
  <c r="BL53" i="1"/>
  <c r="BK53" i="1" s="1"/>
  <c r="BL52" i="1"/>
  <c r="BL51" i="1"/>
  <c r="BL50" i="1"/>
  <c r="BL49" i="1"/>
  <c r="BK49" i="1" s="1"/>
  <c r="BJ49" i="1" s="1"/>
  <c r="BI49" i="1" s="1"/>
  <c r="BL48" i="1"/>
  <c r="BL47" i="1"/>
  <c r="BL46" i="1"/>
  <c r="BL45" i="1"/>
  <c r="BK45" i="1" s="1"/>
  <c r="BL44" i="1"/>
  <c r="BL43" i="1"/>
  <c r="BL42" i="1"/>
  <c r="BL41" i="1"/>
  <c r="BK41" i="1" s="1"/>
  <c r="BL40" i="1"/>
  <c r="BL39" i="1"/>
  <c r="BL38" i="1"/>
  <c r="BL37" i="1"/>
  <c r="BK37" i="1" s="1"/>
  <c r="BL36" i="1"/>
  <c r="BL35" i="1"/>
  <c r="BL34" i="1"/>
  <c r="BL33" i="1"/>
  <c r="BK33" i="1" s="1"/>
  <c r="BL32" i="1"/>
  <c r="BL31" i="1"/>
  <c r="BL30" i="1"/>
  <c r="BL29" i="1"/>
  <c r="BK29" i="1" s="1"/>
  <c r="BL28" i="1"/>
  <c r="BL27" i="1"/>
  <c r="BL26" i="1"/>
  <c r="BL25" i="1"/>
  <c r="BK25" i="1" s="1"/>
  <c r="BL24" i="1"/>
  <c r="BL23" i="1"/>
  <c r="BL22" i="1"/>
  <c r="BL21" i="1"/>
  <c r="BK21" i="1" s="1"/>
  <c r="BL20" i="1"/>
  <c r="BL19" i="1"/>
  <c r="BL18" i="1"/>
  <c r="BL17" i="1"/>
  <c r="BK17" i="1" s="1"/>
  <c r="BL16" i="1"/>
  <c r="BL15" i="1"/>
  <c r="BL14" i="1"/>
  <c r="BL13" i="1"/>
  <c r="BK13" i="1" s="1"/>
  <c r="BL12" i="1"/>
  <c r="BL11" i="1"/>
  <c r="BL10" i="1"/>
  <c r="BL9" i="1"/>
  <c r="BK9" i="1" s="1"/>
  <c r="BL8" i="1"/>
  <c r="BL7" i="1"/>
  <c r="BL6" i="1"/>
  <c r="BL5" i="1"/>
  <c r="BK5" i="1" s="1"/>
  <c r="BL4" i="1"/>
  <c r="BQ63" i="1"/>
  <c r="BQ62" i="1"/>
  <c r="BQ61" i="1"/>
  <c r="BQ60" i="1"/>
  <c r="BQ58" i="1"/>
  <c r="BQ57" i="1"/>
  <c r="BQ56" i="1"/>
  <c r="BQ55" i="1"/>
  <c r="BQ54" i="1"/>
  <c r="BQ53" i="1"/>
  <c r="BQ52" i="1"/>
  <c r="BQ51" i="1"/>
  <c r="BQ50" i="1"/>
  <c r="BQ49" i="1"/>
  <c r="BQ48" i="1"/>
  <c r="BQ47" i="1"/>
  <c r="BQ46" i="1"/>
  <c r="BQ45" i="1"/>
  <c r="BQ44" i="1"/>
  <c r="BQ43" i="1"/>
  <c r="BQ42" i="1"/>
  <c r="BQ41" i="1"/>
  <c r="BQ40" i="1"/>
  <c r="BQ39" i="1"/>
  <c r="BQ38" i="1"/>
  <c r="BQ37" i="1"/>
  <c r="BQ36" i="1"/>
  <c r="BP36" i="1" s="1"/>
  <c r="BO36" i="1" s="1"/>
  <c r="BQ35" i="1"/>
  <c r="BQ34" i="1"/>
  <c r="BQ33" i="1"/>
  <c r="BQ32" i="1"/>
  <c r="BP32" i="1" s="1"/>
  <c r="BO32" i="1" s="1"/>
  <c r="BQ31" i="1"/>
  <c r="BQ30" i="1"/>
  <c r="BQ29" i="1"/>
  <c r="BQ28" i="1"/>
  <c r="BQ27" i="1"/>
  <c r="BQ26" i="1"/>
  <c r="BQ25" i="1"/>
  <c r="BQ24" i="1"/>
  <c r="BQ23" i="1"/>
  <c r="BQ22" i="1"/>
  <c r="BQ21" i="1"/>
  <c r="BQ20" i="1"/>
  <c r="BQ19" i="1"/>
  <c r="BQ18" i="1"/>
  <c r="BQ17" i="1"/>
  <c r="BQ16" i="1"/>
  <c r="BQ15" i="1"/>
  <c r="BQ14" i="1"/>
  <c r="BQ13" i="1"/>
  <c r="BQ12" i="1"/>
  <c r="BQ11" i="1"/>
  <c r="BQ10" i="1"/>
  <c r="BQ9" i="1"/>
  <c r="BQ8" i="1"/>
  <c r="BQ7" i="1"/>
  <c r="BQ6" i="1"/>
  <c r="BQ5" i="1"/>
  <c r="BQ4" i="1"/>
  <c r="BV63" i="1"/>
  <c r="BV62" i="1"/>
  <c r="BV61" i="1"/>
  <c r="BV60" i="1"/>
  <c r="BU60" i="1" s="1"/>
  <c r="BV58" i="1"/>
  <c r="BV57" i="1"/>
  <c r="BV56" i="1"/>
  <c r="BV55" i="1"/>
  <c r="BV54" i="1"/>
  <c r="BV53" i="1"/>
  <c r="BV52" i="1"/>
  <c r="BV51" i="1"/>
  <c r="BV50" i="1"/>
  <c r="BV49" i="1"/>
  <c r="BV48" i="1"/>
  <c r="BV47" i="1"/>
  <c r="BV46" i="1"/>
  <c r="BV45" i="1"/>
  <c r="BV44" i="1"/>
  <c r="BV43" i="1"/>
  <c r="BV42" i="1"/>
  <c r="BV41" i="1"/>
  <c r="BV40" i="1"/>
  <c r="BV39" i="1"/>
  <c r="BV38" i="1"/>
  <c r="BV37" i="1"/>
  <c r="BV36" i="1"/>
  <c r="BV35" i="1"/>
  <c r="BV34" i="1"/>
  <c r="BV33" i="1"/>
  <c r="BV32" i="1"/>
  <c r="BV31" i="1"/>
  <c r="BV30" i="1"/>
  <c r="BV29" i="1"/>
  <c r="BV28" i="1"/>
  <c r="BV27" i="1"/>
  <c r="BV26" i="1"/>
  <c r="BV25" i="1"/>
  <c r="BV24" i="1"/>
  <c r="BV23" i="1"/>
  <c r="BV22" i="1"/>
  <c r="BV21" i="1"/>
  <c r="BV20" i="1"/>
  <c r="BV19" i="1"/>
  <c r="BV18" i="1"/>
  <c r="BV17" i="1"/>
  <c r="BV16" i="1"/>
  <c r="BV15" i="1"/>
  <c r="BV14" i="1"/>
  <c r="BV13" i="1"/>
  <c r="BV12" i="1"/>
  <c r="BV11" i="1"/>
  <c r="BV10" i="1"/>
  <c r="BV9" i="1"/>
  <c r="BV8" i="1"/>
  <c r="BV7" i="1"/>
  <c r="BV6" i="1"/>
  <c r="BV5" i="1"/>
  <c r="BV4" i="1"/>
  <c r="CA63" i="1"/>
  <c r="CA62" i="1"/>
  <c r="CA61" i="1"/>
  <c r="CA60" i="1"/>
  <c r="CA58" i="1"/>
  <c r="BZ58" i="1" s="1"/>
  <c r="BY58" i="1" s="1"/>
  <c r="CA57" i="1"/>
  <c r="CA56" i="1"/>
  <c r="CA55" i="1"/>
  <c r="CA54" i="1"/>
  <c r="BZ54" i="1" s="1"/>
  <c r="BY54" i="1" s="1"/>
  <c r="CA53" i="1"/>
  <c r="CA52" i="1"/>
  <c r="CA51" i="1"/>
  <c r="CA50" i="1"/>
  <c r="BZ50" i="1" s="1"/>
  <c r="BY50" i="1" s="1"/>
  <c r="CA49" i="1"/>
  <c r="CA48" i="1"/>
  <c r="CA47" i="1"/>
  <c r="CA46" i="1"/>
  <c r="BZ46" i="1" s="1"/>
  <c r="BY46" i="1" s="1"/>
  <c r="CA45" i="1"/>
  <c r="CA44" i="1"/>
  <c r="CA43" i="1"/>
  <c r="CA42" i="1"/>
  <c r="BZ42" i="1" s="1"/>
  <c r="BY42" i="1" s="1"/>
  <c r="CA41" i="1"/>
  <c r="CA40" i="1"/>
  <c r="CA39" i="1"/>
  <c r="CA38" i="1"/>
  <c r="BZ38" i="1" s="1"/>
  <c r="BY38" i="1" s="1"/>
  <c r="CA37" i="1"/>
  <c r="CA36" i="1"/>
  <c r="CA35" i="1"/>
  <c r="CA34" i="1"/>
  <c r="BZ34" i="1" s="1"/>
  <c r="BY34" i="1" s="1"/>
  <c r="CA33" i="1"/>
  <c r="CA32" i="1"/>
  <c r="CA31" i="1"/>
  <c r="CA30" i="1"/>
  <c r="BZ30" i="1" s="1"/>
  <c r="BY30" i="1" s="1"/>
  <c r="CA29" i="1"/>
  <c r="CA28" i="1"/>
  <c r="CA27" i="1"/>
  <c r="CA26" i="1"/>
  <c r="BZ26" i="1" s="1"/>
  <c r="BY26" i="1" s="1"/>
  <c r="CA25" i="1"/>
  <c r="CA24" i="1"/>
  <c r="CA23" i="1"/>
  <c r="CA22" i="1"/>
  <c r="BZ22" i="1" s="1"/>
  <c r="BY22" i="1" s="1"/>
  <c r="CA21" i="1"/>
  <c r="CA20" i="1"/>
  <c r="CA19" i="1"/>
  <c r="CA18" i="1"/>
  <c r="BZ18" i="1" s="1"/>
  <c r="BY18" i="1" s="1"/>
  <c r="CA17" i="1"/>
  <c r="CA16" i="1"/>
  <c r="CA15" i="1"/>
  <c r="CA14" i="1"/>
  <c r="BZ14" i="1" s="1"/>
  <c r="BY14" i="1" s="1"/>
  <c r="CA13" i="1"/>
  <c r="CA12" i="1"/>
  <c r="CA11" i="1"/>
  <c r="CA10" i="1"/>
  <c r="BZ10" i="1" s="1"/>
  <c r="BY10" i="1" s="1"/>
  <c r="CA9" i="1"/>
  <c r="CA8" i="1"/>
  <c r="CA7" i="1"/>
  <c r="CA6" i="1"/>
  <c r="BZ6" i="1" s="1"/>
  <c r="BY6" i="1" s="1"/>
  <c r="CA5" i="1"/>
  <c r="CA4" i="1"/>
  <c r="AG63" i="1"/>
  <c r="AF63" i="1"/>
  <c r="AE63" i="1" s="1"/>
  <c r="AD63" i="1" s="1"/>
  <c r="AB63" i="1"/>
  <c r="AA63" i="1"/>
  <c r="Z63" i="1" s="1"/>
  <c r="Y63" i="1" s="1"/>
  <c r="AG61" i="1"/>
  <c r="AF61" i="1"/>
  <c r="AE61" i="1" s="1"/>
  <c r="AD61" i="1" s="1"/>
  <c r="AB61" i="1"/>
  <c r="AA61" i="1"/>
  <c r="Z61" i="1" s="1"/>
  <c r="Y61" i="1" s="1"/>
  <c r="AG60" i="1"/>
  <c r="AF60" i="1"/>
  <c r="AE60" i="1" s="1"/>
  <c r="AD60" i="1" s="1"/>
  <c r="AB60" i="1"/>
  <c r="AA60" i="1"/>
  <c r="Z60" i="1" s="1"/>
  <c r="Y60" i="1" s="1"/>
  <c r="AG59" i="1"/>
  <c r="AF59" i="1"/>
  <c r="AE59" i="1"/>
  <c r="AD59" i="1"/>
  <c r="AB59" i="1"/>
  <c r="AA59" i="1"/>
  <c r="Z59" i="1"/>
  <c r="Y59" i="1"/>
  <c r="AG57" i="1"/>
  <c r="AF57" i="1"/>
  <c r="AE57" i="1" s="1"/>
  <c r="AD57" i="1" s="1"/>
  <c r="AB57" i="1"/>
  <c r="AA57" i="1"/>
  <c r="Z57" i="1"/>
  <c r="Y57" i="1" s="1"/>
  <c r="AG56" i="1"/>
  <c r="AF56" i="1"/>
  <c r="AE56" i="1" s="1"/>
  <c r="AD56" i="1" s="1"/>
  <c r="AB56" i="1"/>
  <c r="AA56" i="1"/>
  <c r="Z56" i="1"/>
  <c r="Y56" i="1" s="1"/>
  <c r="AG55" i="1"/>
  <c r="AF55" i="1"/>
  <c r="AE55" i="1" s="1"/>
  <c r="AD55" i="1" s="1"/>
  <c r="AB55" i="1"/>
  <c r="AA55" i="1"/>
  <c r="Z55" i="1"/>
  <c r="Y55" i="1" s="1"/>
  <c r="AG54" i="1"/>
  <c r="AF54" i="1"/>
  <c r="AE54" i="1" s="1"/>
  <c r="AD54" i="1" s="1"/>
  <c r="AB54" i="1"/>
  <c r="AA54" i="1"/>
  <c r="Z54" i="1"/>
  <c r="Y54" i="1" s="1"/>
  <c r="AG53" i="1"/>
  <c r="AF53" i="1"/>
  <c r="AE53" i="1" s="1"/>
  <c r="AD53" i="1" s="1"/>
  <c r="AB53" i="1"/>
  <c r="AA53" i="1"/>
  <c r="Z53" i="1"/>
  <c r="Y53" i="1" s="1"/>
  <c r="AG50" i="1"/>
  <c r="AF50" i="1" s="1"/>
  <c r="AE50" i="1"/>
  <c r="AD50" i="1" s="1"/>
  <c r="AB50" i="1"/>
  <c r="AA50" i="1"/>
  <c r="Z50" i="1" s="1"/>
  <c r="Y50" i="1" s="1"/>
  <c r="AG49" i="1"/>
  <c r="AF49" i="1" s="1"/>
  <c r="AE49" i="1"/>
  <c r="AD49" i="1" s="1"/>
  <c r="AB49" i="1"/>
  <c r="AA49" i="1"/>
  <c r="Z49" i="1" s="1"/>
  <c r="Y49" i="1" s="1"/>
  <c r="AG48" i="1"/>
  <c r="AF48" i="1" s="1"/>
  <c r="AE48" i="1"/>
  <c r="AD48" i="1" s="1"/>
  <c r="AB48" i="1"/>
  <c r="AA48" i="1"/>
  <c r="Z48" i="1" s="1"/>
  <c r="Y48" i="1" s="1"/>
  <c r="AG47" i="1"/>
  <c r="AF47" i="1" s="1"/>
  <c r="AE47" i="1"/>
  <c r="AD47" i="1" s="1"/>
  <c r="AB47" i="1"/>
  <c r="AA47" i="1"/>
  <c r="Z47" i="1" s="1"/>
  <c r="Y47" i="1" s="1"/>
  <c r="AG46" i="1"/>
  <c r="AF46" i="1" s="1"/>
  <c r="AE46" i="1"/>
  <c r="AD46" i="1" s="1"/>
  <c r="AB46" i="1"/>
  <c r="AA46" i="1" s="1"/>
  <c r="Z46" i="1"/>
  <c r="Y46" i="1" s="1"/>
  <c r="AG45" i="1"/>
  <c r="AF45" i="1" s="1"/>
  <c r="AE45" i="1"/>
  <c r="AD45" i="1" s="1"/>
  <c r="AB45" i="1"/>
  <c r="AA45" i="1" s="1"/>
  <c r="Z45" i="1"/>
  <c r="Y45" i="1" s="1"/>
  <c r="AG43" i="1"/>
  <c r="AF43" i="1" s="1"/>
  <c r="AE43" i="1"/>
  <c r="AD43" i="1" s="1"/>
  <c r="AB43" i="1"/>
  <c r="AA43" i="1" s="1"/>
  <c r="Z43" i="1"/>
  <c r="Y43" i="1" s="1"/>
  <c r="AG41" i="1"/>
  <c r="AF41" i="1" s="1"/>
  <c r="AE41" i="1"/>
  <c r="AD41" i="1" s="1"/>
  <c r="AB41" i="1"/>
  <c r="AA41" i="1" s="1"/>
  <c r="Z41" i="1"/>
  <c r="Y41" i="1" s="1"/>
  <c r="AG40" i="1"/>
  <c r="AF40" i="1" s="1"/>
  <c r="AE40" i="1"/>
  <c r="AD40" i="1" s="1"/>
  <c r="AB40" i="1"/>
  <c r="AA40" i="1" s="1"/>
  <c r="Z40" i="1"/>
  <c r="Y40" i="1" s="1"/>
  <c r="AG39" i="1"/>
  <c r="AF39" i="1" s="1"/>
  <c r="AE39" i="1"/>
  <c r="AD39" i="1" s="1"/>
  <c r="AB39" i="1"/>
  <c r="AA39" i="1" s="1"/>
  <c r="Z39" i="1"/>
  <c r="Y39" i="1" s="1"/>
  <c r="AG38" i="1"/>
  <c r="AF38" i="1" s="1"/>
  <c r="AE38" i="1"/>
  <c r="AD38" i="1" s="1"/>
  <c r="AB38" i="1"/>
  <c r="AA38" i="1" s="1"/>
  <c r="Z38" i="1"/>
  <c r="Y38" i="1" s="1"/>
  <c r="AG37" i="1"/>
  <c r="AF37" i="1" s="1"/>
  <c r="AE37" i="1"/>
  <c r="AD37" i="1" s="1"/>
  <c r="AB37" i="1"/>
  <c r="AA37" i="1" s="1"/>
  <c r="Z37" i="1"/>
  <c r="Y37" i="1" s="1"/>
  <c r="AG36" i="1"/>
  <c r="AF36" i="1" s="1"/>
  <c r="AE36" i="1"/>
  <c r="AD36" i="1" s="1"/>
  <c r="AB36" i="1"/>
  <c r="AA36" i="1" s="1"/>
  <c r="Z36" i="1"/>
  <c r="Y36" i="1" s="1"/>
  <c r="AG34" i="1"/>
  <c r="AF34" i="1" s="1"/>
  <c r="AE34" i="1"/>
  <c r="AD34" i="1" s="1"/>
  <c r="AB34" i="1"/>
  <c r="AA34" i="1" s="1"/>
  <c r="Z34" i="1"/>
  <c r="Y34" i="1" s="1"/>
  <c r="AG33" i="1"/>
  <c r="AF33" i="1" s="1"/>
  <c r="AE33" i="1"/>
  <c r="AD33" i="1" s="1"/>
  <c r="AB33" i="1"/>
  <c r="AA33" i="1" s="1"/>
  <c r="Z33" i="1"/>
  <c r="Y33" i="1" s="1"/>
  <c r="AG32" i="1"/>
  <c r="AF32" i="1" s="1"/>
  <c r="AE32" i="1"/>
  <c r="AD32" i="1" s="1"/>
  <c r="AB32" i="1"/>
  <c r="AA32" i="1" s="1"/>
  <c r="Z32" i="1"/>
  <c r="Y32" i="1" s="1"/>
  <c r="AG30" i="1"/>
  <c r="AF30" i="1" s="1"/>
  <c r="AE30" i="1"/>
  <c r="AD30" i="1" s="1"/>
  <c r="AB30" i="1"/>
  <c r="AA30" i="1" s="1"/>
  <c r="Z30" i="1"/>
  <c r="Y30" i="1" s="1"/>
  <c r="AG29" i="1"/>
  <c r="AF29" i="1" s="1"/>
  <c r="AE29" i="1"/>
  <c r="AD29" i="1" s="1"/>
  <c r="AB29" i="1"/>
  <c r="AA29" i="1" s="1"/>
  <c r="Z29" i="1"/>
  <c r="Y29" i="1" s="1"/>
  <c r="AG27" i="1"/>
  <c r="AF27" i="1" s="1"/>
  <c r="AE27" i="1"/>
  <c r="AD27" i="1" s="1"/>
  <c r="AB27" i="1"/>
  <c r="AA27" i="1" s="1"/>
  <c r="Z27" i="1"/>
  <c r="Y27" i="1" s="1"/>
  <c r="AG26" i="1"/>
  <c r="AF26" i="1" s="1"/>
  <c r="AE26" i="1"/>
  <c r="AD26" i="1" s="1"/>
  <c r="AB26" i="1"/>
  <c r="AA26" i="1" s="1"/>
  <c r="Z26" i="1"/>
  <c r="Y26" i="1" s="1"/>
  <c r="AG24" i="1"/>
  <c r="AF24" i="1" s="1"/>
  <c r="AE24" i="1"/>
  <c r="AD24" i="1" s="1"/>
  <c r="AB24" i="1"/>
  <c r="AA24" i="1" s="1"/>
  <c r="Z24" i="1"/>
  <c r="Y24" i="1" s="1"/>
  <c r="AG19" i="1"/>
  <c r="AF19" i="1" s="1"/>
  <c r="AE19" i="1"/>
  <c r="AD19" i="1" s="1"/>
  <c r="AB19" i="1"/>
  <c r="AA19" i="1" s="1"/>
  <c r="Z19" i="1"/>
  <c r="Y19" i="1" s="1"/>
  <c r="AG16" i="1"/>
  <c r="AF16" i="1" s="1"/>
  <c r="AE16" i="1"/>
  <c r="AD16" i="1" s="1"/>
  <c r="AB16" i="1"/>
  <c r="AA16" i="1" s="1"/>
  <c r="Z16" i="1"/>
  <c r="Y16" i="1" s="1"/>
  <c r="AG15" i="1"/>
  <c r="AF15" i="1" s="1"/>
  <c r="AE15" i="1"/>
  <c r="AD15" i="1" s="1"/>
  <c r="AB15" i="1"/>
  <c r="AA15" i="1" s="1"/>
  <c r="Z15" i="1"/>
  <c r="Y15" i="1" s="1"/>
  <c r="AG14" i="1"/>
  <c r="AF14" i="1" s="1"/>
  <c r="AE14" i="1"/>
  <c r="AD14" i="1" s="1"/>
  <c r="AB14" i="1"/>
  <c r="AA14" i="1" s="1"/>
  <c r="Z14" i="1"/>
  <c r="Y14" i="1" s="1"/>
  <c r="AG13" i="1"/>
  <c r="AF13" i="1" s="1"/>
  <c r="AE13" i="1"/>
  <c r="AD13" i="1" s="1"/>
  <c r="AB13" i="1"/>
  <c r="AA13" i="1" s="1"/>
  <c r="Z13" i="1"/>
  <c r="Y13" i="1" s="1"/>
  <c r="AG7" i="1"/>
  <c r="AF7" i="1" s="1"/>
  <c r="AE7" i="1"/>
  <c r="AD7" i="1" s="1"/>
  <c r="AB7" i="1"/>
  <c r="AA7" i="1" s="1"/>
  <c r="Z7" i="1"/>
  <c r="Y7" i="1" s="1"/>
  <c r="AG6" i="1"/>
  <c r="AF6" i="1" s="1"/>
  <c r="AE6" i="1"/>
  <c r="AD6" i="1" s="1"/>
  <c r="AB6" i="1"/>
  <c r="AA6" i="1" s="1"/>
  <c r="Z6" i="1"/>
  <c r="Y6" i="1" s="1"/>
  <c r="AG5" i="1"/>
  <c r="AF5" i="1" s="1"/>
  <c r="AE5" i="1"/>
  <c r="AD5" i="1" s="1"/>
  <c r="AB5" i="1"/>
  <c r="AA5" i="1" s="1"/>
  <c r="Z5" i="1"/>
  <c r="Y5" i="1" s="1"/>
  <c r="AG4" i="1"/>
  <c r="AF4" i="1" s="1"/>
  <c r="AE4" i="1"/>
  <c r="AD4" i="1" s="1"/>
  <c r="AB4" i="1"/>
  <c r="AA4" i="1" s="1"/>
  <c r="Z4" i="1"/>
  <c r="Y4" i="1" s="1"/>
  <c r="AQ63" i="1"/>
  <c r="AP63" i="1" s="1"/>
  <c r="AO63" i="1"/>
  <c r="AN63" i="1" s="1"/>
  <c r="AL63" i="1"/>
  <c r="AK63" i="1" s="1"/>
  <c r="AJ63" i="1"/>
  <c r="AI63" i="1" s="1"/>
  <c r="AQ62" i="1"/>
  <c r="AP62" i="1" s="1"/>
  <c r="AO62" i="1"/>
  <c r="AN62" i="1" s="1"/>
  <c r="AQ61" i="1"/>
  <c r="AP61" i="1" s="1"/>
  <c r="AO61" i="1"/>
  <c r="AN61" i="1" s="1"/>
  <c r="AL61" i="1"/>
  <c r="AK61" i="1" s="1"/>
  <c r="AJ61" i="1"/>
  <c r="AI61" i="1" s="1"/>
  <c r="AQ60" i="1"/>
  <c r="AP60" i="1" s="1"/>
  <c r="AO60" i="1"/>
  <c r="AN60" i="1" s="1"/>
  <c r="AL60" i="1"/>
  <c r="AK60" i="1" s="1"/>
  <c r="AJ60" i="1"/>
  <c r="AI60" i="1" s="1"/>
  <c r="AQ59" i="1"/>
  <c r="AP59" i="1"/>
  <c r="AO59" i="1"/>
  <c r="AN59" i="1"/>
  <c r="AL59" i="1"/>
  <c r="AK59" i="1"/>
  <c r="AJ59" i="1"/>
  <c r="AI59" i="1"/>
  <c r="AQ58" i="1"/>
  <c r="AP58" i="1" s="1"/>
  <c r="AO58" i="1"/>
  <c r="AN58" i="1" s="1"/>
  <c r="AQ57" i="1"/>
  <c r="AP57" i="1" s="1"/>
  <c r="AO57" i="1"/>
  <c r="AN57" i="1" s="1"/>
  <c r="AL57" i="1"/>
  <c r="AK57" i="1" s="1"/>
  <c r="AJ57" i="1" s="1"/>
  <c r="AI57" i="1" s="1"/>
  <c r="AQ56" i="1"/>
  <c r="AP56" i="1" s="1"/>
  <c r="AO56" i="1"/>
  <c r="AN56" i="1" s="1"/>
  <c r="AL56" i="1"/>
  <c r="AK56" i="1" s="1"/>
  <c r="AJ56" i="1" s="1"/>
  <c r="AI56" i="1" s="1"/>
  <c r="AQ55" i="1"/>
  <c r="AP55" i="1" s="1"/>
  <c r="AO55" i="1"/>
  <c r="AN55" i="1" s="1"/>
  <c r="AL55" i="1"/>
  <c r="AK55" i="1" s="1"/>
  <c r="AJ55" i="1" s="1"/>
  <c r="AI55" i="1" s="1"/>
  <c r="AQ54" i="1"/>
  <c r="AP54" i="1" s="1"/>
  <c r="AO54" i="1"/>
  <c r="AN54" i="1" s="1"/>
  <c r="AL54" i="1"/>
  <c r="AK54" i="1" s="1"/>
  <c r="AJ54" i="1" s="1"/>
  <c r="AI54" i="1" s="1"/>
  <c r="AQ53" i="1"/>
  <c r="AP53" i="1" s="1"/>
  <c r="AO53" i="1"/>
  <c r="AN53" i="1" s="1"/>
  <c r="AL53" i="1"/>
  <c r="AK53" i="1" s="1"/>
  <c r="AJ53" i="1" s="1"/>
  <c r="AI53" i="1" s="1"/>
  <c r="AQ52" i="1"/>
  <c r="AP52" i="1" s="1"/>
  <c r="AO52" i="1"/>
  <c r="AN52" i="1" s="1"/>
  <c r="AQ51" i="1"/>
  <c r="AP51" i="1" s="1"/>
  <c r="AO51" i="1"/>
  <c r="AN51" i="1" s="1"/>
  <c r="AQ50" i="1"/>
  <c r="AP50" i="1" s="1"/>
  <c r="AO50" i="1"/>
  <c r="AN50" i="1" s="1"/>
  <c r="AL50" i="1"/>
  <c r="AK50" i="1" s="1"/>
  <c r="AJ50" i="1" s="1"/>
  <c r="AI50" i="1" s="1"/>
  <c r="AQ49" i="1"/>
  <c r="AP49" i="1" s="1"/>
  <c r="AO49" i="1"/>
  <c r="AN49" i="1" s="1"/>
  <c r="AL49" i="1"/>
  <c r="AK49" i="1" s="1"/>
  <c r="AJ49" i="1" s="1"/>
  <c r="AI49" i="1" s="1"/>
  <c r="AQ48" i="1"/>
  <c r="AP48" i="1" s="1"/>
  <c r="AO48" i="1"/>
  <c r="AN48" i="1" s="1"/>
  <c r="AL48" i="1"/>
  <c r="AK48" i="1" s="1"/>
  <c r="AJ48" i="1" s="1"/>
  <c r="AI48" i="1" s="1"/>
  <c r="AQ47" i="1"/>
  <c r="AP47" i="1" s="1"/>
  <c r="AO47" i="1"/>
  <c r="AN47" i="1" s="1"/>
  <c r="AL47" i="1"/>
  <c r="AK47" i="1" s="1"/>
  <c r="AJ47" i="1" s="1"/>
  <c r="AI47" i="1" s="1"/>
  <c r="AQ46" i="1"/>
  <c r="AP46" i="1" s="1"/>
  <c r="AO46" i="1"/>
  <c r="AN46" i="1" s="1"/>
  <c r="AL46" i="1"/>
  <c r="AK46" i="1" s="1"/>
  <c r="AJ46" i="1" s="1"/>
  <c r="AI46" i="1" s="1"/>
  <c r="AQ45" i="1"/>
  <c r="AP45" i="1" s="1"/>
  <c r="AO45" i="1"/>
  <c r="AN45" i="1" s="1"/>
  <c r="AL45" i="1"/>
  <c r="AK45" i="1" s="1"/>
  <c r="AJ45" i="1" s="1"/>
  <c r="AI45" i="1" s="1"/>
  <c r="AQ44" i="1"/>
  <c r="AP44" i="1" s="1"/>
  <c r="AO44" i="1"/>
  <c r="AN44" i="1" s="1"/>
  <c r="AQ43" i="1"/>
  <c r="AP43" i="1" s="1"/>
  <c r="AO43" i="1"/>
  <c r="AN43" i="1" s="1"/>
  <c r="AL43" i="1"/>
  <c r="AK43" i="1" s="1"/>
  <c r="AJ43" i="1" s="1"/>
  <c r="AI43" i="1" s="1"/>
  <c r="AQ42" i="1"/>
  <c r="AP42" i="1" s="1"/>
  <c r="AO42" i="1"/>
  <c r="AN42" i="1" s="1"/>
  <c r="AQ41" i="1"/>
  <c r="AP41" i="1" s="1"/>
  <c r="AO41" i="1"/>
  <c r="AN41" i="1" s="1"/>
  <c r="AL41" i="1"/>
  <c r="AK41" i="1" s="1"/>
  <c r="AJ41" i="1" s="1"/>
  <c r="AI41" i="1" s="1"/>
  <c r="AQ40" i="1"/>
  <c r="AP40" i="1" s="1"/>
  <c r="AO40" i="1"/>
  <c r="AN40" i="1" s="1"/>
  <c r="AL40" i="1"/>
  <c r="AK40" i="1" s="1"/>
  <c r="AJ40" i="1" s="1"/>
  <c r="AI40" i="1" s="1"/>
  <c r="AQ39" i="1"/>
  <c r="AP39" i="1" s="1"/>
  <c r="AO39" i="1"/>
  <c r="AN39" i="1" s="1"/>
  <c r="AL39" i="1"/>
  <c r="AK39" i="1" s="1"/>
  <c r="AJ39" i="1" s="1"/>
  <c r="AI39" i="1" s="1"/>
  <c r="AQ38" i="1"/>
  <c r="AP38" i="1" s="1"/>
  <c r="AO38" i="1"/>
  <c r="AN38" i="1" s="1"/>
  <c r="AL38" i="1"/>
  <c r="AK38" i="1" s="1"/>
  <c r="AJ38" i="1" s="1"/>
  <c r="AI38" i="1" s="1"/>
  <c r="AQ37" i="1"/>
  <c r="AP37" i="1" s="1"/>
  <c r="AO37" i="1"/>
  <c r="AN37" i="1" s="1"/>
  <c r="AL37" i="1"/>
  <c r="AK37" i="1" s="1"/>
  <c r="AJ37" i="1" s="1"/>
  <c r="AI37" i="1" s="1"/>
  <c r="AQ36" i="1"/>
  <c r="AP36" i="1" s="1"/>
  <c r="AO36" i="1"/>
  <c r="AN36" i="1" s="1"/>
  <c r="AL36" i="1"/>
  <c r="AK36" i="1" s="1"/>
  <c r="AJ36" i="1" s="1"/>
  <c r="AI36" i="1" s="1"/>
  <c r="AQ35" i="1"/>
  <c r="AP35" i="1" s="1"/>
  <c r="AO35" i="1"/>
  <c r="AN35" i="1" s="1"/>
  <c r="AQ34" i="1"/>
  <c r="AP34" i="1" s="1"/>
  <c r="AO34" i="1"/>
  <c r="AN34" i="1" s="1"/>
  <c r="AL34" i="1"/>
  <c r="AK34" i="1" s="1"/>
  <c r="AJ34" i="1" s="1"/>
  <c r="AI34" i="1" s="1"/>
  <c r="AQ33" i="1"/>
  <c r="AP33" i="1" s="1"/>
  <c r="AO33" i="1"/>
  <c r="AN33" i="1" s="1"/>
  <c r="AL33" i="1"/>
  <c r="AK33" i="1" s="1"/>
  <c r="AJ33" i="1" s="1"/>
  <c r="AI33" i="1" s="1"/>
  <c r="AQ32" i="1"/>
  <c r="AP32" i="1" s="1"/>
  <c r="AO32" i="1"/>
  <c r="AN32" i="1" s="1"/>
  <c r="AL32" i="1"/>
  <c r="AK32" i="1" s="1"/>
  <c r="AJ32" i="1" s="1"/>
  <c r="AI32" i="1" s="1"/>
  <c r="AQ31" i="1"/>
  <c r="AP31" i="1" s="1"/>
  <c r="AO31" i="1"/>
  <c r="AN31" i="1" s="1"/>
  <c r="AQ30" i="1"/>
  <c r="AP30" i="1"/>
  <c r="AO30" i="1" s="1"/>
  <c r="AN30" i="1"/>
  <c r="AL30" i="1"/>
  <c r="AK30" i="1"/>
  <c r="AJ30" i="1" s="1"/>
  <c r="AI30" i="1"/>
  <c r="AQ29" i="1"/>
  <c r="AP29" i="1"/>
  <c r="AO29" i="1" s="1"/>
  <c r="AN29" i="1"/>
  <c r="AL29" i="1"/>
  <c r="AK29" i="1"/>
  <c r="AJ29" i="1" s="1"/>
  <c r="AI29" i="1" s="1"/>
  <c r="AQ28" i="1"/>
  <c r="AP28" i="1"/>
  <c r="AO28" i="1" s="1"/>
  <c r="AN28" i="1"/>
  <c r="AQ27" i="1"/>
  <c r="AP27" i="1"/>
  <c r="AO27" i="1" s="1"/>
  <c r="AN27" i="1" s="1"/>
  <c r="AL27" i="1"/>
  <c r="AK27" i="1"/>
  <c r="AJ27" i="1" s="1"/>
  <c r="AI27" i="1" s="1"/>
  <c r="AQ26" i="1"/>
  <c r="AP26" i="1"/>
  <c r="AO26" i="1" s="1"/>
  <c r="AN26" i="1" s="1"/>
  <c r="AL26" i="1"/>
  <c r="AK26" i="1"/>
  <c r="AJ26" i="1" s="1"/>
  <c r="AI26" i="1"/>
  <c r="AQ25" i="1"/>
  <c r="AP25" i="1"/>
  <c r="AO25" i="1" s="1"/>
  <c r="AN25" i="1" s="1"/>
  <c r="AQ24" i="1"/>
  <c r="AP24" i="1"/>
  <c r="AO24" i="1" s="1"/>
  <c r="AN24" i="1"/>
  <c r="AL24" i="1"/>
  <c r="AK24" i="1"/>
  <c r="AJ24" i="1" s="1"/>
  <c r="AI24" i="1" s="1"/>
  <c r="AQ23" i="1"/>
  <c r="AP23" i="1"/>
  <c r="AO23" i="1" s="1"/>
  <c r="AN23" i="1"/>
  <c r="AQ22" i="1"/>
  <c r="AP22" i="1"/>
  <c r="AO22" i="1" s="1"/>
  <c r="AN22" i="1" s="1"/>
  <c r="AL22" i="1"/>
  <c r="AK22" i="1" s="1"/>
  <c r="AJ22" i="1" s="1"/>
  <c r="AI22" i="1" s="1"/>
  <c r="AQ21" i="1"/>
  <c r="AP21" i="1"/>
  <c r="AO21" i="1" s="1"/>
  <c r="AN21" i="1" s="1"/>
  <c r="AQ20" i="1"/>
  <c r="AP20" i="1"/>
  <c r="AO20" i="1" s="1"/>
  <c r="AN20" i="1"/>
  <c r="AQ19" i="1"/>
  <c r="AP19" i="1"/>
  <c r="AO19" i="1" s="1"/>
  <c r="AN19" i="1" s="1"/>
  <c r="AL19" i="1"/>
  <c r="AK19" i="1"/>
  <c r="AJ19" i="1" s="1"/>
  <c r="AI19" i="1"/>
  <c r="AQ18" i="1"/>
  <c r="AP18" i="1"/>
  <c r="AO18" i="1" s="1"/>
  <c r="AN18" i="1" s="1"/>
  <c r="AQ17" i="1"/>
  <c r="AP17" i="1"/>
  <c r="AO17" i="1" s="1"/>
  <c r="AN17" i="1" s="1"/>
  <c r="AQ16" i="1"/>
  <c r="AP16" i="1"/>
  <c r="AO16" i="1" s="1"/>
  <c r="AN16" i="1" s="1"/>
  <c r="AL16" i="1"/>
  <c r="AK16" i="1"/>
  <c r="AJ16" i="1" s="1"/>
  <c r="AI16" i="1"/>
  <c r="AQ15" i="1"/>
  <c r="AP15" i="1"/>
  <c r="AO15" i="1" s="1"/>
  <c r="AN15" i="1"/>
  <c r="AL15" i="1"/>
  <c r="AK15" i="1"/>
  <c r="AJ15" i="1" s="1"/>
  <c r="AI15" i="1"/>
  <c r="AQ14" i="1"/>
  <c r="AP14" i="1"/>
  <c r="AO14" i="1" s="1"/>
  <c r="AN14" i="1" s="1"/>
  <c r="AL14" i="1"/>
  <c r="AK14" i="1"/>
  <c r="AJ14" i="1" s="1"/>
  <c r="AI14" i="1"/>
  <c r="AQ13" i="1"/>
  <c r="AP13" i="1"/>
  <c r="AO13" i="1" s="1"/>
  <c r="AN13" i="1" s="1"/>
  <c r="AL13" i="1"/>
  <c r="AK13" i="1"/>
  <c r="AJ13" i="1" s="1"/>
  <c r="AI13" i="1"/>
  <c r="AQ12" i="1"/>
  <c r="AP12" i="1"/>
  <c r="AO12" i="1" s="1"/>
  <c r="AN12" i="1" s="1"/>
  <c r="AQ11" i="1"/>
  <c r="AP11" i="1"/>
  <c r="AO11" i="1" s="1"/>
  <c r="AN11" i="1"/>
  <c r="AL11" i="1"/>
  <c r="AK11" i="1"/>
  <c r="AJ11" i="1" s="1"/>
  <c r="AI11" i="1" s="1"/>
  <c r="AQ10" i="1"/>
  <c r="AP10" i="1"/>
  <c r="AO10" i="1" s="1"/>
  <c r="AN10" i="1" s="1"/>
  <c r="AQ9" i="1"/>
  <c r="AP9" i="1"/>
  <c r="AO9" i="1" s="1"/>
  <c r="AN9" i="1" s="1"/>
  <c r="AQ8" i="1"/>
  <c r="AP8" i="1"/>
  <c r="AO8" i="1" s="1"/>
  <c r="AN8" i="1"/>
  <c r="AQ7" i="1"/>
  <c r="AP7" i="1"/>
  <c r="AO7" i="1" s="1"/>
  <c r="AN7" i="1" s="1"/>
  <c r="AL7" i="1"/>
  <c r="AK7" i="1"/>
  <c r="AJ7" i="1" s="1"/>
  <c r="AI7" i="1"/>
  <c r="AQ6" i="1"/>
  <c r="AP6" i="1"/>
  <c r="AO6" i="1" s="1"/>
  <c r="AN6" i="1" s="1"/>
  <c r="AL6" i="1"/>
  <c r="AK6" i="1"/>
  <c r="AJ6" i="1" s="1"/>
  <c r="AI6" i="1" s="1"/>
  <c r="AQ5" i="1"/>
  <c r="AP5" i="1"/>
  <c r="AO5" i="1" s="1"/>
  <c r="AN5" i="1"/>
  <c r="AL5" i="1"/>
  <c r="AK5" i="1"/>
  <c r="AJ5" i="1" s="1"/>
  <c r="AI5" i="1"/>
  <c r="AQ4" i="1"/>
  <c r="AP4" i="1"/>
  <c r="AO4" i="1" s="1"/>
  <c r="AN4" i="1" s="1"/>
  <c r="AL4" i="1"/>
  <c r="AK4" i="1"/>
  <c r="AJ4" i="1" s="1"/>
  <c r="AI4" i="1"/>
  <c r="BA63" i="1"/>
  <c r="AZ63" i="1"/>
  <c r="AY63" i="1" s="1"/>
  <c r="AX63" i="1"/>
  <c r="AV63" i="1"/>
  <c r="AU63" i="1"/>
  <c r="AT63" i="1" s="1"/>
  <c r="AS63" i="1"/>
  <c r="BA62" i="1"/>
  <c r="AZ62" i="1"/>
  <c r="AY62" i="1" s="1"/>
  <c r="AX62" i="1" s="1"/>
  <c r="AV62" i="1"/>
  <c r="AU62" i="1"/>
  <c r="AT62" i="1" s="1"/>
  <c r="AS62" i="1"/>
  <c r="BA61" i="1"/>
  <c r="AZ61" i="1"/>
  <c r="AY61" i="1" s="1"/>
  <c r="AX61" i="1"/>
  <c r="AV61" i="1"/>
  <c r="AU61" i="1"/>
  <c r="AT61" i="1" s="1"/>
  <c r="AS61" i="1"/>
  <c r="BA60" i="1"/>
  <c r="AZ60" i="1"/>
  <c r="AY60" i="1" s="1"/>
  <c r="AX60" i="1" s="1"/>
  <c r="AV60" i="1"/>
  <c r="AU60" i="1"/>
  <c r="AT60" i="1" s="1"/>
  <c r="AS60" i="1"/>
  <c r="BA59" i="1"/>
  <c r="AZ59" i="1"/>
  <c r="AY59" i="1"/>
  <c r="AX59" i="1"/>
  <c r="AW59" i="1"/>
  <c r="AW64" i="1" s="1"/>
  <c r="AW65" i="1" s="1"/>
  <c r="AV59" i="1"/>
  <c r="AU59" i="1"/>
  <c r="AT59" i="1"/>
  <c r="AS59" i="1"/>
  <c r="BA58" i="1"/>
  <c r="AZ58" i="1" s="1"/>
  <c r="AY58" i="1" s="1"/>
  <c r="AX58" i="1" s="1"/>
  <c r="AV58" i="1"/>
  <c r="AU58" i="1" s="1"/>
  <c r="AT58" i="1" s="1"/>
  <c r="AS58" i="1" s="1"/>
  <c r="BA57" i="1"/>
  <c r="AZ57" i="1" s="1"/>
  <c r="AY57" i="1" s="1"/>
  <c r="AX57" i="1" s="1"/>
  <c r="AV57" i="1"/>
  <c r="AU57" i="1" s="1"/>
  <c r="AT57" i="1" s="1"/>
  <c r="AS57" i="1" s="1"/>
  <c r="BA56" i="1"/>
  <c r="AZ56" i="1" s="1"/>
  <c r="AY56" i="1"/>
  <c r="AX56" i="1" s="1"/>
  <c r="AV56" i="1"/>
  <c r="AU56" i="1" s="1"/>
  <c r="AT56" i="1" s="1"/>
  <c r="AS56" i="1" s="1"/>
  <c r="BA55" i="1"/>
  <c r="AZ55" i="1" s="1"/>
  <c r="AY55" i="1"/>
  <c r="AX55" i="1" s="1"/>
  <c r="AV55" i="1"/>
  <c r="AU55" i="1" s="1"/>
  <c r="AT55" i="1" s="1"/>
  <c r="AS55" i="1" s="1"/>
  <c r="BA54" i="1"/>
  <c r="AZ54" i="1" s="1"/>
  <c r="AY54" i="1" s="1"/>
  <c r="AX54" i="1" s="1"/>
  <c r="AV54" i="1"/>
  <c r="AU54" i="1" s="1"/>
  <c r="AT54" i="1" s="1"/>
  <c r="AS54" i="1" s="1"/>
  <c r="BA53" i="1"/>
  <c r="AZ53" i="1" s="1"/>
  <c r="AY53" i="1" s="1"/>
  <c r="AX53" i="1" s="1"/>
  <c r="AV53" i="1"/>
  <c r="AU53" i="1" s="1"/>
  <c r="AT53" i="1" s="1"/>
  <c r="AS53" i="1" s="1"/>
  <c r="BA52" i="1"/>
  <c r="AZ52" i="1" s="1"/>
  <c r="AY52" i="1"/>
  <c r="AX52" i="1" s="1"/>
  <c r="AV52" i="1"/>
  <c r="AU52" i="1" s="1"/>
  <c r="AT52" i="1" s="1"/>
  <c r="AS52" i="1" s="1"/>
  <c r="BA51" i="1"/>
  <c r="AZ51" i="1" s="1"/>
  <c r="AY51" i="1"/>
  <c r="AX51" i="1" s="1"/>
  <c r="AV51" i="1"/>
  <c r="AU51" i="1" s="1"/>
  <c r="AT51" i="1" s="1"/>
  <c r="AS51" i="1" s="1"/>
  <c r="BA50" i="1"/>
  <c r="AZ50" i="1" s="1"/>
  <c r="AY50" i="1" s="1"/>
  <c r="AX50" i="1" s="1"/>
  <c r="AV50" i="1"/>
  <c r="AU50" i="1" s="1"/>
  <c r="AT50" i="1" s="1"/>
  <c r="AS50" i="1" s="1"/>
  <c r="BA49" i="1"/>
  <c r="AZ49" i="1" s="1"/>
  <c r="AY49" i="1" s="1"/>
  <c r="AX49" i="1" s="1"/>
  <c r="AV49" i="1"/>
  <c r="AU49" i="1" s="1"/>
  <c r="AT49" i="1" s="1"/>
  <c r="AS49" i="1" s="1"/>
  <c r="BA48" i="1"/>
  <c r="AZ48" i="1" s="1"/>
  <c r="AY48" i="1"/>
  <c r="AX48" i="1" s="1"/>
  <c r="AV48" i="1"/>
  <c r="AU48" i="1" s="1"/>
  <c r="AT48" i="1" s="1"/>
  <c r="AS48" i="1" s="1"/>
  <c r="BA47" i="1"/>
  <c r="AZ47" i="1" s="1"/>
  <c r="AY47" i="1"/>
  <c r="AX47" i="1" s="1"/>
  <c r="AV47" i="1"/>
  <c r="AU47" i="1" s="1"/>
  <c r="AT47" i="1" s="1"/>
  <c r="AS47" i="1" s="1"/>
  <c r="BA46" i="1"/>
  <c r="AZ46" i="1" s="1"/>
  <c r="AY46" i="1" s="1"/>
  <c r="AX46" i="1" s="1"/>
  <c r="AV46" i="1"/>
  <c r="AU46" i="1" s="1"/>
  <c r="AT46" i="1" s="1"/>
  <c r="AS46" i="1" s="1"/>
  <c r="BA45" i="1"/>
  <c r="AZ45" i="1" s="1"/>
  <c r="AY45" i="1"/>
  <c r="AX45" i="1" s="1"/>
  <c r="AV45" i="1"/>
  <c r="AU45" i="1" s="1"/>
  <c r="AT45" i="1" s="1"/>
  <c r="AS45" i="1" s="1"/>
  <c r="BA44" i="1"/>
  <c r="AZ44" i="1" s="1"/>
  <c r="AY44" i="1"/>
  <c r="AX44" i="1" s="1"/>
  <c r="AV44" i="1"/>
  <c r="AU44" i="1" s="1"/>
  <c r="AT44" i="1" s="1"/>
  <c r="AS44" i="1" s="1"/>
  <c r="BA43" i="1"/>
  <c r="AZ43" i="1" s="1"/>
  <c r="AY43" i="1"/>
  <c r="AX43" i="1" s="1"/>
  <c r="AV43" i="1"/>
  <c r="AU43" i="1" s="1"/>
  <c r="AT43" i="1" s="1"/>
  <c r="AS43" i="1" s="1"/>
  <c r="BA42" i="1"/>
  <c r="AZ42" i="1" s="1"/>
  <c r="AY42" i="1" s="1"/>
  <c r="AX42" i="1" s="1"/>
  <c r="AV42" i="1"/>
  <c r="AU42" i="1" s="1"/>
  <c r="AT42" i="1" s="1"/>
  <c r="AS42" i="1" s="1"/>
  <c r="BA41" i="1"/>
  <c r="AZ41" i="1" s="1"/>
  <c r="AY41" i="1" s="1"/>
  <c r="AX41" i="1" s="1"/>
  <c r="AV41" i="1"/>
  <c r="AU41" i="1" s="1"/>
  <c r="AT41" i="1" s="1"/>
  <c r="AS41" i="1" s="1"/>
  <c r="BA40" i="1"/>
  <c r="AZ40" i="1" s="1"/>
  <c r="AY40" i="1"/>
  <c r="AX40" i="1" s="1"/>
  <c r="AV40" i="1"/>
  <c r="AU40" i="1" s="1"/>
  <c r="AT40" i="1" s="1"/>
  <c r="AS40" i="1" s="1"/>
  <c r="BA39" i="1"/>
  <c r="AZ39" i="1" s="1"/>
  <c r="AY39" i="1"/>
  <c r="AX39" i="1" s="1"/>
  <c r="AV39" i="1"/>
  <c r="AU39" i="1" s="1"/>
  <c r="AT39" i="1" s="1"/>
  <c r="AS39" i="1" s="1"/>
  <c r="BA38" i="1"/>
  <c r="AZ38" i="1" s="1"/>
  <c r="AY38" i="1" s="1"/>
  <c r="AX38" i="1" s="1"/>
  <c r="AV38" i="1"/>
  <c r="AU38" i="1" s="1"/>
  <c r="AT38" i="1" s="1"/>
  <c r="AS38" i="1" s="1"/>
  <c r="BA37" i="1"/>
  <c r="AZ37" i="1" s="1"/>
  <c r="AY37" i="1" s="1"/>
  <c r="AX37" i="1" s="1"/>
  <c r="AV37" i="1"/>
  <c r="AU37" i="1" s="1"/>
  <c r="AT37" i="1" s="1"/>
  <c r="AS37" i="1" s="1"/>
  <c r="BA36" i="1"/>
  <c r="AZ36" i="1" s="1"/>
  <c r="AY36" i="1"/>
  <c r="AX36" i="1" s="1"/>
  <c r="AV36" i="1"/>
  <c r="AU36" i="1" s="1"/>
  <c r="AT36" i="1" s="1"/>
  <c r="AS36" i="1" s="1"/>
  <c r="BA35" i="1"/>
  <c r="AZ35" i="1" s="1"/>
  <c r="AY35" i="1"/>
  <c r="AX35" i="1" s="1"/>
  <c r="AV35" i="1"/>
  <c r="AU35" i="1" s="1"/>
  <c r="AT35" i="1" s="1"/>
  <c r="AS35" i="1" s="1"/>
  <c r="BA34" i="1"/>
  <c r="AZ34" i="1" s="1"/>
  <c r="AY34" i="1" s="1"/>
  <c r="AX34" i="1" s="1"/>
  <c r="AV34" i="1"/>
  <c r="AU34" i="1" s="1"/>
  <c r="AT34" i="1" s="1"/>
  <c r="AS34" i="1" s="1"/>
  <c r="BA33" i="1"/>
  <c r="AZ33" i="1" s="1"/>
  <c r="AY33" i="1" s="1"/>
  <c r="AX33" i="1" s="1"/>
  <c r="AV33" i="1"/>
  <c r="AU33" i="1" s="1"/>
  <c r="AT33" i="1" s="1"/>
  <c r="AS33" i="1" s="1"/>
  <c r="BA32" i="1"/>
  <c r="AZ32" i="1" s="1"/>
  <c r="AY32" i="1"/>
  <c r="AX32" i="1" s="1"/>
  <c r="AV32" i="1"/>
  <c r="AU32" i="1" s="1"/>
  <c r="AT32" i="1" s="1"/>
  <c r="AS32" i="1" s="1"/>
  <c r="BA31" i="1"/>
  <c r="AZ31" i="1" s="1"/>
  <c r="AY31" i="1"/>
  <c r="AX31" i="1" s="1"/>
  <c r="AV31" i="1"/>
  <c r="AU31" i="1" s="1"/>
  <c r="AT31" i="1" s="1"/>
  <c r="AS31" i="1" s="1"/>
  <c r="BA30" i="1"/>
  <c r="AZ30" i="1" s="1"/>
  <c r="AY30" i="1" s="1"/>
  <c r="AX30" i="1" s="1"/>
  <c r="AV30" i="1"/>
  <c r="AU30" i="1" s="1"/>
  <c r="AT30" i="1" s="1"/>
  <c r="AS30" i="1" s="1"/>
  <c r="BA29" i="1"/>
  <c r="AZ29" i="1" s="1"/>
  <c r="AY29" i="1"/>
  <c r="AX29" i="1" s="1"/>
  <c r="AV29" i="1"/>
  <c r="AU29" i="1" s="1"/>
  <c r="AT29" i="1" s="1"/>
  <c r="AS29" i="1" s="1"/>
  <c r="BA28" i="1"/>
  <c r="AZ28" i="1" s="1"/>
  <c r="AY28" i="1"/>
  <c r="AX28" i="1" s="1"/>
  <c r="AV28" i="1"/>
  <c r="AU28" i="1" s="1"/>
  <c r="AT28" i="1" s="1"/>
  <c r="AS28" i="1" s="1"/>
  <c r="BA27" i="1"/>
  <c r="AZ27" i="1" s="1"/>
  <c r="AY27" i="1"/>
  <c r="AX27" i="1" s="1"/>
  <c r="AV27" i="1"/>
  <c r="AU27" i="1" s="1"/>
  <c r="AT27" i="1" s="1"/>
  <c r="AS27" i="1" s="1"/>
  <c r="BA26" i="1"/>
  <c r="AZ26" i="1" s="1"/>
  <c r="AY26" i="1" s="1"/>
  <c r="AX26" i="1" s="1"/>
  <c r="AV26" i="1"/>
  <c r="AU26" i="1" s="1"/>
  <c r="AT26" i="1" s="1"/>
  <c r="AS26" i="1" s="1"/>
  <c r="BA25" i="1"/>
  <c r="AZ25" i="1" s="1"/>
  <c r="AY25" i="1" s="1"/>
  <c r="AX25" i="1" s="1"/>
  <c r="AV25" i="1"/>
  <c r="AU25" i="1" s="1"/>
  <c r="AT25" i="1" s="1"/>
  <c r="AS25" i="1" s="1"/>
  <c r="BA24" i="1"/>
  <c r="AZ24" i="1" s="1"/>
  <c r="AY24" i="1"/>
  <c r="AX24" i="1" s="1"/>
  <c r="AV24" i="1"/>
  <c r="AU24" i="1" s="1"/>
  <c r="AT24" i="1" s="1"/>
  <c r="AS24" i="1" s="1"/>
  <c r="BA23" i="1"/>
  <c r="AZ23" i="1" s="1"/>
  <c r="AY23" i="1"/>
  <c r="AX23" i="1" s="1"/>
  <c r="AV23" i="1"/>
  <c r="AU23" i="1" s="1"/>
  <c r="AT23" i="1" s="1"/>
  <c r="AS23" i="1" s="1"/>
  <c r="BA22" i="1"/>
  <c r="AZ22" i="1" s="1"/>
  <c r="AY22" i="1" s="1"/>
  <c r="AX22" i="1" s="1"/>
  <c r="AV22" i="1"/>
  <c r="AU22" i="1" s="1"/>
  <c r="AT22" i="1" s="1"/>
  <c r="AS22" i="1" s="1"/>
  <c r="BA21" i="1"/>
  <c r="AZ21" i="1" s="1"/>
  <c r="AY21" i="1" s="1"/>
  <c r="AX21" i="1" s="1"/>
  <c r="AV21" i="1"/>
  <c r="AU21" i="1" s="1"/>
  <c r="AT21" i="1" s="1"/>
  <c r="AS21" i="1" s="1"/>
  <c r="BA20" i="1"/>
  <c r="AZ20" i="1" s="1"/>
  <c r="AY20" i="1"/>
  <c r="AX20" i="1" s="1"/>
  <c r="AV20" i="1"/>
  <c r="AU20" i="1" s="1"/>
  <c r="AT20" i="1" s="1"/>
  <c r="AS20" i="1" s="1"/>
  <c r="BA19" i="1"/>
  <c r="AZ19" i="1" s="1"/>
  <c r="AY19" i="1"/>
  <c r="AX19" i="1" s="1"/>
  <c r="AV19" i="1"/>
  <c r="AU19" i="1" s="1"/>
  <c r="AT19" i="1" s="1"/>
  <c r="AS19" i="1" s="1"/>
  <c r="BA18" i="1"/>
  <c r="AZ18" i="1" s="1"/>
  <c r="AY18" i="1" s="1"/>
  <c r="AX18" i="1" s="1"/>
  <c r="AV18" i="1"/>
  <c r="AU18" i="1" s="1"/>
  <c r="AT18" i="1" s="1"/>
  <c r="AS18" i="1" s="1"/>
  <c r="BA17" i="1"/>
  <c r="AZ17" i="1" s="1"/>
  <c r="AY17" i="1" s="1"/>
  <c r="AX17" i="1" s="1"/>
  <c r="AV17" i="1"/>
  <c r="AU17" i="1" s="1"/>
  <c r="AT17" i="1" s="1"/>
  <c r="AS17" i="1" s="1"/>
  <c r="BA16" i="1"/>
  <c r="AZ16" i="1" s="1"/>
  <c r="AY16" i="1"/>
  <c r="AX16" i="1" s="1"/>
  <c r="AV16" i="1"/>
  <c r="AU16" i="1" s="1"/>
  <c r="AT16" i="1" s="1"/>
  <c r="AS16" i="1" s="1"/>
  <c r="BA15" i="1"/>
  <c r="AZ15" i="1" s="1"/>
  <c r="AY15" i="1"/>
  <c r="AX15" i="1" s="1"/>
  <c r="AV15" i="1"/>
  <c r="AU15" i="1" s="1"/>
  <c r="AT15" i="1" s="1"/>
  <c r="AS15" i="1" s="1"/>
  <c r="BA14" i="1"/>
  <c r="AZ14" i="1" s="1"/>
  <c r="AY14" i="1" s="1"/>
  <c r="AX14" i="1" s="1"/>
  <c r="AV14" i="1"/>
  <c r="AU14" i="1" s="1"/>
  <c r="AT14" i="1" s="1"/>
  <c r="AS14" i="1" s="1"/>
  <c r="BA13" i="1"/>
  <c r="AZ13" i="1" s="1"/>
  <c r="AY13" i="1"/>
  <c r="AX13" i="1" s="1"/>
  <c r="AV13" i="1"/>
  <c r="AU13" i="1" s="1"/>
  <c r="AT13" i="1" s="1"/>
  <c r="AS13" i="1" s="1"/>
  <c r="BA12" i="1"/>
  <c r="AZ12" i="1" s="1"/>
  <c r="AY12" i="1"/>
  <c r="AX12" i="1" s="1"/>
  <c r="AV12" i="1"/>
  <c r="AU12" i="1" s="1"/>
  <c r="AT12" i="1" s="1"/>
  <c r="AS12" i="1" s="1"/>
  <c r="AS64" i="1" s="1"/>
  <c r="AS65" i="1" s="1"/>
  <c r="BA11" i="1"/>
  <c r="AZ11" i="1" s="1"/>
  <c r="AY11" i="1"/>
  <c r="AX11" i="1" s="1"/>
  <c r="AV11" i="1"/>
  <c r="AU11" i="1" s="1"/>
  <c r="AT11" i="1" s="1"/>
  <c r="AS11" i="1" s="1"/>
  <c r="BA10" i="1"/>
  <c r="AZ10" i="1" s="1"/>
  <c r="AY10" i="1" s="1"/>
  <c r="AX10" i="1" s="1"/>
  <c r="AV10" i="1"/>
  <c r="AU10" i="1" s="1"/>
  <c r="AT10" i="1" s="1"/>
  <c r="AS10" i="1" s="1"/>
  <c r="BA9" i="1"/>
  <c r="AZ9" i="1" s="1"/>
  <c r="AY9" i="1" s="1"/>
  <c r="AX9" i="1" s="1"/>
  <c r="AV9" i="1"/>
  <c r="AU9" i="1" s="1"/>
  <c r="AT9" i="1" s="1"/>
  <c r="AS9" i="1" s="1"/>
  <c r="BA8" i="1"/>
  <c r="AZ8" i="1" s="1"/>
  <c r="AY8" i="1"/>
  <c r="AX8" i="1" s="1"/>
  <c r="AV8" i="1"/>
  <c r="AU8" i="1" s="1"/>
  <c r="AT8" i="1" s="1"/>
  <c r="AS8" i="1" s="1"/>
  <c r="BA7" i="1"/>
  <c r="AZ7" i="1" s="1"/>
  <c r="AY7" i="1"/>
  <c r="AX7" i="1" s="1"/>
  <c r="AV7" i="1"/>
  <c r="AU7" i="1" s="1"/>
  <c r="AT7" i="1" s="1"/>
  <c r="AS7" i="1" s="1"/>
  <c r="BA6" i="1"/>
  <c r="AZ6" i="1" s="1"/>
  <c r="AY6" i="1" s="1"/>
  <c r="AX6" i="1" s="1"/>
  <c r="AV6" i="1"/>
  <c r="AU6" i="1" s="1"/>
  <c r="AT6" i="1" s="1"/>
  <c r="AS6" i="1" s="1"/>
  <c r="BA5" i="1"/>
  <c r="AZ5" i="1" s="1"/>
  <c r="AY5" i="1" s="1"/>
  <c r="AV5" i="1"/>
  <c r="AU5" i="1" s="1"/>
  <c r="AT5" i="1" s="1"/>
  <c r="AS5" i="1" s="1"/>
  <c r="BA4" i="1"/>
  <c r="AZ4" i="1" s="1"/>
  <c r="AY4" i="1"/>
  <c r="AX4" i="1" s="1"/>
  <c r="AV4" i="1"/>
  <c r="AU4" i="1" s="1"/>
  <c r="AT4" i="1" s="1"/>
  <c r="AS4" i="1" s="1"/>
  <c r="BK63" i="1"/>
  <c r="BJ63" i="1" s="1"/>
  <c r="BI63" i="1"/>
  <c r="BH63" i="1" s="1"/>
  <c r="BF63" i="1"/>
  <c r="BE63" i="1" s="1"/>
  <c r="BD63" i="1" s="1"/>
  <c r="BC63" i="1" s="1"/>
  <c r="BK62" i="1"/>
  <c r="BJ62" i="1" s="1"/>
  <c r="BI62" i="1" s="1"/>
  <c r="BH62" i="1" s="1"/>
  <c r="BF62" i="1"/>
  <c r="BE62" i="1" s="1"/>
  <c r="BD62" i="1" s="1"/>
  <c r="BC62" i="1" s="1"/>
  <c r="BK61" i="1"/>
  <c r="BJ61" i="1" s="1"/>
  <c r="BI61" i="1" s="1"/>
  <c r="BH61" i="1" s="1"/>
  <c r="BF61" i="1"/>
  <c r="BE61" i="1" s="1"/>
  <c r="BD61" i="1" s="1"/>
  <c r="BC61" i="1" s="1"/>
  <c r="BK60" i="1"/>
  <c r="BJ60" i="1" s="1"/>
  <c r="BI60" i="1"/>
  <c r="BH60" i="1" s="1"/>
  <c r="BF60" i="1"/>
  <c r="BE60" i="1" s="1"/>
  <c r="BD60" i="1" s="1"/>
  <c r="BC60" i="1" s="1"/>
  <c r="BK59" i="1"/>
  <c r="BJ59" i="1"/>
  <c r="BI59" i="1"/>
  <c r="BH59" i="1"/>
  <c r="BG59" i="1"/>
  <c r="BG64" i="1" s="1"/>
  <c r="BG65" i="1" s="1"/>
  <c r="BF59" i="1"/>
  <c r="BE59" i="1"/>
  <c r="BD59" i="1"/>
  <c r="BC59" i="1"/>
  <c r="BJ58" i="1"/>
  <c r="BI58" i="1" s="1"/>
  <c r="BH58" i="1"/>
  <c r="BJ57" i="1"/>
  <c r="BI57" i="1" s="1"/>
  <c r="BH57" i="1"/>
  <c r="BF57" i="1"/>
  <c r="BE57" i="1"/>
  <c r="BD57" i="1" s="1"/>
  <c r="BC57" i="1" s="1"/>
  <c r="BK56" i="1"/>
  <c r="BJ56" i="1"/>
  <c r="BI56" i="1" s="1"/>
  <c r="BH56" i="1"/>
  <c r="BF56" i="1"/>
  <c r="BE56" i="1"/>
  <c r="BD56" i="1" s="1"/>
  <c r="BC56" i="1" s="1"/>
  <c r="BK55" i="1"/>
  <c r="BJ55" i="1"/>
  <c r="BI55" i="1" s="1"/>
  <c r="BH55" i="1" s="1"/>
  <c r="BF55" i="1"/>
  <c r="BE55" i="1"/>
  <c r="BD55" i="1" s="1"/>
  <c r="BC55" i="1" s="1"/>
  <c r="BJ53" i="1"/>
  <c r="BI53" i="1" s="1"/>
  <c r="BH53" i="1" s="1"/>
  <c r="BF53" i="1"/>
  <c r="BE53" i="1"/>
  <c r="BD53" i="1" s="1"/>
  <c r="BC53" i="1"/>
  <c r="BK52" i="1"/>
  <c r="BJ52" i="1"/>
  <c r="BI52" i="1" s="1"/>
  <c r="BH52" i="1"/>
  <c r="BF52" i="1"/>
  <c r="BE52" i="1"/>
  <c r="BD52" i="1" s="1"/>
  <c r="BC52" i="1"/>
  <c r="BK51" i="1"/>
  <c r="BJ51" i="1"/>
  <c r="BI51" i="1" s="1"/>
  <c r="BH51" i="1" s="1"/>
  <c r="BF51" i="1"/>
  <c r="BE51" i="1"/>
  <c r="BD51" i="1" s="1"/>
  <c r="BC51" i="1"/>
  <c r="BH49" i="1"/>
  <c r="BF49" i="1"/>
  <c r="BE49" i="1"/>
  <c r="BD49" i="1" s="1"/>
  <c r="BC49" i="1" s="1"/>
  <c r="BK48" i="1"/>
  <c r="BJ48" i="1"/>
  <c r="BI48" i="1" s="1"/>
  <c r="BH48" i="1"/>
  <c r="BF48" i="1"/>
  <c r="BE48" i="1"/>
  <c r="BD48" i="1" s="1"/>
  <c r="BC48" i="1"/>
  <c r="BK47" i="1"/>
  <c r="BJ47" i="1"/>
  <c r="BI47" i="1" s="1"/>
  <c r="BH47" i="1"/>
  <c r="BF47" i="1"/>
  <c r="BE47" i="1"/>
  <c r="BD47" i="1" s="1"/>
  <c r="BC47" i="1" s="1"/>
  <c r="BJ45" i="1"/>
  <c r="BI45" i="1" s="1"/>
  <c r="BH45" i="1" s="1"/>
  <c r="BF45" i="1"/>
  <c r="BE45" i="1"/>
  <c r="BD45" i="1" s="1"/>
  <c r="BC45" i="1"/>
  <c r="BK44" i="1"/>
  <c r="BJ44" i="1"/>
  <c r="BI44" i="1" s="1"/>
  <c r="BH44" i="1" s="1"/>
  <c r="BF44" i="1"/>
  <c r="BE44" i="1"/>
  <c r="BD44" i="1" s="1"/>
  <c r="BC44" i="1" s="1"/>
  <c r="BK43" i="1"/>
  <c r="BJ43" i="1"/>
  <c r="BI43" i="1" s="1"/>
  <c r="BH43" i="1"/>
  <c r="BE43" i="1"/>
  <c r="BD43" i="1" s="1"/>
  <c r="BC43" i="1" s="1"/>
  <c r="BJ41" i="1"/>
  <c r="BI41" i="1" s="1"/>
  <c r="BH41" i="1" s="1"/>
  <c r="BF41" i="1"/>
  <c r="BE41" i="1"/>
  <c r="BD41" i="1" s="1"/>
  <c r="BC41" i="1"/>
  <c r="BK40" i="1"/>
  <c r="BJ40" i="1"/>
  <c r="BI40" i="1" s="1"/>
  <c r="BH40" i="1" s="1"/>
  <c r="BF40" i="1"/>
  <c r="BE40" i="1"/>
  <c r="BD40" i="1" s="1"/>
  <c r="BC40" i="1" s="1"/>
  <c r="BK39" i="1"/>
  <c r="BJ39" i="1"/>
  <c r="BI39" i="1" s="1"/>
  <c r="BH39" i="1" s="1"/>
  <c r="BE39" i="1"/>
  <c r="BD39" i="1" s="1"/>
  <c r="BC39" i="1" s="1"/>
  <c r="BJ37" i="1"/>
  <c r="BI37" i="1" s="1"/>
  <c r="BH37" i="1"/>
  <c r="BF37" i="1"/>
  <c r="BE37" i="1"/>
  <c r="BD37" i="1" s="1"/>
  <c r="BC37" i="1"/>
  <c r="BK36" i="1"/>
  <c r="BJ36" i="1"/>
  <c r="BI36" i="1" s="1"/>
  <c r="BH36" i="1" s="1"/>
  <c r="BF36" i="1"/>
  <c r="BE36" i="1"/>
  <c r="BD36" i="1" s="1"/>
  <c r="BC36" i="1"/>
  <c r="BK35" i="1"/>
  <c r="BJ35" i="1"/>
  <c r="BI35" i="1" s="1"/>
  <c r="BH35" i="1" s="1"/>
  <c r="BE35" i="1"/>
  <c r="BD35" i="1" s="1"/>
  <c r="BC35" i="1" s="1"/>
  <c r="BJ33" i="1"/>
  <c r="BI33" i="1" s="1"/>
  <c r="BH33" i="1"/>
  <c r="BF33" i="1"/>
  <c r="BE33" i="1"/>
  <c r="BD33" i="1" s="1"/>
  <c r="BC33" i="1"/>
  <c r="BK32" i="1"/>
  <c r="BJ32" i="1"/>
  <c r="BI32" i="1" s="1"/>
  <c r="BH32" i="1" s="1"/>
  <c r="BF32" i="1"/>
  <c r="BE32" i="1"/>
  <c r="BD32" i="1" s="1"/>
  <c r="BC32" i="1"/>
  <c r="BK31" i="1"/>
  <c r="BJ31" i="1"/>
  <c r="BI31" i="1" s="1"/>
  <c r="BH31" i="1"/>
  <c r="BE31" i="1"/>
  <c r="BD31" i="1" s="1"/>
  <c r="BC31" i="1" s="1"/>
  <c r="BJ29" i="1"/>
  <c r="BI29" i="1" s="1"/>
  <c r="BH29" i="1" s="1"/>
  <c r="BF29" i="1"/>
  <c r="BE29" i="1"/>
  <c r="BD29" i="1" s="1"/>
  <c r="BC29" i="1"/>
  <c r="BK28" i="1"/>
  <c r="BJ28" i="1"/>
  <c r="BI28" i="1" s="1"/>
  <c r="BH28" i="1" s="1"/>
  <c r="BF28" i="1"/>
  <c r="BE28" i="1"/>
  <c r="BD28" i="1" s="1"/>
  <c r="BC28" i="1" s="1"/>
  <c r="BK27" i="1"/>
  <c r="BJ27" i="1"/>
  <c r="BI27" i="1" s="1"/>
  <c r="BH27" i="1"/>
  <c r="BE27" i="1"/>
  <c r="BD27" i="1" s="1"/>
  <c r="BC27" i="1" s="1"/>
  <c r="BJ25" i="1"/>
  <c r="BI25" i="1" s="1"/>
  <c r="BH25" i="1" s="1"/>
  <c r="BF25" i="1"/>
  <c r="BE25" i="1"/>
  <c r="BD25" i="1" s="1"/>
  <c r="BC25" i="1"/>
  <c r="BK24" i="1"/>
  <c r="BJ24" i="1"/>
  <c r="BI24" i="1" s="1"/>
  <c r="BH24" i="1" s="1"/>
  <c r="BF24" i="1"/>
  <c r="BE24" i="1"/>
  <c r="BD24" i="1" s="1"/>
  <c r="BC24" i="1" s="1"/>
  <c r="BK23" i="1"/>
  <c r="BJ23" i="1"/>
  <c r="BI23" i="1" s="1"/>
  <c r="BH23" i="1" s="1"/>
  <c r="BE23" i="1"/>
  <c r="BD23" i="1" s="1"/>
  <c r="BC23" i="1" s="1"/>
  <c r="BJ21" i="1"/>
  <c r="BI21" i="1" s="1"/>
  <c r="BH21" i="1"/>
  <c r="BF21" i="1"/>
  <c r="BE21" i="1"/>
  <c r="BD21" i="1" s="1"/>
  <c r="BC21" i="1"/>
  <c r="BK20" i="1"/>
  <c r="BJ20" i="1"/>
  <c r="BI20" i="1" s="1"/>
  <c r="BH20" i="1" s="1"/>
  <c r="BF20" i="1"/>
  <c r="BE20" i="1"/>
  <c r="BD20" i="1" s="1"/>
  <c r="BC20" i="1"/>
  <c r="BK19" i="1"/>
  <c r="BJ19" i="1"/>
  <c r="BI19" i="1" s="1"/>
  <c r="BH19" i="1" s="1"/>
  <c r="BE19" i="1"/>
  <c r="BD19" i="1" s="1"/>
  <c r="BC19" i="1" s="1"/>
  <c r="BJ17" i="1"/>
  <c r="BI17" i="1" s="1"/>
  <c r="BH17" i="1"/>
  <c r="BF17" i="1"/>
  <c r="BE17" i="1"/>
  <c r="BD17" i="1" s="1"/>
  <c r="BC17" i="1"/>
  <c r="BK16" i="1"/>
  <c r="BJ16" i="1"/>
  <c r="BI16" i="1" s="1"/>
  <c r="BH16" i="1" s="1"/>
  <c r="BF16" i="1"/>
  <c r="BE16" i="1"/>
  <c r="BD16" i="1" s="1"/>
  <c r="BC16" i="1"/>
  <c r="BK15" i="1"/>
  <c r="BJ15" i="1"/>
  <c r="BI15" i="1" s="1"/>
  <c r="BH15" i="1"/>
  <c r="BE15" i="1"/>
  <c r="BD15" i="1" s="1"/>
  <c r="BC15" i="1" s="1"/>
  <c r="BJ13" i="1"/>
  <c r="BI13" i="1" s="1"/>
  <c r="BH13" i="1"/>
  <c r="BF13" i="1"/>
  <c r="BE13" i="1"/>
  <c r="BD13" i="1" s="1"/>
  <c r="BC13" i="1"/>
  <c r="BK12" i="1"/>
  <c r="BJ12" i="1"/>
  <c r="BI12" i="1" s="1"/>
  <c r="BH12" i="1" s="1"/>
  <c r="BF12" i="1"/>
  <c r="BE12" i="1"/>
  <c r="BD12" i="1" s="1"/>
  <c r="BC12" i="1"/>
  <c r="BK11" i="1"/>
  <c r="BJ11" i="1"/>
  <c r="BI11" i="1" s="1"/>
  <c r="BH11" i="1"/>
  <c r="BE11" i="1"/>
  <c r="BD11" i="1" s="1"/>
  <c r="BC11" i="1" s="1"/>
  <c r="BJ9" i="1"/>
  <c r="BI9" i="1" s="1"/>
  <c r="BH9" i="1" s="1"/>
  <c r="BF9" i="1"/>
  <c r="BE9" i="1"/>
  <c r="BD9" i="1" s="1"/>
  <c r="BC9" i="1"/>
  <c r="BK8" i="1"/>
  <c r="BJ8" i="1"/>
  <c r="BI8" i="1" s="1"/>
  <c r="BH8" i="1" s="1"/>
  <c r="BF8" i="1"/>
  <c r="BE8" i="1"/>
  <c r="BD8" i="1" s="1"/>
  <c r="BC8" i="1" s="1"/>
  <c r="BK7" i="1"/>
  <c r="BJ7" i="1"/>
  <c r="BI7" i="1" s="1"/>
  <c r="BH7" i="1"/>
  <c r="BE7" i="1"/>
  <c r="BD7" i="1" s="1"/>
  <c r="BC7" i="1" s="1"/>
  <c r="BJ5" i="1"/>
  <c r="BI5" i="1" s="1"/>
  <c r="BH5" i="1"/>
  <c r="BF5" i="1"/>
  <c r="BE5" i="1"/>
  <c r="BD5" i="1" s="1"/>
  <c r="BC5" i="1"/>
  <c r="BK4" i="1"/>
  <c r="BJ4" i="1"/>
  <c r="BI4" i="1" s="1"/>
  <c r="BH4" i="1" s="1"/>
  <c r="BF4" i="1"/>
  <c r="BE4" i="1"/>
  <c r="BD4" i="1" s="1"/>
  <c r="BC4" i="1"/>
  <c r="BU63" i="1"/>
  <c r="BT63" i="1"/>
  <c r="BS63" i="1" s="1"/>
  <c r="BR63" i="1" s="1"/>
  <c r="BP63" i="1"/>
  <c r="BO63" i="1"/>
  <c r="BN63" i="1" s="1"/>
  <c r="BM63" i="1"/>
  <c r="BU62" i="1"/>
  <c r="BT62" i="1"/>
  <c r="BS62" i="1" s="1"/>
  <c r="BR62" i="1" s="1"/>
  <c r="BO62" i="1"/>
  <c r="BN62" i="1" s="1"/>
  <c r="BM62" i="1" s="1"/>
  <c r="BT60" i="1"/>
  <c r="BS60" i="1" s="1"/>
  <c r="BR60" i="1" s="1"/>
  <c r="BP60" i="1"/>
  <c r="BO60" i="1"/>
  <c r="BN60" i="1" s="1"/>
  <c r="BM60" i="1"/>
  <c r="BU59" i="1"/>
  <c r="BT59" i="1"/>
  <c r="BS59" i="1"/>
  <c r="BR59" i="1"/>
  <c r="BQ59" i="1"/>
  <c r="BP59" i="1"/>
  <c r="BO59" i="1"/>
  <c r="BN59" i="1"/>
  <c r="BM59" i="1"/>
  <c r="BU58" i="1"/>
  <c r="BT58" i="1" s="1"/>
  <c r="BS58" i="1"/>
  <c r="BR58" i="1" s="1"/>
  <c r="BP58" i="1"/>
  <c r="BO58" i="1" s="1"/>
  <c r="BN58" i="1" s="1"/>
  <c r="BM58" i="1" s="1"/>
  <c r="BU57" i="1"/>
  <c r="BT57" i="1" s="1"/>
  <c r="BS57" i="1" s="1"/>
  <c r="BR57" i="1" s="1"/>
  <c r="BP57" i="1"/>
  <c r="BO57" i="1" s="1"/>
  <c r="BN57" i="1" s="1"/>
  <c r="BM57" i="1" s="1"/>
  <c r="BU56" i="1"/>
  <c r="BT56" i="1" s="1"/>
  <c r="BS56" i="1"/>
  <c r="BR56" i="1" s="1"/>
  <c r="BP56" i="1"/>
  <c r="BO56" i="1" s="1"/>
  <c r="BN56" i="1" s="1"/>
  <c r="BM56" i="1" s="1"/>
  <c r="BU55" i="1"/>
  <c r="BT55" i="1" s="1"/>
  <c r="BS55" i="1"/>
  <c r="BR55" i="1" s="1"/>
  <c r="BP55" i="1"/>
  <c r="BO55" i="1" s="1"/>
  <c r="BN55" i="1" s="1"/>
  <c r="BM55" i="1" s="1"/>
  <c r="BU54" i="1"/>
  <c r="BT54" i="1" s="1"/>
  <c r="BS54" i="1"/>
  <c r="BR54" i="1" s="1"/>
  <c r="BP54" i="1"/>
  <c r="BO54" i="1" s="1"/>
  <c r="BN54" i="1" s="1"/>
  <c r="BM54" i="1" s="1"/>
  <c r="BU53" i="1"/>
  <c r="BT53" i="1" s="1"/>
  <c r="BS53" i="1" s="1"/>
  <c r="BR53" i="1" s="1"/>
  <c r="BP53" i="1"/>
  <c r="BO53" i="1" s="1"/>
  <c r="BN53" i="1" s="1"/>
  <c r="BM53" i="1" s="1"/>
  <c r="BU52" i="1"/>
  <c r="BT52" i="1" s="1"/>
  <c r="BS52" i="1" s="1"/>
  <c r="BR52" i="1" s="1"/>
  <c r="BP52" i="1"/>
  <c r="BO52" i="1" s="1"/>
  <c r="BN52" i="1"/>
  <c r="BM52" i="1" s="1"/>
  <c r="BU51" i="1"/>
  <c r="BT51" i="1" s="1"/>
  <c r="BS51" i="1" s="1"/>
  <c r="BR51" i="1" s="1"/>
  <c r="BP51" i="1"/>
  <c r="BO51" i="1" s="1"/>
  <c r="BN51" i="1"/>
  <c r="BM51" i="1" s="1"/>
  <c r="BU50" i="1"/>
  <c r="BT50" i="1" s="1"/>
  <c r="BS50" i="1" s="1"/>
  <c r="BR50" i="1" s="1"/>
  <c r="BP50" i="1"/>
  <c r="BO50" i="1" s="1"/>
  <c r="BN50" i="1"/>
  <c r="BM50" i="1" s="1"/>
  <c r="BU49" i="1"/>
  <c r="BT49" i="1" s="1"/>
  <c r="BS49" i="1" s="1"/>
  <c r="BR49" i="1" s="1"/>
  <c r="BP49" i="1"/>
  <c r="BO49" i="1" s="1"/>
  <c r="BN49" i="1"/>
  <c r="BM49" i="1" s="1"/>
  <c r="BU48" i="1"/>
  <c r="BT48" i="1" s="1"/>
  <c r="BS48" i="1" s="1"/>
  <c r="BR48" i="1" s="1"/>
  <c r="BP48" i="1"/>
  <c r="BO48" i="1"/>
  <c r="BN48" i="1"/>
  <c r="BM48" i="1" s="1"/>
  <c r="BU47" i="1"/>
  <c r="BT47" i="1" s="1"/>
  <c r="BS47" i="1" s="1"/>
  <c r="BR47" i="1" s="1"/>
  <c r="BP47" i="1"/>
  <c r="BO47" i="1"/>
  <c r="BN47" i="1" s="1"/>
  <c r="BM47" i="1" s="1"/>
  <c r="BU46" i="1"/>
  <c r="BT46" i="1"/>
  <c r="BS46" i="1"/>
  <c r="BR46" i="1" s="1"/>
  <c r="BP46" i="1"/>
  <c r="BO46" i="1"/>
  <c r="BN46" i="1"/>
  <c r="BM46" i="1" s="1"/>
  <c r="BU45" i="1"/>
  <c r="BT45" i="1" s="1"/>
  <c r="BS45" i="1" s="1"/>
  <c r="BR45" i="1" s="1"/>
  <c r="BP45" i="1"/>
  <c r="BO45" i="1" s="1"/>
  <c r="BN45" i="1" s="1"/>
  <c r="BM45" i="1" s="1"/>
  <c r="BU44" i="1"/>
  <c r="BT44" i="1"/>
  <c r="BS44" i="1"/>
  <c r="BR44" i="1" s="1"/>
  <c r="BP44" i="1"/>
  <c r="BO44" i="1"/>
  <c r="BN44" i="1"/>
  <c r="BM44" i="1" s="1"/>
  <c r="BU43" i="1"/>
  <c r="BT43" i="1" s="1"/>
  <c r="BS43" i="1" s="1"/>
  <c r="BR43" i="1" s="1"/>
  <c r="BP43" i="1"/>
  <c r="BO43" i="1" s="1"/>
  <c r="BN43" i="1" s="1"/>
  <c r="BM43" i="1" s="1"/>
  <c r="BU42" i="1"/>
  <c r="BT42" i="1"/>
  <c r="BS42" i="1" s="1"/>
  <c r="BR42" i="1" s="1"/>
  <c r="BP42" i="1"/>
  <c r="BO42" i="1"/>
  <c r="BN42" i="1"/>
  <c r="BM42" i="1" s="1"/>
  <c r="BU41" i="1"/>
  <c r="BT41" i="1" s="1"/>
  <c r="BS41" i="1" s="1"/>
  <c r="BR41" i="1" s="1"/>
  <c r="BP41" i="1"/>
  <c r="BO41" i="1"/>
  <c r="BN41" i="1" s="1"/>
  <c r="BM41" i="1" s="1"/>
  <c r="BU40" i="1"/>
  <c r="BT40" i="1"/>
  <c r="BS40" i="1" s="1"/>
  <c r="BR40" i="1" s="1"/>
  <c r="BP40" i="1"/>
  <c r="BO40" i="1"/>
  <c r="BN40" i="1"/>
  <c r="BM40" i="1" s="1"/>
  <c r="BU39" i="1"/>
  <c r="BT39" i="1" s="1"/>
  <c r="BS39" i="1" s="1"/>
  <c r="BR39" i="1" s="1"/>
  <c r="BP39" i="1"/>
  <c r="BO39" i="1"/>
  <c r="BN39" i="1" s="1"/>
  <c r="BM39" i="1" s="1"/>
  <c r="BU38" i="1"/>
  <c r="BT38" i="1"/>
  <c r="BS38" i="1"/>
  <c r="BR38" i="1" s="1"/>
  <c r="BP38" i="1"/>
  <c r="BO38" i="1"/>
  <c r="BN38" i="1"/>
  <c r="BM38" i="1" s="1"/>
  <c r="BU37" i="1"/>
  <c r="BT37" i="1" s="1"/>
  <c r="BS37" i="1" s="1"/>
  <c r="BR37" i="1" s="1"/>
  <c r="BP37" i="1"/>
  <c r="BO37" i="1" s="1"/>
  <c r="BN37" i="1" s="1"/>
  <c r="BM37" i="1" s="1"/>
  <c r="BU36" i="1"/>
  <c r="BT36" i="1"/>
  <c r="BS36" i="1"/>
  <c r="BR36" i="1" s="1"/>
  <c r="BN36" i="1"/>
  <c r="BM36" i="1" s="1"/>
  <c r="BU35" i="1"/>
  <c r="BT35" i="1" s="1"/>
  <c r="BS35" i="1" s="1"/>
  <c r="BR35" i="1" s="1"/>
  <c r="BP35" i="1"/>
  <c r="BO35" i="1"/>
  <c r="BN35" i="1" s="1"/>
  <c r="BM35" i="1" s="1"/>
  <c r="BU34" i="1"/>
  <c r="BT34" i="1"/>
  <c r="BS34" i="1"/>
  <c r="BR34" i="1" s="1"/>
  <c r="BP34" i="1"/>
  <c r="BO34" i="1"/>
  <c r="BN34" i="1"/>
  <c r="BM34" i="1" s="1"/>
  <c r="BU33" i="1"/>
  <c r="BT33" i="1" s="1"/>
  <c r="BS33" i="1" s="1"/>
  <c r="BR33" i="1" s="1"/>
  <c r="BP33" i="1"/>
  <c r="BO33" i="1" s="1"/>
  <c r="BN33" i="1" s="1"/>
  <c r="BM33" i="1" s="1"/>
  <c r="BU32" i="1"/>
  <c r="BT32" i="1"/>
  <c r="BS32" i="1"/>
  <c r="BR32" i="1" s="1"/>
  <c r="BN32" i="1"/>
  <c r="BM32" i="1" s="1"/>
  <c r="BU31" i="1"/>
  <c r="BT31" i="1" s="1"/>
  <c r="BS31" i="1" s="1"/>
  <c r="BR31" i="1" s="1"/>
  <c r="BP31" i="1"/>
  <c r="BO31" i="1"/>
  <c r="BN31" i="1" s="1"/>
  <c r="BM31" i="1" s="1"/>
  <c r="BU30" i="1"/>
  <c r="BT30" i="1" s="1"/>
  <c r="BS30" i="1" s="1"/>
  <c r="BR30" i="1" s="1"/>
  <c r="BP30" i="1"/>
  <c r="BO30" i="1"/>
  <c r="BN30" i="1" s="1"/>
  <c r="BM30" i="1" s="1"/>
  <c r="BU29" i="1"/>
  <c r="BT29" i="1" s="1"/>
  <c r="BS29" i="1" s="1"/>
  <c r="BR29" i="1" s="1"/>
  <c r="BP29" i="1"/>
  <c r="BO29" i="1"/>
  <c r="BN29" i="1" s="1"/>
  <c r="BM29" i="1" s="1"/>
  <c r="BU28" i="1"/>
  <c r="BT28" i="1" s="1"/>
  <c r="BS28" i="1" s="1"/>
  <c r="BR28" i="1" s="1"/>
  <c r="BP28" i="1"/>
  <c r="BO28" i="1"/>
  <c r="BN28" i="1" s="1"/>
  <c r="BM28" i="1" s="1"/>
  <c r="BU27" i="1"/>
  <c r="BT27" i="1" s="1"/>
  <c r="BS27" i="1" s="1"/>
  <c r="BR27" i="1" s="1"/>
  <c r="BP27" i="1"/>
  <c r="BO27" i="1"/>
  <c r="BN27" i="1" s="1"/>
  <c r="BM27" i="1" s="1"/>
  <c r="BU26" i="1"/>
  <c r="BT26" i="1" s="1"/>
  <c r="BS26" i="1" s="1"/>
  <c r="BR26" i="1" s="1"/>
  <c r="BP26" i="1"/>
  <c r="BO26" i="1"/>
  <c r="BN26" i="1" s="1"/>
  <c r="BM26" i="1" s="1"/>
  <c r="BU25" i="1"/>
  <c r="BT25" i="1" s="1"/>
  <c r="BS25" i="1" s="1"/>
  <c r="BR25" i="1" s="1"/>
  <c r="BP25" i="1"/>
  <c r="BO25" i="1"/>
  <c r="BN25" i="1" s="1"/>
  <c r="BM25" i="1" s="1"/>
  <c r="BU24" i="1"/>
  <c r="BT24" i="1" s="1"/>
  <c r="BS24" i="1" s="1"/>
  <c r="BR24" i="1" s="1"/>
  <c r="BP24" i="1"/>
  <c r="BO24" i="1"/>
  <c r="BN24" i="1" s="1"/>
  <c r="BM24" i="1" s="1"/>
  <c r="BU23" i="1"/>
  <c r="BT23" i="1" s="1"/>
  <c r="BS23" i="1" s="1"/>
  <c r="BR23" i="1" s="1"/>
  <c r="BP23" i="1"/>
  <c r="BO23" i="1"/>
  <c r="BN23" i="1" s="1"/>
  <c r="BM23" i="1" s="1"/>
  <c r="BU22" i="1"/>
  <c r="BT22" i="1" s="1"/>
  <c r="BS22" i="1" s="1"/>
  <c r="BR22" i="1" s="1"/>
  <c r="BP22" i="1"/>
  <c r="BO22" i="1"/>
  <c r="BN22" i="1" s="1"/>
  <c r="BM22" i="1" s="1"/>
  <c r="BU21" i="1"/>
  <c r="BT21" i="1" s="1"/>
  <c r="BS21" i="1" s="1"/>
  <c r="BR21" i="1" s="1"/>
  <c r="BP21" i="1"/>
  <c r="BO21" i="1"/>
  <c r="BN21" i="1" s="1"/>
  <c r="BM21" i="1" s="1"/>
  <c r="BU20" i="1"/>
  <c r="BT20" i="1" s="1"/>
  <c r="BS20" i="1" s="1"/>
  <c r="BR20" i="1" s="1"/>
  <c r="BP20" i="1"/>
  <c r="BO20" i="1"/>
  <c r="BN20" i="1" s="1"/>
  <c r="BM20" i="1" s="1"/>
  <c r="BU19" i="1"/>
  <c r="BT19" i="1" s="1"/>
  <c r="BS19" i="1" s="1"/>
  <c r="BR19" i="1" s="1"/>
  <c r="BP19" i="1"/>
  <c r="BO19" i="1"/>
  <c r="BN19" i="1" s="1"/>
  <c r="BM19" i="1" s="1"/>
  <c r="BU18" i="1"/>
  <c r="BT18" i="1" s="1"/>
  <c r="BS18" i="1" s="1"/>
  <c r="BR18" i="1" s="1"/>
  <c r="BP18" i="1"/>
  <c r="BO18" i="1"/>
  <c r="BN18" i="1" s="1"/>
  <c r="BM18" i="1" s="1"/>
  <c r="BU17" i="1"/>
  <c r="BT17" i="1" s="1"/>
  <c r="BS17" i="1" s="1"/>
  <c r="BR17" i="1" s="1"/>
  <c r="BP17" i="1"/>
  <c r="BO17" i="1"/>
  <c r="BN17" i="1" s="1"/>
  <c r="BM17" i="1" s="1"/>
  <c r="BU16" i="1"/>
  <c r="BT16" i="1" s="1"/>
  <c r="BS16" i="1" s="1"/>
  <c r="BR16" i="1" s="1"/>
  <c r="BP16" i="1"/>
  <c r="BO16" i="1"/>
  <c r="BN16" i="1" s="1"/>
  <c r="BM16" i="1" s="1"/>
  <c r="BU15" i="1"/>
  <c r="BT15" i="1" s="1"/>
  <c r="BS15" i="1" s="1"/>
  <c r="BR15" i="1" s="1"/>
  <c r="BP15" i="1"/>
  <c r="BO15" i="1"/>
  <c r="BN15" i="1" s="1"/>
  <c r="BM15" i="1" s="1"/>
  <c r="BU14" i="1"/>
  <c r="BT14" i="1" s="1"/>
  <c r="BS14" i="1" s="1"/>
  <c r="BR14" i="1" s="1"/>
  <c r="BP14" i="1"/>
  <c r="BO14" i="1"/>
  <c r="BN14" i="1" s="1"/>
  <c r="BM14" i="1" s="1"/>
  <c r="BU13" i="1"/>
  <c r="BT13" i="1" s="1"/>
  <c r="BS13" i="1" s="1"/>
  <c r="BR13" i="1" s="1"/>
  <c r="BP13" i="1"/>
  <c r="BO13" i="1"/>
  <c r="BN13" i="1" s="1"/>
  <c r="BM13" i="1" s="1"/>
  <c r="BU12" i="1"/>
  <c r="BT12" i="1" s="1"/>
  <c r="BS12" i="1" s="1"/>
  <c r="BR12" i="1" s="1"/>
  <c r="BP12" i="1"/>
  <c r="BO12" i="1"/>
  <c r="BN12" i="1" s="1"/>
  <c r="BM12" i="1" s="1"/>
  <c r="BU11" i="1"/>
  <c r="BT11" i="1" s="1"/>
  <c r="BS11" i="1" s="1"/>
  <c r="BR11" i="1" s="1"/>
  <c r="BP11" i="1"/>
  <c r="BO11" i="1"/>
  <c r="BN11" i="1" s="1"/>
  <c r="BM11" i="1" s="1"/>
  <c r="BU10" i="1"/>
  <c r="BT10" i="1" s="1"/>
  <c r="BS10" i="1" s="1"/>
  <c r="BR10" i="1" s="1"/>
  <c r="BP10" i="1"/>
  <c r="BO10" i="1"/>
  <c r="BN10" i="1" s="1"/>
  <c r="BM10" i="1" s="1"/>
  <c r="BU9" i="1"/>
  <c r="BT9" i="1" s="1"/>
  <c r="BS9" i="1" s="1"/>
  <c r="BR9" i="1" s="1"/>
  <c r="BP9" i="1"/>
  <c r="BO9" i="1"/>
  <c r="BN9" i="1" s="1"/>
  <c r="BM9" i="1" s="1"/>
  <c r="BU8" i="1"/>
  <c r="BT8" i="1" s="1"/>
  <c r="BS8" i="1" s="1"/>
  <c r="BR8" i="1" s="1"/>
  <c r="BP8" i="1"/>
  <c r="BO8" i="1"/>
  <c r="BN8" i="1" s="1"/>
  <c r="BM8" i="1" s="1"/>
  <c r="BU7" i="1"/>
  <c r="BT7" i="1" s="1"/>
  <c r="BS7" i="1" s="1"/>
  <c r="BR7" i="1" s="1"/>
  <c r="BP7" i="1"/>
  <c r="BO7" i="1"/>
  <c r="BN7" i="1" s="1"/>
  <c r="BM7" i="1" s="1"/>
  <c r="BU6" i="1"/>
  <c r="BT6" i="1" s="1"/>
  <c r="BS6" i="1" s="1"/>
  <c r="BR6" i="1" s="1"/>
  <c r="BP6" i="1"/>
  <c r="BO6" i="1"/>
  <c r="BN6" i="1" s="1"/>
  <c r="BM6" i="1" s="1"/>
  <c r="BU5" i="1"/>
  <c r="BT5" i="1" s="1"/>
  <c r="BS5" i="1" s="1"/>
  <c r="BR5" i="1" s="1"/>
  <c r="BP5" i="1"/>
  <c r="BO5" i="1"/>
  <c r="BN5" i="1" s="1"/>
  <c r="BM5" i="1" s="1"/>
  <c r="BU4" i="1"/>
  <c r="BT4" i="1" s="1"/>
  <c r="BP4" i="1"/>
  <c r="BO4" i="1"/>
  <c r="BN4" i="1" s="1"/>
  <c r="BM4" i="1" s="1"/>
  <c r="CF63" i="1"/>
  <c r="CE63" i="1" s="1"/>
  <c r="CD63" i="1" s="1"/>
  <c r="CC63" i="1" s="1"/>
  <c r="CB63" i="1" s="1"/>
  <c r="BZ63" i="1"/>
  <c r="BY63" i="1" s="1"/>
  <c r="BX63" i="1" s="1"/>
  <c r="BW63" i="1" s="1"/>
  <c r="CF62" i="1"/>
  <c r="CE62" i="1" s="1"/>
  <c r="CD62" i="1" s="1"/>
  <c r="CC62" i="1" s="1"/>
  <c r="CB62" i="1" s="1"/>
  <c r="BZ62" i="1"/>
  <c r="BY62" i="1"/>
  <c r="BX62" i="1"/>
  <c r="BW62" i="1"/>
  <c r="CF61" i="1"/>
  <c r="CE61" i="1"/>
  <c r="CD61" i="1"/>
  <c r="CC61" i="1"/>
  <c r="CB61" i="1" s="1"/>
  <c r="BZ61" i="1"/>
  <c r="BY61" i="1"/>
  <c r="BX61" i="1" s="1"/>
  <c r="BW61" i="1" s="1"/>
  <c r="CF60" i="1"/>
  <c r="CE60" i="1"/>
  <c r="CD60" i="1" s="1"/>
  <c r="CC60" i="1" s="1"/>
  <c r="CB60" i="1" s="1"/>
  <c r="BZ60" i="1"/>
  <c r="BY60" i="1"/>
  <c r="BX60" i="1" s="1"/>
  <c r="BW60" i="1" s="1"/>
  <c r="CE59" i="1"/>
  <c r="CD59" i="1"/>
  <c r="CC59" i="1"/>
  <c r="CB59" i="1"/>
  <c r="CA59" i="1"/>
  <c r="CA64" i="1" s="1"/>
  <c r="CA65" i="1" s="1"/>
  <c r="BZ59" i="1"/>
  <c r="BZ64" i="1" s="1"/>
  <c r="BZ65" i="1" s="1"/>
  <c r="BY59" i="1"/>
  <c r="BX59" i="1"/>
  <c r="BW59" i="1"/>
  <c r="CF58" i="1"/>
  <c r="CE58" i="1" s="1"/>
  <c r="CD58" i="1" s="1"/>
  <c r="CC58" i="1" s="1"/>
  <c r="CB58" i="1" s="1"/>
  <c r="BX58" i="1"/>
  <c r="BW58" i="1" s="1"/>
  <c r="CF57" i="1"/>
  <c r="CE57" i="1"/>
  <c r="CD57" i="1"/>
  <c r="CC57" i="1" s="1"/>
  <c r="CB57" i="1" s="1"/>
  <c r="BZ57" i="1"/>
  <c r="BY57" i="1"/>
  <c r="BX57" i="1" s="1"/>
  <c r="BW57" i="1" s="1"/>
  <c r="CF56" i="1"/>
  <c r="CE56" i="1"/>
  <c r="CD56" i="1"/>
  <c r="CC56" i="1" s="1"/>
  <c r="CB56" i="1" s="1"/>
  <c r="BZ56" i="1"/>
  <c r="BY56" i="1" s="1"/>
  <c r="BX56" i="1" s="1"/>
  <c r="BW56" i="1" s="1"/>
  <c r="CF55" i="1"/>
  <c r="CE55" i="1"/>
  <c r="CD55" i="1" s="1"/>
  <c r="CC55" i="1" s="1"/>
  <c r="CB55" i="1" s="1"/>
  <c r="BZ55" i="1"/>
  <c r="BY55" i="1" s="1"/>
  <c r="BX55" i="1" s="1"/>
  <c r="BW55" i="1" s="1"/>
  <c r="CF54" i="1"/>
  <c r="CE54" i="1" s="1"/>
  <c r="CD54" i="1" s="1"/>
  <c r="CC54" i="1" s="1"/>
  <c r="CB54" i="1" s="1"/>
  <c r="BX54" i="1"/>
  <c r="BW54" i="1"/>
  <c r="CF53" i="1"/>
  <c r="CE53" i="1"/>
  <c r="CD53" i="1"/>
  <c r="CC53" i="1"/>
  <c r="CB53" i="1" s="1"/>
  <c r="BZ53" i="1"/>
  <c r="BY53" i="1"/>
  <c r="BX53" i="1" s="1"/>
  <c r="BW53" i="1" s="1"/>
  <c r="CF52" i="1"/>
  <c r="CE52" i="1"/>
  <c r="CD52" i="1" s="1"/>
  <c r="CC52" i="1" s="1"/>
  <c r="CB52" i="1" s="1"/>
  <c r="BZ52" i="1"/>
  <c r="BY52" i="1"/>
  <c r="BX52" i="1" s="1"/>
  <c r="BW52" i="1" s="1"/>
  <c r="CF51" i="1"/>
  <c r="CE51" i="1" s="1"/>
  <c r="CD51" i="1" s="1"/>
  <c r="CC51" i="1" s="1"/>
  <c r="CB51" i="1" s="1"/>
  <c r="BZ51" i="1"/>
  <c r="BY51" i="1" s="1"/>
  <c r="BX51" i="1" s="1"/>
  <c r="BW51" i="1" s="1"/>
  <c r="CF50" i="1"/>
  <c r="CE50" i="1" s="1"/>
  <c r="CD50" i="1" s="1"/>
  <c r="CC50" i="1" s="1"/>
  <c r="CB50" i="1" s="1"/>
  <c r="BX50" i="1"/>
  <c r="BW50" i="1" s="1"/>
  <c r="CF49" i="1"/>
  <c r="CE49" i="1"/>
  <c r="CD49" i="1"/>
  <c r="CC49" i="1" s="1"/>
  <c r="CB49" i="1" s="1"/>
  <c r="BZ49" i="1"/>
  <c r="BY49" i="1"/>
  <c r="BX49" i="1" s="1"/>
  <c r="BW49" i="1" s="1"/>
  <c r="CF48" i="1"/>
  <c r="CE48" i="1"/>
  <c r="CD48" i="1"/>
  <c r="CC48" i="1" s="1"/>
  <c r="CB48" i="1" s="1"/>
  <c r="BZ48" i="1"/>
  <c r="BY48" i="1" s="1"/>
  <c r="BX48" i="1" s="1"/>
  <c r="BW48" i="1" s="1"/>
  <c r="CF47" i="1"/>
  <c r="CE47" i="1"/>
  <c r="CD47" i="1" s="1"/>
  <c r="CC47" i="1" s="1"/>
  <c r="CB47" i="1" s="1"/>
  <c r="BZ47" i="1"/>
  <c r="BY47" i="1" s="1"/>
  <c r="BX47" i="1" s="1"/>
  <c r="BW47" i="1" s="1"/>
  <c r="CF46" i="1"/>
  <c r="CE46" i="1" s="1"/>
  <c r="CD46" i="1" s="1"/>
  <c r="CC46" i="1" s="1"/>
  <c r="CB46" i="1" s="1"/>
  <c r="BX46" i="1"/>
  <c r="BW46" i="1"/>
  <c r="CF45" i="1"/>
  <c r="CE45" i="1"/>
  <c r="CD45" i="1"/>
  <c r="CC45" i="1"/>
  <c r="CB45" i="1" s="1"/>
  <c r="BZ45" i="1"/>
  <c r="BY45" i="1"/>
  <c r="BX45" i="1" s="1"/>
  <c r="BW45" i="1" s="1"/>
  <c r="CF44" i="1"/>
  <c r="CE44" i="1"/>
  <c r="CD44" i="1" s="1"/>
  <c r="CC44" i="1" s="1"/>
  <c r="CB44" i="1" s="1"/>
  <c r="BZ44" i="1"/>
  <c r="BY44" i="1"/>
  <c r="BX44" i="1" s="1"/>
  <c r="BW44" i="1" s="1"/>
  <c r="CF43" i="1"/>
  <c r="CE43" i="1" s="1"/>
  <c r="CD43" i="1" s="1"/>
  <c r="CC43" i="1" s="1"/>
  <c r="CB43" i="1" s="1"/>
  <c r="BZ43" i="1"/>
  <c r="BY43" i="1" s="1"/>
  <c r="BX43" i="1" s="1"/>
  <c r="BW43" i="1" s="1"/>
  <c r="CF42" i="1"/>
  <c r="CE42" i="1" s="1"/>
  <c r="CD42" i="1" s="1"/>
  <c r="CC42" i="1" s="1"/>
  <c r="CB42" i="1" s="1"/>
  <c r="BX42" i="1"/>
  <c r="BW42" i="1" s="1"/>
  <c r="CF41" i="1"/>
  <c r="CE41" i="1"/>
  <c r="CD41" i="1"/>
  <c r="CC41" i="1" s="1"/>
  <c r="CB41" i="1" s="1"/>
  <c r="BZ41" i="1"/>
  <c r="BY41" i="1"/>
  <c r="BX41" i="1" s="1"/>
  <c r="BW41" i="1" s="1"/>
  <c r="CF40" i="1"/>
  <c r="CE40" i="1"/>
  <c r="CD40" i="1"/>
  <c r="CC40" i="1" s="1"/>
  <c r="CB40" i="1" s="1"/>
  <c r="BZ40" i="1"/>
  <c r="BY40" i="1" s="1"/>
  <c r="BX40" i="1" s="1"/>
  <c r="BW40" i="1" s="1"/>
  <c r="CF39" i="1"/>
  <c r="CE39" i="1"/>
  <c r="CD39" i="1" s="1"/>
  <c r="CC39" i="1" s="1"/>
  <c r="CB39" i="1" s="1"/>
  <c r="BZ39" i="1"/>
  <c r="BY39" i="1" s="1"/>
  <c r="BX39" i="1" s="1"/>
  <c r="BW39" i="1" s="1"/>
  <c r="CF38" i="1"/>
  <c r="CE38" i="1" s="1"/>
  <c r="CD38" i="1" s="1"/>
  <c r="CC38" i="1" s="1"/>
  <c r="CB38" i="1" s="1"/>
  <c r="BX38" i="1"/>
  <c r="BW38" i="1"/>
  <c r="CF37" i="1"/>
  <c r="CE37" i="1"/>
  <c r="CD37" i="1"/>
  <c r="CC37" i="1"/>
  <c r="CB37" i="1" s="1"/>
  <c r="BZ37" i="1"/>
  <c r="BY37" i="1"/>
  <c r="BX37" i="1" s="1"/>
  <c r="BW37" i="1" s="1"/>
  <c r="CF36" i="1"/>
  <c r="CE36" i="1"/>
  <c r="CD36" i="1" s="1"/>
  <c r="CC36" i="1" s="1"/>
  <c r="CB36" i="1" s="1"/>
  <c r="BZ36" i="1"/>
  <c r="BY36" i="1"/>
  <c r="BX36" i="1" s="1"/>
  <c r="BW36" i="1" s="1"/>
  <c r="CF35" i="1"/>
  <c r="CE35" i="1" s="1"/>
  <c r="CD35" i="1" s="1"/>
  <c r="CC35" i="1" s="1"/>
  <c r="CB35" i="1" s="1"/>
  <c r="BZ35" i="1"/>
  <c r="BY35" i="1" s="1"/>
  <c r="BX35" i="1" s="1"/>
  <c r="BW35" i="1" s="1"/>
  <c r="CF34" i="1"/>
  <c r="CE34" i="1" s="1"/>
  <c r="CD34" i="1" s="1"/>
  <c r="CC34" i="1" s="1"/>
  <c r="CB34" i="1" s="1"/>
  <c r="BX34" i="1"/>
  <c r="BW34" i="1" s="1"/>
  <c r="CF33" i="1"/>
  <c r="CE33" i="1"/>
  <c r="CD33" i="1"/>
  <c r="CC33" i="1" s="1"/>
  <c r="CB33" i="1" s="1"/>
  <c r="BZ33" i="1"/>
  <c r="BY33" i="1"/>
  <c r="BX33" i="1" s="1"/>
  <c r="BW33" i="1" s="1"/>
  <c r="CF32" i="1"/>
  <c r="CE32" i="1"/>
  <c r="CD32" i="1"/>
  <c r="CC32" i="1" s="1"/>
  <c r="CB32" i="1" s="1"/>
  <c r="BZ32" i="1"/>
  <c r="BY32" i="1" s="1"/>
  <c r="BX32" i="1" s="1"/>
  <c r="BW32" i="1" s="1"/>
  <c r="CF31" i="1"/>
  <c r="CE31" i="1"/>
  <c r="CD31" i="1" s="1"/>
  <c r="CC31" i="1" s="1"/>
  <c r="CB31" i="1" s="1"/>
  <c r="BZ31" i="1"/>
  <c r="BY31" i="1" s="1"/>
  <c r="BX31" i="1" s="1"/>
  <c r="BW31" i="1" s="1"/>
  <c r="CF30" i="1"/>
  <c r="CE30" i="1" s="1"/>
  <c r="CD30" i="1" s="1"/>
  <c r="CC30" i="1" s="1"/>
  <c r="CB30" i="1" s="1"/>
  <c r="BX30" i="1"/>
  <c r="BW30" i="1"/>
  <c r="CF29" i="1"/>
  <c r="CE29" i="1"/>
  <c r="CD29" i="1"/>
  <c r="CC29" i="1"/>
  <c r="CB29" i="1" s="1"/>
  <c r="BZ29" i="1"/>
  <c r="BY29" i="1"/>
  <c r="BX29" i="1" s="1"/>
  <c r="BW29" i="1" s="1"/>
  <c r="CF28" i="1"/>
  <c r="CE28" i="1"/>
  <c r="CD28" i="1" s="1"/>
  <c r="CC28" i="1" s="1"/>
  <c r="CB28" i="1" s="1"/>
  <c r="BZ28" i="1"/>
  <c r="BY28" i="1"/>
  <c r="BX28" i="1" s="1"/>
  <c r="BW28" i="1" s="1"/>
  <c r="CF27" i="1"/>
  <c r="CE27" i="1" s="1"/>
  <c r="CD27" i="1" s="1"/>
  <c r="CC27" i="1" s="1"/>
  <c r="CB27" i="1" s="1"/>
  <c r="BZ27" i="1"/>
  <c r="BY27" i="1" s="1"/>
  <c r="BX27" i="1" s="1"/>
  <c r="BW27" i="1" s="1"/>
  <c r="CF26" i="1"/>
  <c r="CE26" i="1" s="1"/>
  <c r="CD26" i="1" s="1"/>
  <c r="CC26" i="1" s="1"/>
  <c r="CB26" i="1" s="1"/>
  <c r="BX26" i="1"/>
  <c r="BW26" i="1" s="1"/>
  <c r="CF25" i="1"/>
  <c r="CE25" i="1"/>
  <c r="CD25" i="1"/>
  <c r="CC25" i="1" s="1"/>
  <c r="CB25" i="1" s="1"/>
  <c r="BZ25" i="1"/>
  <c r="BY25" i="1"/>
  <c r="BX25" i="1" s="1"/>
  <c r="BW25" i="1" s="1"/>
  <c r="CF24" i="1"/>
  <c r="CE24" i="1"/>
  <c r="CD24" i="1"/>
  <c r="CC24" i="1" s="1"/>
  <c r="CB24" i="1" s="1"/>
  <c r="BZ24" i="1"/>
  <c r="BY24" i="1" s="1"/>
  <c r="BX24" i="1" s="1"/>
  <c r="BW24" i="1" s="1"/>
  <c r="CF23" i="1"/>
  <c r="CE23" i="1"/>
  <c r="CD23" i="1" s="1"/>
  <c r="CC23" i="1" s="1"/>
  <c r="CB23" i="1" s="1"/>
  <c r="BZ23" i="1"/>
  <c r="BY23" i="1" s="1"/>
  <c r="BX23" i="1" s="1"/>
  <c r="BW23" i="1" s="1"/>
  <c r="CF22" i="1"/>
  <c r="CE22" i="1" s="1"/>
  <c r="CD22" i="1" s="1"/>
  <c r="CC22" i="1" s="1"/>
  <c r="CB22" i="1" s="1"/>
  <c r="BX22" i="1"/>
  <c r="BW22" i="1"/>
  <c r="CF21" i="1"/>
  <c r="CE21" i="1"/>
  <c r="CD21" i="1"/>
  <c r="CC21" i="1"/>
  <c r="CB21" i="1" s="1"/>
  <c r="BZ21" i="1"/>
  <c r="BY21" i="1"/>
  <c r="BX21" i="1" s="1"/>
  <c r="BW21" i="1" s="1"/>
  <c r="CF20" i="1"/>
  <c r="CE20" i="1"/>
  <c r="CD20" i="1" s="1"/>
  <c r="CC20" i="1" s="1"/>
  <c r="CB20" i="1" s="1"/>
  <c r="BZ20" i="1"/>
  <c r="BY20" i="1"/>
  <c r="BX20" i="1" s="1"/>
  <c r="BW20" i="1" s="1"/>
  <c r="CF19" i="1"/>
  <c r="CE19" i="1" s="1"/>
  <c r="CD19" i="1" s="1"/>
  <c r="CC19" i="1" s="1"/>
  <c r="CB19" i="1" s="1"/>
  <c r="BZ19" i="1"/>
  <c r="BY19" i="1" s="1"/>
  <c r="BX19" i="1" s="1"/>
  <c r="BW19" i="1" s="1"/>
  <c r="CF18" i="1"/>
  <c r="CE18" i="1" s="1"/>
  <c r="CD18" i="1" s="1"/>
  <c r="CC18" i="1" s="1"/>
  <c r="CB18" i="1" s="1"/>
  <c r="BX18" i="1"/>
  <c r="BW18" i="1" s="1"/>
  <c r="CF17" i="1"/>
  <c r="CE17" i="1"/>
  <c r="CD17" i="1"/>
  <c r="CC17" i="1" s="1"/>
  <c r="CB17" i="1" s="1"/>
  <c r="BZ17" i="1"/>
  <c r="BY17" i="1"/>
  <c r="BX17" i="1" s="1"/>
  <c r="BW17" i="1" s="1"/>
  <c r="CF16" i="1"/>
  <c r="CE16" i="1"/>
  <c r="CD16" i="1"/>
  <c r="CC16" i="1" s="1"/>
  <c r="CB16" i="1" s="1"/>
  <c r="BZ16" i="1"/>
  <c r="BY16" i="1" s="1"/>
  <c r="BX16" i="1" s="1"/>
  <c r="BW16" i="1" s="1"/>
  <c r="CF15" i="1"/>
  <c r="CE15" i="1"/>
  <c r="CD15" i="1" s="1"/>
  <c r="CC15" i="1" s="1"/>
  <c r="CB15" i="1" s="1"/>
  <c r="BZ15" i="1"/>
  <c r="BY15" i="1" s="1"/>
  <c r="BX15" i="1" s="1"/>
  <c r="BW15" i="1" s="1"/>
  <c r="CF14" i="1"/>
  <c r="CE14" i="1" s="1"/>
  <c r="CD14" i="1" s="1"/>
  <c r="CC14" i="1" s="1"/>
  <c r="CB14" i="1" s="1"/>
  <c r="BX14" i="1"/>
  <c r="BW14" i="1"/>
  <c r="CF13" i="1"/>
  <c r="CE13" i="1"/>
  <c r="CD13" i="1"/>
  <c r="CC13" i="1"/>
  <c r="CB13" i="1" s="1"/>
  <c r="BZ13" i="1"/>
  <c r="BY13" i="1"/>
  <c r="BX13" i="1" s="1"/>
  <c r="BW13" i="1" s="1"/>
  <c r="CF12" i="1"/>
  <c r="CE12" i="1"/>
  <c r="CD12" i="1" s="1"/>
  <c r="CC12" i="1" s="1"/>
  <c r="CB12" i="1" s="1"/>
  <c r="BZ12" i="1"/>
  <c r="BY12" i="1"/>
  <c r="BX12" i="1" s="1"/>
  <c r="BW12" i="1" s="1"/>
  <c r="CF11" i="1"/>
  <c r="CE11" i="1" s="1"/>
  <c r="BZ11" i="1"/>
  <c r="BY11" i="1" s="1"/>
  <c r="BX11" i="1" s="1"/>
  <c r="BW11" i="1" s="1"/>
  <c r="CF10" i="1"/>
  <c r="CE10" i="1" s="1"/>
  <c r="CD10" i="1" s="1"/>
  <c r="CC10" i="1" s="1"/>
  <c r="CB10" i="1" s="1"/>
  <c r="BX10" i="1"/>
  <c r="BW10" i="1" s="1"/>
  <c r="CF9" i="1"/>
  <c r="CE9" i="1"/>
  <c r="CD9" i="1"/>
  <c r="CC9" i="1" s="1"/>
  <c r="CB9" i="1" s="1"/>
  <c r="BZ9" i="1"/>
  <c r="BY9" i="1"/>
  <c r="BX9" i="1" s="1"/>
  <c r="BW9" i="1" s="1"/>
  <c r="CF8" i="1"/>
  <c r="CE8" i="1"/>
  <c r="CD8" i="1"/>
  <c r="CC8" i="1" s="1"/>
  <c r="CB8" i="1" s="1"/>
  <c r="BZ8" i="1"/>
  <c r="BY8" i="1" s="1"/>
  <c r="CF7" i="1"/>
  <c r="CE7" i="1"/>
  <c r="CD7" i="1" s="1"/>
  <c r="CC7" i="1" s="1"/>
  <c r="CB7" i="1" s="1"/>
  <c r="BZ7" i="1"/>
  <c r="BY7" i="1" s="1"/>
  <c r="BX7" i="1" s="1"/>
  <c r="BW7" i="1" s="1"/>
  <c r="CF6" i="1"/>
  <c r="CE6" i="1" s="1"/>
  <c r="CD6" i="1" s="1"/>
  <c r="CC6" i="1" s="1"/>
  <c r="CB6" i="1" s="1"/>
  <c r="BX6" i="1"/>
  <c r="BW6" i="1"/>
  <c r="CF5" i="1"/>
  <c r="CE5" i="1"/>
  <c r="CD5" i="1"/>
  <c r="CC5" i="1"/>
  <c r="CB5" i="1" s="1"/>
  <c r="BZ5" i="1"/>
  <c r="BY5" i="1"/>
  <c r="BX5" i="1" s="1"/>
  <c r="CF4" i="1"/>
  <c r="CE4" i="1"/>
  <c r="CD4" i="1" s="1"/>
  <c r="BZ4" i="1"/>
  <c r="BY4" i="1"/>
  <c r="BX4" i="1" s="1"/>
  <c r="BW4" i="1" s="1"/>
  <c r="CK63" i="1"/>
  <c r="CJ63" i="1" s="1"/>
  <c r="CI63" i="1" s="1"/>
  <c r="CH63" i="1" s="1"/>
  <c r="CG63" i="1" s="1"/>
  <c r="CK62" i="1"/>
  <c r="CJ62" i="1" s="1"/>
  <c r="CI62" i="1" s="1"/>
  <c r="CH62" i="1" s="1"/>
  <c r="CG62" i="1" s="1"/>
  <c r="CK61" i="1"/>
  <c r="CJ61" i="1"/>
  <c r="CI61" i="1"/>
  <c r="CH61" i="1" s="1"/>
  <c r="CG61" i="1" s="1"/>
  <c r="CK60" i="1"/>
  <c r="CJ60" i="1"/>
  <c r="CI60" i="1" s="1"/>
  <c r="CH60" i="1" s="1"/>
  <c r="CG60" i="1" s="1"/>
  <c r="CJ59" i="1"/>
  <c r="CI59" i="1"/>
  <c r="CH59" i="1"/>
  <c r="CG59" i="1"/>
  <c r="CK58" i="1"/>
  <c r="CJ58" i="1" s="1"/>
  <c r="CI58" i="1" s="1"/>
  <c r="CH58" i="1" s="1"/>
  <c r="CG58" i="1" s="1"/>
  <c r="CK57" i="1"/>
  <c r="CJ57" i="1" s="1"/>
  <c r="CI57" i="1" s="1"/>
  <c r="CH57" i="1" s="1"/>
  <c r="CG57" i="1" s="1"/>
  <c r="CK56" i="1"/>
  <c r="CJ56" i="1"/>
  <c r="CI56" i="1"/>
  <c r="CH56" i="1" s="1"/>
  <c r="CG56" i="1" s="1"/>
  <c r="CK55" i="1"/>
  <c r="CJ55" i="1"/>
  <c r="CI55" i="1" s="1"/>
  <c r="CH55" i="1" s="1"/>
  <c r="CG55" i="1" s="1"/>
  <c r="CK54" i="1"/>
  <c r="CJ54" i="1"/>
  <c r="CI54" i="1" s="1"/>
  <c r="CH54" i="1" s="1"/>
  <c r="CG54" i="1" s="1"/>
  <c r="CK53" i="1"/>
  <c r="CJ53" i="1" s="1"/>
  <c r="CI53" i="1" s="1"/>
  <c r="CH53" i="1" s="1"/>
  <c r="CG53" i="1" s="1"/>
  <c r="CK52" i="1"/>
  <c r="CJ52" i="1"/>
  <c r="CI52" i="1"/>
  <c r="CH52" i="1"/>
  <c r="CG52" i="1" s="1"/>
  <c r="CK51" i="1"/>
  <c r="CJ51" i="1"/>
  <c r="CI51" i="1" s="1"/>
  <c r="CH51" i="1" s="1"/>
  <c r="CG51" i="1" s="1"/>
  <c r="CK50" i="1"/>
  <c r="CJ50" i="1" s="1"/>
  <c r="CI50" i="1" s="1"/>
  <c r="CH50" i="1" s="1"/>
  <c r="CG50" i="1" s="1"/>
  <c r="CK49" i="1"/>
  <c r="CJ49" i="1" s="1"/>
  <c r="CI49" i="1" s="1"/>
  <c r="CH49" i="1" s="1"/>
  <c r="CG49" i="1" s="1"/>
  <c r="CK48" i="1"/>
  <c r="CJ48" i="1"/>
  <c r="CI48" i="1" s="1"/>
  <c r="CH48" i="1" s="1"/>
  <c r="CG48" i="1" s="1"/>
  <c r="CK47" i="1"/>
  <c r="CJ47" i="1" s="1"/>
  <c r="CI47" i="1" s="1"/>
  <c r="CH47" i="1" s="1"/>
  <c r="CG47" i="1" s="1"/>
  <c r="CK46" i="1"/>
  <c r="CJ46" i="1" s="1"/>
  <c r="CI46" i="1" s="1"/>
  <c r="CH46" i="1" s="1"/>
  <c r="CG46" i="1" s="1"/>
  <c r="CK45" i="1"/>
  <c r="CJ45" i="1" s="1"/>
  <c r="CI45" i="1" s="1"/>
  <c r="CH45" i="1" s="1"/>
  <c r="CG45" i="1" s="1"/>
  <c r="CK44" i="1"/>
  <c r="CJ44" i="1"/>
  <c r="CI44" i="1" s="1"/>
  <c r="CH44" i="1" s="1"/>
  <c r="CG44" i="1" s="1"/>
  <c r="CK43" i="1"/>
  <c r="CJ43" i="1" s="1"/>
  <c r="CI43" i="1" s="1"/>
  <c r="CH43" i="1" s="1"/>
  <c r="CG43" i="1" s="1"/>
  <c r="CK42" i="1"/>
  <c r="CJ42" i="1" s="1"/>
  <c r="CI42" i="1" s="1"/>
  <c r="CH42" i="1" s="1"/>
  <c r="CG42" i="1" s="1"/>
  <c r="CK41" i="1"/>
  <c r="CJ41" i="1" s="1"/>
  <c r="CI41" i="1" s="1"/>
  <c r="CH41" i="1" s="1"/>
  <c r="CG41" i="1" s="1"/>
  <c r="CK40" i="1"/>
  <c r="CJ40" i="1"/>
  <c r="CI40" i="1" s="1"/>
  <c r="CH40" i="1" s="1"/>
  <c r="CG40" i="1" s="1"/>
  <c r="CK39" i="1"/>
  <c r="CJ39" i="1" s="1"/>
  <c r="CI39" i="1" s="1"/>
  <c r="CH39" i="1" s="1"/>
  <c r="CG39" i="1" s="1"/>
  <c r="CK38" i="1"/>
  <c r="CJ38" i="1" s="1"/>
  <c r="CI38" i="1" s="1"/>
  <c r="CH38" i="1" s="1"/>
  <c r="CG38" i="1" s="1"/>
  <c r="CK37" i="1"/>
  <c r="CJ37" i="1" s="1"/>
  <c r="CI37" i="1" s="1"/>
  <c r="CH37" i="1" s="1"/>
  <c r="CG37" i="1" s="1"/>
  <c r="CK36" i="1"/>
  <c r="CJ36" i="1"/>
  <c r="CI36" i="1" s="1"/>
  <c r="CH36" i="1" s="1"/>
  <c r="CG36" i="1" s="1"/>
  <c r="CK35" i="1"/>
  <c r="CJ35" i="1" s="1"/>
  <c r="CI35" i="1" s="1"/>
  <c r="CH35" i="1" s="1"/>
  <c r="CG35" i="1" s="1"/>
  <c r="CK34" i="1"/>
  <c r="CJ34" i="1" s="1"/>
  <c r="CI34" i="1" s="1"/>
  <c r="CH34" i="1" s="1"/>
  <c r="CG34" i="1" s="1"/>
  <c r="CK33" i="1"/>
  <c r="CJ33" i="1" s="1"/>
  <c r="CI33" i="1" s="1"/>
  <c r="CH33" i="1" s="1"/>
  <c r="CG33" i="1" s="1"/>
  <c r="CK32" i="1"/>
  <c r="CJ32" i="1"/>
  <c r="CI32" i="1" s="1"/>
  <c r="CH32" i="1" s="1"/>
  <c r="CG32" i="1" s="1"/>
  <c r="CK31" i="1"/>
  <c r="CJ31" i="1" s="1"/>
  <c r="CI31" i="1" s="1"/>
  <c r="CH31" i="1" s="1"/>
  <c r="CG31" i="1" s="1"/>
  <c r="CK30" i="1"/>
  <c r="CJ30" i="1" s="1"/>
  <c r="CI30" i="1" s="1"/>
  <c r="CH30" i="1" s="1"/>
  <c r="CG30" i="1" s="1"/>
  <c r="CK29" i="1"/>
  <c r="CJ29" i="1" s="1"/>
  <c r="CI29" i="1" s="1"/>
  <c r="CH29" i="1" s="1"/>
  <c r="CG29" i="1" s="1"/>
  <c r="CK28" i="1"/>
  <c r="CJ28" i="1"/>
  <c r="CI28" i="1" s="1"/>
  <c r="CH28" i="1" s="1"/>
  <c r="CG28" i="1" s="1"/>
  <c r="CK27" i="1"/>
  <c r="CJ27" i="1" s="1"/>
  <c r="CI27" i="1" s="1"/>
  <c r="CH27" i="1" s="1"/>
  <c r="CG27" i="1" s="1"/>
  <c r="CK26" i="1"/>
  <c r="CJ26" i="1" s="1"/>
  <c r="CI26" i="1" s="1"/>
  <c r="CH26" i="1" s="1"/>
  <c r="CG26" i="1" s="1"/>
  <c r="CK25" i="1"/>
  <c r="CJ25" i="1" s="1"/>
  <c r="CI25" i="1" s="1"/>
  <c r="CH25" i="1" s="1"/>
  <c r="CG25" i="1" s="1"/>
  <c r="CK24" i="1"/>
  <c r="CJ24" i="1"/>
  <c r="CI24" i="1" s="1"/>
  <c r="CH24" i="1" s="1"/>
  <c r="CG24" i="1" s="1"/>
  <c r="CK23" i="1"/>
  <c r="CJ23" i="1" s="1"/>
  <c r="CI23" i="1" s="1"/>
  <c r="CH23" i="1" s="1"/>
  <c r="CG23" i="1" s="1"/>
  <c r="CK22" i="1"/>
  <c r="CJ22" i="1" s="1"/>
  <c r="CI22" i="1" s="1"/>
  <c r="CH22" i="1" s="1"/>
  <c r="CG22" i="1" s="1"/>
  <c r="CK21" i="1"/>
  <c r="CJ21" i="1" s="1"/>
  <c r="CI21" i="1" s="1"/>
  <c r="CH21" i="1" s="1"/>
  <c r="CG21" i="1" s="1"/>
  <c r="CK20" i="1"/>
  <c r="CJ20" i="1"/>
  <c r="CI20" i="1" s="1"/>
  <c r="CH20" i="1" s="1"/>
  <c r="CG20" i="1" s="1"/>
  <c r="CK19" i="1"/>
  <c r="CJ19" i="1" s="1"/>
  <c r="CI19" i="1" s="1"/>
  <c r="CH19" i="1" s="1"/>
  <c r="CG19" i="1" s="1"/>
  <c r="CK18" i="1"/>
  <c r="CJ18" i="1" s="1"/>
  <c r="CI18" i="1" s="1"/>
  <c r="CH18" i="1" s="1"/>
  <c r="CG18" i="1" s="1"/>
  <c r="CK17" i="1"/>
  <c r="CJ17" i="1" s="1"/>
  <c r="CI17" i="1" s="1"/>
  <c r="CH17" i="1" s="1"/>
  <c r="CG17" i="1" s="1"/>
  <c r="CK16" i="1"/>
  <c r="CJ16" i="1"/>
  <c r="CI16" i="1" s="1"/>
  <c r="CH16" i="1" s="1"/>
  <c r="CG16" i="1" s="1"/>
  <c r="CK15" i="1"/>
  <c r="CJ15" i="1" s="1"/>
  <c r="CI15" i="1" s="1"/>
  <c r="CH15" i="1" s="1"/>
  <c r="CG15" i="1" s="1"/>
  <c r="CK14" i="1"/>
  <c r="CJ14" i="1" s="1"/>
  <c r="CI14" i="1" s="1"/>
  <c r="CH14" i="1" s="1"/>
  <c r="CG14" i="1" s="1"/>
  <c r="CK13" i="1"/>
  <c r="CJ13" i="1" s="1"/>
  <c r="CI13" i="1" s="1"/>
  <c r="CH13" i="1" s="1"/>
  <c r="CG13" i="1" s="1"/>
  <c r="CK12" i="1"/>
  <c r="CJ12" i="1"/>
  <c r="CI12" i="1" s="1"/>
  <c r="CH12" i="1" s="1"/>
  <c r="CG12" i="1" s="1"/>
  <c r="CK11" i="1"/>
  <c r="CJ11" i="1" s="1"/>
  <c r="CI11" i="1" s="1"/>
  <c r="CH11" i="1" s="1"/>
  <c r="CG11" i="1" s="1"/>
  <c r="CK10" i="1"/>
  <c r="CJ10" i="1" s="1"/>
  <c r="CI10" i="1" s="1"/>
  <c r="CH10" i="1" s="1"/>
  <c r="CG10" i="1" s="1"/>
  <c r="CK9" i="1"/>
  <c r="CJ9" i="1" s="1"/>
  <c r="CI9" i="1" s="1"/>
  <c r="CH9" i="1" s="1"/>
  <c r="CG9" i="1" s="1"/>
  <c r="CK8" i="1"/>
  <c r="CJ8" i="1"/>
  <c r="CI8" i="1" s="1"/>
  <c r="CH8" i="1" s="1"/>
  <c r="CG8" i="1" s="1"/>
  <c r="CK7" i="1"/>
  <c r="CJ7" i="1" s="1"/>
  <c r="CI7" i="1" s="1"/>
  <c r="CH7" i="1" s="1"/>
  <c r="CG7" i="1" s="1"/>
  <c r="CK6" i="1"/>
  <c r="CJ6" i="1" s="1"/>
  <c r="CK5" i="1"/>
  <c r="CJ5" i="1" s="1"/>
  <c r="CI5" i="1" s="1"/>
  <c r="CH5" i="1" s="1"/>
  <c r="CG5" i="1" s="1"/>
  <c r="CK4" i="1"/>
  <c r="CJ4" i="1"/>
  <c r="CI4" i="1" s="1"/>
  <c r="CO58" i="1"/>
  <c r="CN58" i="1" s="1"/>
  <c r="CM58" i="1" s="1"/>
  <c r="CL58" i="1" s="1"/>
  <c r="CO57" i="1"/>
  <c r="CN57" i="1" s="1"/>
  <c r="CM57" i="1" s="1"/>
  <c r="CL57" i="1" s="1"/>
  <c r="CO56" i="1"/>
  <c r="CN56" i="1"/>
  <c r="CM56" i="1" s="1"/>
  <c r="CL56" i="1" s="1"/>
  <c r="CO55" i="1"/>
  <c r="CN55" i="1" s="1"/>
  <c r="CM55" i="1" s="1"/>
  <c r="CL55" i="1" s="1"/>
  <c r="CO54" i="1"/>
  <c r="CN54" i="1" s="1"/>
  <c r="CM54" i="1" s="1"/>
  <c r="CL54" i="1" s="1"/>
  <c r="CO53" i="1"/>
  <c r="CN53" i="1" s="1"/>
  <c r="CM53" i="1" s="1"/>
  <c r="CL53" i="1" s="1"/>
  <c r="CO52" i="1"/>
  <c r="CN52" i="1"/>
  <c r="CM52" i="1" s="1"/>
  <c r="CL52" i="1" s="1"/>
  <c r="CO51" i="1"/>
  <c r="CN51" i="1" s="1"/>
  <c r="CM51" i="1" s="1"/>
  <c r="CL51" i="1" s="1"/>
  <c r="CO50" i="1"/>
  <c r="CN50" i="1" s="1"/>
  <c r="CM50" i="1" s="1"/>
  <c r="CL50" i="1" s="1"/>
  <c r="CO49" i="1"/>
  <c r="CN49" i="1" s="1"/>
  <c r="CM49" i="1" s="1"/>
  <c r="CL49" i="1" s="1"/>
  <c r="CO48" i="1"/>
  <c r="CN48" i="1"/>
  <c r="CM48" i="1" s="1"/>
  <c r="CL48" i="1" s="1"/>
  <c r="CO46" i="1"/>
  <c r="CN46" i="1" s="1"/>
  <c r="CM46" i="1" s="1"/>
  <c r="CL46" i="1" s="1"/>
  <c r="CO45" i="1"/>
  <c r="CN45" i="1" s="1"/>
  <c r="CM45" i="1" s="1"/>
  <c r="CL45" i="1" s="1"/>
  <c r="CO44" i="1"/>
  <c r="CN44" i="1"/>
  <c r="CM44" i="1" s="1"/>
  <c r="CL44" i="1" s="1"/>
  <c r="CO42" i="1"/>
  <c r="CN42" i="1" s="1"/>
  <c r="CM42" i="1" s="1"/>
  <c r="CL42" i="1" s="1"/>
  <c r="CO41" i="1"/>
  <c r="CN41" i="1" s="1"/>
  <c r="CM41" i="1" s="1"/>
  <c r="CL41" i="1" s="1"/>
  <c r="CO40" i="1"/>
  <c r="CN40" i="1"/>
  <c r="CM40" i="1" s="1"/>
  <c r="CL40" i="1" s="1"/>
  <c r="CO38" i="1"/>
  <c r="CN38" i="1" s="1"/>
  <c r="CM38" i="1" s="1"/>
  <c r="CL38" i="1" s="1"/>
  <c r="CO37" i="1"/>
  <c r="CN37" i="1" s="1"/>
  <c r="CM37" i="1" s="1"/>
  <c r="CL37" i="1" s="1"/>
  <c r="CO36" i="1"/>
  <c r="CN36" i="1"/>
  <c r="CM36" i="1" s="1"/>
  <c r="CL36" i="1" s="1"/>
  <c r="CO34" i="1"/>
  <c r="CN34" i="1" s="1"/>
  <c r="CM34" i="1" s="1"/>
  <c r="CL34" i="1" s="1"/>
  <c r="CO33" i="1"/>
  <c r="CN33" i="1" s="1"/>
  <c r="CM33" i="1" s="1"/>
  <c r="CL33" i="1" s="1"/>
  <c r="CO32" i="1"/>
  <c r="CN32" i="1"/>
  <c r="CM32" i="1" s="1"/>
  <c r="CL32" i="1" s="1"/>
  <c r="CO30" i="1"/>
  <c r="CN30" i="1" s="1"/>
  <c r="CM30" i="1" s="1"/>
  <c r="CL30" i="1" s="1"/>
  <c r="CO29" i="1"/>
  <c r="CN29" i="1" s="1"/>
  <c r="CM29" i="1" s="1"/>
  <c r="CL29" i="1" s="1"/>
  <c r="CO28" i="1"/>
  <c r="CN28" i="1"/>
  <c r="CM28" i="1" s="1"/>
  <c r="CL28" i="1" s="1"/>
  <c r="CO26" i="1"/>
  <c r="CN26" i="1" s="1"/>
  <c r="CM26" i="1" s="1"/>
  <c r="CL26" i="1" s="1"/>
  <c r="CO25" i="1"/>
  <c r="CN25" i="1" s="1"/>
  <c r="CM25" i="1" s="1"/>
  <c r="CL25" i="1" s="1"/>
  <c r="CO24" i="1"/>
  <c r="CN24" i="1" s="1"/>
  <c r="CM24" i="1" s="1"/>
  <c r="CL24" i="1" s="1"/>
  <c r="CO23" i="1"/>
  <c r="CN23" i="1" s="1"/>
  <c r="CM23" i="1" s="1"/>
  <c r="CL23" i="1" s="1"/>
  <c r="CO22" i="1"/>
  <c r="CN22" i="1" s="1"/>
  <c r="CM22" i="1" s="1"/>
  <c r="CL22" i="1" s="1"/>
  <c r="CO21" i="1"/>
  <c r="CN21" i="1" s="1"/>
  <c r="CM21" i="1" s="1"/>
  <c r="CL21" i="1" s="1"/>
  <c r="CO20" i="1"/>
  <c r="CN20" i="1" s="1"/>
  <c r="CM20" i="1" s="1"/>
  <c r="CL20" i="1" s="1"/>
  <c r="CO19" i="1"/>
  <c r="CN19" i="1" s="1"/>
  <c r="CM19" i="1" s="1"/>
  <c r="CL19" i="1" s="1"/>
  <c r="CO18" i="1"/>
  <c r="CN18" i="1" s="1"/>
  <c r="CM18" i="1" s="1"/>
  <c r="CL18" i="1" s="1"/>
  <c r="CO17" i="1"/>
  <c r="CN17" i="1" s="1"/>
  <c r="CM17" i="1" s="1"/>
  <c r="CL17" i="1" s="1"/>
  <c r="CO16" i="1"/>
  <c r="CN16" i="1" s="1"/>
  <c r="CM16" i="1" s="1"/>
  <c r="CL16" i="1" s="1"/>
  <c r="CO15" i="1"/>
  <c r="CN15" i="1" s="1"/>
  <c r="CM15" i="1" s="1"/>
  <c r="CL15" i="1" s="1"/>
  <c r="CO14" i="1"/>
  <c r="CN14" i="1" s="1"/>
  <c r="CM14" i="1" s="1"/>
  <c r="CL14" i="1" s="1"/>
  <c r="CO13" i="1"/>
  <c r="CN13" i="1" s="1"/>
  <c r="CM13" i="1" s="1"/>
  <c r="CL13" i="1" s="1"/>
  <c r="CO12" i="1"/>
  <c r="CN12" i="1" s="1"/>
  <c r="CM12" i="1" s="1"/>
  <c r="CL12" i="1" s="1"/>
  <c r="CO11" i="1"/>
  <c r="CN11" i="1" s="1"/>
  <c r="CM11" i="1" s="1"/>
  <c r="CL11" i="1" s="1"/>
  <c r="CO10" i="1"/>
  <c r="CN10" i="1" s="1"/>
  <c r="CM10" i="1" s="1"/>
  <c r="CL10" i="1" s="1"/>
  <c r="CO9" i="1"/>
  <c r="CN9" i="1" s="1"/>
  <c r="CM9" i="1" s="1"/>
  <c r="CL9" i="1" s="1"/>
  <c r="CO8" i="1"/>
  <c r="CN8" i="1" s="1"/>
  <c r="CM8" i="1" s="1"/>
  <c r="CL8" i="1" s="1"/>
  <c r="CO7" i="1"/>
  <c r="CN7" i="1" s="1"/>
  <c r="CM7" i="1" s="1"/>
  <c r="CL7" i="1" s="1"/>
  <c r="CO6" i="1"/>
  <c r="CN6" i="1" s="1"/>
  <c r="CM6" i="1" s="1"/>
  <c r="CL6" i="1" s="1"/>
  <c r="CO5" i="1"/>
  <c r="CN5" i="1" s="1"/>
  <c r="CM5" i="1" s="1"/>
  <c r="CL5" i="1" s="1"/>
  <c r="CO4" i="1"/>
  <c r="CN4" i="1" s="1"/>
  <c r="CO62" i="1"/>
  <c r="CN62" i="1" s="1"/>
  <c r="CM62" i="1" s="1"/>
  <c r="CL62" i="1" s="1"/>
  <c r="CO61" i="1"/>
  <c r="CN61" i="1" s="1"/>
  <c r="CM61" i="1" s="1"/>
  <c r="CL61" i="1" s="1"/>
  <c r="CO60" i="1"/>
  <c r="CN60" i="1" s="1"/>
  <c r="CM60" i="1" s="1"/>
  <c r="CL60" i="1" s="1"/>
  <c r="CO63" i="1"/>
  <c r="CN63" i="1" s="1"/>
  <c r="CM63" i="1" s="1"/>
  <c r="CL63" i="1" s="1"/>
  <c r="CK59" i="1"/>
  <c r="CK64" i="1" s="1"/>
  <c r="CK65" i="1" s="1"/>
  <c r="CO59" i="1"/>
  <c r="CN59" i="1"/>
  <c r="CM59" i="1"/>
  <c r="CL59" i="1"/>
  <c r="CF59" i="1"/>
  <c r="DJ63" i="1"/>
  <c r="AK69" i="3" s="1"/>
  <c r="DJ62" i="1"/>
  <c r="AK68" i="3" s="1"/>
  <c r="DJ61" i="1"/>
  <c r="DJ60" i="1"/>
  <c r="AK66" i="3" s="1"/>
  <c r="DJ46" i="1"/>
  <c r="DJ59" i="1"/>
  <c r="AK64" i="3" s="1"/>
  <c r="DJ50" i="1"/>
  <c r="DJ58" i="1"/>
  <c r="AK62" i="3" s="1"/>
  <c r="DJ57" i="1"/>
  <c r="DJ56" i="1"/>
  <c r="AK60" i="3" s="1"/>
  <c r="DJ55" i="1"/>
  <c r="DJ53" i="1"/>
  <c r="AK57" i="3" s="1"/>
  <c r="DJ52" i="1"/>
  <c r="DJ51" i="1"/>
  <c r="AK55" i="3" s="1"/>
  <c r="DJ49" i="1"/>
  <c r="DJ48" i="1"/>
  <c r="AK53" i="3" s="1"/>
  <c r="DJ20" i="1"/>
  <c r="DJ45" i="1"/>
  <c r="AK51" i="3" s="1"/>
  <c r="DJ44" i="1"/>
  <c r="DJ43" i="1"/>
  <c r="AK49" i="3" s="1"/>
  <c r="DJ42" i="1"/>
  <c r="DJ41" i="1"/>
  <c r="DJ40" i="1"/>
  <c r="AK45" i="3" s="1"/>
  <c r="DJ39" i="1"/>
  <c r="DJ38" i="1"/>
  <c r="AK43" i="3" s="1"/>
  <c r="DJ36" i="1"/>
  <c r="DJ35" i="1"/>
  <c r="AK41" i="3" s="1"/>
  <c r="DJ34" i="1"/>
  <c r="DJ33" i="1"/>
  <c r="AK38" i="3" s="1"/>
  <c r="DJ32" i="1"/>
  <c r="DJ31" i="1"/>
  <c r="DJ37" i="1"/>
  <c r="AK33" i="3" s="1"/>
  <c r="DJ30" i="1"/>
  <c r="DJ29" i="1"/>
  <c r="AK31" i="3" s="1"/>
  <c r="DJ28" i="1"/>
  <c r="AK29" i="3" s="1"/>
  <c r="DJ27" i="1"/>
  <c r="DJ26" i="1"/>
  <c r="AK27" i="3" s="1"/>
  <c r="DJ25" i="1"/>
  <c r="DJ23" i="1"/>
  <c r="AK25" i="3" s="1"/>
  <c r="DJ22" i="1"/>
  <c r="AK21" i="3" s="1"/>
  <c r="DJ21" i="1"/>
  <c r="DJ19" i="1"/>
  <c r="AK19" i="3" s="1"/>
  <c r="DJ18" i="1"/>
  <c r="AK17" i="3" s="1"/>
  <c r="DJ17" i="1"/>
  <c r="DJ16" i="1"/>
  <c r="AK15" i="3" s="1"/>
  <c r="DJ54" i="1"/>
  <c r="DJ15" i="1"/>
  <c r="AK13" i="3" s="1"/>
  <c r="DJ14" i="1"/>
  <c r="DJ13" i="1"/>
  <c r="AK11" i="3" s="1"/>
  <c r="DJ12" i="1"/>
  <c r="DJ11" i="1"/>
  <c r="AK9" i="3" s="1"/>
  <c r="DJ10" i="1"/>
  <c r="DJ9" i="1"/>
  <c r="AK7" i="3" s="1"/>
  <c r="DJ8" i="1"/>
  <c r="DJ7" i="1"/>
  <c r="AK5" i="3" s="1"/>
  <c r="DJ6" i="1"/>
  <c r="DJ5" i="1"/>
  <c r="AK3" i="3" s="1"/>
  <c r="DJ4" i="1"/>
  <c r="F65" i="5"/>
  <c r="F4" i="5"/>
  <c r="F5" i="5"/>
  <c r="F6" i="5"/>
  <c r="F7" i="5"/>
  <c r="F64" i="5" s="1"/>
  <c r="F8" i="5"/>
  <c r="F9" i="5"/>
  <c r="F10" i="5"/>
  <c r="F11" i="5"/>
  <c r="H11" i="5" s="1"/>
  <c r="F12" i="5"/>
  <c r="F13" i="5"/>
  <c r="F14" i="5"/>
  <c r="F15" i="5"/>
  <c r="H15" i="5" s="1"/>
  <c r="F16" i="5"/>
  <c r="F17" i="5"/>
  <c r="F18" i="5"/>
  <c r="F19" i="5"/>
  <c r="H19" i="5" s="1"/>
  <c r="F20" i="5"/>
  <c r="F21" i="5"/>
  <c r="F22" i="5"/>
  <c r="F23" i="5"/>
  <c r="H23" i="5" s="1"/>
  <c r="F24" i="5"/>
  <c r="F25" i="5"/>
  <c r="F26" i="5"/>
  <c r="F27" i="5"/>
  <c r="H27" i="5" s="1"/>
  <c r="F28" i="5"/>
  <c r="F29" i="5"/>
  <c r="F30" i="5"/>
  <c r="F31" i="5"/>
  <c r="H31" i="5" s="1"/>
  <c r="F32" i="5"/>
  <c r="F33" i="5"/>
  <c r="F34" i="5"/>
  <c r="F35" i="5"/>
  <c r="H35" i="5" s="1"/>
  <c r="F36" i="5"/>
  <c r="F37" i="5"/>
  <c r="F38" i="5"/>
  <c r="F39" i="5"/>
  <c r="H39" i="5" s="1"/>
  <c r="F40" i="5"/>
  <c r="F41" i="5"/>
  <c r="F42" i="5"/>
  <c r="F43" i="5"/>
  <c r="H43" i="5" s="1"/>
  <c r="F44" i="5"/>
  <c r="F45" i="5"/>
  <c r="F46" i="5"/>
  <c r="F47" i="5"/>
  <c r="H47" i="5" s="1"/>
  <c r="F48" i="5"/>
  <c r="F49" i="5"/>
  <c r="F50" i="5"/>
  <c r="F51" i="5"/>
  <c r="H51" i="5" s="1"/>
  <c r="F52" i="5"/>
  <c r="F53" i="5"/>
  <c r="F54" i="5"/>
  <c r="F55" i="5"/>
  <c r="H55" i="5" s="1"/>
  <c r="F56" i="5"/>
  <c r="F57" i="5"/>
  <c r="F58" i="5"/>
  <c r="F59" i="5"/>
  <c r="H59" i="5" s="1"/>
  <c r="F60" i="5"/>
  <c r="F61" i="5"/>
  <c r="F62" i="5"/>
  <c r="F63" i="5"/>
  <c r="H63" i="5" s="1"/>
  <c r="D63" i="5"/>
  <c r="D62" i="5"/>
  <c r="H62" i="5" s="1"/>
  <c r="D61" i="5"/>
  <c r="H61" i="5"/>
  <c r="D60" i="5"/>
  <c r="H60" i="5" s="1"/>
  <c r="D59" i="5"/>
  <c r="D58" i="5"/>
  <c r="H58" i="5" s="1"/>
  <c r="D57" i="5"/>
  <c r="H57" i="5"/>
  <c r="D56" i="5"/>
  <c r="H56" i="5" s="1"/>
  <c r="D55" i="5"/>
  <c r="D54" i="5"/>
  <c r="H54" i="5" s="1"/>
  <c r="D53" i="5"/>
  <c r="H53" i="5"/>
  <c r="D52" i="5"/>
  <c r="H52" i="5" s="1"/>
  <c r="D51" i="5"/>
  <c r="D50" i="5"/>
  <c r="H50" i="5" s="1"/>
  <c r="D49" i="5"/>
  <c r="H49" i="5"/>
  <c r="D48" i="5"/>
  <c r="H48" i="5" s="1"/>
  <c r="D47" i="5"/>
  <c r="D46" i="5"/>
  <c r="H46" i="5" s="1"/>
  <c r="D45" i="5"/>
  <c r="H45" i="5"/>
  <c r="D44" i="5"/>
  <c r="H44" i="5" s="1"/>
  <c r="D43" i="5"/>
  <c r="D42" i="5"/>
  <c r="H42" i="5" s="1"/>
  <c r="D41" i="5"/>
  <c r="H41" i="5"/>
  <c r="D40" i="5"/>
  <c r="H40" i="5" s="1"/>
  <c r="D39" i="5"/>
  <c r="D38" i="5"/>
  <c r="H38" i="5" s="1"/>
  <c r="D37" i="5"/>
  <c r="H37" i="5"/>
  <c r="D36" i="5"/>
  <c r="H36" i="5" s="1"/>
  <c r="D35" i="5"/>
  <c r="D34" i="5"/>
  <c r="H34" i="5" s="1"/>
  <c r="D33" i="5"/>
  <c r="H33" i="5"/>
  <c r="D32" i="5"/>
  <c r="H32" i="5" s="1"/>
  <c r="D31" i="5"/>
  <c r="D30" i="5"/>
  <c r="H30" i="5" s="1"/>
  <c r="D29" i="5"/>
  <c r="H29" i="5"/>
  <c r="D28" i="5"/>
  <c r="H28" i="5" s="1"/>
  <c r="D27" i="5"/>
  <c r="D26" i="5"/>
  <c r="H26" i="5" s="1"/>
  <c r="D25" i="5"/>
  <c r="H25" i="5"/>
  <c r="D24" i="5"/>
  <c r="H24" i="5" s="1"/>
  <c r="D23" i="5"/>
  <c r="D22" i="5"/>
  <c r="H22" i="5" s="1"/>
  <c r="D21" i="5"/>
  <c r="H21" i="5"/>
  <c r="D20" i="5"/>
  <c r="H20" i="5" s="1"/>
  <c r="D19" i="5"/>
  <c r="D18" i="5"/>
  <c r="H18" i="5" s="1"/>
  <c r="D17" i="5"/>
  <c r="H17" i="5"/>
  <c r="D16" i="5"/>
  <c r="H16" i="5" s="1"/>
  <c r="D15" i="5"/>
  <c r="D14" i="5"/>
  <c r="H14" i="5" s="1"/>
  <c r="D13" i="5"/>
  <c r="H13" i="5"/>
  <c r="D12" i="5"/>
  <c r="H12" i="5" s="1"/>
  <c r="D11" i="5"/>
  <c r="D10" i="5"/>
  <c r="H10" i="5" s="1"/>
  <c r="D9" i="5"/>
  <c r="H9" i="5"/>
  <c r="D8" i="5"/>
  <c r="H8" i="5" s="1"/>
  <c r="D7" i="5"/>
  <c r="D6" i="5"/>
  <c r="H6" i="5" s="1"/>
  <c r="D5" i="5"/>
  <c r="H5" i="5"/>
  <c r="D4" i="5"/>
  <c r="H4" i="5" s="1"/>
  <c r="D75" i="5"/>
  <c r="D77" i="5"/>
  <c r="B79" i="5"/>
  <c r="A79" i="5"/>
  <c r="B78" i="5"/>
  <c r="A78" i="5"/>
  <c r="B77" i="5"/>
  <c r="A77" i="5"/>
  <c r="B76" i="5"/>
  <c r="A76" i="5"/>
  <c r="B75" i="5"/>
  <c r="A75" i="5"/>
  <c r="D71" i="5"/>
  <c r="D72" i="5" s="1"/>
  <c r="D70" i="5"/>
  <c r="C71" i="5"/>
  <c r="C70" i="5"/>
  <c r="D67" i="5"/>
  <c r="D68" i="5" s="1"/>
  <c r="C67" i="5"/>
  <c r="C59" i="5"/>
  <c r="D64" i="5"/>
  <c r="D65" i="5" s="1"/>
  <c r="W102" i="4"/>
  <c r="W147" i="4"/>
  <c r="V102" i="4"/>
  <c r="V147" i="4" s="1"/>
  <c r="U102" i="4"/>
  <c r="U147" i="4"/>
  <c r="T102" i="4"/>
  <c r="T147" i="4" s="1"/>
  <c r="W38" i="4"/>
  <c r="W39" i="4"/>
  <c r="W50" i="4" s="1"/>
  <c r="W145" i="4" s="1"/>
  <c r="W40" i="4"/>
  <c r="W41" i="4"/>
  <c r="W43" i="4"/>
  <c r="W46" i="4"/>
  <c r="V38" i="4"/>
  <c r="V39" i="4"/>
  <c r="G34" i="4"/>
  <c r="I34" i="4" s="1"/>
  <c r="K34" i="4" s="1"/>
  <c r="M34" i="4" s="1"/>
  <c r="O34" i="4" s="1"/>
  <c r="Q34" i="4" s="1"/>
  <c r="S34" i="4" s="1"/>
  <c r="V43" i="4"/>
  <c r="V45" i="4"/>
  <c r="V46" i="4"/>
  <c r="U38" i="4"/>
  <c r="U39" i="4"/>
  <c r="U43" i="4"/>
  <c r="U45" i="4"/>
  <c r="U46" i="4"/>
  <c r="T38" i="4"/>
  <c r="T39" i="4"/>
  <c r="T45" i="4"/>
  <c r="S38" i="4"/>
  <c r="S50" i="4" s="1"/>
  <c r="S145" i="4" s="1"/>
  <c r="S39" i="4"/>
  <c r="S45" i="4"/>
  <c r="R38" i="4"/>
  <c r="R50" i="4" s="1"/>
  <c r="R145" i="4" s="1"/>
  <c r="R39" i="4"/>
  <c r="R40" i="4"/>
  <c r="R41" i="4"/>
  <c r="R45" i="4"/>
  <c r="Q38" i="4"/>
  <c r="Q50" i="4" s="1"/>
  <c r="Q145" i="4" s="1"/>
  <c r="Q39" i="4"/>
  <c r="Q45" i="4"/>
  <c r="P38" i="4"/>
  <c r="P50" i="4" s="1"/>
  <c r="P145" i="4" s="1"/>
  <c r="P39" i="4"/>
  <c r="P40" i="4"/>
  <c r="P41" i="4"/>
  <c r="P45" i="4"/>
  <c r="O38" i="4"/>
  <c r="O39" i="4"/>
  <c r="O50" i="4" s="1"/>
  <c r="O145" i="4" s="1"/>
  <c r="N38" i="4"/>
  <c r="N40" i="4"/>
  <c r="N50" i="4" s="1"/>
  <c r="N145" i="4" s="1"/>
  <c r="N41" i="4"/>
  <c r="N45" i="4"/>
  <c r="M38" i="4"/>
  <c r="M50" i="4" s="1"/>
  <c r="M145" i="4" s="1"/>
  <c r="M45" i="4"/>
  <c r="L38" i="4"/>
  <c r="L40" i="4"/>
  <c r="L41" i="4"/>
  <c r="L45" i="4"/>
  <c r="L50" i="4" s="1"/>
  <c r="L145" i="4" s="1"/>
  <c r="K38" i="4"/>
  <c r="K50" i="4" s="1"/>
  <c r="K145" i="4" s="1"/>
  <c r="K41" i="4"/>
  <c r="K45" i="4"/>
  <c r="J38" i="4"/>
  <c r="J40" i="4"/>
  <c r="J41" i="4"/>
  <c r="J45" i="4"/>
  <c r="J50" i="4"/>
  <c r="J145" i="4" s="1"/>
  <c r="I41" i="4"/>
  <c r="I50" i="4"/>
  <c r="I145" i="4"/>
  <c r="H40" i="4"/>
  <c r="H50" i="4" s="1"/>
  <c r="H145" i="4" s="1"/>
  <c r="G50" i="4"/>
  <c r="G145" i="4" s="1"/>
  <c r="F40" i="4"/>
  <c r="F50" i="4"/>
  <c r="F145" i="4"/>
  <c r="E50" i="4"/>
  <c r="E145" i="4" s="1"/>
  <c r="D40" i="4"/>
  <c r="D50" i="4"/>
  <c r="D145" i="4" s="1"/>
  <c r="C50" i="4"/>
  <c r="C145" i="4"/>
  <c r="W7" i="4"/>
  <c r="W19" i="4" s="1"/>
  <c r="W144" i="4" s="1"/>
  <c r="W8" i="4"/>
  <c r="W9" i="4"/>
  <c r="W10" i="4"/>
  <c r="W12" i="4"/>
  <c r="W15" i="4"/>
  <c r="V7" i="4"/>
  <c r="V8" i="4"/>
  <c r="S9" i="4"/>
  <c r="G3" i="4"/>
  <c r="I3" i="4"/>
  <c r="K3" i="4" s="1"/>
  <c r="M3" i="4" s="1"/>
  <c r="O3" i="4" s="1"/>
  <c r="Q3" i="4" s="1"/>
  <c r="S3" i="4" s="1"/>
  <c r="S10" i="4"/>
  <c r="V12" i="4"/>
  <c r="V15" i="4"/>
  <c r="U7" i="4"/>
  <c r="U8" i="4"/>
  <c r="U12" i="4"/>
  <c r="U15" i="4"/>
  <c r="T7" i="4"/>
  <c r="T8" i="4"/>
  <c r="T12" i="4"/>
  <c r="T14" i="4"/>
  <c r="T15" i="4"/>
  <c r="S7" i="4"/>
  <c r="S8" i="4"/>
  <c r="S12" i="4"/>
  <c r="S19" i="4" s="1"/>
  <c r="S144" i="4" s="1"/>
  <c r="S14" i="4"/>
  <c r="S15" i="4"/>
  <c r="R7" i="4"/>
  <c r="R19" i="4" s="1"/>
  <c r="R144" i="4" s="1"/>
  <c r="R8" i="4"/>
  <c r="R9" i="4"/>
  <c r="R10" i="4"/>
  <c r="R14" i="4"/>
  <c r="R15" i="4"/>
  <c r="Q7" i="4"/>
  <c r="Q19" i="4" s="1"/>
  <c r="Q144" i="4" s="1"/>
  <c r="Q8" i="4"/>
  <c r="Q9" i="4"/>
  <c r="Q10" i="4"/>
  <c r="Q14" i="4"/>
  <c r="Q15" i="4"/>
  <c r="P7" i="4"/>
  <c r="P19" i="4" s="1"/>
  <c r="P144" i="4" s="1"/>
  <c r="P8" i="4"/>
  <c r="P9" i="4"/>
  <c r="P10" i="4"/>
  <c r="P15" i="4"/>
  <c r="O7" i="4"/>
  <c r="O19" i="4" s="1"/>
  <c r="O144" i="4" s="1"/>
  <c r="O8" i="4"/>
  <c r="O9" i="4"/>
  <c r="O10" i="4"/>
  <c r="O15" i="4"/>
  <c r="N5" i="4"/>
  <c r="N7" i="4"/>
  <c r="N8" i="4"/>
  <c r="N9" i="4"/>
  <c r="N14" i="4"/>
  <c r="N19" i="4"/>
  <c r="N144" i="4" s="1"/>
  <c r="M5" i="4"/>
  <c r="M7" i="4"/>
  <c r="M8" i="4"/>
  <c r="M19" i="4" s="1"/>
  <c r="M144" i="4" s="1"/>
  <c r="M9" i="4"/>
  <c r="M10" i="4"/>
  <c r="M14" i="4"/>
  <c r="M15" i="4"/>
  <c r="L7" i="4"/>
  <c r="L8" i="4"/>
  <c r="L9" i="4"/>
  <c r="L10" i="4"/>
  <c r="L14" i="4"/>
  <c r="L19" i="4"/>
  <c r="L144" i="4" s="1"/>
  <c r="K7" i="4"/>
  <c r="K8" i="4"/>
  <c r="K9" i="4"/>
  <c r="K19" i="4" s="1"/>
  <c r="K144" i="4" s="1"/>
  <c r="K10" i="4"/>
  <c r="K14" i="4"/>
  <c r="J7" i="4"/>
  <c r="J19" i="4" s="1"/>
  <c r="J144" i="4" s="1"/>
  <c r="J8" i="4"/>
  <c r="J9" i="4"/>
  <c r="J10" i="4"/>
  <c r="J14" i="4"/>
  <c r="I5" i="4"/>
  <c r="I19" i="4" s="1"/>
  <c r="I144" i="4" s="1"/>
  <c r="I7" i="4"/>
  <c r="I8" i="4"/>
  <c r="I9" i="4"/>
  <c r="I10" i="4"/>
  <c r="I14" i="4"/>
  <c r="H5" i="4"/>
  <c r="H7" i="4"/>
  <c r="H8" i="4"/>
  <c r="H9" i="4"/>
  <c r="H19" i="4"/>
  <c r="H144" i="4" s="1"/>
  <c r="G5" i="4"/>
  <c r="G7" i="4"/>
  <c r="G19" i="4" s="1"/>
  <c r="G144" i="4" s="1"/>
  <c r="G8" i="4"/>
  <c r="G9" i="4"/>
  <c r="F5" i="4"/>
  <c r="F19" i="4" s="1"/>
  <c r="F144" i="4" s="1"/>
  <c r="F7" i="4"/>
  <c r="F9" i="4"/>
  <c r="E5" i="4"/>
  <c r="E7" i="4"/>
  <c r="E9" i="4"/>
  <c r="E19" i="4"/>
  <c r="E144" i="4" s="1"/>
  <c r="D9" i="4"/>
  <c r="D19" i="4"/>
  <c r="D144" i="4"/>
  <c r="C9" i="4"/>
  <c r="C19" i="4" s="1"/>
  <c r="C144" i="4" s="1"/>
  <c r="D130" i="4"/>
  <c r="C130" i="4"/>
  <c r="S102" i="4"/>
  <c r="R102" i="4"/>
  <c r="Q102" i="4"/>
  <c r="P102" i="4"/>
  <c r="O102" i="4"/>
  <c r="N102" i="4"/>
  <c r="M102" i="4"/>
  <c r="L102" i="4"/>
  <c r="K102" i="4"/>
  <c r="J102" i="4"/>
  <c r="I102" i="4"/>
  <c r="H102" i="4"/>
  <c r="G102" i="4"/>
  <c r="F102" i="4"/>
  <c r="E102" i="4"/>
  <c r="D102" i="4"/>
  <c r="C102" i="4"/>
  <c r="G86" i="4"/>
  <c r="I86" i="4"/>
  <c r="K86" i="4" s="1"/>
  <c r="M86" i="4" s="1"/>
  <c r="O86" i="4" s="1"/>
  <c r="Q86" i="4" s="1"/>
  <c r="S86" i="4" s="1"/>
  <c r="W80" i="4"/>
  <c r="V80" i="4"/>
  <c r="U80" i="4"/>
  <c r="T80" i="4"/>
  <c r="S80" i="4"/>
  <c r="R80" i="4"/>
  <c r="Q80" i="4"/>
  <c r="P80" i="4"/>
  <c r="O80" i="4"/>
  <c r="N80" i="4"/>
  <c r="M80" i="4"/>
  <c r="L80" i="4"/>
  <c r="K80" i="4"/>
  <c r="J80" i="4"/>
  <c r="I80" i="4"/>
  <c r="H80" i="4"/>
  <c r="G80" i="4"/>
  <c r="F80" i="4"/>
  <c r="E80" i="4"/>
  <c r="D80" i="4"/>
  <c r="C80" i="4"/>
  <c r="G64" i="4"/>
  <c r="I64" i="4"/>
  <c r="K64" i="4" s="1"/>
  <c r="M64" i="4" s="1"/>
  <c r="O64" i="4" s="1"/>
  <c r="Q64" i="4" s="1"/>
  <c r="S64" i="4" s="1"/>
  <c r="C79" i="1"/>
  <c r="C78" i="1"/>
  <c r="C77" i="1"/>
  <c r="AK58" i="3" s="1"/>
  <c r="C76" i="1"/>
  <c r="AJ48" i="3" s="1"/>
  <c r="C75" i="1"/>
  <c r="AK47" i="3" s="1"/>
  <c r="A79" i="1"/>
  <c r="A78" i="1"/>
  <c r="A77" i="1"/>
  <c r="A76" i="1"/>
  <c r="A75" i="1"/>
  <c r="CP64" i="1"/>
  <c r="CP65" i="1" s="1"/>
  <c r="CN68" i="1"/>
  <c r="CM68" i="1"/>
  <c r="CI68" i="1"/>
  <c r="CH68" i="1"/>
  <c r="CF68" i="1"/>
  <c r="CF64" i="1"/>
  <c r="CF65" i="1" s="1"/>
  <c r="CC68" i="1"/>
  <c r="CB68" i="1"/>
  <c r="CA68" i="1"/>
  <c r="BY68" i="1"/>
  <c r="BW68" i="1"/>
  <c r="BV59" i="1"/>
  <c r="BV64" i="1" s="1"/>
  <c r="BV65" i="1" s="1"/>
  <c r="BU68" i="1"/>
  <c r="BS68" i="1"/>
  <c r="BO68" i="1"/>
  <c r="BL59" i="1"/>
  <c r="BH68" i="1"/>
  <c r="BD68" i="1"/>
  <c r="BC68" i="1"/>
  <c r="BB59" i="1"/>
  <c r="BB64" i="1" s="1"/>
  <c r="BB65" i="1" s="1"/>
  <c r="AY68" i="1"/>
  <c r="AU68" i="1"/>
  <c r="AT68" i="1"/>
  <c r="AR59" i="1"/>
  <c r="AR64" i="1" s="1"/>
  <c r="AR65" i="1" s="1"/>
  <c r="AP64" i="1"/>
  <c r="AP65" i="1" s="1"/>
  <c r="AO68" i="1"/>
  <c r="AO64" i="1"/>
  <c r="AO65" i="1" s="1"/>
  <c r="AN68" i="1"/>
  <c r="AM68" i="1"/>
  <c r="AM64" i="1"/>
  <c r="AM65" i="1" s="1"/>
  <c r="AL68" i="1"/>
  <c r="AJ68" i="1"/>
  <c r="AI68" i="1"/>
  <c r="AF68" i="1"/>
  <c r="AE68" i="1"/>
  <c r="AA68" i="1"/>
  <c r="Z68" i="1"/>
  <c r="X68" i="1"/>
  <c r="CO68" i="1"/>
  <c r="DX65" i="1"/>
  <c r="DW4" i="1"/>
  <c r="DW5" i="1"/>
  <c r="DW6" i="1"/>
  <c r="DW64" i="1" s="1"/>
  <c r="DW65" i="1" s="1"/>
  <c r="DW7" i="1"/>
  <c r="DW8" i="1"/>
  <c r="DW9" i="1"/>
  <c r="DW10" i="1"/>
  <c r="DW11" i="1"/>
  <c r="DW12" i="1"/>
  <c r="DW13" i="1"/>
  <c r="DW14" i="1"/>
  <c r="DW15" i="1"/>
  <c r="DW16" i="1"/>
  <c r="DW17" i="1"/>
  <c r="DW18" i="1"/>
  <c r="DW19" i="1"/>
  <c r="DW20" i="1"/>
  <c r="DW21" i="1"/>
  <c r="DW22" i="1"/>
  <c r="DW23" i="1"/>
  <c r="DW24" i="1"/>
  <c r="DW25" i="1"/>
  <c r="DW26" i="1"/>
  <c r="DW27" i="1"/>
  <c r="DW28" i="1"/>
  <c r="DW29" i="1"/>
  <c r="DW30" i="1"/>
  <c r="DW31" i="1"/>
  <c r="DW32" i="1"/>
  <c r="DW33" i="1"/>
  <c r="DW34" i="1"/>
  <c r="DW35" i="1"/>
  <c r="DW36" i="1"/>
  <c r="DW37" i="1"/>
  <c r="DW38" i="1"/>
  <c r="DW39" i="1"/>
  <c r="DW40" i="1"/>
  <c r="DW41" i="1"/>
  <c r="DW42" i="1"/>
  <c r="DW43" i="1"/>
  <c r="DW44" i="1"/>
  <c r="DW45" i="1"/>
  <c r="DW46" i="1"/>
  <c r="DW47" i="1"/>
  <c r="DW48" i="1"/>
  <c r="DW49" i="1"/>
  <c r="DW50" i="1"/>
  <c r="DW51" i="1"/>
  <c r="DW52" i="1"/>
  <c r="DW53" i="1"/>
  <c r="DW54" i="1"/>
  <c r="DW55" i="1"/>
  <c r="DW56" i="1"/>
  <c r="DW57" i="1"/>
  <c r="DW58" i="1"/>
  <c r="DW59" i="1"/>
  <c r="DW60" i="1"/>
  <c r="DW61" i="1"/>
  <c r="DW62" i="1"/>
  <c r="DW63" i="1"/>
  <c r="DV4" i="1"/>
  <c r="DV5" i="1"/>
  <c r="DV6" i="1"/>
  <c r="DV7" i="1"/>
  <c r="DV8" i="1"/>
  <c r="DV9" i="1"/>
  <c r="DV10" i="1"/>
  <c r="DV11" i="1"/>
  <c r="DV12" i="1"/>
  <c r="DV13" i="1"/>
  <c r="DV14" i="1"/>
  <c r="DV15" i="1"/>
  <c r="DV16" i="1"/>
  <c r="DV17" i="1"/>
  <c r="DV18" i="1"/>
  <c r="DV19" i="1"/>
  <c r="DV20" i="1"/>
  <c r="DV21" i="1"/>
  <c r="DV22" i="1"/>
  <c r="DV23" i="1"/>
  <c r="DV24" i="1"/>
  <c r="DV25" i="1"/>
  <c r="DV26" i="1"/>
  <c r="DV27" i="1"/>
  <c r="DV28" i="1"/>
  <c r="DV29" i="1"/>
  <c r="DV30" i="1"/>
  <c r="DV31" i="1"/>
  <c r="DV32" i="1"/>
  <c r="DV33" i="1"/>
  <c r="DV34" i="1"/>
  <c r="DV35" i="1"/>
  <c r="DV36" i="1"/>
  <c r="DV37" i="1"/>
  <c r="DV38" i="1"/>
  <c r="DV39" i="1"/>
  <c r="DV40" i="1"/>
  <c r="DV41" i="1"/>
  <c r="DV42" i="1"/>
  <c r="DV43" i="1"/>
  <c r="DV44" i="1"/>
  <c r="DV45" i="1"/>
  <c r="DV46" i="1"/>
  <c r="DV47" i="1"/>
  <c r="DV48" i="1"/>
  <c r="DV49" i="1"/>
  <c r="DV50" i="1"/>
  <c r="DV51" i="1"/>
  <c r="DV52" i="1"/>
  <c r="DV53" i="1"/>
  <c r="DV54" i="1"/>
  <c r="DV55" i="1"/>
  <c r="DV56" i="1"/>
  <c r="DV57" i="1"/>
  <c r="DV58" i="1"/>
  <c r="DV59" i="1"/>
  <c r="DV60" i="1"/>
  <c r="DV61" i="1"/>
  <c r="DV62" i="1"/>
  <c r="DV63" i="1"/>
  <c r="DV64" i="1"/>
  <c r="DV65" i="1" s="1"/>
  <c r="DU4" i="1"/>
  <c r="DU5" i="1"/>
  <c r="DU6" i="1"/>
  <c r="DU64" i="1" s="1"/>
  <c r="DU65" i="1" s="1"/>
  <c r="DU7" i="1"/>
  <c r="DU8" i="1"/>
  <c r="DU9" i="1"/>
  <c r="DU10" i="1"/>
  <c r="DU11" i="1"/>
  <c r="DU12" i="1"/>
  <c r="DU13" i="1"/>
  <c r="DU14" i="1"/>
  <c r="DU15" i="1"/>
  <c r="DU16" i="1"/>
  <c r="DU17" i="1"/>
  <c r="DU18" i="1"/>
  <c r="DU19" i="1"/>
  <c r="DU20" i="1"/>
  <c r="DU21" i="1"/>
  <c r="DU22" i="1"/>
  <c r="DU23" i="1"/>
  <c r="DU24" i="1"/>
  <c r="DU25" i="1"/>
  <c r="DU26" i="1"/>
  <c r="DU27" i="1"/>
  <c r="DU28" i="1"/>
  <c r="DU29" i="1"/>
  <c r="DU30" i="1"/>
  <c r="DU31" i="1"/>
  <c r="DU32" i="1"/>
  <c r="DU33" i="1"/>
  <c r="DU34" i="1"/>
  <c r="DU35" i="1"/>
  <c r="DU36" i="1"/>
  <c r="DU37" i="1"/>
  <c r="DU38" i="1"/>
  <c r="DU39" i="1"/>
  <c r="DU40" i="1"/>
  <c r="DU41" i="1"/>
  <c r="DU42" i="1"/>
  <c r="DU43" i="1"/>
  <c r="DU44" i="1"/>
  <c r="DU45" i="1"/>
  <c r="DU46" i="1"/>
  <c r="DU47" i="1"/>
  <c r="DU48" i="1"/>
  <c r="DU49" i="1"/>
  <c r="DU50" i="1"/>
  <c r="DU51" i="1"/>
  <c r="DU52" i="1"/>
  <c r="DU53" i="1"/>
  <c r="DU54" i="1"/>
  <c r="DU55" i="1"/>
  <c r="DU56" i="1"/>
  <c r="DU57" i="1"/>
  <c r="DU58" i="1"/>
  <c r="DU59" i="1"/>
  <c r="DU60" i="1"/>
  <c r="DU61" i="1"/>
  <c r="DU62" i="1"/>
  <c r="DU63" i="1"/>
  <c r="DT4" i="1"/>
  <c r="DT5" i="1"/>
  <c r="DT6" i="1"/>
  <c r="DT7" i="1"/>
  <c r="DT8" i="1"/>
  <c r="DT9" i="1"/>
  <c r="DT10" i="1"/>
  <c r="DT11" i="1"/>
  <c r="DT12" i="1"/>
  <c r="DT13" i="1"/>
  <c r="DT14" i="1"/>
  <c r="DT15" i="1"/>
  <c r="DT16" i="1"/>
  <c r="DT17" i="1"/>
  <c r="DT18" i="1"/>
  <c r="DT19" i="1"/>
  <c r="DT20" i="1"/>
  <c r="DT21" i="1"/>
  <c r="DT22" i="1"/>
  <c r="DT23" i="1"/>
  <c r="DT24" i="1"/>
  <c r="DT25" i="1"/>
  <c r="DT26" i="1"/>
  <c r="DT27" i="1"/>
  <c r="DT28" i="1"/>
  <c r="DT29" i="1"/>
  <c r="DT30" i="1"/>
  <c r="DT31" i="1"/>
  <c r="DT32" i="1"/>
  <c r="DT33" i="1"/>
  <c r="DT34" i="1"/>
  <c r="DT35" i="1"/>
  <c r="DT36" i="1"/>
  <c r="DT37" i="1"/>
  <c r="DT38" i="1"/>
  <c r="DT39" i="1"/>
  <c r="DT40" i="1"/>
  <c r="DT41" i="1"/>
  <c r="DT42" i="1"/>
  <c r="DT43" i="1"/>
  <c r="DT44" i="1"/>
  <c r="DT45" i="1"/>
  <c r="DT46" i="1"/>
  <c r="DT47" i="1"/>
  <c r="DT48" i="1"/>
  <c r="DT49" i="1"/>
  <c r="DT50" i="1"/>
  <c r="DT51" i="1"/>
  <c r="DT52" i="1"/>
  <c r="DT53" i="1"/>
  <c r="DT54" i="1"/>
  <c r="DT55" i="1"/>
  <c r="DT56" i="1"/>
  <c r="DT57" i="1"/>
  <c r="DT58" i="1"/>
  <c r="DT59" i="1"/>
  <c r="DT60" i="1"/>
  <c r="DT61" i="1"/>
  <c r="DT62" i="1"/>
  <c r="DT63" i="1"/>
  <c r="DT64" i="1"/>
  <c r="DT65" i="1" s="1"/>
  <c r="DS4" i="1"/>
  <c r="DS5" i="1"/>
  <c r="DS6" i="1"/>
  <c r="DS64" i="1" s="1"/>
  <c r="DS65" i="1" s="1"/>
  <c r="DS7" i="1"/>
  <c r="DS8" i="1"/>
  <c r="DS9" i="1"/>
  <c r="DS10" i="1"/>
  <c r="DS11" i="1"/>
  <c r="DS12" i="1"/>
  <c r="DS13" i="1"/>
  <c r="DS14" i="1"/>
  <c r="DS15" i="1"/>
  <c r="DS16" i="1"/>
  <c r="DS17" i="1"/>
  <c r="DS18" i="1"/>
  <c r="DS19" i="1"/>
  <c r="DS20" i="1"/>
  <c r="DS21" i="1"/>
  <c r="DS22" i="1"/>
  <c r="DS23" i="1"/>
  <c r="DS24" i="1"/>
  <c r="DS25" i="1"/>
  <c r="DS26" i="1"/>
  <c r="DS27" i="1"/>
  <c r="DS28" i="1"/>
  <c r="DS29" i="1"/>
  <c r="DS30" i="1"/>
  <c r="DS31" i="1"/>
  <c r="DS32" i="1"/>
  <c r="DS33" i="1"/>
  <c r="DS34" i="1"/>
  <c r="DS35" i="1"/>
  <c r="DS36" i="1"/>
  <c r="DS37" i="1"/>
  <c r="DS38" i="1"/>
  <c r="DS39" i="1"/>
  <c r="DS40" i="1"/>
  <c r="DS41" i="1"/>
  <c r="DS42" i="1"/>
  <c r="DS43" i="1"/>
  <c r="DS44" i="1"/>
  <c r="DS45" i="1"/>
  <c r="DS46" i="1"/>
  <c r="DS47" i="1"/>
  <c r="DS48" i="1"/>
  <c r="DS49" i="1"/>
  <c r="DS50" i="1"/>
  <c r="DS51" i="1"/>
  <c r="DS52" i="1"/>
  <c r="DS53" i="1"/>
  <c r="DS54" i="1"/>
  <c r="DS55" i="1"/>
  <c r="DS56" i="1"/>
  <c r="DS57" i="1"/>
  <c r="DS58" i="1"/>
  <c r="DS59" i="1"/>
  <c r="DS60" i="1"/>
  <c r="DS61" i="1"/>
  <c r="DS62" i="1"/>
  <c r="DS63" i="1"/>
  <c r="DR4" i="1"/>
  <c r="DR5" i="1"/>
  <c r="DR6" i="1"/>
  <c r="DR7" i="1"/>
  <c r="DR8" i="1"/>
  <c r="DR9" i="1"/>
  <c r="DR10" i="1"/>
  <c r="DR11" i="1"/>
  <c r="DR12" i="1"/>
  <c r="DR13" i="1"/>
  <c r="DR14" i="1"/>
  <c r="DR15" i="1"/>
  <c r="DR16" i="1"/>
  <c r="DR17" i="1"/>
  <c r="DR18" i="1"/>
  <c r="DR19" i="1"/>
  <c r="DR20" i="1"/>
  <c r="DR21" i="1"/>
  <c r="DR22" i="1"/>
  <c r="DR23" i="1"/>
  <c r="DR24" i="1"/>
  <c r="DR25" i="1"/>
  <c r="DR26" i="1"/>
  <c r="DR27" i="1"/>
  <c r="DR28" i="1"/>
  <c r="DR29" i="1"/>
  <c r="DR30" i="1"/>
  <c r="DR31" i="1"/>
  <c r="DR32" i="1"/>
  <c r="DR33" i="1"/>
  <c r="DR34" i="1"/>
  <c r="DR35" i="1"/>
  <c r="DR36" i="1"/>
  <c r="DR37" i="1"/>
  <c r="DR38" i="1"/>
  <c r="DR39" i="1"/>
  <c r="DR40" i="1"/>
  <c r="DR41" i="1"/>
  <c r="DR42" i="1"/>
  <c r="DR43" i="1"/>
  <c r="DR44" i="1"/>
  <c r="DR45" i="1"/>
  <c r="DR46" i="1"/>
  <c r="DR47" i="1"/>
  <c r="DR48" i="1"/>
  <c r="DR49" i="1"/>
  <c r="DR50" i="1"/>
  <c r="DR51" i="1"/>
  <c r="DR52" i="1"/>
  <c r="DR53" i="1"/>
  <c r="DR54" i="1"/>
  <c r="DR55" i="1"/>
  <c r="DR56" i="1"/>
  <c r="DR57" i="1"/>
  <c r="DR58" i="1"/>
  <c r="DR59" i="1"/>
  <c r="DR60" i="1"/>
  <c r="DR61" i="1"/>
  <c r="DR62" i="1"/>
  <c r="DR63" i="1"/>
  <c r="DR64" i="1"/>
  <c r="DR65" i="1" s="1"/>
  <c r="DQ4" i="1"/>
  <c r="DQ5" i="1"/>
  <c r="DQ6" i="1"/>
  <c r="DQ64" i="1" s="1"/>
  <c r="DQ65" i="1" s="1"/>
  <c r="DQ7" i="1"/>
  <c r="DQ8" i="1"/>
  <c r="DQ9" i="1"/>
  <c r="DQ10" i="1"/>
  <c r="DQ11" i="1"/>
  <c r="DQ12" i="1"/>
  <c r="DQ13" i="1"/>
  <c r="DQ14" i="1"/>
  <c r="DQ15" i="1"/>
  <c r="DQ16" i="1"/>
  <c r="DQ17" i="1"/>
  <c r="DQ18" i="1"/>
  <c r="DQ19" i="1"/>
  <c r="DQ20" i="1"/>
  <c r="DQ21" i="1"/>
  <c r="DQ22" i="1"/>
  <c r="DQ23" i="1"/>
  <c r="DQ24" i="1"/>
  <c r="DQ25" i="1"/>
  <c r="DQ26" i="1"/>
  <c r="DQ27" i="1"/>
  <c r="DQ28" i="1"/>
  <c r="DQ29" i="1"/>
  <c r="DQ30" i="1"/>
  <c r="DQ31" i="1"/>
  <c r="DQ32" i="1"/>
  <c r="DQ33" i="1"/>
  <c r="DQ34" i="1"/>
  <c r="DQ35" i="1"/>
  <c r="DQ36" i="1"/>
  <c r="DQ37" i="1"/>
  <c r="DQ38" i="1"/>
  <c r="DQ39" i="1"/>
  <c r="DQ40" i="1"/>
  <c r="DQ41" i="1"/>
  <c r="DQ42" i="1"/>
  <c r="DQ43" i="1"/>
  <c r="DQ44" i="1"/>
  <c r="DQ45" i="1"/>
  <c r="DQ46" i="1"/>
  <c r="DQ47" i="1"/>
  <c r="DQ48" i="1"/>
  <c r="DQ49" i="1"/>
  <c r="DQ50" i="1"/>
  <c r="DQ51" i="1"/>
  <c r="DQ52" i="1"/>
  <c r="DQ53" i="1"/>
  <c r="DQ54" i="1"/>
  <c r="DQ55" i="1"/>
  <c r="DQ56" i="1"/>
  <c r="DQ57" i="1"/>
  <c r="DQ58" i="1"/>
  <c r="DQ59" i="1"/>
  <c r="DQ60" i="1"/>
  <c r="DQ61" i="1"/>
  <c r="DQ62" i="1"/>
  <c r="DQ63" i="1"/>
  <c r="DP4" i="1"/>
  <c r="DP5" i="1"/>
  <c r="DP6" i="1"/>
  <c r="DP7" i="1"/>
  <c r="DP8" i="1"/>
  <c r="DP9" i="1"/>
  <c r="DP10" i="1"/>
  <c r="DP11" i="1"/>
  <c r="DP12" i="1"/>
  <c r="DP13" i="1"/>
  <c r="DP14" i="1"/>
  <c r="DP15" i="1"/>
  <c r="DP16" i="1"/>
  <c r="DP17" i="1"/>
  <c r="DP18" i="1"/>
  <c r="DP19" i="1"/>
  <c r="DP20" i="1"/>
  <c r="DP21" i="1"/>
  <c r="DP22" i="1"/>
  <c r="DP23" i="1"/>
  <c r="DP24" i="1"/>
  <c r="DP25" i="1"/>
  <c r="DP26" i="1"/>
  <c r="DP27" i="1"/>
  <c r="DP28" i="1"/>
  <c r="DP29" i="1"/>
  <c r="DP30" i="1"/>
  <c r="DP31" i="1"/>
  <c r="DP32" i="1"/>
  <c r="DP33" i="1"/>
  <c r="DP34" i="1"/>
  <c r="DP35" i="1"/>
  <c r="DP36" i="1"/>
  <c r="DP37" i="1"/>
  <c r="DP38" i="1"/>
  <c r="DP39" i="1"/>
  <c r="DP40" i="1"/>
  <c r="DP41" i="1"/>
  <c r="DP42" i="1"/>
  <c r="DP43" i="1"/>
  <c r="DP44" i="1"/>
  <c r="DP45" i="1"/>
  <c r="DP46" i="1"/>
  <c r="DP47" i="1"/>
  <c r="DP48" i="1"/>
  <c r="DP49" i="1"/>
  <c r="DP50" i="1"/>
  <c r="DP51" i="1"/>
  <c r="DP52" i="1"/>
  <c r="DP53" i="1"/>
  <c r="DP54" i="1"/>
  <c r="DP55" i="1"/>
  <c r="DP56" i="1"/>
  <c r="DP57" i="1"/>
  <c r="DP58" i="1"/>
  <c r="DP59" i="1"/>
  <c r="DP60" i="1"/>
  <c r="DP61" i="1"/>
  <c r="DP62" i="1"/>
  <c r="DP63" i="1"/>
  <c r="DP64" i="1"/>
  <c r="DP65" i="1" s="1"/>
  <c r="DO4" i="1"/>
  <c r="DO5" i="1"/>
  <c r="DO6" i="1"/>
  <c r="DO64" i="1" s="1"/>
  <c r="DO65" i="1" s="1"/>
  <c r="DO7" i="1"/>
  <c r="DO8" i="1"/>
  <c r="DO9" i="1"/>
  <c r="DO10" i="1"/>
  <c r="DO11" i="1"/>
  <c r="DO12" i="1"/>
  <c r="DO13" i="1"/>
  <c r="DO14" i="1"/>
  <c r="DO15" i="1"/>
  <c r="DO16" i="1"/>
  <c r="DO17" i="1"/>
  <c r="DO18" i="1"/>
  <c r="DO19" i="1"/>
  <c r="DO20" i="1"/>
  <c r="DO21" i="1"/>
  <c r="DO22" i="1"/>
  <c r="DO23" i="1"/>
  <c r="DO24" i="1"/>
  <c r="DO25" i="1"/>
  <c r="DO26" i="1"/>
  <c r="DO27" i="1"/>
  <c r="DO28" i="1"/>
  <c r="DO29" i="1"/>
  <c r="DO30" i="1"/>
  <c r="DO31" i="1"/>
  <c r="DO32" i="1"/>
  <c r="DO33" i="1"/>
  <c r="DO34" i="1"/>
  <c r="DO35" i="1"/>
  <c r="DO36" i="1"/>
  <c r="DO37" i="1"/>
  <c r="DO38" i="1"/>
  <c r="DO39" i="1"/>
  <c r="DO40" i="1"/>
  <c r="DO41" i="1"/>
  <c r="DO42" i="1"/>
  <c r="DO43" i="1"/>
  <c r="DO44" i="1"/>
  <c r="DO45" i="1"/>
  <c r="DO46" i="1"/>
  <c r="DO47" i="1"/>
  <c r="DO48" i="1"/>
  <c r="DO49" i="1"/>
  <c r="DO50" i="1"/>
  <c r="DO51" i="1"/>
  <c r="DO52" i="1"/>
  <c r="DO53" i="1"/>
  <c r="DO54" i="1"/>
  <c r="DO55" i="1"/>
  <c r="DO56" i="1"/>
  <c r="DO57" i="1"/>
  <c r="DO58" i="1"/>
  <c r="DO59" i="1"/>
  <c r="DO60" i="1"/>
  <c r="DO61" i="1"/>
  <c r="DO62" i="1"/>
  <c r="DO63" i="1"/>
  <c r="DN4" i="1"/>
  <c r="DN5" i="1"/>
  <c r="DN6" i="1"/>
  <c r="DN7" i="1"/>
  <c r="DN8" i="1"/>
  <c r="DN9" i="1"/>
  <c r="DN10" i="1"/>
  <c r="DN11" i="1"/>
  <c r="DN12" i="1"/>
  <c r="DN13" i="1"/>
  <c r="DN14" i="1"/>
  <c r="DN15" i="1"/>
  <c r="DN16" i="1"/>
  <c r="DN17" i="1"/>
  <c r="DN18" i="1"/>
  <c r="DN19" i="1"/>
  <c r="DN20" i="1"/>
  <c r="DN21" i="1"/>
  <c r="DN22" i="1"/>
  <c r="DN23" i="1"/>
  <c r="DN24" i="1"/>
  <c r="DN25" i="1"/>
  <c r="DN26" i="1"/>
  <c r="DN27" i="1"/>
  <c r="DN28" i="1"/>
  <c r="DN29" i="1"/>
  <c r="DN30" i="1"/>
  <c r="DN31" i="1"/>
  <c r="DN32" i="1"/>
  <c r="DN33" i="1"/>
  <c r="DN34" i="1"/>
  <c r="DN35" i="1"/>
  <c r="DN36" i="1"/>
  <c r="DN37" i="1"/>
  <c r="DN38" i="1"/>
  <c r="DN39" i="1"/>
  <c r="DN40" i="1"/>
  <c r="DN41" i="1"/>
  <c r="DN42" i="1"/>
  <c r="DN43" i="1"/>
  <c r="DN44" i="1"/>
  <c r="DN45" i="1"/>
  <c r="DN46" i="1"/>
  <c r="DN47" i="1"/>
  <c r="DN48" i="1"/>
  <c r="DN49" i="1"/>
  <c r="DN50" i="1"/>
  <c r="DN51" i="1"/>
  <c r="DN52" i="1"/>
  <c r="DN53" i="1"/>
  <c r="DN54" i="1"/>
  <c r="DN55" i="1"/>
  <c r="DN56" i="1"/>
  <c r="DN57" i="1"/>
  <c r="DN58" i="1"/>
  <c r="DN59" i="1"/>
  <c r="DN60" i="1"/>
  <c r="DN61" i="1"/>
  <c r="DN62" i="1"/>
  <c r="DN63" i="1"/>
  <c r="DN64" i="1"/>
  <c r="DN65" i="1" s="1"/>
  <c r="DM4" i="1"/>
  <c r="DM5" i="1"/>
  <c r="DM6" i="1"/>
  <c r="DM64" i="1" s="1"/>
  <c r="DM65" i="1" s="1"/>
  <c r="DM7" i="1"/>
  <c r="DM8" i="1"/>
  <c r="DM9" i="1"/>
  <c r="DM10" i="1"/>
  <c r="DM11" i="1"/>
  <c r="DM12" i="1"/>
  <c r="DM13" i="1"/>
  <c r="DM14" i="1"/>
  <c r="DM15" i="1"/>
  <c r="DM16" i="1"/>
  <c r="DM17" i="1"/>
  <c r="DM18" i="1"/>
  <c r="DM19" i="1"/>
  <c r="DM20" i="1"/>
  <c r="DM21" i="1"/>
  <c r="DM22" i="1"/>
  <c r="DM23" i="1"/>
  <c r="DM24" i="1"/>
  <c r="DM25" i="1"/>
  <c r="DM26" i="1"/>
  <c r="DM27" i="1"/>
  <c r="DM28" i="1"/>
  <c r="DM29" i="1"/>
  <c r="DM30" i="1"/>
  <c r="DM31" i="1"/>
  <c r="DM32" i="1"/>
  <c r="DM33" i="1"/>
  <c r="DM34" i="1"/>
  <c r="DM35" i="1"/>
  <c r="DM36" i="1"/>
  <c r="DM37" i="1"/>
  <c r="DM38" i="1"/>
  <c r="DM39" i="1"/>
  <c r="DM40" i="1"/>
  <c r="DM41" i="1"/>
  <c r="DM42" i="1"/>
  <c r="DM43" i="1"/>
  <c r="DM44" i="1"/>
  <c r="DM45" i="1"/>
  <c r="DM46" i="1"/>
  <c r="DM47" i="1"/>
  <c r="DM48" i="1"/>
  <c r="DM49" i="1"/>
  <c r="DM50" i="1"/>
  <c r="DM51" i="1"/>
  <c r="DM52" i="1"/>
  <c r="DM53" i="1"/>
  <c r="DM54" i="1"/>
  <c r="DM55" i="1"/>
  <c r="DM56" i="1"/>
  <c r="DM57" i="1"/>
  <c r="DM58" i="1"/>
  <c r="DM59" i="1"/>
  <c r="DM60" i="1"/>
  <c r="DM61" i="1"/>
  <c r="DM62" i="1"/>
  <c r="DM63" i="1"/>
  <c r="DL4" i="1"/>
  <c r="DL5" i="1"/>
  <c r="DL6" i="1"/>
  <c r="DL7" i="1"/>
  <c r="DL8" i="1"/>
  <c r="DL9" i="1"/>
  <c r="DL10" i="1"/>
  <c r="DL11" i="1"/>
  <c r="DL12" i="1"/>
  <c r="DL13" i="1"/>
  <c r="DL14" i="1"/>
  <c r="DL15" i="1"/>
  <c r="DL16" i="1"/>
  <c r="DL17" i="1"/>
  <c r="DL18" i="1"/>
  <c r="DL19" i="1"/>
  <c r="DL20" i="1"/>
  <c r="DL21" i="1"/>
  <c r="DL22" i="1"/>
  <c r="DL23" i="1"/>
  <c r="DL24" i="1"/>
  <c r="DL25" i="1"/>
  <c r="DL26" i="1"/>
  <c r="DL27" i="1"/>
  <c r="DL28" i="1"/>
  <c r="DL29" i="1"/>
  <c r="DL30" i="1"/>
  <c r="DL31" i="1"/>
  <c r="DL32" i="1"/>
  <c r="DL33" i="1"/>
  <c r="DL34" i="1"/>
  <c r="DL35" i="1"/>
  <c r="DL36" i="1"/>
  <c r="DL37" i="1"/>
  <c r="DL38" i="1"/>
  <c r="DL39" i="1"/>
  <c r="DL40" i="1"/>
  <c r="DL41" i="1"/>
  <c r="DL42" i="1"/>
  <c r="DL43" i="1"/>
  <c r="DL44" i="1"/>
  <c r="DL45" i="1"/>
  <c r="DL46" i="1"/>
  <c r="DL47" i="1"/>
  <c r="DL48" i="1"/>
  <c r="DL49" i="1"/>
  <c r="DL50" i="1"/>
  <c r="DL51" i="1"/>
  <c r="DL52" i="1"/>
  <c r="DL53" i="1"/>
  <c r="DL54" i="1"/>
  <c r="DL55" i="1"/>
  <c r="DL56" i="1"/>
  <c r="DL57" i="1"/>
  <c r="DL58" i="1"/>
  <c r="DL59" i="1"/>
  <c r="DL60" i="1"/>
  <c r="DL61" i="1"/>
  <c r="DL62" i="1"/>
  <c r="DL63" i="1"/>
  <c r="DL64" i="1"/>
  <c r="DL65" i="1" s="1"/>
  <c r="DK4" i="1"/>
  <c r="DK5" i="1"/>
  <c r="DK6" i="1"/>
  <c r="DK64" i="1" s="1"/>
  <c r="DK65" i="1" s="1"/>
  <c r="DK7" i="1"/>
  <c r="DK8" i="1"/>
  <c r="DK9" i="1"/>
  <c r="DK10" i="1"/>
  <c r="DK11" i="1"/>
  <c r="DK12" i="1"/>
  <c r="DK13" i="1"/>
  <c r="DK14" i="1"/>
  <c r="DK15" i="1"/>
  <c r="DK16" i="1"/>
  <c r="DK17" i="1"/>
  <c r="DK18" i="1"/>
  <c r="DK19" i="1"/>
  <c r="DK20" i="1"/>
  <c r="DK21" i="1"/>
  <c r="DK22" i="1"/>
  <c r="DK23" i="1"/>
  <c r="DK24" i="1"/>
  <c r="DK25" i="1"/>
  <c r="DK26" i="1"/>
  <c r="DK27" i="1"/>
  <c r="DK28" i="1"/>
  <c r="DK29" i="1"/>
  <c r="DK30" i="1"/>
  <c r="DK31" i="1"/>
  <c r="DK32" i="1"/>
  <c r="DK33" i="1"/>
  <c r="DK34" i="1"/>
  <c r="DK35" i="1"/>
  <c r="DK36" i="1"/>
  <c r="DK37" i="1"/>
  <c r="DK38" i="1"/>
  <c r="DK39" i="1"/>
  <c r="DK40" i="1"/>
  <c r="DK41" i="1"/>
  <c r="DK42" i="1"/>
  <c r="DK43" i="1"/>
  <c r="DK44" i="1"/>
  <c r="DK45" i="1"/>
  <c r="DK46" i="1"/>
  <c r="DK47" i="1"/>
  <c r="DK48" i="1"/>
  <c r="DK49" i="1"/>
  <c r="DK50" i="1"/>
  <c r="DK51" i="1"/>
  <c r="DK52" i="1"/>
  <c r="DK53" i="1"/>
  <c r="DK54" i="1"/>
  <c r="DK55" i="1"/>
  <c r="DK56" i="1"/>
  <c r="DK57" i="1"/>
  <c r="DK58" i="1"/>
  <c r="DK59" i="1"/>
  <c r="DK60" i="1"/>
  <c r="DK61" i="1"/>
  <c r="DK62" i="1"/>
  <c r="DK63" i="1"/>
  <c r="DJ24" i="1"/>
  <c r="DJ47" i="1"/>
  <c r="DI4" i="1"/>
  <c r="DI5" i="1"/>
  <c r="DI6" i="1"/>
  <c r="DI7" i="1"/>
  <c r="DI8" i="1"/>
  <c r="DI9" i="1"/>
  <c r="DI10" i="1"/>
  <c r="DI11" i="1"/>
  <c r="DI12" i="1"/>
  <c r="DI13" i="1"/>
  <c r="DI14" i="1"/>
  <c r="DI15" i="1"/>
  <c r="DI16" i="1"/>
  <c r="DI17" i="1"/>
  <c r="DI18" i="1"/>
  <c r="DI19" i="1"/>
  <c r="DI20" i="1"/>
  <c r="DI21" i="1"/>
  <c r="DI22" i="1"/>
  <c r="DI23" i="1"/>
  <c r="DI24" i="1"/>
  <c r="DI25" i="1"/>
  <c r="DI26" i="1"/>
  <c r="DI27" i="1"/>
  <c r="DI28" i="1"/>
  <c r="DI29" i="1"/>
  <c r="DI30" i="1"/>
  <c r="DI31" i="1"/>
  <c r="DI32" i="1"/>
  <c r="DI33" i="1"/>
  <c r="DI34" i="1"/>
  <c r="DI35" i="1"/>
  <c r="DI36" i="1"/>
  <c r="DI37" i="1"/>
  <c r="DI38" i="1"/>
  <c r="DI39" i="1"/>
  <c r="DI40" i="1"/>
  <c r="DI64" i="1" s="1"/>
  <c r="DI65" i="1" s="1"/>
  <c r="DI41" i="1"/>
  <c r="DI42" i="1"/>
  <c r="DI43" i="1"/>
  <c r="DI44" i="1"/>
  <c r="DI45" i="1"/>
  <c r="DI46" i="1"/>
  <c r="DI47" i="1"/>
  <c r="DI48" i="1"/>
  <c r="DI49" i="1"/>
  <c r="DI50" i="1"/>
  <c r="DI51" i="1"/>
  <c r="DI52" i="1"/>
  <c r="DI53" i="1"/>
  <c r="DI54" i="1"/>
  <c r="DI55" i="1"/>
  <c r="DI56" i="1"/>
  <c r="DI57" i="1"/>
  <c r="DI58" i="1"/>
  <c r="DI59" i="1"/>
  <c r="DI60" i="1"/>
  <c r="DI61" i="1"/>
  <c r="DI62" i="1"/>
  <c r="DI63" i="1"/>
  <c r="DH4" i="1"/>
  <c r="DH5" i="1"/>
  <c r="DH64" i="1" s="1"/>
  <c r="DH65" i="1" s="1"/>
  <c r="DH6" i="1"/>
  <c r="DH7" i="1"/>
  <c r="DH8" i="1"/>
  <c r="DH9" i="1"/>
  <c r="DH10" i="1"/>
  <c r="DH11" i="1"/>
  <c r="DH12" i="1"/>
  <c r="DH13" i="1"/>
  <c r="DH14" i="1"/>
  <c r="DH15" i="1"/>
  <c r="DH16" i="1"/>
  <c r="DH17" i="1"/>
  <c r="DH18" i="1"/>
  <c r="DH19" i="1"/>
  <c r="DH20" i="1"/>
  <c r="DH21" i="1"/>
  <c r="DH22" i="1"/>
  <c r="DH23" i="1"/>
  <c r="DH24" i="1"/>
  <c r="DH25" i="1"/>
  <c r="DH26" i="1"/>
  <c r="DH27" i="1"/>
  <c r="DH28" i="1"/>
  <c r="DH29" i="1"/>
  <c r="DH30" i="1"/>
  <c r="DH31" i="1"/>
  <c r="DH32" i="1"/>
  <c r="DH33" i="1"/>
  <c r="DH34" i="1"/>
  <c r="DH35" i="1"/>
  <c r="DH36" i="1"/>
  <c r="DH37" i="1"/>
  <c r="DH38" i="1"/>
  <c r="DH39" i="1"/>
  <c r="DH40" i="1"/>
  <c r="DH41" i="1"/>
  <c r="DH42" i="1"/>
  <c r="DH43" i="1"/>
  <c r="DH44" i="1"/>
  <c r="DH45" i="1"/>
  <c r="DH46" i="1"/>
  <c r="DH47" i="1"/>
  <c r="DH48" i="1"/>
  <c r="DH49" i="1"/>
  <c r="DH50" i="1"/>
  <c r="DH51" i="1"/>
  <c r="DH52" i="1"/>
  <c r="DH53" i="1"/>
  <c r="DH54" i="1"/>
  <c r="DH55" i="1"/>
  <c r="DH56" i="1"/>
  <c r="DH57" i="1"/>
  <c r="DH58" i="1"/>
  <c r="DH59" i="1"/>
  <c r="DH60" i="1"/>
  <c r="DH61" i="1"/>
  <c r="DH62" i="1"/>
  <c r="DH63" i="1"/>
  <c r="DG4" i="1"/>
  <c r="DG5" i="1"/>
  <c r="DG6" i="1"/>
  <c r="DG7" i="1"/>
  <c r="DG8" i="1"/>
  <c r="DG9" i="1"/>
  <c r="DG10" i="1"/>
  <c r="DG11" i="1"/>
  <c r="DG12" i="1"/>
  <c r="DG13" i="1"/>
  <c r="DG14" i="1"/>
  <c r="DG15" i="1"/>
  <c r="DG16" i="1"/>
  <c r="DG17" i="1"/>
  <c r="DG18" i="1"/>
  <c r="DG19" i="1"/>
  <c r="DG20" i="1"/>
  <c r="DG21" i="1"/>
  <c r="DG22" i="1"/>
  <c r="DG23" i="1"/>
  <c r="DG24" i="1"/>
  <c r="DG25" i="1"/>
  <c r="DG26" i="1"/>
  <c r="DG27" i="1"/>
  <c r="DG28" i="1"/>
  <c r="DG29" i="1"/>
  <c r="DG30" i="1"/>
  <c r="DG31" i="1"/>
  <c r="DG32" i="1"/>
  <c r="DG33" i="1"/>
  <c r="DG34" i="1"/>
  <c r="DG35" i="1"/>
  <c r="DG36" i="1"/>
  <c r="DG64" i="1" s="1"/>
  <c r="DG65" i="1" s="1"/>
  <c r="DG37" i="1"/>
  <c r="DG38" i="1"/>
  <c r="DG39" i="1"/>
  <c r="DG40" i="1"/>
  <c r="DG41" i="1"/>
  <c r="DG42" i="1"/>
  <c r="DG43" i="1"/>
  <c r="DG44" i="1"/>
  <c r="DG45" i="1"/>
  <c r="DG46" i="1"/>
  <c r="DG47" i="1"/>
  <c r="DG48" i="1"/>
  <c r="DG49" i="1"/>
  <c r="DG50" i="1"/>
  <c r="DG51" i="1"/>
  <c r="DG52" i="1"/>
  <c r="DG53" i="1"/>
  <c r="DG54" i="1"/>
  <c r="DG55" i="1"/>
  <c r="DG56" i="1"/>
  <c r="DG57" i="1"/>
  <c r="DG58" i="1"/>
  <c r="DG59" i="1"/>
  <c r="DG60" i="1"/>
  <c r="DG61" i="1"/>
  <c r="DG62" i="1"/>
  <c r="DG63" i="1"/>
  <c r="DF4" i="1"/>
  <c r="DF5" i="1"/>
  <c r="DF64" i="1" s="1"/>
  <c r="DF65" i="1" s="1"/>
  <c r="DF6" i="1"/>
  <c r="DF7" i="1"/>
  <c r="DF8" i="1"/>
  <c r="DF9" i="1"/>
  <c r="DF10" i="1"/>
  <c r="DF11" i="1"/>
  <c r="DF12" i="1"/>
  <c r="DF13" i="1"/>
  <c r="DF14" i="1"/>
  <c r="DF15" i="1"/>
  <c r="DF16" i="1"/>
  <c r="DF17" i="1"/>
  <c r="DF18" i="1"/>
  <c r="DF19" i="1"/>
  <c r="DF20" i="1"/>
  <c r="DF21" i="1"/>
  <c r="DF22" i="1"/>
  <c r="DF23" i="1"/>
  <c r="DF24" i="1"/>
  <c r="DF25" i="1"/>
  <c r="DF26" i="1"/>
  <c r="DF27" i="1"/>
  <c r="DF28" i="1"/>
  <c r="DF29" i="1"/>
  <c r="DF30" i="1"/>
  <c r="DF31" i="1"/>
  <c r="DF32" i="1"/>
  <c r="DF33" i="1"/>
  <c r="DF34" i="1"/>
  <c r="DF35" i="1"/>
  <c r="DF36" i="1"/>
  <c r="DF37" i="1"/>
  <c r="DF38" i="1"/>
  <c r="DF39" i="1"/>
  <c r="DF40" i="1"/>
  <c r="DF41" i="1"/>
  <c r="DF42" i="1"/>
  <c r="DF43" i="1"/>
  <c r="DF44" i="1"/>
  <c r="DF45" i="1"/>
  <c r="DF46" i="1"/>
  <c r="DF47" i="1"/>
  <c r="DF48" i="1"/>
  <c r="DF49" i="1"/>
  <c r="DF50" i="1"/>
  <c r="DF51" i="1"/>
  <c r="DF52" i="1"/>
  <c r="DF53" i="1"/>
  <c r="DF54" i="1"/>
  <c r="DF55" i="1"/>
  <c r="DF56" i="1"/>
  <c r="DF57" i="1"/>
  <c r="DF58" i="1"/>
  <c r="DF59" i="1"/>
  <c r="DF60" i="1"/>
  <c r="DF61" i="1"/>
  <c r="DF62" i="1"/>
  <c r="DF63" i="1"/>
  <c r="DE4" i="1"/>
  <c r="DE5" i="1"/>
  <c r="DE6" i="1"/>
  <c r="DE7" i="1"/>
  <c r="DE8" i="1"/>
  <c r="DE9" i="1"/>
  <c r="DE10" i="1"/>
  <c r="DE11" i="1"/>
  <c r="DE12" i="1"/>
  <c r="DE13" i="1"/>
  <c r="DE14" i="1"/>
  <c r="DE15" i="1"/>
  <c r="DE16" i="1"/>
  <c r="DE17" i="1"/>
  <c r="DE18" i="1"/>
  <c r="DE19" i="1"/>
  <c r="DE20" i="1"/>
  <c r="DE21" i="1"/>
  <c r="DE22" i="1"/>
  <c r="DE23" i="1"/>
  <c r="DE24" i="1"/>
  <c r="DE25" i="1"/>
  <c r="DE26" i="1"/>
  <c r="DE27" i="1"/>
  <c r="DE28" i="1"/>
  <c r="DE29" i="1"/>
  <c r="DE30" i="1"/>
  <c r="DE31" i="1"/>
  <c r="DE32" i="1"/>
  <c r="DE33" i="1"/>
  <c r="DE34" i="1"/>
  <c r="DE35" i="1"/>
  <c r="DE36" i="1"/>
  <c r="DE37" i="1"/>
  <c r="DE38" i="1"/>
  <c r="DE39" i="1"/>
  <c r="DE40" i="1"/>
  <c r="DE41" i="1"/>
  <c r="DE42" i="1"/>
  <c r="DE43" i="1"/>
  <c r="DE44" i="1"/>
  <c r="DE45" i="1"/>
  <c r="DE46" i="1"/>
  <c r="DE47" i="1"/>
  <c r="DE48" i="1"/>
  <c r="DE49" i="1"/>
  <c r="DE50" i="1"/>
  <c r="DE51" i="1"/>
  <c r="DE52" i="1"/>
  <c r="DE53" i="1"/>
  <c r="DE54" i="1"/>
  <c r="DE55" i="1"/>
  <c r="DE56" i="1"/>
  <c r="DE57" i="1"/>
  <c r="DE58" i="1"/>
  <c r="DE59" i="1"/>
  <c r="DE60" i="1"/>
  <c r="DE61" i="1"/>
  <c r="DE62" i="1"/>
  <c r="DE63" i="1"/>
  <c r="DE64" i="1"/>
  <c r="DE65" i="1" s="1"/>
  <c r="DD4" i="1"/>
  <c r="DD5" i="1"/>
  <c r="DD6" i="1"/>
  <c r="DD64" i="1" s="1"/>
  <c r="DD65" i="1" s="1"/>
  <c r="DD7" i="1"/>
  <c r="DD8" i="1"/>
  <c r="DD9" i="1"/>
  <c r="DD10" i="1"/>
  <c r="DD11" i="1"/>
  <c r="DD12" i="1"/>
  <c r="DD13" i="1"/>
  <c r="DD14" i="1"/>
  <c r="DD15" i="1"/>
  <c r="DD16" i="1"/>
  <c r="DD17" i="1"/>
  <c r="DD18" i="1"/>
  <c r="DD19" i="1"/>
  <c r="DD20" i="1"/>
  <c r="DD21" i="1"/>
  <c r="DD22" i="1"/>
  <c r="DD23" i="1"/>
  <c r="DD24" i="1"/>
  <c r="DD25" i="1"/>
  <c r="DD26" i="1"/>
  <c r="DD27" i="1"/>
  <c r="DD28" i="1"/>
  <c r="DD29" i="1"/>
  <c r="DD30" i="1"/>
  <c r="DD31" i="1"/>
  <c r="DD32" i="1"/>
  <c r="DD33" i="1"/>
  <c r="DD34" i="1"/>
  <c r="DD35" i="1"/>
  <c r="DD36" i="1"/>
  <c r="DD37" i="1"/>
  <c r="DD38" i="1"/>
  <c r="DD39" i="1"/>
  <c r="DD40" i="1"/>
  <c r="DD41" i="1"/>
  <c r="DD42" i="1"/>
  <c r="DD43" i="1"/>
  <c r="DD44" i="1"/>
  <c r="DD45" i="1"/>
  <c r="DD46" i="1"/>
  <c r="DD47" i="1"/>
  <c r="DD48" i="1"/>
  <c r="DD49" i="1"/>
  <c r="DD50" i="1"/>
  <c r="DD51" i="1"/>
  <c r="DD52" i="1"/>
  <c r="DD53" i="1"/>
  <c r="DD54" i="1"/>
  <c r="DD55" i="1"/>
  <c r="DD56" i="1"/>
  <c r="DD57" i="1"/>
  <c r="DD58" i="1"/>
  <c r="DD59" i="1"/>
  <c r="DD60" i="1"/>
  <c r="DD61" i="1"/>
  <c r="DD62" i="1"/>
  <c r="DD63" i="1"/>
  <c r="DC4" i="1"/>
  <c r="DC5" i="1"/>
  <c r="DC6" i="1"/>
  <c r="DC7" i="1"/>
  <c r="DC8" i="1"/>
  <c r="DC9" i="1"/>
  <c r="DC10" i="1"/>
  <c r="DC11" i="1"/>
  <c r="DC12" i="1"/>
  <c r="DC13" i="1"/>
  <c r="DC14" i="1"/>
  <c r="DC15" i="1"/>
  <c r="DC16" i="1"/>
  <c r="DC17" i="1"/>
  <c r="DC18" i="1"/>
  <c r="DC19" i="1"/>
  <c r="DC20" i="1"/>
  <c r="DC21" i="1"/>
  <c r="DC22" i="1"/>
  <c r="DC23" i="1"/>
  <c r="DC24" i="1"/>
  <c r="DC25" i="1"/>
  <c r="DC26" i="1"/>
  <c r="DC27" i="1"/>
  <c r="DC28" i="1"/>
  <c r="DC29" i="1"/>
  <c r="DC30" i="1"/>
  <c r="DC31" i="1"/>
  <c r="DC32" i="1"/>
  <c r="DC33" i="1"/>
  <c r="DC34" i="1"/>
  <c r="DC35" i="1"/>
  <c r="DC36" i="1"/>
  <c r="DC37" i="1"/>
  <c r="DC38" i="1"/>
  <c r="DC39" i="1"/>
  <c r="DC40" i="1"/>
  <c r="DC41" i="1"/>
  <c r="DC42" i="1"/>
  <c r="DC43" i="1"/>
  <c r="DC44" i="1"/>
  <c r="DC45" i="1"/>
  <c r="DC46" i="1"/>
  <c r="DC47" i="1"/>
  <c r="DC48" i="1"/>
  <c r="DC49" i="1"/>
  <c r="DC50" i="1"/>
  <c r="DC51" i="1"/>
  <c r="DC52" i="1"/>
  <c r="DC53" i="1"/>
  <c r="DC54" i="1"/>
  <c r="DC55" i="1"/>
  <c r="DC56" i="1"/>
  <c r="DC57" i="1"/>
  <c r="DC58" i="1"/>
  <c r="DC59" i="1"/>
  <c r="DC60" i="1"/>
  <c r="DC61" i="1"/>
  <c r="DC62" i="1"/>
  <c r="DC63" i="1"/>
  <c r="DC64" i="1"/>
  <c r="DC65" i="1" s="1"/>
  <c r="DB4" i="1"/>
  <c r="DB5" i="1"/>
  <c r="DB6" i="1"/>
  <c r="DB64" i="1" s="1"/>
  <c r="DB65" i="1" s="1"/>
  <c r="DB7" i="1"/>
  <c r="DB8" i="1"/>
  <c r="DB9" i="1"/>
  <c r="DB10" i="1"/>
  <c r="DB11" i="1"/>
  <c r="DB12" i="1"/>
  <c r="DB13" i="1"/>
  <c r="DB14" i="1"/>
  <c r="DB15" i="1"/>
  <c r="DB16" i="1"/>
  <c r="DB17" i="1"/>
  <c r="DB18" i="1"/>
  <c r="DB19" i="1"/>
  <c r="DB20" i="1"/>
  <c r="DB21" i="1"/>
  <c r="DB22" i="1"/>
  <c r="DB23" i="1"/>
  <c r="DB24" i="1"/>
  <c r="DB25" i="1"/>
  <c r="DB26" i="1"/>
  <c r="DB27" i="1"/>
  <c r="DB28" i="1"/>
  <c r="DB29" i="1"/>
  <c r="DB30" i="1"/>
  <c r="DB31" i="1"/>
  <c r="DB32" i="1"/>
  <c r="DB33" i="1"/>
  <c r="DB34" i="1"/>
  <c r="DB35" i="1"/>
  <c r="DB36" i="1"/>
  <c r="DB37" i="1"/>
  <c r="DB38" i="1"/>
  <c r="DB39" i="1"/>
  <c r="DB40" i="1"/>
  <c r="DB41" i="1"/>
  <c r="DB42" i="1"/>
  <c r="DB43" i="1"/>
  <c r="DB44" i="1"/>
  <c r="DB45" i="1"/>
  <c r="DB46" i="1"/>
  <c r="DB47" i="1"/>
  <c r="DB48" i="1"/>
  <c r="DB49" i="1"/>
  <c r="DB50" i="1"/>
  <c r="DB51" i="1"/>
  <c r="DB52" i="1"/>
  <c r="DB53" i="1"/>
  <c r="DB54" i="1"/>
  <c r="DB55" i="1"/>
  <c r="DB56" i="1"/>
  <c r="DB57" i="1"/>
  <c r="DB58" i="1"/>
  <c r="DB59" i="1"/>
  <c r="DB60" i="1"/>
  <c r="DB61" i="1"/>
  <c r="DB62" i="1"/>
  <c r="DB63" i="1"/>
  <c r="DA4" i="1"/>
  <c r="DA5" i="1"/>
  <c r="DA6" i="1"/>
  <c r="DA7" i="1"/>
  <c r="DA8" i="1"/>
  <c r="DA9" i="1"/>
  <c r="DA10" i="1"/>
  <c r="DA11" i="1"/>
  <c r="DA12" i="1"/>
  <c r="DA13" i="1"/>
  <c r="DA14" i="1"/>
  <c r="DA15" i="1"/>
  <c r="DA16" i="1"/>
  <c r="DA17" i="1"/>
  <c r="DA18" i="1"/>
  <c r="DA19" i="1"/>
  <c r="DA20" i="1"/>
  <c r="DA21" i="1"/>
  <c r="DA22" i="1"/>
  <c r="DA23" i="1"/>
  <c r="DA24" i="1"/>
  <c r="DA25" i="1"/>
  <c r="DA26" i="1"/>
  <c r="DA27" i="1"/>
  <c r="DA28" i="1"/>
  <c r="DA29" i="1"/>
  <c r="DA30" i="1"/>
  <c r="DA31" i="1"/>
  <c r="DA32" i="1"/>
  <c r="DA33" i="1"/>
  <c r="DA34" i="1"/>
  <c r="DA35" i="1"/>
  <c r="DA36" i="1"/>
  <c r="DA37" i="1"/>
  <c r="DA38" i="1"/>
  <c r="DA39" i="1"/>
  <c r="DA40" i="1"/>
  <c r="DA41" i="1"/>
  <c r="DA42" i="1"/>
  <c r="DA43" i="1"/>
  <c r="DA44" i="1"/>
  <c r="DA45" i="1"/>
  <c r="DA46" i="1"/>
  <c r="DA47" i="1"/>
  <c r="DA48" i="1"/>
  <c r="DA49" i="1"/>
  <c r="DA50" i="1"/>
  <c r="DA51" i="1"/>
  <c r="DA52" i="1"/>
  <c r="DA53" i="1"/>
  <c r="DA54" i="1"/>
  <c r="DA55" i="1"/>
  <c r="DA56" i="1"/>
  <c r="DA57" i="1"/>
  <c r="DA58" i="1"/>
  <c r="DA59" i="1"/>
  <c r="DA60" i="1"/>
  <c r="DA61" i="1"/>
  <c r="DA62" i="1"/>
  <c r="DA63" i="1"/>
  <c r="DA64" i="1"/>
  <c r="DA65" i="1" s="1"/>
  <c r="CZ4" i="1"/>
  <c r="CZ5" i="1"/>
  <c r="CZ6" i="1"/>
  <c r="CZ64" i="1" s="1"/>
  <c r="CZ65" i="1" s="1"/>
  <c r="CZ7" i="1"/>
  <c r="CZ8" i="1"/>
  <c r="CZ9" i="1"/>
  <c r="CZ10" i="1"/>
  <c r="CZ11" i="1"/>
  <c r="CZ12" i="1"/>
  <c r="CZ13" i="1"/>
  <c r="CZ14" i="1"/>
  <c r="CZ15" i="1"/>
  <c r="CZ16" i="1"/>
  <c r="CZ17" i="1"/>
  <c r="CZ18" i="1"/>
  <c r="CZ19" i="1"/>
  <c r="CZ20" i="1"/>
  <c r="CZ21" i="1"/>
  <c r="CZ22" i="1"/>
  <c r="CZ23" i="1"/>
  <c r="CZ24" i="1"/>
  <c r="CZ25" i="1"/>
  <c r="CZ26" i="1"/>
  <c r="CZ27" i="1"/>
  <c r="CZ28" i="1"/>
  <c r="CZ29" i="1"/>
  <c r="CZ30" i="1"/>
  <c r="CZ31" i="1"/>
  <c r="CZ32" i="1"/>
  <c r="CZ33" i="1"/>
  <c r="CZ34" i="1"/>
  <c r="CZ35" i="1"/>
  <c r="CZ36" i="1"/>
  <c r="CZ37" i="1"/>
  <c r="CZ38" i="1"/>
  <c r="CZ39" i="1"/>
  <c r="CZ40" i="1"/>
  <c r="CZ41" i="1"/>
  <c r="CZ42" i="1"/>
  <c r="CZ43" i="1"/>
  <c r="CZ44" i="1"/>
  <c r="CZ45" i="1"/>
  <c r="CZ46" i="1"/>
  <c r="CZ47" i="1"/>
  <c r="CZ48" i="1"/>
  <c r="CZ49" i="1"/>
  <c r="CZ50" i="1"/>
  <c r="CZ51" i="1"/>
  <c r="CZ52" i="1"/>
  <c r="CZ53" i="1"/>
  <c r="CZ54" i="1"/>
  <c r="CZ55" i="1"/>
  <c r="CZ56" i="1"/>
  <c r="CZ57" i="1"/>
  <c r="CZ58" i="1"/>
  <c r="CZ59" i="1"/>
  <c r="CZ60" i="1"/>
  <c r="CZ61" i="1"/>
  <c r="CZ62" i="1"/>
  <c r="CZ63" i="1"/>
  <c r="CY4" i="1"/>
  <c r="CY5" i="1"/>
  <c r="CY6" i="1"/>
  <c r="CY7" i="1"/>
  <c r="CY8" i="1"/>
  <c r="CY9" i="1"/>
  <c r="CY10" i="1"/>
  <c r="CY11" i="1"/>
  <c r="CY12" i="1"/>
  <c r="CY13" i="1"/>
  <c r="CY14" i="1"/>
  <c r="CY15" i="1"/>
  <c r="CY16" i="1"/>
  <c r="CY17" i="1"/>
  <c r="CY18" i="1"/>
  <c r="CY19" i="1"/>
  <c r="CY20" i="1"/>
  <c r="CY21" i="1"/>
  <c r="CY22" i="1"/>
  <c r="CY23" i="1"/>
  <c r="CY24" i="1"/>
  <c r="CY25" i="1"/>
  <c r="CY26" i="1"/>
  <c r="CY27" i="1"/>
  <c r="CY28" i="1"/>
  <c r="CY29" i="1"/>
  <c r="CY30" i="1"/>
  <c r="CY31" i="1"/>
  <c r="CY32" i="1"/>
  <c r="CY33" i="1"/>
  <c r="CY34" i="1"/>
  <c r="CY35" i="1"/>
  <c r="CY36" i="1"/>
  <c r="CY37" i="1"/>
  <c r="CY38" i="1"/>
  <c r="CY39" i="1"/>
  <c r="CY40" i="1"/>
  <c r="CY41" i="1"/>
  <c r="CY42" i="1"/>
  <c r="CY43" i="1"/>
  <c r="CY44" i="1"/>
  <c r="CY45" i="1"/>
  <c r="CY46" i="1"/>
  <c r="CY47" i="1"/>
  <c r="CY48" i="1"/>
  <c r="CY49" i="1"/>
  <c r="CY50" i="1"/>
  <c r="CY51" i="1"/>
  <c r="CY52" i="1"/>
  <c r="CY53" i="1"/>
  <c r="CY54" i="1"/>
  <c r="CY55" i="1"/>
  <c r="CY56" i="1"/>
  <c r="CY57" i="1"/>
  <c r="CY58" i="1"/>
  <c r="CY59" i="1"/>
  <c r="CY60" i="1"/>
  <c r="CY61" i="1"/>
  <c r="CY62" i="1"/>
  <c r="CY63" i="1"/>
  <c r="CY64" i="1"/>
  <c r="CY65" i="1" s="1"/>
  <c r="CX4" i="1"/>
  <c r="CX5" i="1"/>
  <c r="CX6" i="1"/>
  <c r="CX64" i="1" s="1"/>
  <c r="CX65" i="1" s="1"/>
  <c r="CX7" i="1"/>
  <c r="CX8" i="1"/>
  <c r="CX9" i="1"/>
  <c r="CX10" i="1"/>
  <c r="CX11" i="1"/>
  <c r="CX12" i="1"/>
  <c r="CX13" i="1"/>
  <c r="CX14" i="1"/>
  <c r="CX15" i="1"/>
  <c r="CX16" i="1"/>
  <c r="CX17" i="1"/>
  <c r="CX18" i="1"/>
  <c r="CX19" i="1"/>
  <c r="CX20" i="1"/>
  <c r="CX21" i="1"/>
  <c r="CX22" i="1"/>
  <c r="CX23" i="1"/>
  <c r="CX24" i="1"/>
  <c r="CX25" i="1"/>
  <c r="CX26" i="1"/>
  <c r="CX27" i="1"/>
  <c r="CX28" i="1"/>
  <c r="CX29" i="1"/>
  <c r="CX30" i="1"/>
  <c r="CX31" i="1"/>
  <c r="CX32" i="1"/>
  <c r="CX33" i="1"/>
  <c r="CX34" i="1"/>
  <c r="CX35" i="1"/>
  <c r="CX36" i="1"/>
  <c r="CX37" i="1"/>
  <c r="CX38" i="1"/>
  <c r="CX39" i="1"/>
  <c r="CX40" i="1"/>
  <c r="CX41" i="1"/>
  <c r="CX42" i="1"/>
  <c r="CX43" i="1"/>
  <c r="CX44" i="1"/>
  <c r="CX45" i="1"/>
  <c r="CX46" i="1"/>
  <c r="CX47" i="1"/>
  <c r="CX48" i="1"/>
  <c r="CX49" i="1"/>
  <c r="CX50" i="1"/>
  <c r="CX51" i="1"/>
  <c r="CX52" i="1"/>
  <c r="CX53" i="1"/>
  <c r="CX54" i="1"/>
  <c r="CX55" i="1"/>
  <c r="CX56" i="1"/>
  <c r="CX57" i="1"/>
  <c r="CX58" i="1"/>
  <c r="CX59" i="1"/>
  <c r="CX60" i="1"/>
  <c r="CX61" i="1"/>
  <c r="CX62" i="1"/>
  <c r="CX63" i="1"/>
  <c r="CW4" i="1"/>
  <c r="CW5" i="1"/>
  <c r="CW6" i="1"/>
  <c r="CW7" i="1"/>
  <c r="CW8" i="1"/>
  <c r="CW9" i="1"/>
  <c r="CW10" i="1"/>
  <c r="CW11" i="1"/>
  <c r="CW12" i="1"/>
  <c r="CW13" i="1"/>
  <c r="CW14" i="1"/>
  <c r="CW15" i="1"/>
  <c r="CW16" i="1"/>
  <c r="CW17" i="1"/>
  <c r="CW18" i="1"/>
  <c r="CW19" i="1"/>
  <c r="CW20" i="1"/>
  <c r="CW21" i="1"/>
  <c r="CW22" i="1"/>
  <c r="CW23" i="1"/>
  <c r="CW24" i="1"/>
  <c r="CW25" i="1"/>
  <c r="CW26" i="1"/>
  <c r="CW27" i="1"/>
  <c r="CW28" i="1"/>
  <c r="CW29" i="1"/>
  <c r="CW30" i="1"/>
  <c r="CW31" i="1"/>
  <c r="CW32" i="1"/>
  <c r="CW33" i="1"/>
  <c r="CW34" i="1"/>
  <c r="CW35" i="1"/>
  <c r="CW36" i="1"/>
  <c r="CW37" i="1"/>
  <c r="CW38" i="1"/>
  <c r="CW39" i="1"/>
  <c r="CW40" i="1"/>
  <c r="CW41" i="1"/>
  <c r="CW42" i="1"/>
  <c r="CW43" i="1"/>
  <c r="CW44" i="1"/>
  <c r="CW45" i="1"/>
  <c r="CW46" i="1"/>
  <c r="CW47" i="1"/>
  <c r="CW48" i="1"/>
  <c r="CW49" i="1"/>
  <c r="CW50" i="1"/>
  <c r="CW51" i="1"/>
  <c r="CW52" i="1"/>
  <c r="CW53" i="1"/>
  <c r="CW54" i="1"/>
  <c r="CW55" i="1"/>
  <c r="CW56" i="1"/>
  <c r="CW57" i="1"/>
  <c r="CW58" i="1"/>
  <c r="CW59" i="1"/>
  <c r="CW60" i="1"/>
  <c r="CW61" i="1"/>
  <c r="CW62" i="1"/>
  <c r="CW63" i="1"/>
  <c r="CW64" i="1"/>
  <c r="CW65" i="1" s="1"/>
  <c r="CV4" i="1"/>
  <c r="CV5" i="1"/>
  <c r="CV6" i="1"/>
  <c r="CV64" i="1" s="1"/>
  <c r="CV65" i="1" s="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U4" i="1"/>
  <c r="CU5" i="1"/>
  <c r="CU6" i="1"/>
  <c r="CU7" i="1"/>
  <c r="CU8" i="1"/>
  <c r="CU9" i="1"/>
  <c r="CU10" i="1"/>
  <c r="CU11" i="1"/>
  <c r="CU12" i="1"/>
  <c r="CU13" i="1"/>
  <c r="CU14" i="1"/>
  <c r="CU15" i="1"/>
  <c r="CU16" i="1"/>
  <c r="CU17" i="1"/>
  <c r="CU18" i="1"/>
  <c r="CU19" i="1"/>
  <c r="CU20" i="1"/>
  <c r="CU21" i="1"/>
  <c r="CU22" i="1"/>
  <c r="CU23" i="1"/>
  <c r="CU24" i="1"/>
  <c r="CU25" i="1"/>
  <c r="CU26" i="1"/>
  <c r="CU27" i="1"/>
  <c r="CU28" i="1"/>
  <c r="CU29" i="1"/>
  <c r="CU30" i="1"/>
  <c r="CU31" i="1"/>
  <c r="CU32" i="1"/>
  <c r="CU33" i="1"/>
  <c r="CU34" i="1"/>
  <c r="CU35" i="1"/>
  <c r="CU36" i="1"/>
  <c r="CU37" i="1"/>
  <c r="CU38" i="1"/>
  <c r="CU39" i="1"/>
  <c r="CU40" i="1"/>
  <c r="CU41" i="1"/>
  <c r="CU42" i="1"/>
  <c r="CU43" i="1"/>
  <c r="CU44" i="1"/>
  <c r="CU45" i="1"/>
  <c r="CU46" i="1"/>
  <c r="CU47" i="1"/>
  <c r="CU48" i="1"/>
  <c r="CU49" i="1"/>
  <c r="CU50" i="1"/>
  <c r="CU51" i="1"/>
  <c r="CU52" i="1"/>
  <c r="CU53" i="1"/>
  <c r="CU54" i="1"/>
  <c r="CU55" i="1"/>
  <c r="CU56" i="1"/>
  <c r="CU57" i="1"/>
  <c r="CU58" i="1"/>
  <c r="CU59" i="1"/>
  <c r="CU60" i="1"/>
  <c r="CU61" i="1"/>
  <c r="CU62" i="1"/>
  <c r="CU63" i="1"/>
  <c r="CU64" i="1"/>
  <c r="CU65" i="1" s="1"/>
  <c r="CT4" i="1"/>
  <c r="CT5" i="1"/>
  <c r="CT6" i="1"/>
  <c r="CT64" i="1" s="1"/>
  <c r="CT65" i="1" s="1"/>
  <c r="CT7" i="1"/>
  <c r="CT8" i="1"/>
  <c r="CT9" i="1"/>
  <c r="CT10" i="1"/>
  <c r="CT11" i="1"/>
  <c r="CT12" i="1"/>
  <c r="CT13" i="1"/>
  <c r="CT14" i="1"/>
  <c r="CT15" i="1"/>
  <c r="CT16" i="1"/>
  <c r="CT17" i="1"/>
  <c r="CT18" i="1"/>
  <c r="CT19" i="1"/>
  <c r="CT20" i="1"/>
  <c r="CT21" i="1"/>
  <c r="CT22" i="1"/>
  <c r="CT23" i="1"/>
  <c r="CT24" i="1"/>
  <c r="CT25" i="1"/>
  <c r="CT26" i="1"/>
  <c r="CT27" i="1"/>
  <c r="CT28" i="1"/>
  <c r="CT29" i="1"/>
  <c r="CT30" i="1"/>
  <c r="CT31" i="1"/>
  <c r="CT32" i="1"/>
  <c r="CT33" i="1"/>
  <c r="CT34" i="1"/>
  <c r="CT35" i="1"/>
  <c r="CT36" i="1"/>
  <c r="CT37" i="1"/>
  <c r="CT38" i="1"/>
  <c r="CT39" i="1"/>
  <c r="CT40" i="1"/>
  <c r="CT41" i="1"/>
  <c r="CT42" i="1"/>
  <c r="CT43" i="1"/>
  <c r="CT44" i="1"/>
  <c r="CT45" i="1"/>
  <c r="CT46" i="1"/>
  <c r="CT47" i="1"/>
  <c r="CT48" i="1"/>
  <c r="CT49" i="1"/>
  <c r="CT50" i="1"/>
  <c r="CT51" i="1"/>
  <c r="CT52" i="1"/>
  <c r="CT53" i="1"/>
  <c r="CT54" i="1"/>
  <c r="CT55" i="1"/>
  <c r="CT56" i="1"/>
  <c r="CT57" i="1"/>
  <c r="CT58" i="1"/>
  <c r="CT59" i="1"/>
  <c r="CT60" i="1"/>
  <c r="CT61" i="1"/>
  <c r="CT62" i="1"/>
  <c r="CT63" i="1"/>
  <c r="CS4" i="1"/>
  <c r="CS5" i="1"/>
  <c r="CS6" i="1"/>
  <c r="CS7" i="1"/>
  <c r="CS8" i="1"/>
  <c r="CS9" i="1"/>
  <c r="CS10" i="1"/>
  <c r="CS11" i="1"/>
  <c r="CS12" i="1"/>
  <c r="CS13" i="1"/>
  <c r="CS14" i="1"/>
  <c r="CS15" i="1"/>
  <c r="CS16" i="1"/>
  <c r="CS17" i="1"/>
  <c r="CS18" i="1"/>
  <c r="CS19" i="1"/>
  <c r="CS20" i="1"/>
  <c r="CS21" i="1"/>
  <c r="CS22" i="1"/>
  <c r="CS23" i="1"/>
  <c r="CS24" i="1"/>
  <c r="CS25" i="1"/>
  <c r="CS26" i="1"/>
  <c r="CS27" i="1"/>
  <c r="CS28" i="1"/>
  <c r="CS29" i="1"/>
  <c r="CS30" i="1"/>
  <c r="CS31" i="1"/>
  <c r="CS32" i="1"/>
  <c r="CS33" i="1"/>
  <c r="CS34" i="1"/>
  <c r="CS35" i="1"/>
  <c r="CS36" i="1"/>
  <c r="CS37" i="1"/>
  <c r="CS38" i="1"/>
  <c r="CS39" i="1"/>
  <c r="CS40" i="1"/>
  <c r="CS41" i="1"/>
  <c r="CS42" i="1"/>
  <c r="CS43" i="1"/>
  <c r="CS44" i="1"/>
  <c r="CS45" i="1"/>
  <c r="CS46" i="1"/>
  <c r="CS47" i="1"/>
  <c r="CS48" i="1"/>
  <c r="CS49" i="1"/>
  <c r="CS50" i="1"/>
  <c r="CS51" i="1"/>
  <c r="CS52" i="1"/>
  <c r="CS53" i="1"/>
  <c r="CS54" i="1"/>
  <c r="CS55" i="1"/>
  <c r="CS56" i="1"/>
  <c r="CS57" i="1"/>
  <c r="CS58" i="1"/>
  <c r="CS59" i="1"/>
  <c r="CS60" i="1"/>
  <c r="CS61" i="1"/>
  <c r="CS62" i="1"/>
  <c r="CS63" i="1"/>
  <c r="CS64" i="1"/>
  <c r="CS65" i="1" s="1"/>
  <c r="CR4" i="1"/>
  <c r="CR5" i="1"/>
  <c r="CR6" i="1"/>
  <c r="CR64" i="1" s="1"/>
  <c r="CR65" i="1" s="1"/>
  <c r="CR7" i="1"/>
  <c r="CR8" i="1"/>
  <c r="CR9" i="1"/>
  <c r="CR10" i="1"/>
  <c r="CR11" i="1"/>
  <c r="CR12" i="1"/>
  <c r="CR13" i="1"/>
  <c r="CR14" i="1"/>
  <c r="CR15" i="1"/>
  <c r="CR16" i="1"/>
  <c r="CR17" i="1"/>
  <c r="CR18" i="1"/>
  <c r="CR19" i="1"/>
  <c r="CR20" i="1"/>
  <c r="CR21" i="1"/>
  <c r="CR22" i="1"/>
  <c r="CR23" i="1"/>
  <c r="CR24" i="1"/>
  <c r="CR25" i="1"/>
  <c r="CR26" i="1"/>
  <c r="CR27" i="1"/>
  <c r="CR28" i="1"/>
  <c r="CR29" i="1"/>
  <c r="CR30" i="1"/>
  <c r="CR31" i="1"/>
  <c r="CR32" i="1"/>
  <c r="CR33" i="1"/>
  <c r="CR34" i="1"/>
  <c r="CR35" i="1"/>
  <c r="CR36" i="1"/>
  <c r="CR37" i="1"/>
  <c r="CR38" i="1"/>
  <c r="CR39" i="1"/>
  <c r="CR40" i="1"/>
  <c r="CR41" i="1"/>
  <c r="CR42" i="1"/>
  <c r="CR43" i="1"/>
  <c r="CR44" i="1"/>
  <c r="CR45" i="1"/>
  <c r="CR46" i="1"/>
  <c r="CR47" i="1"/>
  <c r="CR48" i="1"/>
  <c r="CR49" i="1"/>
  <c r="CR50" i="1"/>
  <c r="CR51" i="1"/>
  <c r="CR52" i="1"/>
  <c r="CR53" i="1"/>
  <c r="CR54" i="1"/>
  <c r="CR55" i="1"/>
  <c r="CR56" i="1"/>
  <c r="CR57" i="1"/>
  <c r="CR58" i="1"/>
  <c r="CR59" i="1"/>
  <c r="CR60" i="1"/>
  <c r="CR61" i="1"/>
  <c r="CR62" i="1"/>
  <c r="CR63" i="1"/>
  <c r="CQ4" i="1"/>
  <c r="CQ5" i="1"/>
  <c r="CQ6" i="1"/>
  <c r="CQ7" i="1"/>
  <c r="CQ8" i="1"/>
  <c r="CQ9" i="1"/>
  <c r="CQ10" i="1"/>
  <c r="CQ11" i="1"/>
  <c r="CQ12" i="1"/>
  <c r="CQ13" i="1"/>
  <c r="CQ14" i="1"/>
  <c r="CQ15" i="1"/>
  <c r="CQ16" i="1"/>
  <c r="CQ17" i="1"/>
  <c r="CQ18" i="1"/>
  <c r="CQ19" i="1"/>
  <c r="CQ20" i="1"/>
  <c r="CQ21" i="1"/>
  <c r="CQ22" i="1"/>
  <c r="CQ23" i="1"/>
  <c r="CQ24" i="1"/>
  <c r="CQ25" i="1"/>
  <c r="CQ26" i="1"/>
  <c r="CQ27" i="1"/>
  <c r="CQ28" i="1"/>
  <c r="CQ29" i="1"/>
  <c r="CQ30" i="1"/>
  <c r="CQ31" i="1"/>
  <c r="CQ32" i="1"/>
  <c r="CQ33" i="1"/>
  <c r="CQ34" i="1"/>
  <c r="CQ35" i="1"/>
  <c r="CQ36" i="1"/>
  <c r="CQ37" i="1"/>
  <c r="CQ38" i="1"/>
  <c r="CQ39" i="1"/>
  <c r="CQ40" i="1"/>
  <c r="CQ41" i="1"/>
  <c r="CQ42" i="1"/>
  <c r="CQ43" i="1"/>
  <c r="CQ44" i="1"/>
  <c r="CQ45" i="1"/>
  <c r="CQ46" i="1"/>
  <c r="CQ47" i="1"/>
  <c r="CQ48" i="1"/>
  <c r="CQ49" i="1"/>
  <c r="CQ50" i="1"/>
  <c r="CQ51" i="1"/>
  <c r="CQ52" i="1"/>
  <c r="CQ53" i="1"/>
  <c r="CQ54" i="1"/>
  <c r="CQ55" i="1"/>
  <c r="CQ56" i="1"/>
  <c r="CQ57" i="1"/>
  <c r="CQ58" i="1"/>
  <c r="CQ59" i="1"/>
  <c r="CQ60" i="1"/>
  <c r="CQ61" i="1"/>
  <c r="CQ62" i="1"/>
  <c r="CQ63" i="1"/>
  <c r="CQ64" i="1"/>
  <c r="CQ65" i="1" s="1"/>
  <c r="CP68" i="1"/>
  <c r="DL72" i="1"/>
  <c r="DH72" i="1"/>
  <c r="DD72" i="1"/>
  <c r="CV72" i="1"/>
  <c r="CR72" i="1"/>
  <c r="DP72" i="1" l="1"/>
  <c r="CJ68" i="1"/>
  <c r="BT68" i="1"/>
  <c r="CD68" i="1"/>
  <c r="CE68" i="1"/>
  <c r="BQ68" i="1"/>
  <c r="AQ68" i="1"/>
  <c r="BE68" i="1"/>
  <c r="BI68" i="1"/>
  <c r="BP68" i="1"/>
  <c r="CG68" i="1"/>
  <c r="BF68" i="1"/>
  <c r="BJ68" i="1"/>
  <c r="BM68" i="1"/>
  <c r="BQ64" i="1"/>
  <c r="BQ65" i="1" s="1"/>
  <c r="AV68" i="1"/>
  <c r="CU72" i="1"/>
  <c r="DK72" i="1"/>
  <c r="DW72" i="1"/>
  <c r="AP68" i="1"/>
  <c r="AB68" i="1"/>
  <c r="AS68" i="1"/>
  <c r="AZ68" i="1"/>
  <c r="BX68" i="1"/>
  <c r="BN68" i="1"/>
  <c r="BR68" i="1"/>
  <c r="DC72" i="1"/>
  <c r="AR68" i="1"/>
  <c r="AG68" i="1"/>
  <c r="AK68" i="1"/>
  <c r="AW68" i="1"/>
  <c r="BA68" i="1"/>
  <c r="BZ68" i="1"/>
  <c r="C68" i="5"/>
  <c r="C19" i="5" s="1"/>
  <c r="CS72" i="1"/>
  <c r="CW72" i="1"/>
  <c r="DA72" i="1"/>
  <c r="DE72" i="1"/>
  <c r="DI72" i="1"/>
  <c r="DM72" i="1"/>
  <c r="DQ72" i="1"/>
  <c r="DU72" i="1"/>
  <c r="AD68" i="1"/>
  <c r="AH68" i="1"/>
  <c r="BL68" i="1"/>
  <c r="BV68" i="1"/>
  <c r="DT72" i="1"/>
  <c r="AQ64" i="1"/>
  <c r="AQ65" i="1" s="1"/>
  <c r="CT72" i="1"/>
  <c r="CZ72" i="1"/>
  <c r="DB72" i="1"/>
  <c r="DJ72" i="1"/>
  <c r="Y68" i="1"/>
  <c r="AX68" i="1"/>
  <c r="BG68" i="1"/>
  <c r="BK68" i="1"/>
  <c r="DR72" i="1"/>
  <c r="CP72" i="1"/>
  <c r="CY72" i="1"/>
  <c r="DF72" i="1"/>
  <c r="DO72" i="1"/>
  <c r="DV72" i="1"/>
  <c r="DS72" i="1"/>
  <c r="CL68" i="1"/>
  <c r="CK68" i="1"/>
  <c r="CQ72" i="1"/>
  <c r="CX72" i="1"/>
  <c r="DG72" i="1"/>
  <c r="DN72" i="1"/>
  <c r="BB68" i="1"/>
  <c r="CH4" i="1"/>
  <c r="CC4" i="1"/>
  <c r="C27" i="5"/>
  <c r="C10" i="5"/>
  <c r="C61" i="5"/>
  <c r="C5" i="5"/>
  <c r="C13" i="5"/>
  <c r="C25" i="5"/>
  <c r="C33" i="5"/>
  <c r="C41" i="5"/>
  <c r="C45" i="5"/>
  <c r="C49" i="5"/>
  <c r="C53" i="5"/>
  <c r="C57" i="5"/>
  <c r="C6" i="5"/>
  <c r="C26" i="5"/>
  <c r="C38" i="5"/>
  <c r="C54" i="5"/>
  <c r="C14" i="5"/>
  <c r="C18" i="5"/>
  <c r="C30" i="5"/>
  <c r="C42" i="5"/>
  <c r="C63" i="5"/>
  <c r="U10" i="4"/>
  <c r="V9" i="4"/>
  <c r="V19" i="4" s="1"/>
  <c r="V144" i="4" s="1"/>
  <c r="U9" i="4"/>
  <c r="U19" i="4" s="1"/>
  <c r="U144" i="4" s="1"/>
  <c r="T9" i="4"/>
  <c r="T19" i="4" s="1"/>
  <c r="T144" i="4" s="1"/>
  <c r="V10" i="4"/>
  <c r="T10" i="4"/>
  <c r="T41" i="4"/>
  <c r="U41" i="4" s="1"/>
  <c r="V41" i="4" s="1"/>
  <c r="T40" i="4"/>
  <c r="BW5" i="1"/>
  <c r="BW64" i="1" s="1"/>
  <c r="BW65" i="1" s="1"/>
  <c r="BX8" i="1"/>
  <c r="BW8" i="1" s="1"/>
  <c r="BY64" i="1"/>
  <c r="BY65" i="1" s="1"/>
  <c r="CD11" i="1"/>
  <c r="CC11" i="1" s="1"/>
  <c r="CB11" i="1" s="1"/>
  <c r="CE64" i="1"/>
  <c r="CE65" i="1" s="1"/>
  <c r="CM4" i="1"/>
  <c r="CI6" i="1"/>
  <c r="CH6" i="1" s="1"/>
  <c r="CG6" i="1" s="1"/>
  <c r="CJ64" i="1"/>
  <c r="CJ65" i="1" s="1"/>
  <c r="BS4" i="1"/>
  <c r="AX5" i="1"/>
  <c r="AX64" i="1" s="1"/>
  <c r="AX65" i="1" s="1"/>
  <c r="AY64" i="1"/>
  <c r="AY65" i="1" s="1"/>
  <c r="AN64" i="1"/>
  <c r="AN65" i="1" s="1"/>
  <c r="AJ5" i="3"/>
  <c r="AJ17" i="3"/>
  <c r="AJ33" i="3"/>
  <c r="AJ49" i="3"/>
  <c r="AJ61" i="3"/>
  <c r="AK32" i="3"/>
  <c r="AK48" i="3"/>
  <c r="AK54" i="3"/>
  <c r="AJ9" i="3"/>
  <c r="AJ25" i="3"/>
  <c r="AJ45" i="3"/>
  <c r="AJ57" i="3"/>
  <c r="AK20" i="3"/>
  <c r="AK39" i="3"/>
  <c r="AK52" i="3"/>
  <c r="AT64" i="1"/>
  <c r="AT65" i="1" s="1"/>
  <c r="AU64" i="1"/>
  <c r="AU65" i="1" s="1"/>
  <c r="AV64" i="1"/>
  <c r="AV65" i="1" s="1"/>
  <c r="AZ64" i="1"/>
  <c r="AZ65" i="1" s="1"/>
  <c r="BA64" i="1"/>
  <c r="BA65" i="1" s="1"/>
  <c r="C62" i="5"/>
  <c r="D76" i="5"/>
  <c r="H7" i="5"/>
  <c r="AJ2" i="3"/>
  <c r="AJ6" i="3"/>
  <c r="AJ10" i="3"/>
  <c r="AJ14" i="3"/>
  <c r="AJ18" i="3"/>
  <c r="AJ22" i="3"/>
  <c r="AJ26" i="3"/>
  <c r="AJ30" i="3"/>
  <c r="AJ34" i="3"/>
  <c r="AJ38" i="3"/>
  <c r="AJ42" i="3"/>
  <c r="AJ46" i="3"/>
  <c r="AJ50" i="3"/>
  <c r="AJ54" i="3"/>
  <c r="AJ58" i="3"/>
  <c r="AJ62" i="3"/>
  <c r="AJ66" i="3"/>
  <c r="AK2" i="3"/>
  <c r="AK4" i="3"/>
  <c r="AK6" i="3"/>
  <c r="AK8" i="3"/>
  <c r="AK10" i="3"/>
  <c r="AK12" i="3"/>
  <c r="AK14" i="3"/>
  <c r="AK16" i="3"/>
  <c r="AK18" i="3"/>
  <c r="AK23" i="3"/>
  <c r="AK26" i="3"/>
  <c r="AK28" i="3"/>
  <c r="AK30" i="3"/>
  <c r="AK35" i="3"/>
  <c r="AK42" i="3"/>
  <c r="AK44" i="3"/>
  <c r="AK46" i="3"/>
  <c r="AK59" i="3"/>
  <c r="AK61" i="3"/>
  <c r="AK63" i="3"/>
  <c r="AK65" i="3"/>
  <c r="AK67" i="3"/>
  <c r="AJ21" i="3"/>
  <c r="AJ37" i="3"/>
  <c r="AJ53" i="3"/>
  <c r="AJ69" i="3"/>
  <c r="AK34" i="3"/>
  <c r="AK50" i="3"/>
  <c r="AK56" i="3"/>
  <c r="DJ64" i="1"/>
  <c r="DJ65" i="1" s="1"/>
  <c r="BL64" i="1"/>
  <c r="BL65" i="1" s="1"/>
  <c r="AH12" i="1"/>
  <c r="AH17" i="1"/>
  <c r="AH25" i="1"/>
  <c r="AH42" i="1"/>
  <c r="AH62" i="1"/>
  <c r="AH10" i="1"/>
  <c r="C56" i="5"/>
  <c r="C52" i="5"/>
  <c r="C48" i="5"/>
  <c r="C44" i="5"/>
  <c r="C40" i="5"/>
  <c r="C36" i="5"/>
  <c r="C32" i="5"/>
  <c r="C28" i="5"/>
  <c r="C24" i="5"/>
  <c r="C20" i="5"/>
  <c r="C16" i="5"/>
  <c r="C12" i="5"/>
  <c r="C8" i="5"/>
  <c r="C4" i="5"/>
  <c r="D79" i="5"/>
  <c r="AJ3" i="3"/>
  <c r="AJ7" i="3"/>
  <c r="AJ11" i="3"/>
  <c r="AJ15" i="3"/>
  <c r="AJ19" i="3"/>
  <c r="AJ23" i="3"/>
  <c r="AJ27" i="3"/>
  <c r="AJ31" i="3"/>
  <c r="AJ35" i="3"/>
  <c r="AJ39" i="3"/>
  <c r="AJ43" i="3"/>
  <c r="AJ47" i="3"/>
  <c r="AJ51" i="3"/>
  <c r="AJ55" i="3"/>
  <c r="AJ59" i="3"/>
  <c r="AJ63" i="3"/>
  <c r="AJ67" i="3"/>
  <c r="AK24" i="3"/>
  <c r="AK40" i="3"/>
  <c r="CO27" i="1"/>
  <c r="CN27" i="1" s="1"/>
  <c r="CM27" i="1" s="1"/>
  <c r="CL27" i="1" s="1"/>
  <c r="CO31" i="1"/>
  <c r="CN31" i="1" s="1"/>
  <c r="CM31" i="1" s="1"/>
  <c r="CL31" i="1" s="1"/>
  <c r="CO35" i="1"/>
  <c r="CN35" i="1" s="1"/>
  <c r="CM35" i="1" s="1"/>
  <c r="CL35" i="1" s="1"/>
  <c r="CO39" i="1"/>
  <c r="CN39" i="1" s="1"/>
  <c r="CM39" i="1" s="1"/>
  <c r="CL39" i="1" s="1"/>
  <c r="CO43" i="1"/>
  <c r="CN43" i="1" s="1"/>
  <c r="CM43" i="1" s="1"/>
  <c r="CL43" i="1" s="1"/>
  <c r="CO47" i="1"/>
  <c r="CN47" i="1" s="1"/>
  <c r="CM47" i="1" s="1"/>
  <c r="CL47" i="1" s="1"/>
  <c r="AJ13" i="3"/>
  <c r="AJ29" i="3"/>
  <c r="AJ41" i="3"/>
  <c r="AJ65" i="3"/>
  <c r="AK22" i="3"/>
  <c r="AK37" i="3"/>
  <c r="BU64" i="1"/>
  <c r="BU65" i="1" s="1"/>
  <c r="C60" i="5"/>
  <c r="D78" i="5"/>
  <c r="AJ4" i="3"/>
  <c r="AJ8" i="3"/>
  <c r="AJ12" i="3"/>
  <c r="AJ16" i="3"/>
  <c r="AJ20" i="3"/>
  <c r="AJ24" i="3"/>
  <c r="AJ28" i="3"/>
  <c r="AJ32" i="3"/>
  <c r="AJ36" i="3"/>
  <c r="AJ40" i="3"/>
  <c r="AJ44" i="3"/>
  <c r="AJ52" i="3"/>
  <c r="AJ56" i="3"/>
  <c r="AJ60" i="3"/>
  <c r="AJ64" i="3"/>
  <c r="AJ68" i="3"/>
  <c r="AK36" i="3"/>
  <c r="BU61" i="1"/>
  <c r="BT61" i="1" s="1"/>
  <c r="BS61" i="1" s="1"/>
  <c r="BR61" i="1" s="1"/>
  <c r="BP61" i="1"/>
  <c r="BO61" i="1" s="1"/>
  <c r="BN61" i="1" s="1"/>
  <c r="BM61" i="1" s="1"/>
  <c r="BM64" i="1" s="1"/>
  <c r="BM65" i="1" s="1"/>
  <c r="BK6" i="1"/>
  <c r="BF6" i="1"/>
  <c r="BK10" i="1"/>
  <c r="BJ10" i="1" s="1"/>
  <c r="BI10" i="1" s="1"/>
  <c r="BH10" i="1" s="1"/>
  <c r="BF10" i="1"/>
  <c r="BE10" i="1" s="1"/>
  <c r="BD10" i="1" s="1"/>
  <c r="BC10" i="1" s="1"/>
  <c r="BK14" i="1"/>
  <c r="BJ14" i="1" s="1"/>
  <c r="BI14" i="1" s="1"/>
  <c r="BH14" i="1" s="1"/>
  <c r="BF14" i="1"/>
  <c r="BE14" i="1" s="1"/>
  <c r="BD14" i="1" s="1"/>
  <c r="BC14" i="1" s="1"/>
  <c r="BK18" i="1"/>
  <c r="BJ18" i="1" s="1"/>
  <c r="BI18" i="1" s="1"/>
  <c r="BH18" i="1" s="1"/>
  <c r="BF18" i="1"/>
  <c r="BE18" i="1" s="1"/>
  <c r="BD18" i="1" s="1"/>
  <c r="BC18" i="1" s="1"/>
  <c r="BK22" i="1"/>
  <c r="BJ22" i="1" s="1"/>
  <c r="BI22" i="1" s="1"/>
  <c r="BH22" i="1" s="1"/>
  <c r="BF22" i="1"/>
  <c r="BE22" i="1" s="1"/>
  <c r="BD22" i="1" s="1"/>
  <c r="BC22" i="1" s="1"/>
  <c r="BK26" i="1"/>
  <c r="BJ26" i="1" s="1"/>
  <c r="BI26" i="1" s="1"/>
  <c r="BH26" i="1" s="1"/>
  <c r="BF26" i="1"/>
  <c r="BE26" i="1" s="1"/>
  <c r="BD26" i="1" s="1"/>
  <c r="BC26" i="1" s="1"/>
  <c r="BK30" i="1"/>
  <c r="BJ30" i="1" s="1"/>
  <c r="BI30" i="1" s="1"/>
  <c r="BH30" i="1" s="1"/>
  <c r="BF30" i="1"/>
  <c r="BE30" i="1" s="1"/>
  <c r="BD30" i="1" s="1"/>
  <c r="BC30" i="1" s="1"/>
  <c r="BK34" i="1"/>
  <c r="BJ34" i="1" s="1"/>
  <c r="BI34" i="1" s="1"/>
  <c r="BH34" i="1" s="1"/>
  <c r="BF34" i="1"/>
  <c r="BE34" i="1" s="1"/>
  <c r="BD34" i="1" s="1"/>
  <c r="BC34" i="1" s="1"/>
  <c r="BK38" i="1"/>
  <c r="BJ38" i="1" s="1"/>
  <c r="BI38" i="1" s="1"/>
  <c r="BH38" i="1" s="1"/>
  <c r="BF38" i="1"/>
  <c r="BE38" i="1" s="1"/>
  <c r="BD38" i="1" s="1"/>
  <c r="BC38" i="1" s="1"/>
  <c r="BK42" i="1"/>
  <c r="BJ42" i="1" s="1"/>
  <c r="BI42" i="1" s="1"/>
  <c r="BH42" i="1" s="1"/>
  <c r="BF42" i="1"/>
  <c r="BE42" i="1" s="1"/>
  <c r="BD42" i="1" s="1"/>
  <c r="BC42" i="1" s="1"/>
  <c r="BK46" i="1"/>
  <c r="BJ46" i="1" s="1"/>
  <c r="BI46" i="1" s="1"/>
  <c r="BH46" i="1" s="1"/>
  <c r="BF46" i="1"/>
  <c r="BE46" i="1" s="1"/>
  <c r="BD46" i="1" s="1"/>
  <c r="BC46" i="1" s="1"/>
  <c r="BK50" i="1"/>
  <c r="BJ50" i="1" s="1"/>
  <c r="BI50" i="1" s="1"/>
  <c r="BH50" i="1" s="1"/>
  <c r="BF50" i="1"/>
  <c r="BE50" i="1" s="1"/>
  <c r="BD50" i="1" s="1"/>
  <c r="BC50" i="1" s="1"/>
  <c r="BK54" i="1"/>
  <c r="BJ54" i="1" s="1"/>
  <c r="BI54" i="1" s="1"/>
  <c r="BH54" i="1" s="1"/>
  <c r="BF54" i="1"/>
  <c r="BE54" i="1" s="1"/>
  <c r="BD54" i="1" s="1"/>
  <c r="BC54" i="1" s="1"/>
  <c r="BF58" i="1"/>
  <c r="BE58" i="1" s="1"/>
  <c r="BD58" i="1" s="1"/>
  <c r="BC58" i="1" s="1"/>
  <c r="AH44" i="1"/>
  <c r="AH9" i="1"/>
  <c r="AC11" i="1"/>
  <c r="AH28" i="1"/>
  <c r="AH20" i="1"/>
  <c r="AH58" i="1"/>
  <c r="AH8" i="1"/>
  <c r="AH21" i="1"/>
  <c r="AH51" i="1"/>
  <c r="AH35" i="1"/>
  <c r="AH23" i="1"/>
  <c r="AH31" i="1"/>
  <c r="AH18" i="1"/>
  <c r="CP81" i="1"/>
  <c r="C43" i="5" l="1"/>
  <c r="C29" i="5"/>
  <c r="C9" i="5"/>
  <c r="C22" i="5"/>
  <c r="C31" i="5"/>
  <c r="C37" i="5"/>
  <c r="C21" i="5"/>
  <c r="C46" i="5"/>
  <c r="C47" i="5"/>
  <c r="C11" i="5"/>
  <c r="C15" i="5"/>
  <c r="C50" i="5"/>
  <c r="C55" i="5"/>
  <c r="C39" i="5"/>
  <c r="C23" i="5"/>
  <c r="C7" i="5"/>
  <c r="C17" i="5"/>
  <c r="C58" i="5"/>
  <c r="C34" i="5"/>
  <c r="C51" i="5"/>
  <c r="C35" i="5"/>
  <c r="AC52" i="1"/>
  <c r="AG52" i="1" s="1"/>
  <c r="AF52" i="1" s="1"/>
  <c r="AE52" i="1" s="1"/>
  <c r="AD52" i="1" s="1"/>
  <c r="AC18" i="1"/>
  <c r="AL18" i="1"/>
  <c r="AK18" i="1" s="1"/>
  <c r="AJ18" i="1" s="1"/>
  <c r="AI18" i="1" s="1"/>
  <c r="AC20" i="1"/>
  <c r="AG20" i="1" s="1"/>
  <c r="AF20" i="1" s="1"/>
  <c r="AE20" i="1" s="1"/>
  <c r="AD20" i="1" s="1"/>
  <c r="AL20" i="1"/>
  <c r="AK20" i="1" s="1"/>
  <c r="AJ20" i="1" s="1"/>
  <c r="AI20" i="1" s="1"/>
  <c r="AC42" i="1"/>
  <c r="AG42" i="1" s="1"/>
  <c r="AF42" i="1" s="1"/>
  <c r="AE42" i="1" s="1"/>
  <c r="AD42" i="1" s="1"/>
  <c r="AL42" i="1"/>
  <c r="AK42" i="1" s="1"/>
  <c r="AJ42" i="1" s="1"/>
  <c r="AI42" i="1" s="1"/>
  <c r="CB4" i="1"/>
  <c r="CB64" i="1" s="1"/>
  <c r="CB65" i="1" s="1"/>
  <c r="CC64" i="1"/>
  <c r="CC65" i="1" s="1"/>
  <c r="AC31" i="1"/>
  <c r="AG31" i="1" s="1"/>
  <c r="AF31" i="1" s="1"/>
  <c r="AE31" i="1" s="1"/>
  <c r="AD31" i="1" s="1"/>
  <c r="AL31" i="1"/>
  <c r="AK31" i="1" s="1"/>
  <c r="AJ31" i="1" s="1"/>
  <c r="AI31" i="1" s="1"/>
  <c r="AC21" i="1"/>
  <c r="AG21" i="1" s="1"/>
  <c r="AF21" i="1" s="1"/>
  <c r="AE21" i="1" s="1"/>
  <c r="AD21" i="1" s="1"/>
  <c r="AL21" i="1"/>
  <c r="AK21" i="1" s="1"/>
  <c r="AJ21" i="1" s="1"/>
  <c r="AI21" i="1" s="1"/>
  <c r="AC28" i="1"/>
  <c r="AG28" i="1" s="1"/>
  <c r="AF28" i="1" s="1"/>
  <c r="AE28" i="1" s="1"/>
  <c r="AD28" i="1" s="1"/>
  <c r="AL28" i="1"/>
  <c r="AK28" i="1" s="1"/>
  <c r="AJ28" i="1" s="1"/>
  <c r="AI28" i="1" s="1"/>
  <c r="BJ6" i="1"/>
  <c r="BK64" i="1"/>
  <c r="BK65" i="1" s="1"/>
  <c r="BP64" i="1"/>
  <c r="BP65" i="1" s="1"/>
  <c r="AC25" i="1"/>
  <c r="AG25" i="1" s="1"/>
  <c r="AF25" i="1" s="1"/>
  <c r="AE25" i="1" s="1"/>
  <c r="AD25" i="1" s="1"/>
  <c r="AL25" i="1"/>
  <c r="AK25" i="1" s="1"/>
  <c r="AJ25" i="1" s="1"/>
  <c r="AI25" i="1" s="1"/>
  <c r="BT64" i="1"/>
  <c r="BT65" i="1" s="1"/>
  <c r="CN64" i="1"/>
  <c r="CN65" i="1" s="1"/>
  <c r="U40" i="4"/>
  <c r="T50" i="4"/>
  <c r="T145" i="4" s="1"/>
  <c r="CI64" i="1"/>
  <c r="CI65" i="1" s="1"/>
  <c r="AC51" i="1"/>
  <c r="AG51" i="1" s="1"/>
  <c r="AF51" i="1" s="1"/>
  <c r="AE51" i="1" s="1"/>
  <c r="AD51" i="1" s="1"/>
  <c r="AL51" i="1"/>
  <c r="AK51" i="1" s="1"/>
  <c r="AJ51" i="1" s="1"/>
  <c r="AI51" i="1" s="1"/>
  <c r="AC44" i="1"/>
  <c r="AG44" i="1" s="1"/>
  <c r="AF44" i="1" s="1"/>
  <c r="AE44" i="1" s="1"/>
  <c r="AD44" i="1" s="1"/>
  <c r="AL44" i="1"/>
  <c r="AK44" i="1" s="1"/>
  <c r="AJ44" i="1" s="1"/>
  <c r="AI44" i="1" s="1"/>
  <c r="AL23" i="1"/>
  <c r="AK23" i="1" s="1"/>
  <c r="AJ23" i="1" s="1"/>
  <c r="AI23" i="1" s="1"/>
  <c r="AC8" i="1"/>
  <c r="AG8" i="1" s="1"/>
  <c r="AL8" i="1"/>
  <c r="AH64" i="1"/>
  <c r="AH65" i="1" s="1"/>
  <c r="AG11" i="1"/>
  <c r="AF11" i="1" s="1"/>
  <c r="AE11" i="1" s="1"/>
  <c r="AD11" i="1" s="1"/>
  <c r="AB11" i="1"/>
  <c r="AA11" i="1" s="1"/>
  <c r="Z11" i="1" s="1"/>
  <c r="Y11" i="1" s="1"/>
  <c r="AC22" i="1"/>
  <c r="BO64" i="1"/>
  <c r="BO65" i="1" s="1"/>
  <c r="AC10" i="1"/>
  <c r="AG10" i="1" s="1"/>
  <c r="AF10" i="1" s="1"/>
  <c r="AE10" i="1" s="1"/>
  <c r="AD10" i="1" s="1"/>
  <c r="AL10" i="1"/>
  <c r="AK10" i="1" s="1"/>
  <c r="AJ10" i="1" s="1"/>
  <c r="AI10" i="1" s="1"/>
  <c r="AC17" i="1"/>
  <c r="AG17" i="1" s="1"/>
  <c r="AF17" i="1" s="1"/>
  <c r="AE17" i="1" s="1"/>
  <c r="AD17" i="1" s="1"/>
  <c r="AL17" i="1"/>
  <c r="AK17" i="1" s="1"/>
  <c r="AJ17" i="1" s="1"/>
  <c r="AI17" i="1" s="1"/>
  <c r="CO64" i="1"/>
  <c r="CO65" i="1" s="1"/>
  <c r="BR4" i="1"/>
  <c r="BR64" i="1" s="1"/>
  <c r="BR65" i="1" s="1"/>
  <c r="BS64" i="1"/>
  <c r="BS65" i="1" s="1"/>
  <c r="CL4" i="1"/>
  <c r="CL64" i="1" s="1"/>
  <c r="CL65" i="1" s="1"/>
  <c r="CM64" i="1"/>
  <c r="CM65" i="1" s="1"/>
  <c r="CG4" i="1"/>
  <c r="CG64" i="1" s="1"/>
  <c r="CG65" i="1" s="1"/>
  <c r="CH64" i="1"/>
  <c r="CH65" i="1" s="1"/>
  <c r="BF64" i="1"/>
  <c r="BF65" i="1" s="1"/>
  <c r="BE6" i="1"/>
  <c r="AC35" i="1"/>
  <c r="AG35" i="1" s="1"/>
  <c r="AF35" i="1" s="1"/>
  <c r="AE35" i="1" s="1"/>
  <c r="AD35" i="1" s="1"/>
  <c r="AL35" i="1"/>
  <c r="AK35" i="1" s="1"/>
  <c r="AJ35" i="1" s="1"/>
  <c r="AI35" i="1" s="1"/>
  <c r="AC58" i="1"/>
  <c r="AG58" i="1" s="1"/>
  <c r="AF58" i="1" s="1"/>
  <c r="AE58" i="1" s="1"/>
  <c r="AD58" i="1" s="1"/>
  <c r="AL58" i="1"/>
  <c r="AK58" i="1" s="1"/>
  <c r="AJ58" i="1" s="1"/>
  <c r="AI58" i="1" s="1"/>
  <c r="AC9" i="1"/>
  <c r="AL9" i="1"/>
  <c r="AK9" i="1" s="1"/>
  <c r="AJ9" i="1" s="1"/>
  <c r="AI9" i="1" s="1"/>
  <c r="AC23" i="1"/>
  <c r="BN64" i="1"/>
  <c r="BN65" i="1" s="1"/>
  <c r="AC62" i="1"/>
  <c r="AG62" i="1" s="1"/>
  <c r="AF62" i="1" s="1"/>
  <c r="AE62" i="1" s="1"/>
  <c r="AD62" i="1" s="1"/>
  <c r="AL62" i="1"/>
  <c r="AK62" i="1" s="1"/>
  <c r="AJ62" i="1" s="1"/>
  <c r="AI62" i="1" s="1"/>
  <c r="AC12" i="1"/>
  <c r="AL12" i="1"/>
  <c r="AK12" i="1" s="1"/>
  <c r="AJ12" i="1" s="1"/>
  <c r="AI12" i="1" s="1"/>
  <c r="D80" i="5"/>
  <c r="BX64" i="1"/>
  <c r="BX65" i="1" s="1"/>
  <c r="CD64" i="1"/>
  <c r="CD65" i="1" s="1"/>
  <c r="C64" i="5" l="1"/>
  <c r="C65" i="5" s="1"/>
  <c r="X12" i="1"/>
  <c r="AB12" i="1" s="1"/>
  <c r="AA12" i="1" s="1"/>
  <c r="Z12" i="1" s="1"/>
  <c r="Y12" i="1" s="1"/>
  <c r="X18" i="1"/>
  <c r="AB18" i="1" s="1"/>
  <c r="AA18" i="1" s="1"/>
  <c r="Z18" i="1" s="1"/>
  <c r="Y18" i="1" s="1"/>
  <c r="X10" i="1"/>
  <c r="AB10" i="1" s="1"/>
  <c r="AA10" i="1" s="1"/>
  <c r="Z10" i="1" s="1"/>
  <c r="Y10" i="1" s="1"/>
  <c r="X51" i="1"/>
  <c r="AB51" i="1" s="1"/>
  <c r="AA51" i="1" s="1"/>
  <c r="Z51" i="1" s="1"/>
  <c r="Y51" i="1" s="1"/>
  <c r="X25" i="1"/>
  <c r="AB25" i="1" s="1"/>
  <c r="AA25" i="1" s="1"/>
  <c r="Z25" i="1" s="1"/>
  <c r="Y25" i="1" s="1"/>
  <c r="X31" i="1"/>
  <c r="AB31" i="1" s="1"/>
  <c r="AA31" i="1" s="1"/>
  <c r="Z31" i="1" s="1"/>
  <c r="Y31" i="1" s="1"/>
  <c r="X20" i="1"/>
  <c r="AB20" i="1" s="1"/>
  <c r="AA20" i="1" s="1"/>
  <c r="Z20" i="1" s="1"/>
  <c r="Y20" i="1" s="1"/>
  <c r="X23" i="1"/>
  <c r="AB23" i="1" s="1"/>
  <c r="AA23" i="1" s="1"/>
  <c r="Z23" i="1" s="1"/>
  <c r="Y23" i="1" s="1"/>
  <c r="X8" i="1"/>
  <c r="AB8" i="1" s="1"/>
  <c r="AC64" i="1"/>
  <c r="AC65" i="1" s="1"/>
  <c r="X35" i="1"/>
  <c r="X17" i="1"/>
  <c r="AB17" i="1" s="1"/>
  <c r="AA17" i="1" s="1"/>
  <c r="Z17" i="1" s="1"/>
  <c r="Y17" i="1" s="1"/>
  <c r="X44" i="1"/>
  <c r="X21" i="1"/>
  <c r="AB21" i="1" s="1"/>
  <c r="AA21" i="1" s="1"/>
  <c r="Z21" i="1" s="1"/>
  <c r="Y21" i="1" s="1"/>
  <c r="X42" i="1"/>
  <c r="X9" i="1"/>
  <c r="AB9" i="1" s="1"/>
  <c r="AA9" i="1" s="1"/>
  <c r="Z9" i="1" s="1"/>
  <c r="Y9" i="1" s="1"/>
  <c r="AF8" i="1"/>
  <c r="U50" i="4"/>
  <c r="U145" i="4" s="1"/>
  <c r="V40" i="4"/>
  <c r="V50" i="4" s="1"/>
  <c r="V145" i="4" s="1"/>
  <c r="BI6" i="1"/>
  <c r="BJ64" i="1"/>
  <c r="BJ65" i="1" s="1"/>
  <c r="AG12" i="1"/>
  <c r="AF12" i="1" s="1"/>
  <c r="AE12" i="1" s="1"/>
  <c r="AD12" i="1" s="1"/>
  <c r="X62" i="1"/>
  <c r="AB62" i="1" s="1"/>
  <c r="AA62" i="1" s="1"/>
  <c r="Z62" i="1" s="1"/>
  <c r="Y62" i="1" s="1"/>
  <c r="AG9" i="1"/>
  <c r="AF9" i="1" s="1"/>
  <c r="AE9" i="1" s="1"/>
  <c r="AD9" i="1" s="1"/>
  <c r="X58" i="1"/>
  <c r="AB58" i="1" s="1"/>
  <c r="AA58" i="1" s="1"/>
  <c r="Z58" i="1" s="1"/>
  <c r="Y58" i="1" s="1"/>
  <c r="BD6" i="1"/>
  <c r="BE64" i="1"/>
  <c r="BE65" i="1" s="1"/>
  <c r="X22" i="1"/>
  <c r="AB22" i="1" s="1"/>
  <c r="AA22" i="1" s="1"/>
  <c r="Z22" i="1" s="1"/>
  <c r="Y22" i="1" s="1"/>
  <c r="AG22" i="1"/>
  <c r="AF22" i="1" s="1"/>
  <c r="AE22" i="1" s="1"/>
  <c r="AD22" i="1" s="1"/>
  <c r="AK8" i="1"/>
  <c r="AL64" i="1"/>
  <c r="AL65" i="1" s="1"/>
  <c r="AG23" i="1"/>
  <c r="AF23" i="1" s="1"/>
  <c r="AE23" i="1" s="1"/>
  <c r="AD23" i="1" s="1"/>
  <c r="X28" i="1"/>
  <c r="AG18" i="1"/>
  <c r="AF18" i="1" s="1"/>
  <c r="AE18" i="1" s="1"/>
  <c r="AD18" i="1" s="1"/>
  <c r="X52" i="1"/>
  <c r="AA8" i="1" l="1"/>
  <c r="BC6" i="1"/>
  <c r="BC64" i="1" s="1"/>
  <c r="BC65" i="1" s="1"/>
  <c r="BD64" i="1"/>
  <c r="BD65" i="1" s="1"/>
  <c r="BH6" i="1"/>
  <c r="BH64" i="1" s="1"/>
  <c r="BH65" i="1" s="1"/>
  <c r="BI64" i="1"/>
  <c r="BI65" i="1" s="1"/>
  <c r="S44" i="1"/>
  <c r="W44" i="1" s="1"/>
  <c r="V44" i="1" s="1"/>
  <c r="U44" i="1" s="1"/>
  <c r="T44" i="1" s="1"/>
  <c r="S62" i="1"/>
  <c r="W62" i="1" s="1"/>
  <c r="V62" i="1" s="1"/>
  <c r="U62" i="1" s="1"/>
  <c r="T62" i="1" s="1"/>
  <c r="S23" i="1"/>
  <c r="S31" i="1"/>
  <c r="W31" i="1" s="1"/>
  <c r="V31" i="1" s="1"/>
  <c r="U31" i="1" s="1"/>
  <c r="T31" i="1" s="1"/>
  <c r="S51" i="1"/>
  <c r="W51" i="1" s="1"/>
  <c r="V51" i="1" s="1"/>
  <c r="U51" i="1" s="1"/>
  <c r="T51" i="1" s="1"/>
  <c r="S18" i="1"/>
  <c r="W18" i="1" s="1"/>
  <c r="V18" i="1" s="1"/>
  <c r="U18" i="1" s="1"/>
  <c r="T18" i="1" s="1"/>
  <c r="S28" i="1"/>
  <c r="W28" i="1" s="1"/>
  <c r="V28" i="1" s="1"/>
  <c r="U28" i="1" s="1"/>
  <c r="T28" i="1" s="1"/>
  <c r="S42" i="1"/>
  <c r="W42" i="1" s="1"/>
  <c r="V42" i="1" s="1"/>
  <c r="U42" i="1" s="1"/>
  <c r="T42" i="1" s="1"/>
  <c r="S52" i="1"/>
  <c r="W52" i="1" s="1"/>
  <c r="V52" i="1" s="1"/>
  <c r="U52" i="1" s="1"/>
  <c r="T52" i="1" s="1"/>
  <c r="AB52" i="1"/>
  <c r="AA52" i="1" s="1"/>
  <c r="Z52" i="1" s="1"/>
  <c r="Y52" i="1" s="1"/>
  <c r="S22" i="1"/>
  <c r="W22" i="1" s="1"/>
  <c r="V22" i="1" s="1"/>
  <c r="U22" i="1" s="1"/>
  <c r="T22" i="1" s="1"/>
  <c r="S58" i="1"/>
  <c r="S9" i="1"/>
  <c r="W9" i="1" s="1"/>
  <c r="V9" i="1" s="1"/>
  <c r="U9" i="1" s="1"/>
  <c r="T9" i="1" s="1"/>
  <c r="S21" i="1"/>
  <c r="S17" i="1"/>
  <c r="W17" i="1" s="1"/>
  <c r="V17" i="1" s="1"/>
  <c r="U17" i="1" s="1"/>
  <c r="T17" i="1" s="1"/>
  <c r="AE8" i="1"/>
  <c r="AF64" i="1"/>
  <c r="AF65" i="1" s="1"/>
  <c r="S35" i="1"/>
  <c r="W35" i="1" s="1"/>
  <c r="V35" i="1" s="1"/>
  <c r="U35" i="1" s="1"/>
  <c r="T35" i="1" s="1"/>
  <c r="AB28" i="1"/>
  <c r="AA28" i="1" s="1"/>
  <c r="Z28" i="1" s="1"/>
  <c r="Y28" i="1" s="1"/>
  <c r="AJ8" i="1"/>
  <c r="AK64" i="1"/>
  <c r="AK65" i="1" s="1"/>
  <c r="AG64" i="1"/>
  <c r="AG65" i="1" s="1"/>
  <c r="AB42" i="1"/>
  <c r="AA42" i="1" s="1"/>
  <c r="Z42" i="1" s="1"/>
  <c r="Y42" i="1" s="1"/>
  <c r="AB44" i="1"/>
  <c r="AA44" i="1" s="1"/>
  <c r="Z44" i="1" s="1"/>
  <c r="Y44" i="1" s="1"/>
  <c r="AB35" i="1"/>
  <c r="AA35" i="1" s="1"/>
  <c r="Z35" i="1" s="1"/>
  <c r="Y35" i="1" s="1"/>
  <c r="S8" i="1"/>
  <c r="W8" i="1" s="1"/>
  <c r="V8" i="1" s="1"/>
  <c r="U8" i="1" s="1"/>
  <c r="T8" i="1" s="1"/>
  <c r="X64" i="1"/>
  <c r="X65" i="1" s="1"/>
  <c r="S20" i="1"/>
  <c r="W20" i="1" s="1"/>
  <c r="V20" i="1" s="1"/>
  <c r="U20" i="1" s="1"/>
  <c r="T20" i="1" s="1"/>
  <c r="S25" i="1"/>
  <c r="S10" i="1"/>
  <c r="W10" i="1" s="1"/>
  <c r="V10" i="1" s="1"/>
  <c r="U10" i="1" s="1"/>
  <c r="T10" i="1" s="1"/>
  <c r="S12" i="1"/>
  <c r="N25" i="1" l="1"/>
  <c r="R25" i="1" s="1"/>
  <c r="Q25" i="1" s="1"/>
  <c r="P25" i="1" s="1"/>
  <c r="O25" i="1" s="1"/>
  <c r="AD8" i="1"/>
  <c r="AD64" i="1" s="1"/>
  <c r="AD65" i="1" s="1"/>
  <c r="AE64" i="1"/>
  <c r="AE65" i="1" s="1"/>
  <c r="N21" i="1"/>
  <c r="R21" i="1" s="1"/>
  <c r="Q21" i="1" s="1"/>
  <c r="P21" i="1" s="1"/>
  <c r="O21" i="1" s="1"/>
  <c r="N58" i="1"/>
  <c r="R58" i="1" s="1"/>
  <c r="Q58" i="1" s="1"/>
  <c r="P58" i="1" s="1"/>
  <c r="O58" i="1" s="1"/>
  <c r="N23" i="1"/>
  <c r="R23" i="1" s="1"/>
  <c r="Q23" i="1" s="1"/>
  <c r="P23" i="1" s="1"/>
  <c r="O23" i="1" s="1"/>
  <c r="N8" i="1"/>
  <c r="R8" i="1" s="1"/>
  <c r="Q8" i="1" s="1"/>
  <c r="P8" i="1" s="1"/>
  <c r="O8" i="1" s="1"/>
  <c r="N52" i="1"/>
  <c r="R52" i="1" s="1"/>
  <c r="Q52" i="1" s="1"/>
  <c r="P52" i="1" s="1"/>
  <c r="O52" i="1" s="1"/>
  <c r="N28" i="1"/>
  <c r="R28" i="1" s="1"/>
  <c r="Q28" i="1" s="1"/>
  <c r="P28" i="1" s="1"/>
  <c r="O28" i="1" s="1"/>
  <c r="N51" i="1"/>
  <c r="R51" i="1" s="1"/>
  <c r="Q51" i="1" s="1"/>
  <c r="P51" i="1" s="1"/>
  <c r="O51" i="1" s="1"/>
  <c r="W23" i="1"/>
  <c r="V23" i="1" s="1"/>
  <c r="U23" i="1" s="1"/>
  <c r="T23" i="1" s="1"/>
  <c r="N44" i="1"/>
  <c r="R44" i="1" s="1"/>
  <c r="Q44" i="1" s="1"/>
  <c r="P44" i="1" s="1"/>
  <c r="O44" i="1" s="1"/>
  <c r="N10" i="1"/>
  <c r="R10" i="1" s="1"/>
  <c r="Q10" i="1" s="1"/>
  <c r="P10" i="1" s="1"/>
  <c r="O10" i="1" s="1"/>
  <c r="N17" i="1"/>
  <c r="R17" i="1" s="1"/>
  <c r="Q17" i="1" s="1"/>
  <c r="P17" i="1" s="1"/>
  <c r="O17" i="1" s="1"/>
  <c r="N9" i="1"/>
  <c r="R9" i="1" s="1"/>
  <c r="Q9" i="1" s="1"/>
  <c r="P9" i="1" s="1"/>
  <c r="O9" i="1" s="1"/>
  <c r="AB64" i="1"/>
  <c r="AB65" i="1" s="1"/>
  <c r="N12" i="1"/>
  <c r="N20" i="1"/>
  <c r="R20" i="1" s="1"/>
  <c r="Q20" i="1" s="1"/>
  <c r="P20" i="1" s="1"/>
  <c r="O20" i="1" s="1"/>
  <c r="N35" i="1"/>
  <c r="R35" i="1" s="1"/>
  <c r="Q35" i="1" s="1"/>
  <c r="P35" i="1" s="1"/>
  <c r="O35" i="1" s="1"/>
  <c r="N22" i="1"/>
  <c r="R22" i="1" s="1"/>
  <c r="Q22" i="1" s="1"/>
  <c r="P22" i="1" s="1"/>
  <c r="O22" i="1" s="1"/>
  <c r="W12" i="1"/>
  <c r="V12" i="1" s="1"/>
  <c r="U12" i="1" s="1"/>
  <c r="T12" i="1" s="1"/>
  <c r="W25" i="1"/>
  <c r="V25" i="1" s="1"/>
  <c r="U25" i="1" s="1"/>
  <c r="T25" i="1" s="1"/>
  <c r="AI8" i="1"/>
  <c r="AI64" i="1" s="1"/>
  <c r="AI65" i="1" s="1"/>
  <c r="AJ64" i="1"/>
  <c r="AJ65" i="1" s="1"/>
  <c r="W21" i="1"/>
  <c r="V21" i="1" s="1"/>
  <c r="U21" i="1" s="1"/>
  <c r="T21" i="1" s="1"/>
  <c r="W58" i="1"/>
  <c r="V58" i="1" s="1"/>
  <c r="U58" i="1" s="1"/>
  <c r="T58" i="1" s="1"/>
  <c r="N42" i="1"/>
  <c r="R42" i="1" s="1"/>
  <c r="Q42" i="1" s="1"/>
  <c r="P42" i="1" s="1"/>
  <c r="O42" i="1" s="1"/>
  <c r="N18" i="1"/>
  <c r="R18" i="1" s="1"/>
  <c r="Q18" i="1" s="1"/>
  <c r="P18" i="1" s="1"/>
  <c r="O18" i="1" s="1"/>
  <c r="N31" i="1"/>
  <c r="R31" i="1" s="1"/>
  <c r="Q31" i="1" s="1"/>
  <c r="P31" i="1" s="1"/>
  <c r="O31" i="1" s="1"/>
  <c r="N62" i="1"/>
  <c r="Z8" i="1"/>
  <c r="AA64" i="1"/>
  <c r="AA65" i="1" s="1"/>
  <c r="I62" i="1" l="1"/>
  <c r="M62" i="1" s="1"/>
  <c r="L62" i="1" s="1"/>
  <c r="K62" i="1" s="1"/>
  <c r="J62" i="1" s="1"/>
  <c r="I12" i="1"/>
  <c r="M12" i="1" s="1"/>
  <c r="L12" i="1" s="1"/>
  <c r="K12" i="1" s="1"/>
  <c r="J12" i="1" s="1"/>
  <c r="I17" i="1"/>
  <c r="M17" i="1" s="1"/>
  <c r="L17" i="1" s="1"/>
  <c r="K17" i="1" s="1"/>
  <c r="J17" i="1" s="1"/>
  <c r="I44" i="1"/>
  <c r="M44" i="1" s="1"/>
  <c r="L44" i="1" s="1"/>
  <c r="K44" i="1" s="1"/>
  <c r="J44" i="1" s="1"/>
  <c r="I31" i="1"/>
  <c r="M31" i="1" s="1"/>
  <c r="L31" i="1" s="1"/>
  <c r="K31" i="1" s="1"/>
  <c r="J31" i="1" s="1"/>
  <c r="I20" i="1"/>
  <c r="M20" i="1" s="1"/>
  <c r="L20" i="1" s="1"/>
  <c r="K20" i="1" s="1"/>
  <c r="J20" i="1" s="1"/>
  <c r="I28" i="1"/>
  <c r="M28" i="1" s="1"/>
  <c r="L28" i="1" s="1"/>
  <c r="K28" i="1" s="1"/>
  <c r="J28" i="1" s="1"/>
  <c r="I8" i="1"/>
  <c r="M8" i="1" s="1"/>
  <c r="L8" i="1" s="1"/>
  <c r="K8" i="1" s="1"/>
  <c r="J8" i="1" s="1"/>
  <c r="I58" i="1"/>
  <c r="M58" i="1" s="1"/>
  <c r="L58" i="1" s="1"/>
  <c r="K58" i="1" s="1"/>
  <c r="J58" i="1" s="1"/>
  <c r="Y8" i="1"/>
  <c r="Y64" i="1" s="1"/>
  <c r="Y65" i="1" s="1"/>
  <c r="Z64" i="1"/>
  <c r="Z65" i="1" s="1"/>
  <c r="I42" i="1"/>
  <c r="M42" i="1" s="1"/>
  <c r="L42" i="1" s="1"/>
  <c r="K42" i="1" s="1"/>
  <c r="J42" i="1" s="1"/>
  <c r="I22" i="1"/>
  <c r="M22" i="1" s="1"/>
  <c r="L22" i="1" s="1"/>
  <c r="K22" i="1" s="1"/>
  <c r="J22" i="1" s="1"/>
  <c r="R62" i="1"/>
  <c r="Q62" i="1" s="1"/>
  <c r="P62" i="1" s="1"/>
  <c r="O62" i="1" s="1"/>
  <c r="I35" i="1"/>
  <c r="M35" i="1" s="1"/>
  <c r="L35" i="1" s="1"/>
  <c r="K35" i="1" s="1"/>
  <c r="J35" i="1" s="1"/>
  <c r="R12" i="1"/>
  <c r="Q12" i="1" s="1"/>
  <c r="P12" i="1" s="1"/>
  <c r="O12" i="1" s="1"/>
  <c r="I9" i="1"/>
  <c r="M9" i="1" s="1"/>
  <c r="L9" i="1" s="1"/>
  <c r="K9" i="1" s="1"/>
  <c r="J9" i="1" s="1"/>
  <c r="I10" i="1"/>
  <c r="M10" i="1" s="1"/>
  <c r="L10" i="1" s="1"/>
  <c r="K10" i="1" s="1"/>
  <c r="J10" i="1" s="1"/>
  <c r="I18" i="1"/>
  <c r="M18" i="1" s="1"/>
  <c r="L18" i="1" s="1"/>
  <c r="K18" i="1" s="1"/>
  <c r="J18" i="1" s="1"/>
  <c r="I51" i="1"/>
  <c r="M51" i="1" s="1"/>
  <c r="L51" i="1" s="1"/>
  <c r="K51" i="1" s="1"/>
  <c r="J51" i="1" s="1"/>
  <c r="I52" i="1"/>
  <c r="M52" i="1" s="1"/>
  <c r="L52" i="1" s="1"/>
  <c r="K52" i="1" s="1"/>
  <c r="J52" i="1" s="1"/>
  <c r="I23" i="1"/>
  <c r="I21" i="1"/>
  <c r="M21" i="1" s="1"/>
  <c r="L21" i="1" s="1"/>
  <c r="K21" i="1" s="1"/>
  <c r="J21" i="1" s="1"/>
  <c r="I25" i="1"/>
  <c r="M25" i="1" s="1"/>
  <c r="L25" i="1" s="1"/>
  <c r="K25" i="1" s="1"/>
  <c r="J25" i="1" s="1"/>
  <c r="D10" i="1" l="1"/>
  <c r="H10" i="1" s="1"/>
  <c r="G10" i="1" s="1"/>
  <c r="F10" i="1" s="1"/>
  <c r="E10" i="1" s="1"/>
  <c r="D23" i="1"/>
  <c r="H23" i="1" s="1"/>
  <c r="G23" i="1" s="1"/>
  <c r="F23" i="1" s="1"/>
  <c r="E23" i="1" s="1"/>
  <c r="D25" i="1"/>
  <c r="H25" i="1" s="1"/>
  <c r="G25" i="1" s="1"/>
  <c r="F25" i="1" s="1"/>
  <c r="E25" i="1" s="1"/>
  <c r="M23" i="1"/>
  <c r="L23" i="1" s="1"/>
  <c r="K23" i="1" s="1"/>
  <c r="J23" i="1" s="1"/>
  <c r="D22" i="1"/>
  <c r="H22" i="1" s="1"/>
  <c r="G22" i="1" s="1"/>
  <c r="F22" i="1" s="1"/>
  <c r="E22" i="1" s="1"/>
  <c r="D8" i="1"/>
  <c r="H8" i="1" s="1"/>
  <c r="G8" i="1" s="1"/>
  <c r="F8" i="1" s="1"/>
  <c r="E8" i="1" s="1"/>
  <c r="D20" i="1"/>
  <c r="H20" i="1" s="1"/>
  <c r="G20" i="1" s="1"/>
  <c r="F20" i="1" s="1"/>
  <c r="E20" i="1" s="1"/>
  <c r="D44" i="1"/>
  <c r="H44" i="1" s="1"/>
  <c r="G44" i="1" s="1"/>
  <c r="F44" i="1" s="1"/>
  <c r="E44" i="1" s="1"/>
  <c r="D12" i="1"/>
  <c r="H12" i="1" s="1"/>
  <c r="G12" i="1" s="1"/>
  <c r="F12" i="1" s="1"/>
  <c r="E12" i="1" s="1"/>
  <c r="D52" i="1"/>
  <c r="H52" i="1" s="1"/>
  <c r="G52" i="1" s="1"/>
  <c r="F52" i="1" s="1"/>
  <c r="E52" i="1" s="1"/>
  <c r="D35" i="1"/>
  <c r="H35" i="1" s="1"/>
  <c r="G35" i="1" s="1"/>
  <c r="F35" i="1" s="1"/>
  <c r="E35" i="1" s="1"/>
  <c r="D51" i="1"/>
  <c r="H51" i="1" s="1"/>
  <c r="G51" i="1" s="1"/>
  <c r="F51" i="1" s="1"/>
  <c r="E51" i="1" s="1"/>
  <c r="D21" i="1"/>
  <c r="H21" i="1" s="1"/>
  <c r="G21" i="1" s="1"/>
  <c r="F21" i="1" s="1"/>
  <c r="E21" i="1" s="1"/>
  <c r="D18" i="1"/>
  <c r="H18" i="1" s="1"/>
  <c r="G18" i="1" s="1"/>
  <c r="F18" i="1" s="1"/>
  <c r="E18" i="1" s="1"/>
  <c r="D9" i="1"/>
  <c r="H9" i="1" s="1"/>
  <c r="G9" i="1" s="1"/>
  <c r="F9" i="1" s="1"/>
  <c r="E9" i="1" s="1"/>
  <c r="D42" i="1"/>
  <c r="H42" i="1" s="1"/>
  <c r="G42" i="1" s="1"/>
  <c r="F42" i="1" s="1"/>
  <c r="E42" i="1" s="1"/>
  <c r="D58" i="1"/>
  <c r="H58" i="1" s="1"/>
  <c r="G58" i="1" s="1"/>
  <c r="F58" i="1" s="1"/>
  <c r="E58" i="1" s="1"/>
  <c r="D28" i="1"/>
  <c r="H28" i="1" s="1"/>
  <c r="G28" i="1" s="1"/>
  <c r="F28" i="1" s="1"/>
  <c r="E28" i="1" s="1"/>
  <c r="D31" i="1"/>
  <c r="H31" i="1" s="1"/>
  <c r="G31" i="1" s="1"/>
  <c r="F31" i="1" s="1"/>
  <c r="E31" i="1" s="1"/>
  <c r="D17" i="1"/>
  <c r="H17" i="1" s="1"/>
  <c r="G17" i="1" s="1"/>
  <c r="F17" i="1" s="1"/>
  <c r="E17" i="1" s="1"/>
  <c r="D62" i="1"/>
  <c r="H62" i="1" s="1"/>
  <c r="G62" i="1" s="1"/>
  <c r="F62" i="1" s="1"/>
  <c r="E6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Steve Smith</author>
  </authors>
  <commentList>
    <comment ref="A80" authorId="0" shapeId="0" xr:uid="{00000000-0006-0000-0000-000001000000}">
      <text>
        <r>
          <rPr>
            <b/>
            <sz val="9"/>
            <color indexed="81"/>
            <rFont val="Calibri"/>
            <family val="2"/>
          </rPr>
          <t>Steve Smith:</t>
        </r>
        <r>
          <rPr>
            <sz val="9"/>
            <color indexed="81"/>
            <rFont val="Calibri"/>
            <family val="2"/>
          </rPr>
          <t xml:space="preserve">
Added becaued of high S emissions from one plant</t>
        </r>
      </text>
    </comment>
    <comment ref="CP81" authorId="0" shapeId="0" xr:uid="{00000000-0006-0000-0000-000002000000}">
      <text>
        <r>
          <rPr>
            <b/>
            <sz val="9"/>
            <color rgb="FF000000"/>
            <rFont val="Calibri"/>
            <family val="2"/>
          </rPr>
          <t>Steve Smith:</t>
        </r>
        <r>
          <rPr>
            <sz val="9"/>
            <color rgb="FF000000"/>
            <rFont val="Calibri"/>
            <family val="2"/>
          </rPr>
          <t xml:space="preserve">
</t>
        </r>
        <r>
          <rPr>
            <sz val="9"/>
            <color rgb="FF000000"/>
            <rFont val="Calibri"/>
            <family val="2"/>
          </rPr>
          <t>Aprox. Hyde data is interpolated.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Steve Smith</author>
  </authors>
  <commentList>
    <comment ref="D81" authorId="0" shapeId="0" xr:uid="{00000000-0006-0000-0100-000001000000}">
      <text>
        <r>
          <rPr>
            <b/>
            <sz val="9"/>
            <color indexed="81"/>
            <rFont val="Calibri"/>
            <family val="2"/>
          </rPr>
          <t>Steve Smith:</t>
        </r>
        <r>
          <rPr>
            <sz val="9"/>
            <color indexed="81"/>
            <rFont val="Calibri"/>
            <family val="2"/>
          </rPr>
          <t xml:space="preserve">
Aprox. Hyde data is interpolated.</t>
        </r>
      </text>
    </comment>
  </commentList>
</comments>
</file>

<file path=xl/sharedStrings.xml><?xml version="1.0" encoding="utf-8"?>
<sst xmlns="http://schemas.openxmlformats.org/spreadsheetml/2006/main" count="2004" uniqueCount="307">
  <si>
    <t>In thousand tonnes</t>
  </si>
  <si>
    <t>Countries</t>
  </si>
  <si>
    <t>Albania</t>
  </si>
  <si>
    <t>Algeria</t>
  </si>
  <si>
    <t>Argentina</t>
  </si>
  <si>
    <t>Australia</t>
  </si>
  <si>
    <t>Austria</t>
  </si>
  <si>
    <t>Belgium</t>
  </si>
  <si>
    <t>Bosnia-Herzegovina</t>
  </si>
  <si>
    <t>Brazil</t>
  </si>
  <si>
    <t>Bulgaria</t>
  </si>
  <si>
    <t>Canada</t>
  </si>
  <si>
    <t>Chile</t>
  </si>
  <si>
    <t>China</t>
  </si>
  <si>
    <t>Colombia</t>
  </si>
  <si>
    <t>Czech Republic</t>
  </si>
  <si>
    <t>Czechoslovakia</t>
  </si>
  <si>
    <t>Egypt</t>
  </si>
  <si>
    <t>F.R. Yugoslavia</t>
  </si>
  <si>
    <t>Finland</t>
  </si>
  <si>
    <t>France</t>
  </si>
  <si>
    <t>Germany</t>
  </si>
  <si>
    <t>Germany (East)</t>
  </si>
  <si>
    <t>Hungary</t>
  </si>
  <si>
    <t>India</t>
  </si>
  <si>
    <t>Iran</t>
  </si>
  <si>
    <t>Italy</t>
  </si>
  <si>
    <t>Japan</t>
  </si>
  <si>
    <t>Kazakhstan</t>
  </si>
  <si>
    <t>Luxembourg</t>
  </si>
  <si>
    <t>Malaysia</t>
  </si>
  <si>
    <t>Mexico</t>
  </si>
  <si>
    <t>Morocco</t>
  </si>
  <si>
    <t>Netherlands</t>
  </si>
  <si>
    <t>New Zealand</t>
  </si>
  <si>
    <t>North Korea</t>
  </si>
  <si>
    <t>Norway</t>
  </si>
  <si>
    <t>Pakistan</t>
  </si>
  <si>
    <t>Paraguay</t>
  </si>
  <si>
    <t>Peru</t>
  </si>
  <si>
    <t>Poland</t>
  </si>
  <si>
    <t>Portugal</t>
  </si>
  <si>
    <t>Romania</t>
  </si>
  <si>
    <t>Russia</t>
  </si>
  <si>
    <t>former USSR</t>
  </si>
  <si>
    <t>Serbia</t>
  </si>
  <si>
    <t>Slovak Republic</t>
  </si>
  <si>
    <t>South Africa</t>
  </si>
  <si>
    <t>South Korea</t>
  </si>
  <si>
    <t>Spain</t>
  </si>
  <si>
    <t>Sweden</t>
  </si>
  <si>
    <t>Switzerland</t>
  </si>
  <si>
    <t>Taiwan, China</t>
  </si>
  <si>
    <t>Tunisia</t>
  </si>
  <si>
    <t>Turkey</t>
  </si>
  <si>
    <t>Ukraine</t>
  </si>
  <si>
    <t>United Kingdom</t>
  </si>
  <si>
    <t>United States</t>
  </si>
  <si>
    <t>Venezuela</t>
  </si>
  <si>
    <t>Vietnam</t>
  </si>
  <si>
    <t>Yugoslavia</t>
  </si>
  <si>
    <t>Zimbabwe</t>
  </si>
  <si>
    <t>World</t>
  </si>
  <si>
    <t>Sources:</t>
  </si>
  <si>
    <t>USGS World</t>
  </si>
  <si>
    <t>USGS US</t>
  </si>
  <si>
    <t>worldSteel - US</t>
  </si>
  <si>
    <t>Ratio</t>
  </si>
  <si>
    <t>USGS ROW</t>
  </si>
  <si>
    <t>Non-US ROW</t>
  </si>
  <si>
    <t>Blast furnace iron production</t>
  </si>
  <si>
    <t>USGS</t>
  </si>
  <si>
    <t>USA 1910-2014</t>
  </si>
  <si>
    <t>Other regions, 1910-1979 crudely extrapolated to match USGS world totals.</t>
  </si>
  <si>
    <t>UPDATE!</t>
  </si>
  <si>
    <t>iso</t>
  </si>
  <si>
    <t>yug</t>
  </si>
  <si>
    <t>irn</t>
  </si>
  <si>
    <t>ddr</t>
  </si>
  <si>
    <t>ussr</t>
  </si>
  <si>
    <t>svk</t>
  </si>
  <si>
    <t>kor</t>
  </si>
  <si>
    <t>twn</t>
  </si>
  <si>
    <t>prk</t>
  </si>
  <si>
    <t>scg</t>
  </si>
  <si>
    <t>alb</t>
  </si>
  <si>
    <t>dza</t>
  </si>
  <si>
    <t>arg</t>
  </si>
  <si>
    <t>aus</t>
  </si>
  <si>
    <t>aut</t>
  </si>
  <si>
    <t>bel</t>
  </si>
  <si>
    <t>bih</t>
  </si>
  <si>
    <t>bra</t>
  </si>
  <si>
    <t>bgr</t>
  </si>
  <si>
    <t>can</t>
  </si>
  <si>
    <t>chl</t>
  </si>
  <si>
    <t>chn</t>
  </si>
  <si>
    <t>col</t>
  </si>
  <si>
    <t>cze</t>
  </si>
  <si>
    <t>csk</t>
  </si>
  <si>
    <t>egy</t>
  </si>
  <si>
    <t>fin</t>
  </si>
  <si>
    <t>fra</t>
  </si>
  <si>
    <t>deu</t>
  </si>
  <si>
    <t>hun</t>
  </si>
  <si>
    <t>ind</t>
  </si>
  <si>
    <t>ita</t>
  </si>
  <si>
    <t>jpn</t>
  </si>
  <si>
    <t>kaz</t>
  </si>
  <si>
    <t>lux</t>
  </si>
  <si>
    <t>mys</t>
  </si>
  <si>
    <t>mex</t>
  </si>
  <si>
    <t>mar</t>
  </si>
  <si>
    <t>nld</t>
  </si>
  <si>
    <t>nzl</t>
  </si>
  <si>
    <t>nor</t>
  </si>
  <si>
    <t>pak</t>
  </si>
  <si>
    <t>pry</t>
  </si>
  <si>
    <t>per</t>
  </si>
  <si>
    <t>pol</t>
  </si>
  <si>
    <t>prt</t>
  </si>
  <si>
    <t>rou</t>
  </si>
  <si>
    <t>rus</t>
  </si>
  <si>
    <t>srb</t>
  </si>
  <si>
    <t>zaf</t>
  </si>
  <si>
    <t>esp</t>
  </si>
  <si>
    <t>swe</t>
  </si>
  <si>
    <t>che</t>
  </si>
  <si>
    <t>tun</t>
  </si>
  <si>
    <t>tur</t>
  </si>
  <si>
    <t>ukr</t>
  </si>
  <si>
    <t>gbr</t>
  </si>
  <si>
    <t>usa</t>
  </si>
  <si>
    <t>ven</t>
  </si>
  <si>
    <t>vnm</t>
  </si>
  <si>
    <t>zwe</t>
  </si>
  <si>
    <t>To resolve most of OECD europe</t>
  </si>
  <si>
    <t>Total OECD Europe</t>
  </si>
  <si>
    <t>OECD Europe - others</t>
  </si>
  <si>
    <t>Country</t>
  </si>
  <si>
    <t>X1925</t>
  </si>
  <si>
    <t>X1930</t>
  </si>
  <si>
    <t>X1935</t>
  </si>
  <si>
    <t>X1940</t>
  </si>
  <si>
    <t>X1945</t>
  </si>
  <si>
    <t>X1950</t>
  </si>
  <si>
    <t>X1955</t>
  </si>
  <si>
    <t>X1960</t>
  </si>
  <si>
    <t>X1965</t>
  </si>
  <si>
    <t>X1970</t>
  </si>
  <si>
    <t>X1975</t>
  </si>
  <si>
    <t>X1980</t>
  </si>
  <si>
    <t>X1985</t>
  </si>
  <si>
    <t>X1990</t>
  </si>
  <si>
    <t>X1995</t>
  </si>
  <si>
    <t>X2000</t>
  </si>
  <si>
    <t xml:space="preserve"> Albania        </t>
  </si>
  <si>
    <t xml:space="preserve"> Algeria        </t>
  </si>
  <si>
    <t xml:space="preserve"> Argentina      </t>
  </si>
  <si>
    <t xml:space="preserve"> Australia      </t>
  </si>
  <si>
    <t xml:space="preserve"> Austria        </t>
  </si>
  <si>
    <t xml:space="preserve"> Belgium        </t>
  </si>
  <si>
    <t xml:space="preserve"> Bosnia-Herzegov</t>
  </si>
  <si>
    <t xml:space="preserve"> Brazil         </t>
  </si>
  <si>
    <t xml:space="preserve"> Bulgaria       </t>
  </si>
  <si>
    <t xml:space="preserve"> Canada         </t>
  </si>
  <si>
    <t xml:space="preserve"> Chile          </t>
  </si>
  <si>
    <t xml:space="preserve"> China          </t>
  </si>
  <si>
    <t xml:space="preserve"> Chinese Taipei </t>
  </si>
  <si>
    <t xml:space="preserve"> Colombia       </t>
  </si>
  <si>
    <t xml:space="preserve"> Czech Republic </t>
  </si>
  <si>
    <t xml:space="preserve"> Czechoslovakia </t>
  </si>
  <si>
    <t xml:space="preserve"> Denmark        </t>
  </si>
  <si>
    <t>dnk</t>
  </si>
  <si>
    <t xml:space="preserve"> Egypt          </t>
  </si>
  <si>
    <t xml:space="preserve"> Finland        </t>
  </si>
  <si>
    <t xml:space="preserve"> France         </t>
  </si>
  <si>
    <t xml:space="preserve"> Georgia        </t>
  </si>
  <si>
    <t>geo</t>
  </si>
  <si>
    <t xml:space="preserve"> Germany        </t>
  </si>
  <si>
    <t xml:space="preserve"> Germany: Democr</t>
  </si>
  <si>
    <t xml:space="preserve"> Germany: Federa</t>
  </si>
  <si>
    <t xml:space="preserve"> Hungary        </t>
  </si>
  <si>
    <t xml:space="preserve"> India          </t>
  </si>
  <si>
    <t xml:space="preserve"> Iran           </t>
  </si>
  <si>
    <t xml:space="preserve"> Italy          </t>
  </si>
  <si>
    <t xml:space="preserve"> Japan          </t>
  </si>
  <si>
    <t xml:space="preserve"> Japan (&lt;1973)  </t>
  </si>
  <si>
    <t xml:space="preserve"> Kazakhstan     </t>
  </si>
  <si>
    <t xml:space="preserve"> Korea: Dem Peop</t>
  </si>
  <si>
    <t xml:space="preserve"> Korea: Republic</t>
  </si>
  <si>
    <t xml:space="preserve"> Luxembourg     </t>
  </si>
  <si>
    <t xml:space="preserve"> Macedonia TFYR </t>
  </si>
  <si>
    <t>mkd</t>
  </si>
  <si>
    <t xml:space="preserve"> Malaysia       </t>
  </si>
  <si>
    <t xml:space="preserve"> Mexico         </t>
  </si>
  <si>
    <t xml:space="preserve"> Morocco        </t>
  </si>
  <si>
    <t xml:space="preserve"> Myanmar        </t>
  </si>
  <si>
    <t>mmr</t>
  </si>
  <si>
    <t xml:space="preserve"> Netherlands    </t>
  </si>
  <si>
    <t xml:space="preserve"> New Zealand    </t>
  </si>
  <si>
    <t xml:space="preserve"> Norway         </t>
  </si>
  <si>
    <t xml:space="preserve"> Pakistan       </t>
  </si>
  <si>
    <t xml:space="preserve"> Paraguay       </t>
  </si>
  <si>
    <t xml:space="preserve"> Peru           </t>
  </si>
  <si>
    <t xml:space="preserve"> Philippines    </t>
  </si>
  <si>
    <t>phl</t>
  </si>
  <si>
    <t xml:space="preserve"> Poland         </t>
  </si>
  <si>
    <t xml:space="preserve"> Portugal       </t>
  </si>
  <si>
    <t xml:space="preserve"> Romania        </t>
  </si>
  <si>
    <t xml:space="preserve"> Russian Federat</t>
  </si>
  <si>
    <t xml:space="preserve"> Serbia and Mont</t>
  </si>
  <si>
    <t xml:space="preserve"> Slovak Republic</t>
  </si>
  <si>
    <t xml:space="preserve"> South Africa   </t>
  </si>
  <si>
    <t xml:space="preserve"> Spain          </t>
  </si>
  <si>
    <t xml:space="preserve"> Sweden         </t>
  </si>
  <si>
    <t xml:space="preserve"> Switzerland    </t>
  </si>
  <si>
    <t xml:space="preserve"> Thailand       </t>
  </si>
  <si>
    <t>tha</t>
  </si>
  <si>
    <t xml:space="preserve"> Tunisia        </t>
  </si>
  <si>
    <t xml:space="preserve"> Turkey         </t>
  </si>
  <si>
    <t xml:space="preserve"> Ukraine        </t>
  </si>
  <si>
    <t xml:space="preserve"> United Kingdom </t>
  </si>
  <si>
    <t xml:space="preserve"> United Korea   </t>
  </si>
  <si>
    <t xml:space="preserve"> USA            </t>
  </si>
  <si>
    <t xml:space="preserve"> USSR (Former)  </t>
  </si>
  <si>
    <t xml:space="preserve"> Venezuela      </t>
  </si>
  <si>
    <t xml:space="preserve"> Vietnam        </t>
  </si>
  <si>
    <t xml:space="preserve"> Yugoslavia     </t>
  </si>
  <si>
    <t xml:space="preserve"> Zimbabwe       </t>
  </si>
  <si>
    <t>Iron ore production  (in 1000 metric tons).</t>
  </si>
  <si>
    <t>Pig iron production in 1000 metric tonnes</t>
  </si>
  <si>
    <t>region 5</t>
  </si>
  <si>
    <t>region 6</t>
  </si>
  <si>
    <t>region 7</t>
  </si>
  <si>
    <t>USA</t>
  </si>
  <si>
    <t>Latin America</t>
  </si>
  <si>
    <t>region 5 includes Austria, belgium,finland, france, germany, italy, luxembourg, norway, netherland, spain, sweden and UK</t>
  </si>
  <si>
    <t>Africa</t>
  </si>
  <si>
    <t>region 6 includes bulgaria, czechoslowakia, hungary, poland, romania and yugoslavia</t>
  </si>
  <si>
    <t>OECD Europe</t>
  </si>
  <si>
    <t>Source: Mitchell (1975)</t>
  </si>
  <si>
    <t>Eastern Europe</t>
  </si>
  <si>
    <t>-</t>
  </si>
  <si>
    <t>CIS</t>
  </si>
  <si>
    <t>Middle East</t>
  </si>
  <si>
    <t>India + SA</t>
  </si>
  <si>
    <t>China + CPA</t>
  </si>
  <si>
    <t>East Asia</t>
  </si>
  <si>
    <t>Oceania</t>
  </si>
  <si>
    <t>from 1970 including iron concentrate</t>
  </si>
  <si>
    <t>Sum</t>
  </si>
  <si>
    <t>Other global estimates</t>
  </si>
  <si>
    <t>Woytinski (1953)</t>
  </si>
  <si>
    <t>Kirk (1996)</t>
  </si>
  <si>
    <t>Source: Mitchell (1975, 1982, 1983. 1993, 1995), World Resources (1992), Kirk (1996)</t>
  </si>
  <si>
    <t>Note: World Resources data are used for CIS 1975 and all regions 1980-1990.</t>
  </si>
  <si>
    <t>Note: The 1990 data for the regions Africa, Latin America, China, India, East Asia, Oceania are for 1988</t>
  </si>
  <si>
    <t>Note: data for 1990 for OECD and Eastern Europe from W.S. Kirk (USGS on the Internet), data for 1975 - 1985 interpolated !!!</t>
  </si>
  <si>
    <t>Output of pig iron  (in 1000 metric tons).</t>
  </si>
  <si>
    <t>World (Daniels, 1994)</t>
  </si>
  <si>
    <t>U.S. Bureau of Mines (1996)</t>
  </si>
  <si>
    <t>Source: Mitchell (1975, 1982, 1983, 1993, 1995), Sugimoto (The Chinese steel industry, 1993, Resources Policy. Data used for China, Japan, USA 1990), Pockney (Soviet statistics since 1950, 1991. Data used for CIS 1975-1985).</t>
  </si>
  <si>
    <t>Note: Data 1960 from China is changed from 28,372 (Mitchell) into 12,272 (Wang, Mineral resources and basic industries in the People's Republic of China).</t>
  </si>
  <si>
    <t>Note: data for 1990 for OECD and Eastern Europe from G.Houck (USGS on the Internet), data for 1975 - 1985 interpolated !!!</t>
  </si>
  <si>
    <t>Secundary production of iron  (in 1000 metric tons).</t>
  </si>
  <si>
    <t>Region</t>
  </si>
  <si>
    <t>Consumption of iron  (in  thousand of metric tons)</t>
  </si>
  <si>
    <t>WRI (1992)</t>
  </si>
  <si>
    <t>Source: World Resources Institute (1992).</t>
  </si>
  <si>
    <t>Source USA for 1965, 1970: American Iron and Steel Institute</t>
  </si>
  <si>
    <t>Reserve base (million metric tons iron content)</t>
  </si>
  <si>
    <t xml:space="preserve">World </t>
  </si>
  <si>
    <t>Reserve base = technical reserves (1985) and economical reserves (1990)</t>
  </si>
  <si>
    <t>Source: USBM (1985), World Resources (1993)</t>
  </si>
  <si>
    <t>Summary for HYDE report:</t>
  </si>
  <si>
    <t>Mine production</t>
  </si>
  <si>
    <t>Smelter production</t>
  </si>
  <si>
    <t>Secondary production</t>
  </si>
  <si>
    <t>Consumption</t>
  </si>
  <si>
    <t>worldsteel.org</t>
  </si>
  <si>
    <t>SPEW</t>
  </si>
  <si>
    <t>Missing</t>
  </si>
  <si>
    <r>
      <t>X</t>
    </r>
    <r>
      <rPr>
        <sz val="12"/>
        <color theme="1"/>
        <rFont val="Times"/>
        <family val="2"/>
      </rPr>
      <t>2000</t>
    </r>
  </si>
  <si>
    <t>only in 1980</t>
  </si>
  <si>
    <t>LatinAmerica</t>
  </si>
  <si>
    <t>OECDEurope</t>
  </si>
  <si>
    <t>EasternEurope</t>
  </si>
  <si>
    <t>SouthAsia</t>
  </si>
  <si>
    <t/>
  </si>
  <si>
    <t>X1850</t>
  </si>
  <si>
    <t>X1855</t>
  </si>
  <si>
    <t>X1860</t>
  </si>
  <si>
    <t>X1865</t>
  </si>
  <si>
    <t>X1870</t>
  </si>
  <si>
    <t>X1875</t>
  </si>
  <si>
    <t>X1880</t>
  </si>
  <si>
    <t>X1885</t>
  </si>
  <si>
    <t>X1890</t>
  </si>
  <si>
    <t>X1895</t>
  </si>
  <si>
    <t>X1900</t>
  </si>
  <si>
    <t>X1905</t>
  </si>
  <si>
    <t>X1910</t>
  </si>
  <si>
    <t>X1915</t>
  </si>
  <si>
    <t>X1920</t>
  </si>
  <si>
    <t>Global 1980 - 2017</t>
  </si>
  <si>
    <t>https://www.worldsteel.org/steel-by-topic/statistics/steel-statistical-yearbook.html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</si>
</sst>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name val="Calibri"/>
    </font>
    <font>
      <sz val="12"/>
      <color theme="1"/>
      <name val="Times"/>
      <family val="2"/>
    </font>
    <font>
      <sz val="12"/>
      <color theme="1"/>
      <name val="Times"/>
      <family val="2"/>
    </font>
    <font>
      <sz val="12"/>
      <color theme="1"/>
      <name val="Times"/>
      <family val="2"/>
    </font>
    <font>
      <sz val="12"/>
      <color theme="1"/>
      <name val="Times"/>
      <family val="2"/>
    </font>
    <font>
      <u/>
      <sz val="11"/>
      <color theme="10"/>
      <name val="Calibri"/>
      <family val="2"/>
    </font>
    <font>
      <u/>
      <sz val="11"/>
      <color theme="11"/>
      <name val="Calibri"/>
      <family val="2"/>
    </font>
    <font>
      <sz val="10"/>
      <name val="Calibri"/>
      <family val="2"/>
    </font>
    <font>
      <i/>
      <sz val="9"/>
      <name val="Calibri"/>
      <family val="2"/>
    </font>
    <font>
      <sz val="9"/>
      <color indexed="81"/>
      <name val="Calibri"/>
      <family val="2"/>
    </font>
    <font>
      <b/>
      <sz val="9"/>
      <color indexed="81"/>
      <name val="Calibri"/>
      <family val="2"/>
    </font>
    <font>
      <sz val="10"/>
      <name val="Times New Roman"/>
      <family val="1"/>
    </font>
    <font>
      <b/>
      <sz val="10"/>
      <name val="Arial"/>
      <family val="2"/>
    </font>
    <font>
      <sz val="10"/>
      <name val="Arial"/>
      <family val="2"/>
    </font>
    <font>
      <i/>
      <sz val="10"/>
      <name val="Arial"/>
      <family val="2"/>
    </font>
    <font>
      <sz val="12"/>
      <name val="Calibri"/>
      <family val="2"/>
    </font>
    <font>
      <sz val="11"/>
      <name val="Calibri"/>
      <family val="2"/>
    </font>
    <font>
      <b/>
      <sz val="9"/>
      <color rgb="FF000000"/>
      <name val="Calibri"/>
      <family val="2"/>
    </font>
    <font>
      <sz val="9"/>
      <color rgb="FF000000"/>
      <name val="Calibri"/>
      <family val="2"/>
    </font>
  </fonts>
  <fills count="2">
    <fill>
      <patternFill patternType="none"/>
    </fill>
    <fill>
      <patternFill patternType="gray125"/>
    </fill>
  </fills>
  <borders count="2">
    <border>
      <left/>
      <right/>
      <top/>
      <bottom/>
      <diagonal/>
    </border>
    <border>
      <left/>
      <right/>
      <top/>
      <bottom style="thin">
        <color auto="1"/>
      </bottom>
      <diagonal/>
    </border>
  </borders>
  <cellStyleXfs count="309">
    <xf numFmtId="0" fontId="0" fillId="0" borderId="0" applyNumberFormat="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4" fillId="0" borderId="0"/>
    <xf numFmtId="0" fontId="1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51">
    <xf numFmtId="0" fontId="0" fillId="0" borderId="0" xfId="0"/>
    <xf numFmtId="0" fontId="0" fillId="0" borderId="0" xfId="0"/>
    <xf numFmtId="3" fontId="0" fillId="0" borderId="0" xfId="0" applyNumberFormat="1"/>
    <xf numFmtId="0" fontId="0" fillId="0" borderId="1" xfId="0" applyBorder="1"/>
    <xf numFmtId="3" fontId="0" fillId="0" borderId="1" xfId="0" applyNumberFormat="1" applyBorder="1"/>
    <xf numFmtId="0" fontId="7" fillId="0" borderId="0" xfId="0" applyFont="1"/>
    <xf numFmtId="4" fontId="0" fillId="0" borderId="0" xfId="0" applyNumberFormat="1"/>
    <xf numFmtId="3" fontId="8" fillId="0" borderId="0" xfId="0" applyNumberFormat="1" applyFont="1"/>
    <xf numFmtId="3" fontId="8" fillId="0" borderId="1" xfId="0" applyNumberFormat="1" applyFont="1" applyBorder="1"/>
    <xf numFmtId="0" fontId="0" fillId="0" borderId="0" xfId="0"/>
    <xf numFmtId="0" fontId="0" fillId="0" borderId="0" xfId="0"/>
    <xf numFmtId="0" fontId="0" fillId="0" borderId="0" xfId="0"/>
    <xf numFmtId="0" fontId="4" fillId="0" borderId="0" xfId="109"/>
    <xf numFmtId="0" fontId="12" fillId="0" borderId="0" xfId="110" applyFont="1" applyAlignment="1">
      <alignment horizontal="left"/>
    </xf>
    <xf numFmtId="0" fontId="13" fillId="0" borderId="0" xfId="110" applyFont="1"/>
    <xf numFmtId="0" fontId="13" fillId="0" borderId="0" xfId="110" applyFont="1" applyAlignment="1">
      <alignment horizontal="left"/>
    </xf>
    <xf numFmtId="0" fontId="13" fillId="0" borderId="0" xfId="110" applyFont="1" applyBorder="1"/>
    <xf numFmtId="1" fontId="13" fillId="0" borderId="0" xfId="110" applyNumberFormat="1" applyFont="1" applyBorder="1"/>
    <xf numFmtId="1" fontId="13" fillId="0" borderId="0" xfId="110" applyNumberFormat="1" applyFont="1"/>
    <xf numFmtId="1" fontId="13" fillId="0" borderId="0" xfId="110" applyNumberFormat="1" applyFont="1" applyProtection="1"/>
    <xf numFmtId="37" fontId="13" fillId="0" borderId="0" xfId="110" applyNumberFormat="1" applyFont="1" applyProtection="1"/>
    <xf numFmtId="1" fontId="13" fillId="0" borderId="0" xfId="110" applyNumberFormat="1" applyFont="1" applyAlignment="1" applyProtection="1">
      <alignment horizontal="right"/>
    </xf>
    <xf numFmtId="37" fontId="13" fillId="0" borderId="0" xfId="110" applyNumberFormat="1" applyFont="1" applyAlignment="1" applyProtection="1">
      <alignment horizontal="right"/>
    </xf>
    <xf numFmtId="1" fontId="12" fillId="0" borderId="0" xfId="110" applyNumberFormat="1" applyFont="1" applyAlignment="1" applyProtection="1">
      <alignment horizontal="right"/>
    </xf>
    <xf numFmtId="0" fontId="13" fillId="0" borderId="0" xfId="110" applyFont="1" applyAlignment="1">
      <alignment horizontal="right"/>
    </xf>
    <xf numFmtId="0" fontId="14" fillId="0" borderId="0" xfId="110" applyFont="1" applyAlignment="1">
      <alignment horizontal="left"/>
    </xf>
    <xf numFmtId="1" fontId="13" fillId="0" borderId="0" xfId="110" applyNumberFormat="1" applyFont="1" applyBorder="1" applyAlignment="1" applyProtection="1">
      <alignment horizontal="right"/>
    </xf>
    <xf numFmtId="3" fontId="13" fillId="0" borderId="0" xfId="110" applyNumberFormat="1" applyFont="1" applyBorder="1"/>
    <xf numFmtId="3" fontId="13" fillId="0" borderId="0" xfId="110" applyNumberFormat="1" applyFont="1"/>
    <xf numFmtId="0" fontId="13" fillId="0" borderId="0" xfId="110" quotePrefix="1" applyFont="1" applyAlignment="1">
      <alignment horizontal="left"/>
    </xf>
    <xf numFmtId="0" fontId="12" fillId="0" borderId="0" xfId="110" quotePrefix="1" applyFont="1" applyAlignment="1">
      <alignment horizontal="left"/>
    </xf>
    <xf numFmtId="37" fontId="13" fillId="0" borderId="0" xfId="110" applyNumberFormat="1" applyFont="1"/>
    <xf numFmtId="0" fontId="0" fillId="0" borderId="0" xfId="0" applyAlignment="1"/>
    <xf numFmtId="0" fontId="7" fillId="0" borderId="0" xfId="0" applyFont="1" applyAlignment="1"/>
    <xf numFmtId="1" fontId="7" fillId="0" borderId="0" xfId="0" applyNumberFormat="1" applyFont="1" applyAlignment="1"/>
    <xf numFmtId="3" fontId="8" fillId="0" borderId="0" xfId="0" applyNumberFormat="1" applyFont="1" applyAlignment="1"/>
    <xf numFmtId="3" fontId="0" fillId="0" borderId="0" xfId="0" applyNumberFormat="1" applyAlignment="1"/>
    <xf numFmtId="0" fontId="0" fillId="0" borderId="1" xfId="0" applyBorder="1" applyAlignment="1"/>
    <xf numFmtId="3" fontId="8" fillId="0" borderId="1" xfId="0" applyNumberFormat="1" applyFont="1" applyBorder="1" applyAlignment="1"/>
    <xf numFmtId="3" fontId="0" fillId="0" borderId="1" xfId="0" applyNumberFormat="1" applyBorder="1" applyAlignment="1"/>
    <xf numFmtId="4" fontId="0" fillId="0" borderId="0" xfId="0" applyNumberFormat="1" applyAlignment="1"/>
    <xf numFmtId="0" fontId="4" fillId="0" borderId="0" xfId="109" quotePrefix="1"/>
    <xf numFmtId="0" fontId="3" fillId="0" borderId="0" xfId="109" applyFont="1"/>
    <xf numFmtId="0" fontId="0" fillId="0" borderId="0" xfId="0"/>
    <xf numFmtId="0" fontId="2" fillId="0" borderId="0" xfId="109" applyFont="1"/>
    <xf numFmtId="0" fontId="0" fillId="0" borderId="0" xfId="0"/>
    <xf numFmtId="3" fontId="15" fillId="0" borderId="0" xfId="0" applyNumberFormat="1" applyFont="1"/>
    <xf numFmtId="3" fontId="15" fillId="0" borderId="1" xfId="0" applyNumberFormat="1" applyFont="1" applyBorder="1"/>
    <xf numFmtId="0" fontId="0" fillId="0" borderId="0" xfId="0" applyBorder="1"/>
    <xf numFmtId="0" fontId="0" fillId="0" borderId="0" xfId="0"/>
    <xf numFmtId="0" fontId="16" fillId="0" borderId="0" xfId="0" applyFont="1"/>
  </cellXfs>
  <cellStyles count="3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Normal" xfId="0" builtinId="0"/>
    <cellStyle name="Normal 2" xfId="109" xr:uid="{00000000-0005-0000-0000-000033010000}"/>
    <cellStyle name="Normal 3" xfId="110" xr:uid="{00000000-0005-0000-0000-000034010000}"/>
  </cellStyles>
  <dxfs count="6">
    <dxf>
      <font>
        <color theme="0" tint="-0.14999847407452621"/>
      </font>
    </dxf>
    <dxf>
      <font>
        <color theme="0" tint="-0.14999847407452621"/>
      </font>
    </dxf>
    <dxf>
      <font>
        <color theme="0" tint="-0.14999847407452621"/>
      </font>
    </dxf>
    <dxf>
      <font>
        <color theme="0" tint="-0.14999847407452621"/>
      </font>
    </dxf>
    <dxf>
      <font>
        <color theme="0" tint="-0.14999847407452621"/>
      </font>
    </dxf>
    <dxf>
      <font>
        <color theme="0" tint="-0.14999847407452621"/>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9650413449425407E-2"/>
          <c:y val="8.3682136591270703E-2"/>
          <c:w val="0.64335705525243103"/>
          <c:h val="0.78661208395794402"/>
        </c:manualLayout>
      </c:layout>
      <c:scatterChart>
        <c:scatterStyle val="lineMarker"/>
        <c:varyColors val="0"/>
        <c:ser>
          <c:idx val="0"/>
          <c:order val="0"/>
          <c:tx>
            <c:strRef>
              <c:f>Hyde_iron!$A$144</c:f>
              <c:strCache>
                <c:ptCount val="1"/>
                <c:pt idx="0">
                  <c:v>Mine production</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xVal>
            <c:numRef>
              <c:f>Hyde_iron!$C$143:$W$143</c:f>
              <c:numCache>
                <c:formatCode>0</c:formatCode>
                <c:ptCount val="21"/>
                <c:pt idx="0">
                  <c:v>1890</c:v>
                </c:pt>
                <c:pt idx="1">
                  <c:v>1895</c:v>
                </c:pt>
                <c:pt idx="2">
                  <c:v>1900</c:v>
                </c:pt>
                <c:pt idx="3">
                  <c:v>1905</c:v>
                </c:pt>
                <c:pt idx="4">
                  <c:v>1910</c:v>
                </c:pt>
                <c:pt idx="5">
                  <c:v>1915</c:v>
                </c:pt>
                <c:pt idx="6">
                  <c:v>1920</c:v>
                </c:pt>
                <c:pt idx="7">
                  <c:v>1925</c:v>
                </c:pt>
                <c:pt idx="8">
                  <c:v>1930</c:v>
                </c:pt>
                <c:pt idx="9">
                  <c:v>1935</c:v>
                </c:pt>
                <c:pt idx="10">
                  <c:v>1940</c:v>
                </c:pt>
                <c:pt idx="11">
                  <c:v>1945</c:v>
                </c:pt>
                <c:pt idx="12">
                  <c:v>1950</c:v>
                </c:pt>
                <c:pt idx="13">
                  <c:v>1955</c:v>
                </c:pt>
                <c:pt idx="14">
                  <c:v>1960</c:v>
                </c:pt>
                <c:pt idx="15">
                  <c:v>1965</c:v>
                </c:pt>
                <c:pt idx="16">
                  <c:v>1970</c:v>
                </c:pt>
                <c:pt idx="17">
                  <c:v>1975</c:v>
                </c:pt>
                <c:pt idx="18">
                  <c:v>1980</c:v>
                </c:pt>
                <c:pt idx="19">
                  <c:v>1985</c:v>
                </c:pt>
                <c:pt idx="20">
                  <c:v>1990</c:v>
                </c:pt>
              </c:numCache>
            </c:numRef>
          </c:xVal>
          <c:yVal>
            <c:numRef>
              <c:f>Hyde_iron!$C$144:$W$144</c:f>
              <c:numCache>
                <c:formatCode>0</c:formatCode>
                <c:ptCount val="21"/>
                <c:pt idx="0">
                  <c:v>56420</c:v>
                </c:pt>
                <c:pt idx="1">
                  <c:v>57724</c:v>
                </c:pt>
                <c:pt idx="2">
                  <c:v>87464</c:v>
                </c:pt>
                <c:pt idx="3">
                  <c:v>111931</c:v>
                </c:pt>
                <c:pt idx="4">
                  <c:v>144420</c:v>
                </c:pt>
                <c:pt idx="5">
                  <c:v>122298</c:v>
                </c:pt>
                <c:pt idx="6">
                  <c:v>121847</c:v>
                </c:pt>
                <c:pt idx="7">
                  <c:v>148976</c:v>
                </c:pt>
                <c:pt idx="8">
                  <c:v>173682</c:v>
                </c:pt>
                <c:pt idx="9">
                  <c:v>136015</c:v>
                </c:pt>
                <c:pt idx="10">
                  <c:v>197325</c:v>
                </c:pt>
                <c:pt idx="11">
                  <c:v>145958</c:v>
                </c:pt>
                <c:pt idx="12">
                  <c:v>236760</c:v>
                </c:pt>
                <c:pt idx="13">
                  <c:v>345319</c:v>
                </c:pt>
                <c:pt idx="14">
                  <c:v>466833</c:v>
                </c:pt>
                <c:pt idx="15">
                  <c:v>557066</c:v>
                </c:pt>
                <c:pt idx="16">
                  <c:v>688779</c:v>
                </c:pt>
                <c:pt idx="17">
                  <c:v>864674</c:v>
                </c:pt>
                <c:pt idx="18">
                  <c:v>950455.4</c:v>
                </c:pt>
                <c:pt idx="19">
                  <c:v>971038</c:v>
                </c:pt>
                <c:pt idx="20">
                  <c:v>1075968</c:v>
                </c:pt>
              </c:numCache>
            </c:numRef>
          </c:yVal>
          <c:smooth val="0"/>
          <c:extLst>
            <c:ext xmlns:c16="http://schemas.microsoft.com/office/drawing/2014/chart" uri="{C3380CC4-5D6E-409C-BE32-E72D297353CC}">
              <c16:uniqueId val="{00000000-5419-C34F-A722-86B0EC3B4A4B}"/>
            </c:ext>
          </c:extLst>
        </c:ser>
        <c:ser>
          <c:idx val="1"/>
          <c:order val="1"/>
          <c:tx>
            <c:strRef>
              <c:f>Hyde_iron!$A$145</c:f>
              <c:strCache>
                <c:ptCount val="1"/>
                <c:pt idx="0">
                  <c:v>Smelter production</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xVal>
            <c:numRef>
              <c:f>Hyde_iron!$C$143:$W$143</c:f>
              <c:numCache>
                <c:formatCode>0</c:formatCode>
                <c:ptCount val="21"/>
                <c:pt idx="0">
                  <c:v>1890</c:v>
                </c:pt>
                <c:pt idx="1">
                  <c:v>1895</c:v>
                </c:pt>
                <c:pt idx="2">
                  <c:v>1900</c:v>
                </c:pt>
                <c:pt idx="3">
                  <c:v>1905</c:v>
                </c:pt>
                <c:pt idx="4">
                  <c:v>1910</c:v>
                </c:pt>
                <c:pt idx="5">
                  <c:v>1915</c:v>
                </c:pt>
                <c:pt idx="6">
                  <c:v>1920</c:v>
                </c:pt>
                <c:pt idx="7">
                  <c:v>1925</c:v>
                </c:pt>
                <c:pt idx="8">
                  <c:v>1930</c:v>
                </c:pt>
                <c:pt idx="9">
                  <c:v>1935</c:v>
                </c:pt>
                <c:pt idx="10">
                  <c:v>1940</c:v>
                </c:pt>
                <c:pt idx="11">
                  <c:v>1945</c:v>
                </c:pt>
                <c:pt idx="12">
                  <c:v>1950</c:v>
                </c:pt>
                <c:pt idx="13">
                  <c:v>1955</c:v>
                </c:pt>
                <c:pt idx="14">
                  <c:v>1960</c:v>
                </c:pt>
                <c:pt idx="15">
                  <c:v>1965</c:v>
                </c:pt>
                <c:pt idx="16">
                  <c:v>1970</c:v>
                </c:pt>
                <c:pt idx="17">
                  <c:v>1975</c:v>
                </c:pt>
                <c:pt idx="18">
                  <c:v>1980</c:v>
                </c:pt>
                <c:pt idx="19">
                  <c:v>1985</c:v>
                </c:pt>
                <c:pt idx="20">
                  <c:v>1990</c:v>
                </c:pt>
              </c:numCache>
            </c:numRef>
          </c:xVal>
          <c:yVal>
            <c:numRef>
              <c:f>Hyde_iron!$C$145:$W$145</c:f>
              <c:numCache>
                <c:formatCode>0</c:formatCode>
                <c:ptCount val="21"/>
                <c:pt idx="0">
                  <c:v>26209</c:v>
                </c:pt>
                <c:pt idx="1">
                  <c:v>29080</c:v>
                </c:pt>
                <c:pt idx="2">
                  <c:v>38756</c:v>
                </c:pt>
                <c:pt idx="3">
                  <c:v>54215</c:v>
                </c:pt>
                <c:pt idx="4">
                  <c:v>62679</c:v>
                </c:pt>
                <c:pt idx="5">
                  <c:v>60185</c:v>
                </c:pt>
                <c:pt idx="6">
                  <c:v>62645</c:v>
                </c:pt>
                <c:pt idx="7">
                  <c:v>75265</c:v>
                </c:pt>
                <c:pt idx="8">
                  <c:v>77899</c:v>
                </c:pt>
                <c:pt idx="9">
                  <c:v>73386</c:v>
                </c:pt>
                <c:pt idx="10">
                  <c:v>103681</c:v>
                </c:pt>
                <c:pt idx="11">
                  <c:v>79435</c:v>
                </c:pt>
                <c:pt idx="12">
                  <c:v>131318</c:v>
                </c:pt>
                <c:pt idx="13">
                  <c:v>189568</c:v>
                </c:pt>
                <c:pt idx="14">
                  <c:v>241476</c:v>
                </c:pt>
                <c:pt idx="15">
                  <c:v>334091</c:v>
                </c:pt>
                <c:pt idx="16">
                  <c:v>428774</c:v>
                </c:pt>
                <c:pt idx="17">
                  <c:v>503420.25</c:v>
                </c:pt>
                <c:pt idx="18">
                  <c:v>528370.75</c:v>
                </c:pt>
                <c:pt idx="19">
                  <c:v>526938.5</c:v>
                </c:pt>
                <c:pt idx="20">
                  <c:v>532360</c:v>
                </c:pt>
              </c:numCache>
            </c:numRef>
          </c:yVal>
          <c:smooth val="0"/>
          <c:extLst>
            <c:ext xmlns:c16="http://schemas.microsoft.com/office/drawing/2014/chart" uri="{C3380CC4-5D6E-409C-BE32-E72D297353CC}">
              <c16:uniqueId val="{00000001-5419-C34F-A722-86B0EC3B4A4B}"/>
            </c:ext>
          </c:extLst>
        </c:ser>
        <c:ser>
          <c:idx val="2"/>
          <c:order val="2"/>
          <c:tx>
            <c:strRef>
              <c:f>Hyde_iron!$A$146</c:f>
              <c:strCache>
                <c:ptCount val="1"/>
                <c:pt idx="0">
                  <c:v>Secondary production</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xVal>
            <c:numRef>
              <c:f>Hyde_iron!$C$143:$W$143</c:f>
              <c:numCache>
                <c:formatCode>0</c:formatCode>
                <c:ptCount val="21"/>
                <c:pt idx="0">
                  <c:v>1890</c:v>
                </c:pt>
                <c:pt idx="1">
                  <c:v>1895</c:v>
                </c:pt>
                <c:pt idx="2">
                  <c:v>1900</c:v>
                </c:pt>
                <c:pt idx="3">
                  <c:v>1905</c:v>
                </c:pt>
                <c:pt idx="4">
                  <c:v>1910</c:v>
                </c:pt>
                <c:pt idx="5">
                  <c:v>1915</c:v>
                </c:pt>
                <c:pt idx="6">
                  <c:v>1920</c:v>
                </c:pt>
                <c:pt idx="7">
                  <c:v>1925</c:v>
                </c:pt>
                <c:pt idx="8">
                  <c:v>1930</c:v>
                </c:pt>
                <c:pt idx="9">
                  <c:v>1935</c:v>
                </c:pt>
                <c:pt idx="10">
                  <c:v>1940</c:v>
                </c:pt>
                <c:pt idx="11">
                  <c:v>1945</c:v>
                </c:pt>
                <c:pt idx="12">
                  <c:v>1950</c:v>
                </c:pt>
                <c:pt idx="13">
                  <c:v>1955</c:v>
                </c:pt>
                <c:pt idx="14">
                  <c:v>1960</c:v>
                </c:pt>
                <c:pt idx="15">
                  <c:v>1965</c:v>
                </c:pt>
                <c:pt idx="16">
                  <c:v>1970</c:v>
                </c:pt>
                <c:pt idx="17">
                  <c:v>1975</c:v>
                </c:pt>
                <c:pt idx="18">
                  <c:v>1980</c:v>
                </c:pt>
                <c:pt idx="19">
                  <c:v>1985</c:v>
                </c:pt>
                <c:pt idx="20">
                  <c:v>1990</c:v>
                </c:pt>
              </c:numCache>
            </c:numRef>
          </c:xVal>
          <c:yVal>
            <c:numRef>
              <c:f>Hyde_iron!$C$146:$W$146</c:f>
              <c:numCache>
                <c:formatCode>0</c:formatCode>
                <c:ptCount val="21"/>
              </c:numCache>
            </c:numRef>
          </c:yVal>
          <c:smooth val="0"/>
          <c:extLst>
            <c:ext xmlns:c16="http://schemas.microsoft.com/office/drawing/2014/chart" uri="{C3380CC4-5D6E-409C-BE32-E72D297353CC}">
              <c16:uniqueId val="{00000002-5419-C34F-A722-86B0EC3B4A4B}"/>
            </c:ext>
          </c:extLst>
        </c:ser>
        <c:ser>
          <c:idx val="3"/>
          <c:order val="3"/>
          <c:tx>
            <c:strRef>
              <c:f>Hyde_iron!$A$147</c:f>
              <c:strCache>
                <c:ptCount val="1"/>
                <c:pt idx="0">
                  <c:v>Consumption</c:v>
                </c:pt>
              </c:strCache>
            </c:strRef>
          </c:tx>
          <c:spPr>
            <a:ln w="12700">
              <a:solidFill>
                <a:srgbClr val="00FFFF"/>
              </a:solidFill>
              <a:prstDash val="solid"/>
            </a:ln>
          </c:spPr>
          <c:marker>
            <c:symbol val="x"/>
            <c:size val="5"/>
            <c:spPr>
              <a:noFill/>
              <a:ln>
                <a:solidFill>
                  <a:srgbClr val="00FFFF"/>
                </a:solidFill>
                <a:prstDash val="solid"/>
              </a:ln>
            </c:spPr>
          </c:marker>
          <c:xVal>
            <c:numRef>
              <c:f>Hyde_iron!$C$143:$W$143</c:f>
              <c:numCache>
                <c:formatCode>0</c:formatCode>
                <c:ptCount val="21"/>
                <c:pt idx="0">
                  <c:v>1890</c:v>
                </c:pt>
                <c:pt idx="1">
                  <c:v>1895</c:v>
                </c:pt>
                <c:pt idx="2">
                  <c:v>1900</c:v>
                </c:pt>
                <c:pt idx="3">
                  <c:v>1905</c:v>
                </c:pt>
                <c:pt idx="4">
                  <c:v>1910</c:v>
                </c:pt>
                <c:pt idx="5">
                  <c:v>1915</c:v>
                </c:pt>
                <c:pt idx="6">
                  <c:v>1920</c:v>
                </c:pt>
                <c:pt idx="7">
                  <c:v>1925</c:v>
                </c:pt>
                <c:pt idx="8">
                  <c:v>1930</c:v>
                </c:pt>
                <c:pt idx="9">
                  <c:v>1935</c:v>
                </c:pt>
                <c:pt idx="10">
                  <c:v>1940</c:v>
                </c:pt>
                <c:pt idx="11">
                  <c:v>1945</c:v>
                </c:pt>
                <c:pt idx="12">
                  <c:v>1950</c:v>
                </c:pt>
                <c:pt idx="13">
                  <c:v>1955</c:v>
                </c:pt>
                <c:pt idx="14">
                  <c:v>1960</c:v>
                </c:pt>
                <c:pt idx="15">
                  <c:v>1965</c:v>
                </c:pt>
                <c:pt idx="16">
                  <c:v>1970</c:v>
                </c:pt>
                <c:pt idx="17">
                  <c:v>1975</c:v>
                </c:pt>
                <c:pt idx="18">
                  <c:v>1980</c:v>
                </c:pt>
                <c:pt idx="19">
                  <c:v>1985</c:v>
                </c:pt>
                <c:pt idx="20">
                  <c:v>1990</c:v>
                </c:pt>
              </c:numCache>
            </c:numRef>
          </c:xVal>
          <c:yVal>
            <c:numRef>
              <c:f>Hyde_iron!$C$147:$W$147</c:f>
              <c:numCache>
                <c:formatCode>0</c:formatCode>
                <c:ptCount val="21"/>
                <c:pt idx="17">
                  <c:v>515833</c:v>
                </c:pt>
                <c:pt idx="18">
                  <c:v>517759</c:v>
                </c:pt>
                <c:pt idx="19">
                  <c:v>511008</c:v>
                </c:pt>
                <c:pt idx="20">
                  <c:v>564060</c:v>
                </c:pt>
              </c:numCache>
            </c:numRef>
          </c:yVal>
          <c:smooth val="0"/>
          <c:extLst>
            <c:ext xmlns:c16="http://schemas.microsoft.com/office/drawing/2014/chart" uri="{C3380CC4-5D6E-409C-BE32-E72D297353CC}">
              <c16:uniqueId val="{00000003-5419-C34F-A722-86B0EC3B4A4B}"/>
            </c:ext>
          </c:extLst>
        </c:ser>
        <c:dLbls>
          <c:showLegendKey val="0"/>
          <c:showVal val="0"/>
          <c:showCatName val="0"/>
          <c:showSerName val="0"/>
          <c:showPercent val="0"/>
          <c:showBubbleSize val="0"/>
        </c:dLbls>
        <c:axId val="-2037795800"/>
        <c:axId val="-2037790088"/>
      </c:scatterChart>
      <c:valAx>
        <c:axId val="-2037795800"/>
        <c:scaling>
          <c:orientation val="minMax"/>
        </c:scaling>
        <c:delete val="0"/>
        <c:axPos val="b"/>
        <c:numFmt formatCode="0"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037790088"/>
        <c:crosses val="autoZero"/>
        <c:crossBetween val="midCat"/>
      </c:valAx>
      <c:valAx>
        <c:axId val="-2037790088"/>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037795800"/>
        <c:crosses val="autoZero"/>
        <c:crossBetween val="midCat"/>
      </c:valAx>
      <c:spPr>
        <a:solidFill>
          <a:srgbClr val="C0C0C0"/>
        </a:solidFill>
        <a:ln w="12700">
          <a:solidFill>
            <a:srgbClr val="808080"/>
          </a:solidFill>
          <a:prstDash val="solid"/>
        </a:ln>
      </c:spPr>
    </c:plotArea>
    <c:legend>
      <c:legendPos val="r"/>
      <c:layout>
        <c:manualLayout>
          <c:xMode val="edge"/>
          <c:yMode val="edge"/>
          <c:x val="0.77622427318499798"/>
          <c:y val="0.37238550783115398"/>
          <c:w val="0.20979034410405301"/>
          <c:h val="0.20502123464861299"/>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762000</xdr:colOff>
      <xdr:row>116</xdr:row>
      <xdr:rowOff>139700</xdr:rowOff>
    </xdr:from>
    <xdr:to>
      <xdr:col>11</xdr:col>
      <xdr:colOff>114300</xdr:colOff>
      <xdr:row>136</xdr:row>
      <xdr:rowOff>127000</xdr:rowOff>
    </xdr:to>
    <xdr:graphicFrame macro="">
      <xdr:nvGraphicFramePr>
        <xdr:cNvPr id="2" name="Chart 2">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last%20furnace%20iron%20production,%201980-201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_World_Iron-and-Steel(USGS)-ds140-feste_1990-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_World_Iron-and-Steel(USGS)-ds140-feste_1900-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Blast%20furnace%20iron%20production,%201980-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Data"/>
    </sheetNames>
    <sheetDataSet>
      <sheetData sheetId="0"/>
      <sheetData sheetId="1">
        <row r="4">
          <cell r="B4">
            <v>25</v>
          </cell>
          <cell r="C4">
            <v>25</v>
          </cell>
          <cell r="D4">
            <v>30</v>
          </cell>
          <cell r="E4">
            <v>35</v>
          </cell>
          <cell r="F4">
            <v>40</v>
          </cell>
          <cell r="G4">
            <v>45</v>
          </cell>
          <cell r="H4">
            <v>50</v>
          </cell>
          <cell r="I4">
            <v>50</v>
          </cell>
          <cell r="J4">
            <v>50</v>
          </cell>
          <cell r="K4">
            <v>55</v>
          </cell>
          <cell r="L4">
            <v>40</v>
          </cell>
          <cell r="M4">
            <v>10</v>
          </cell>
          <cell r="N4">
            <v>4</v>
          </cell>
        </row>
        <row r="5">
          <cell r="B5">
            <v>669</v>
          </cell>
          <cell r="C5">
            <v>897</v>
          </cell>
          <cell r="D5">
            <v>1069</v>
          </cell>
          <cell r="E5">
            <v>1126</v>
          </cell>
          <cell r="F5">
            <v>1191</v>
          </cell>
          <cell r="G5">
            <v>1477</v>
          </cell>
          <cell r="H5">
            <v>1262</v>
          </cell>
          <cell r="I5">
            <v>1493</v>
          </cell>
          <cell r="J5">
            <v>1215</v>
          </cell>
          <cell r="K5">
            <v>1315</v>
          </cell>
          <cell r="L5">
            <v>1054</v>
          </cell>
          <cell r="M5">
            <v>879</v>
          </cell>
          <cell r="N5">
            <v>930</v>
          </cell>
          <cell r="O5">
            <v>925</v>
          </cell>
          <cell r="P5">
            <v>919</v>
          </cell>
          <cell r="Q5">
            <v>962</v>
          </cell>
          <cell r="R5">
            <v>850</v>
          </cell>
          <cell r="S5">
            <v>526</v>
          </cell>
          <cell r="T5">
            <v>757</v>
          </cell>
          <cell r="U5">
            <v>807</v>
          </cell>
          <cell r="V5">
            <v>767</v>
          </cell>
          <cell r="W5">
            <v>800</v>
          </cell>
          <cell r="X5">
            <v>960</v>
          </cell>
          <cell r="Y5">
            <v>965</v>
          </cell>
          <cell r="Z5">
            <v>994</v>
          </cell>
          <cell r="AA5">
            <v>952</v>
          </cell>
          <cell r="AB5">
            <v>1093</v>
          </cell>
          <cell r="AC5">
            <v>1193</v>
          </cell>
          <cell r="AD5">
            <v>690</v>
          </cell>
          <cell r="AE5">
            <v>680</v>
          </cell>
          <cell r="AF5">
            <v>696</v>
          </cell>
          <cell r="AG5">
            <v>360</v>
          </cell>
          <cell r="AH5">
            <v>350</v>
          </cell>
          <cell r="AI5">
            <v>300</v>
          </cell>
        </row>
        <row r="6">
          <cell r="B6">
            <v>1035</v>
          </cell>
          <cell r="C6">
            <v>118</v>
          </cell>
          <cell r="D6">
            <v>974</v>
          </cell>
          <cell r="E6">
            <v>913</v>
          </cell>
          <cell r="F6">
            <v>902</v>
          </cell>
          <cell r="G6">
            <v>1310</v>
          </cell>
          <cell r="H6">
            <v>1625</v>
          </cell>
          <cell r="I6">
            <v>1752</v>
          </cell>
          <cell r="J6">
            <v>1596</v>
          </cell>
          <cell r="K6">
            <v>2062</v>
          </cell>
          <cell r="L6">
            <v>1922</v>
          </cell>
          <cell r="M6">
            <v>1305</v>
          </cell>
          <cell r="N6">
            <v>966</v>
          </cell>
          <cell r="O6">
            <v>984</v>
          </cell>
          <cell r="P6">
            <v>1410</v>
          </cell>
          <cell r="Q6">
            <v>1568</v>
          </cell>
          <cell r="R6">
            <v>1966</v>
          </cell>
          <cell r="S6">
            <v>2080</v>
          </cell>
          <cell r="T6">
            <v>2122</v>
          </cell>
          <cell r="U6">
            <v>1985</v>
          </cell>
          <cell r="V6">
            <v>2183</v>
          </cell>
          <cell r="W6">
            <v>1909</v>
          </cell>
          <cell r="X6">
            <v>2174</v>
          </cell>
          <cell r="Y6">
            <v>2405</v>
          </cell>
          <cell r="Z6">
            <v>2392</v>
          </cell>
          <cell r="AA6">
            <v>2644</v>
          </cell>
          <cell r="AB6">
            <v>2481</v>
          </cell>
          <cell r="AC6">
            <v>2593</v>
          </cell>
          <cell r="AD6">
            <v>2581</v>
          </cell>
          <cell r="AE6">
            <v>2042</v>
          </cell>
          <cell r="AF6">
            <v>2532</v>
          </cell>
          <cell r="AG6">
            <v>2801</v>
          </cell>
          <cell r="AH6">
            <v>2073</v>
          </cell>
          <cell r="AI6">
            <v>2650</v>
          </cell>
        </row>
        <row r="7">
          <cell r="B7">
            <v>6976</v>
          </cell>
          <cell r="C7">
            <v>6740</v>
          </cell>
          <cell r="D7">
            <v>5953</v>
          </cell>
          <cell r="E7">
            <v>5062</v>
          </cell>
          <cell r="F7">
            <v>5324</v>
          </cell>
          <cell r="G7">
            <v>5599</v>
          </cell>
          <cell r="H7">
            <v>5853</v>
          </cell>
          <cell r="I7">
            <v>5581</v>
          </cell>
          <cell r="J7">
            <v>5723</v>
          </cell>
          <cell r="K7">
            <v>6084</v>
          </cell>
          <cell r="L7">
            <v>6127</v>
          </cell>
          <cell r="M7">
            <v>5633</v>
          </cell>
          <cell r="N7">
            <v>6384</v>
          </cell>
          <cell r="O7">
            <v>7414</v>
          </cell>
          <cell r="P7">
            <v>7466</v>
          </cell>
          <cell r="Q7">
            <v>7475</v>
          </cell>
          <cell r="R7">
            <v>7381</v>
          </cell>
          <cell r="S7">
            <v>7685</v>
          </cell>
          <cell r="T7">
            <v>7723</v>
          </cell>
          <cell r="U7">
            <v>7047</v>
          </cell>
          <cell r="V7">
            <v>7049</v>
          </cell>
          <cell r="W7">
            <v>6017</v>
          </cell>
          <cell r="X7">
            <v>6106</v>
          </cell>
          <cell r="Y7">
            <v>6116</v>
          </cell>
          <cell r="Z7">
            <v>5735</v>
          </cell>
          <cell r="AA7">
            <v>6203</v>
          </cell>
          <cell r="AB7">
            <v>6433</v>
          </cell>
          <cell r="AC7">
            <v>6369</v>
          </cell>
          <cell r="AD7">
            <v>6057</v>
          </cell>
          <cell r="AE7">
            <v>4370</v>
          </cell>
          <cell r="AF7">
            <v>6005</v>
          </cell>
          <cell r="AG7">
            <v>5265</v>
          </cell>
          <cell r="AH7">
            <v>3710</v>
          </cell>
          <cell r="AI7">
            <v>3477</v>
          </cell>
        </row>
        <row r="8">
          <cell r="B8">
            <v>3485</v>
          </cell>
          <cell r="C8">
            <v>3477</v>
          </cell>
          <cell r="D8">
            <v>3115</v>
          </cell>
          <cell r="E8">
            <v>3319</v>
          </cell>
          <cell r="F8">
            <v>3745</v>
          </cell>
          <cell r="G8">
            <v>3734</v>
          </cell>
          <cell r="H8">
            <v>3349</v>
          </cell>
          <cell r="I8">
            <v>3451</v>
          </cell>
          <cell r="J8">
            <v>3665</v>
          </cell>
          <cell r="K8">
            <v>3823</v>
          </cell>
          <cell r="L8">
            <v>3452</v>
          </cell>
          <cell r="M8">
            <v>3442</v>
          </cell>
          <cell r="N8">
            <v>3074</v>
          </cell>
          <cell r="O8">
            <v>3070</v>
          </cell>
          <cell r="P8">
            <v>3320</v>
          </cell>
          <cell r="Q8">
            <v>3878</v>
          </cell>
          <cell r="R8">
            <v>3416</v>
          </cell>
          <cell r="S8">
            <v>3966</v>
          </cell>
          <cell r="T8">
            <v>4021</v>
          </cell>
          <cell r="U8">
            <v>3913</v>
          </cell>
          <cell r="V8">
            <v>4318</v>
          </cell>
          <cell r="W8">
            <v>4375</v>
          </cell>
          <cell r="X8">
            <v>4669</v>
          </cell>
          <cell r="Y8">
            <v>4677</v>
          </cell>
          <cell r="Z8">
            <v>4847</v>
          </cell>
          <cell r="AA8">
            <v>5444</v>
          </cell>
          <cell r="AB8">
            <v>5547</v>
          </cell>
          <cell r="AC8">
            <v>5908</v>
          </cell>
          <cell r="AD8">
            <v>5795</v>
          </cell>
          <cell r="AE8">
            <v>4353</v>
          </cell>
          <cell r="AF8">
            <v>5621</v>
          </cell>
          <cell r="AG8">
            <v>5815</v>
          </cell>
          <cell r="AH8">
            <v>5751</v>
          </cell>
          <cell r="AI8">
            <v>6152</v>
          </cell>
        </row>
        <row r="9">
          <cell r="B9">
            <v>9844</v>
          </cell>
          <cell r="C9">
            <v>9787</v>
          </cell>
          <cell r="D9">
            <v>7832</v>
          </cell>
          <cell r="E9">
            <v>8033</v>
          </cell>
          <cell r="F9">
            <v>8968</v>
          </cell>
          <cell r="G9">
            <v>8720</v>
          </cell>
          <cell r="H9">
            <v>8046</v>
          </cell>
          <cell r="I9">
            <v>8239</v>
          </cell>
          <cell r="J9">
            <v>9146</v>
          </cell>
          <cell r="K9">
            <v>8862</v>
          </cell>
          <cell r="L9">
            <v>9416</v>
          </cell>
          <cell r="M9">
            <v>9353</v>
          </cell>
          <cell r="N9">
            <v>8524</v>
          </cell>
          <cell r="O9">
            <v>8179</v>
          </cell>
          <cell r="P9">
            <v>8979</v>
          </cell>
          <cell r="Q9">
            <v>9199</v>
          </cell>
          <cell r="R9">
            <v>8627</v>
          </cell>
          <cell r="S9">
            <v>8076</v>
          </cell>
          <cell r="T9">
            <v>8618</v>
          </cell>
          <cell r="U9">
            <v>8430</v>
          </cell>
          <cell r="V9">
            <v>8471</v>
          </cell>
          <cell r="W9">
            <v>7732</v>
          </cell>
          <cell r="X9">
            <v>7988</v>
          </cell>
          <cell r="Y9">
            <v>7813</v>
          </cell>
          <cell r="Z9">
            <v>8224</v>
          </cell>
          <cell r="AA9">
            <v>7254</v>
          </cell>
          <cell r="AB9">
            <v>7516</v>
          </cell>
          <cell r="AC9">
            <v>6577</v>
          </cell>
          <cell r="AD9">
            <v>6977</v>
          </cell>
          <cell r="AE9">
            <v>3087</v>
          </cell>
          <cell r="AF9">
            <v>4688</v>
          </cell>
          <cell r="AG9">
            <v>4725</v>
          </cell>
          <cell r="AH9">
            <v>4073</v>
          </cell>
          <cell r="AI9">
            <v>4343</v>
          </cell>
        </row>
        <row r="10">
          <cell r="AD10">
            <v>243</v>
          </cell>
          <cell r="AE10">
            <v>483</v>
          </cell>
          <cell r="AF10">
            <v>621</v>
          </cell>
          <cell r="AG10">
            <v>685</v>
          </cell>
          <cell r="AH10">
            <v>750</v>
          </cell>
          <cell r="AI10">
            <v>759</v>
          </cell>
        </row>
        <row r="11">
          <cell r="B11">
            <v>12685</v>
          </cell>
          <cell r="C11">
            <v>10791</v>
          </cell>
          <cell r="D11">
            <v>10827</v>
          </cell>
          <cell r="E11">
            <v>12945</v>
          </cell>
          <cell r="F11">
            <v>17230</v>
          </cell>
          <cell r="G11">
            <v>18961</v>
          </cell>
          <cell r="H11">
            <v>20353</v>
          </cell>
          <cell r="I11">
            <v>21335</v>
          </cell>
          <cell r="J11">
            <v>23454</v>
          </cell>
          <cell r="K11">
            <v>24363</v>
          </cell>
          <cell r="L11">
            <v>21141</v>
          </cell>
          <cell r="M11">
            <v>22695</v>
          </cell>
          <cell r="N11">
            <v>23152</v>
          </cell>
          <cell r="O11">
            <v>23982</v>
          </cell>
          <cell r="P11">
            <v>25177</v>
          </cell>
          <cell r="Q11">
            <v>25021</v>
          </cell>
          <cell r="R11">
            <v>23978</v>
          </cell>
          <cell r="S11">
            <v>25013</v>
          </cell>
          <cell r="T11">
            <v>25111</v>
          </cell>
          <cell r="U11">
            <v>24549</v>
          </cell>
          <cell r="V11">
            <v>27723</v>
          </cell>
          <cell r="W11">
            <v>27391</v>
          </cell>
          <cell r="X11">
            <v>29694</v>
          </cell>
          <cell r="Y11">
            <v>32038</v>
          </cell>
          <cell r="Z11">
            <v>34558</v>
          </cell>
          <cell r="AA11">
            <v>33884</v>
          </cell>
          <cell r="AB11">
            <v>32452</v>
          </cell>
          <cell r="AC11">
            <v>35571</v>
          </cell>
          <cell r="AD11">
            <v>34925</v>
          </cell>
          <cell r="AE11">
            <v>25135</v>
          </cell>
          <cell r="AF11">
            <v>30955</v>
          </cell>
          <cell r="AG11">
            <v>33319</v>
          </cell>
          <cell r="AH11">
            <v>26900</v>
          </cell>
          <cell r="AI11">
            <v>26200</v>
          </cell>
        </row>
        <row r="12">
          <cell r="B12">
            <v>1539</v>
          </cell>
          <cell r="C12">
            <v>1515</v>
          </cell>
          <cell r="D12">
            <v>1562</v>
          </cell>
          <cell r="E12">
            <v>1626</v>
          </cell>
          <cell r="F12">
            <v>1583</v>
          </cell>
          <cell r="G12">
            <v>1712</v>
          </cell>
          <cell r="H12">
            <v>1605</v>
          </cell>
          <cell r="I12">
            <v>1657</v>
          </cell>
          <cell r="J12">
            <v>1441</v>
          </cell>
          <cell r="K12">
            <v>1487</v>
          </cell>
          <cell r="L12">
            <v>1143</v>
          </cell>
          <cell r="M12">
            <v>960</v>
          </cell>
          <cell r="N12">
            <v>848</v>
          </cell>
          <cell r="O12">
            <v>1013</v>
          </cell>
          <cell r="P12">
            <v>1470</v>
          </cell>
          <cell r="Q12">
            <v>1607</v>
          </cell>
          <cell r="R12">
            <v>1504</v>
          </cell>
          <cell r="S12">
            <v>1643</v>
          </cell>
          <cell r="T12">
            <v>1390</v>
          </cell>
          <cell r="U12">
            <v>1152</v>
          </cell>
          <cell r="V12">
            <v>1216</v>
          </cell>
          <cell r="W12">
            <v>1211</v>
          </cell>
          <cell r="X12">
            <v>1072</v>
          </cell>
          <cell r="Y12">
            <v>1386</v>
          </cell>
          <cell r="Z12">
            <v>1158</v>
          </cell>
          <cell r="AA12">
            <v>1115</v>
          </cell>
          <cell r="AB12">
            <v>1147</v>
          </cell>
          <cell r="AC12">
            <v>1069</v>
          </cell>
          <cell r="AD12">
            <v>441</v>
          </cell>
        </row>
        <row r="13">
          <cell r="B13">
            <v>10893</v>
          </cell>
          <cell r="C13">
            <v>9743</v>
          </cell>
          <cell r="D13">
            <v>8000</v>
          </cell>
          <cell r="E13">
            <v>8567</v>
          </cell>
          <cell r="F13">
            <v>9643</v>
          </cell>
          <cell r="G13">
            <v>9665</v>
          </cell>
          <cell r="H13">
            <v>9248</v>
          </cell>
          <cell r="I13">
            <v>9719</v>
          </cell>
          <cell r="J13">
            <v>9498</v>
          </cell>
          <cell r="K13">
            <v>10139</v>
          </cell>
          <cell r="L13">
            <v>7346</v>
          </cell>
          <cell r="M13">
            <v>8267</v>
          </cell>
          <cell r="N13">
            <v>8621</v>
          </cell>
          <cell r="O13">
            <v>8633</v>
          </cell>
          <cell r="P13">
            <v>8106</v>
          </cell>
          <cell r="Q13">
            <v>8464</v>
          </cell>
          <cell r="R13">
            <v>8638</v>
          </cell>
          <cell r="S13">
            <v>9567</v>
          </cell>
          <cell r="T13">
            <v>8937</v>
          </cell>
          <cell r="U13">
            <v>8857</v>
          </cell>
          <cell r="V13">
            <v>8904</v>
          </cell>
          <cell r="W13">
            <v>8302</v>
          </cell>
          <cell r="X13">
            <v>8670</v>
          </cell>
          <cell r="Y13">
            <v>8554</v>
          </cell>
          <cell r="Z13">
            <v>8828</v>
          </cell>
          <cell r="AA13">
            <v>8274</v>
          </cell>
          <cell r="AB13">
            <v>8305</v>
          </cell>
          <cell r="AC13">
            <v>8579</v>
          </cell>
          <cell r="AD13">
            <v>8770</v>
          </cell>
          <cell r="AE13">
            <v>5273</v>
          </cell>
          <cell r="AF13">
            <v>7666</v>
          </cell>
          <cell r="AG13">
            <v>7323</v>
          </cell>
          <cell r="AH13">
            <v>7654</v>
          </cell>
          <cell r="AI13">
            <v>6100</v>
          </cell>
        </row>
        <row r="14">
          <cell r="B14">
            <v>648</v>
          </cell>
          <cell r="C14">
            <v>582</v>
          </cell>
          <cell r="D14">
            <v>453</v>
          </cell>
          <cell r="E14">
            <v>539</v>
          </cell>
          <cell r="F14">
            <v>594</v>
          </cell>
          <cell r="G14">
            <v>580</v>
          </cell>
          <cell r="H14">
            <v>591</v>
          </cell>
          <cell r="I14">
            <v>617</v>
          </cell>
          <cell r="J14">
            <v>776</v>
          </cell>
          <cell r="K14">
            <v>679</v>
          </cell>
          <cell r="L14">
            <v>675</v>
          </cell>
          <cell r="M14">
            <v>703</v>
          </cell>
          <cell r="N14">
            <v>873</v>
          </cell>
          <cell r="O14">
            <v>917</v>
          </cell>
          <cell r="P14">
            <v>886</v>
          </cell>
          <cell r="Q14">
            <v>855</v>
          </cell>
          <cell r="R14">
            <v>996</v>
          </cell>
          <cell r="S14">
            <v>941</v>
          </cell>
          <cell r="T14">
            <v>993</v>
          </cell>
          <cell r="U14">
            <v>1030</v>
          </cell>
          <cell r="V14">
            <v>1024</v>
          </cell>
          <cell r="W14">
            <v>897</v>
          </cell>
          <cell r="X14">
            <v>964</v>
          </cell>
          <cell r="Y14">
            <v>988</v>
          </cell>
          <cell r="Z14">
            <v>1137</v>
          </cell>
          <cell r="AA14">
            <v>1074</v>
          </cell>
          <cell r="AB14">
            <v>1115</v>
          </cell>
          <cell r="AC14">
            <v>1147</v>
          </cell>
          <cell r="AD14">
            <v>1109</v>
          </cell>
          <cell r="AE14">
            <v>923</v>
          </cell>
          <cell r="AF14">
            <v>635</v>
          </cell>
          <cell r="AG14">
            <v>1072</v>
          </cell>
          <cell r="AH14">
            <v>1068</v>
          </cell>
          <cell r="AI14">
            <v>766</v>
          </cell>
        </row>
        <row r="15">
          <cell r="B15">
            <v>38024</v>
          </cell>
          <cell r="C15">
            <v>34166</v>
          </cell>
          <cell r="D15">
            <v>35510</v>
          </cell>
          <cell r="E15">
            <v>37378</v>
          </cell>
          <cell r="F15">
            <v>40062</v>
          </cell>
          <cell r="G15">
            <v>43840</v>
          </cell>
          <cell r="H15">
            <v>50639</v>
          </cell>
          <cell r="I15">
            <v>55032</v>
          </cell>
          <cell r="J15">
            <v>57040</v>
          </cell>
          <cell r="K15">
            <v>58200</v>
          </cell>
          <cell r="L15">
            <v>62380</v>
          </cell>
          <cell r="M15">
            <v>67654</v>
          </cell>
          <cell r="N15">
            <v>75893</v>
          </cell>
          <cell r="O15">
            <v>87377</v>
          </cell>
          <cell r="P15">
            <v>97409</v>
          </cell>
          <cell r="Q15">
            <v>105293</v>
          </cell>
          <cell r="R15">
            <v>107225</v>
          </cell>
          <cell r="S15">
            <v>115114</v>
          </cell>
          <cell r="T15">
            <v>118521</v>
          </cell>
          <cell r="U15">
            <v>125330</v>
          </cell>
          <cell r="V15">
            <v>131015</v>
          </cell>
          <cell r="W15">
            <v>155543</v>
          </cell>
          <cell r="X15">
            <v>170792</v>
          </cell>
          <cell r="Y15">
            <v>213667</v>
          </cell>
          <cell r="Z15">
            <v>251851</v>
          </cell>
          <cell r="AA15">
            <v>344732</v>
          </cell>
          <cell r="AB15">
            <v>413641</v>
          </cell>
          <cell r="AC15">
            <v>476604</v>
          </cell>
          <cell r="AD15">
            <v>483226</v>
          </cell>
          <cell r="AE15">
            <v>568634</v>
          </cell>
          <cell r="AF15">
            <v>595601</v>
          </cell>
          <cell r="AG15">
            <v>645429</v>
          </cell>
          <cell r="AH15">
            <v>670102</v>
          </cell>
          <cell r="AI15">
            <v>748084</v>
          </cell>
        </row>
        <row r="16">
          <cell r="B16">
            <v>279</v>
          </cell>
          <cell r="C16">
            <v>233</v>
          </cell>
          <cell r="D16">
            <v>207</v>
          </cell>
          <cell r="E16">
            <v>241</v>
          </cell>
          <cell r="F16">
            <v>252</v>
          </cell>
          <cell r="G16">
            <v>234</v>
          </cell>
          <cell r="H16">
            <v>317</v>
          </cell>
          <cell r="I16">
            <v>326</v>
          </cell>
          <cell r="J16">
            <v>309</v>
          </cell>
          <cell r="K16">
            <v>297</v>
          </cell>
          <cell r="L16">
            <v>323</v>
          </cell>
          <cell r="M16">
            <v>305</v>
          </cell>
          <cell r="N16">
            <v>308</v>
          </cell>
          <cell r="O16">
            <v>238</v>
          </cell>
          <cell r="P16">
            <v>245</v>
          </cell>
          <cell r="Q16">
            <v>313</v>
          </cell>
          <cell r="R16">
            <v>286</v>
          </cell>
          <cell r="S16">
            <v>324</v>
          </cell>
          <cell r="T16">
            <v>256</v>
          </cell>
          <cell r="U16">
            <v>264</v>
          </cell>
          <cell r="V16">
            <v>285</v>
          </cell>
          <cell r="W16">
            <v>319</v>
          </cell>
          <cell r="X16">
            <v>311</v>
          </cell>
          <cell r="Y16">
            <v>283</v>
          </cell>
          <cell r="Z16">
            <v>312</v>
          </cell>
          <cell r="AA16">
            <v>325</v>
          </cell>
          <cell r="AB16">
            <v>360</v>
          </cell>
          <cell r="AC16">
            <v>341</v>
          </cell>
          <cell r="AD16">
            <v>308</v>
          </cell>
          <cell r="AE16">
            <v>342</v>
          </cell>
          <cell r="AF16">
            <v>327</v>
          </cell>
          <cell r="AG16">
            <v>302</v>
          </cell>
          <cell r="AH16">
            <v>345</v>
          </cell>
          <cell r="AI16">
            <v>307</v>
          </cell>
        </row>
        <row r="17">
          <cell r="N17">
            <v>5082</v>
          </cell>
          <cell r="O17">
            <v>4655</v>
          </cell>
          <cell r="P17">
            <v>5268</v>
          </cell>
          <cell r="Q17">
            <v>5274</v>
          </cell>
          <cell r="R17">
            <v>4898</v>
          </cell>
          <cell r="S17">
            <v>5195</v>
          </cell>
          <cell r="T17">
            <v>4982</v>
          </cell>
          <cell r="U17">
            <v>4023</v>
          </cell>
          <cell r="V17">
            <v>4621</v>
          </cell>
          <cell r="W17">
            <v>4671</v>
          </cell>
          <cell r="X17">
            <v>4840</v>
          </cell>
          <cell r="Y17">
            <v>5207</v>
          </cell>
          <cell r="Z17">
            <v>5384</v>
          </cell>
          <cell r="AA17">
            <v>4627</v>
          </cell>
          <cell r="AB17">
            <v>5192</v>
          </cell>
          <cell r="AC17">
            <v>5287</v>
          </cell>
          <cell r="AD17">
            <v>4737</v>
          </cell>
          <cell r="AE17">
            <v>3483</v>
          </cell>
          <cell r="AF17">
            <v>3987</v>
          </cell>
          <cell r="AG17">
            <v>4137</v>
          </cell>
          <cell r="AH17">
            <v>3935</v>
          </cell>
          <cell r="AI17">
            <v>4040</v>
          </cell>
        </row>
        <row r="18">
          <cell r="B18">
            <v>9820</v>
          </cell>
          <cell r="C18">
            <v>9903</v>
          </cell>
          <cell r="D18">
            <v>9525</v>
          </cell>
          <cell r="E18">
            <v>9466</v>
          </cell>
          <cell r="F18">
            <v>9561</v>
          </cell>
          <cell r="G18">
            <v>9562</v>
          </cell>
          <cell r="H18">
            <v>9573</v>
          </cell>
          <cell r="I18">
            <v>9788</v>
          </cell>
          <cell r="J18">
            <v>9706</v>
          </cell>
          <cell r="K18">
            <v>9911</v>
          </cell>
          <cell r="L18">
            <v>9667</v>
          </cell>
          <cell r="M18">
            <v>8479</v>
          </cell>
        </row>
        <row r="19">
          <cell r="B19">
            <v>1027</v>
          </cell>
          <cell r="C19">
            <v>965</v>
          </cell>
          <cell r="D19">
            <v>1080</v>
          </cell>
          <cell r="E19">
            <v>898</v>
          </cell>
          <cell r="F19">
            <v>962</v>
          </cell>
          <cell r="G19">
            <v>950</v>
          </cell>
          <cell r="H19">
            <v>1066</v>
          </cell>
          <cell r="I19">
            <v>1069</v>
          </cell>
          <cell r="J19">
            <v>1112</v>
          </cell>
          <cell r="K19">
            <v>1105</v>
          </cell>
          <cell r="L19">
            <v>1093</v>
          </cell>
          <cell r="M19">
            <v>1204</v>
          </cell>
          <cell r="N19">
            <v>1062</v>
          </cell>
          <cell r="O19">
            <v>1326</v>
          </cell>
          <cell r="P19">
            <v>1148</v>
          </cell>
          <cell r="Q19">
            <v>1062</v>
          </cell>
          <cell r="R19">
            <v>1235</v>
          </cell>
          <cell r="S19">
            <v>1514</v>
          </cell>
          <cell r="T19">
            <v>1357</v>
          </cell>
          <cell r="U19">
            <v>1020</v>
          </cell>
          <cell r="V19">
            <v>990</v>
          </cell>
          <cell r="W19">
            <v>1160</v>
          </cell>
          <cell r="X19">
            <v>1100</v>
          </cell>
          <cell r="Y19">
            <v>1080</v>
          </cell>
          <cell r="Z19">
            <v>1000</v>
          </cell>
          <cell r="AA19">
            <v>1100</v>
          </cell>
          <cell r="AB19">
            <v>1100</v>
          </cell>
          <cell r="AC19">
            <v>1000</v>
          </cell>
          <cell r="AD19">
            <v>900</v>
          </cell>
          <cell r="AE19">
            <v>800</v>
          </cell>
          <cell r="AF19">
            <v>600</v>
          </cell>
          <cell r="AG19">
            <v>600</v>
          </cell>
          <cell r="AH19">
            <v>550</v>
          </cell>
          <cell r="AI19">
            <v>550</v>
          </cell>
        </row>
        <row r="20">
          <cell r="N20">
            <v>511</v>
          </cell>
          <cell r="O20">
            <v>62</v>
          </cell>
          <cell r="P20">
            <v>22</v>
          </cell>
          <cell r="Q20">
            <v>108</v>
          </cell>
          <cell r="R20">
            <v>565</v>
          </cell>
          <cell r="S20">
            <v>907</v>
          </cell>
          <cell r="T20">
            <v>850</v>
          </cell>
          <cell r="U20">
            <v>139</v>
          </cell>
          <cell r="V20">
            <v>598</v>
          </cell>
          <cell r="W20">
            <v>456</v>
          </cell>
          <cell r="X20">
            <v>485</v>
          </cell>
          <cell r="Y20">
            <v>635</v>
          </cell>
          <cell r="Z20">
            <v>1003</v>
          </cell>
          <cell r="AA20">
            <v>1208</v>
          </cell>
          <cell r="AB20">
            <v>1762</v>
          </cell>
          <cell r="AC20">
            <v>1485</v>
          </cell>
        </row>
        <row r="21">
          <cell r="B21">
            <v>2019</v>
          </cell>
          <cell r="C21">
            <v>1965</v>
          </cell>
          <cell r="D21">
            <v>1944</v>
          </cell>
          <cell r="E21">
            <v>1898</v>
          </cell>
          <cell r="F21">
            <v>2034</v>
          </cell>
          <cell r="G21">
            <v>1901</v>
          </cell>
          <cell r="H21">
            <v>1978</v>
          </cell>
          <cell r="I21">
            <v>2063</v>
          </cell>
          <cell r="J21">
            <v>2173</v>
          </cell>
          <cell r="K21">
            <v>2284</v>
          </cell>
          <cell r="L21">
            <v>2283</v>
          </cell>
          <cell r="M21">
            <v>2331</v>
          </cell>
          <cell r="N21">
            <v>2452</v>
          </cell>
          <cell r="O21">
            <v>2535</v>
          </cell>
          <cell r="P21">
            <v>2597</v>
          </cell>
          <cell r="Q21">
            <v>2242</v>
          </cell>
          <cell r="R21">
            <v>2457</v>
          </cell>
          <cell r="S21">
            <v>2786</v>
          </cell>
          <cell r="T21">
            <v>2920</v>
          </cell>
          <cell r="U21">
            <v>2954</v>
          </cell>
          <cell r="V21">
            <v>2983</v>
          </cell>
          <cell r="W21">
            <v>2852</v>
          </cell>
          <cell r="X21">
            <v>2828</v>
          </cell>
          <cell r="Y21">
            <v>3092</v>
          </cell>
          <cell r="Z21">
            <v>3037</v>
          </cell>
          <cell r="AA21">
            <v>3056</v>
          </cell>
          <cell r="AB21">
            <v>3158</v>
          </cell>
          <cell r="AC21">
            <v>2915</v>
          </cell>
          <cell r="AD21">
            <v>2943</v>
          </cell>
          <cell r="AE21">
            <v>2042</v>
          </cell>
          <cell r="AF21">
            <v>2564</v>
          </cell>
          <cell r="AG21">
            <v>2500</v>
          </cell>
          <cell r="AH21">
            <v>2130</v>
          </cell>
          <cell r="AI21">
            <v>2050</v>
          </cell>
        </row>
        <row r="22">
          <cell r="B22">
            <v>18677</v>
          </cell>
          <cell r="C22">
            <v>16961</v>
          </cell>
          <cell r="D22">
            <v>14715</v>
          </cell>
          <cell r="E22">
            <v>13500</v>
          </cell>
          <cell r="F22">
            <v>14706</v>
          </cell>
          <cell r="G22">
            <v>15068</v>
          </cell>
          <cell r="H22">
            <v>13706</v>
          </cell>
          <cell r="I22">
            <v>13153</v>
          </cell>
          <cell r="J22">
            <v>14463</v>
          </cell>
          <cell r="K22">
            <v>14725</v>
          </cell>
          <cell r="L22">
            <v>14096</v>
          </cell>
          <cell r="M22">
            <v>13408</v>
          </cell>
          <cell r="N22">
            <v>12730</v>
          </cell>
          <cell r="O22">
            <v>12335</v>
          </cell>
          <cell r="P22">
            <v>12917</v>
          </cell>
          <cell r="Q22">
            <v>12760</v>
          </cell>
          <cell r="R22">
            <v>12000</v>
          </cell>
          <cell r="S22">
            <v>13316</v>
          </cell>
          <cell r="T22">
            <v>13458</v>
          </cell>
          <cell r="U22">
            <v>13433</v>
          </cell>
          <cell r="V22">
            <v>13507</v>
          </cell>
          <cell r="W22">
            <v>11885</v>
          </cell>
          <cell r="X22">
            <v>13093</v>
          </cell>
          <cell r="Y22">
            <v>12972</v>
          </cell>
          <cell r="Z22">
            <v>13198</v>
          </cell>
          <cell r="AA22">
            <v>12705</v>
          </cell>
          <cell r="AB22">
            <v>13013</v>
          </cell>
          <cell r="AC22">
            <v>12426</v>
          </cell>
          <cell r="AD22">
            <v>11372</v>
          </cell>
          <cell r="AE22">
            <v>8104</v>
          </cell>
          <cell r="AF22">
            <v>10137</v>
          </cell>
          <cell r="AG22">
            <v>9698</v>
          </cell>
          <cell r="AH22">
            <v>9532</v>
          </cell>
          <cell r="AI22">
            <v>10276</v>
          </cell>
        </row>
        <row r="23">
          <cell r="B23">
            <v>33609</v>
          </cell>
          <cell r="C23">
            <v>31612</v>
          </cell>
          <cell r="D23">
            <v>27066</v>
          </cell>
          <cell r="E23">
            <v>26352</v>
          </cell>
          <cell r="F23">
            <v>29737</v>
          </cell>
          <cell r="G23">
            <v>31143</v>
          </cell>
          <cell r="H23">
            <v>28593</v>
          </cell>
          <cell r="I23">
            <v>28116</v>
          </cell>
          <cell r="J23">
            <v>31890</v>
          </cell>
          <cell r="K23">
            <v>32113</v>
          </cell>
          <cell r="L23">
            <v>29585</v>
          </cell>
          <cell r="M23">
            <v>30608</v>
          </cell>
          <cell r="N23">
            <v>28201</v>
          </cell>
          <cell r="O23">
            <v>26705</v>
          </cell>
          <cell r="P23">
            <v>29632</v>
          </cell>
          <cell r="Q23">
            <v>30038</v>
          </cell>
          <cell r="R23">
            <v>27722</v>
          </cell>
          <cell r="S23">
            <v>30940</v>
          </cell>
          <cell r="T23">
            <v>30162</v>
          </cell>
          <cell r="U23">
            <v>27934</v>
          </cell>
          <cell r="V23">
            <v>30845</v>
          </cell>
          <cell r="W23">
            <v>29184</v>
          </cell>
          <cell r="X23">
            <v>29427</v>
          </cell>
          <cell r="Y23">
            <v>29481</v>
          </cell>
          <cell r="Z23">
            <v>29411</v>
          </cell>
          <cell r="AA23">
            <v>28424</v>
          </cell>
          <cell r="AB23">
            <v>29777</v>
          </cell>
          <cell r="AC23">
            <v>30562</v>
          </cell>
          <cell r="AD23">
            <v>28592</v>
          </cell>
          <cell r="AE23">
            <v>19715</v>
          </cell>
          <cell r="AF23">
            <v>28112</v>
          </cell>
          <cell r="AG23">
            <v>27563</v>
          </cell>
          <cell r="AH23">
            <v>26493</v>
          </cell>
          <cell r="AI23">
            <v>26678</v>
          </cell>
        </row>
        <row r="24">
          <cell r="B24">
            <v>2458</v>
          </cell>
          <cell r="C24">
            <v>2430</v>
          </cell>
          <cell r="D24">
            <v>2147</v>
          </cell>
          <cell r="E24">
            <v>2207</v>
          </cell>
          <cell r="F24">
            <v>2355</v>
          </cell>
          <cell r="G24">
            <v>2578</v>
          </cell>
          <cell r="H24">
            <v>2738</v>
          </cell>
          <cell r="I24">
            <v>2755</v>
          </cell>
          <cell r="J24">
            <v>2786</v>
          </cell>
          <cell r="K24">
            <v>2722</v>
          </cell>
          <cell r="L24">
            <v>2128</v>
          </cell>
        </row>
        <row r="25">
          <cell r="B25">
            <v>2214</v>
          </cell>
          <cell r="C25">
            <v>2212</v>
          </cell>
          <cell r="D25">
            <v>2198</v>
          </cell>
          <cell r="E25">
            <v>2047</v>
          </cell>
          <cell r="F25">
            <v>2098</v>
          </cell>
          <cell r="G25">
            <v>2100</v>
          </cell>
          <cell r="H25">
            <v>2061</v>
          </cell>
          <cell r="I25">
            <v>2109</v>
          </cell>
          <cell r="J25">
            <v>2093</v>
          </cell>
          <cell r="K25">
            <v>1957</v>
          </cell>
          <cell r="L25">
            <v>1711</v>
          </cell>
          <cell r="M25">
            <v>1311</v>
          </cell>
          <cell r="N25">
            <v>1176</v>
          </cell>
          <cell r="O25">
            <v>1407</v>
          </cell>
          <cell r="P25">
            <v>1595</v>
          </cell>
          <cell r="Q25">
            <v>1515</v>
          </cell>
          <cell r="R25">
            <v>1496</v>
          </cell>
          <cell r="S25">
            <v>1140</v>
          </cell>
          <cell r="T25">
            <v>1259</v>
          </cell>
          <cell r="U25">
            <v>1310</v>
          </cell>
          <cell r="V25">
            <v>1340</v>
          </cell>
          <cell r="W25">
            <v>1226</v>
          </cell>
          <cell r="X25">
            <v>1335</v>
          </cell>
          <cell r="Y25">
            <v>1333</v>
          </cell>
          <cell r="Z25">
            <v>1351</v>
          </cell>
          <cell r="AA25">
            <v>1338</v>
          </cell>
          <cell r="AB25">
            <v>1340</v>
          </cell>
          <cell r="AC25">
            <v>1393</v>
          </cell>
          <cell r="AD25">
            <v>1289</v>
          </cell>
          <cell r="AE25">
            <v>1050</v>
          </cell>
          <cell r="AF25">
            <v>1325</v>
          </cell>
          <cell r="AG25">
            <v>1317</v>
          </cell>
          <cell r="AH25">
            <v>1229</v>
          </cell>
          <cell r="AI25">
            <v>628</v>
          </cell>
        </row>
        <row r="26">
          <cell r="B26">
            <v>8480</v>
          </cell>
          <cell r="C26">
            <v>9465</v>
          </cell>
          <cell r="D26">
            <v>9613</v>
          </cell>
          <cell r="E26">
            <v>9087</v>
          </cell>
          <cell r="F26">
            <v>9382</v>
          </cell>
          <cell r="G26">
            <v>9701</v>
          </cell>
          <cell r="H26">
            <v>10460</v>
          </cell>
          <cell r="I26">
            <v>10808</v>
          </cell>
          <cell r="J26">
            <v>11602</v>
          </cell>
          <cell r="K26">
            <v>11930</v>
          </cell>
          <cell r="L26">
            <v>12000</v>
          </cell>
          <cell r="M26">
            <v>14176</v>
          </cell>
          <cell r="N26">
            <v>15126</v>
          </cell>
          <cell r="O26">
            <v>15674</v>
          </cell>
          <cell r="P26">
            <v>17808</v>
          </cell>
          <cell r="Q26">
            <v>19025</v>
          </cell>
          <cell r="R26">
            <v>20453</v>
          </cell>
          <cell r="S26">
            <v>21096</v>
          </cell>
          <cell r="T26">
            <v>20194</v>
          </cell>
          <cell r="U26">
            <v>20139</v>
          </cell>
          <cell r="V26">
            <v>21321</v>
          </cell>
          <cell r="W26">
            <v>21875</v>
          </cell>
          <cell r="X26">
            <v>24315</v>
          </cell>
          <cell r="Y26">
            <v>26550</v>
          </cell>
          <cell r="Z26">
            <v>25117</v>
          </cell>
          <cell r="AA26">
            <v>27125</v>
          </cell>
          <cell r="AB26">
            <v>28256</v>
          </cell>
          <cell r="AC26">
            <v>36488</v>
          </cell>
          <cell r="AD26">
            <v>37313</v>
          </cell>
          <cell r="AE26">
            <v>38233</v>
          </cell>
          <cell r="AF26">
            <v>39560</v>
          </cell>
          <cell r="AG26">
            <v>43624</v>
          </cell>
          <cell r="AH26">
            <v>47987</v>
          </cell>
          <cell r="AI26">
            <v>51359</v>
          </cell>
        </row>
        <row r="27">
          <cell r="B27">
            <v>800</v>
          </cell>
          <cell r="C27">
            <v>500</v>
          </cell>
          <cell r="D27">
            <v>675</v>
          </cell>
          <cell r="E27">
            <v>838</v>
          </cell>
          <cell r="F27">
            <v>1208</v>
          </cell>
          <cell r="G27">
            <v>1122</v>
          </cell>
          <cell r="H27">
            <v>850</v>
          </cell>
          <cell r="I27">
            <v>976</v>
          </cell>
          <cell r="J27">
            <v>1012</v>
          </cell>
          <cell r="K27">
            <v>1100</v>
          </cell>
          <cell r="L27">
            <v>1267</v>
          </cell>
          <cell r="M27">
            <v>1952</v>
          </cell>
          <cell r="N27">
            <v>2053</v>
          </cell>
          <cell r="O27">
            <v>1961</v>
          </cell>
          <cell r="P27">
            <v>1883</v>
          </cell>
          <cell r="Q27">
            <v>1532</v>
          </cell>
          <cell r="R27">
            <v>1852</v>
          </cell>
          <cell r="S27">
            <v>2150</v>
          </cell>
          <cell r="T27">
            <v>2117</v>
          </cell>
          <cell r="U27">
            <v>2112</v>
          </cell>
          <cell r="V27">
            <v>2202</v>
          </cell>
          <cell r="W27">
            <v>2183</v>
          </cell>
          <cell r="X27">
            <v>2182</v>
          </cell>
          <cell r="Y27">
            <v>2231</v>
          </cell>
          <cell r="Z27">
            <v>2096</v>
          </cell>
          <cell r="AA27">
            <v>2305</v>
          </cell>
          <cell r="AB27">
            <v>2041</v>
          </cell>
          <cell r="AC27">
            <v>2118</v>
          </cell>
          <cell r="AD27">
            <v>2176</v>
          </cell>
          <cell r="AE27">
            <v>2433</v>
          </cell>
          <cell r="AF27">
            <v>2540</v>
          </cell>
          <cell r="AG27">
            <v>2242</v>
          </cell>
          <cell r="AH27">
            <v>2143</v>
          </cell>
          <cell r="AI27">
            <v>2007</v>
          </cell>
        </row>
        <row r="28">
          <cell r="B28">
            <v>12149</v>
          </cell>
          <cell r="C28">
            <v>12260</v>
          </cell>
          <cell r="D28">
            <v>11537</v>
          </cell>
          <cell r="E28">
            <v>10313</v>
          </cell>
          <cell r="F28">
            <v>11631</v>
          </cell>
          <cell r="G28">
            <v>12063</v>
          </cell>
          <cell r="H28">
            <v>11837</v>
          </cell>
          <cell r="I28">
            <v>11335</v>
          </cell>
          <cell r="J28">
            <v>11349</v>
          </cell>
          <cell r="K28">
            <v>11761</v>
          </cell>
          <cell r="L28">
            <v>11852</v>
          </cell>
          <cell r="M28">
            <v>10845</v>
          </cell>
          <cell r="N28">
            <v>10451</v>
          </cell>
          <cell r="O28">
            <v>11187</v>
          </cell>
          <cell r="P28">
            <v>11159</v>
          </cell>
          <cell r="Q28">
            <v>11663</v>
          </cell>
          <cell r="R28">
            <v>10346</v>
          </cell>
          <cell r="S28">
            <v>11329</v>
          </cell>
          <cell r="T28">
            <v>10771</v>
          </cell>
          <cell r="U28">
            <v>10621</v>
          </cell>
          <cell r="V28">
            <v>11220</v>
          </cell>
          <cell r="W28">
            <v>10650</v>
          </cell>
          <cell r="X28">
            <v>9775</v>
          </cell>
          <cell r="Y28">
            <v>10148</v>
          </cell>
          <cell r="Z28">
            <v>10604</v>
          </cell>
          <cell r="AA28">
            <v>11423</v>
          </cell>
          <cell r="AB28">
            <v>11497</v>
          </cell>
          <cell r="AC28">
            <v>11110</v>
          </cell>
          <cell r="AD28">
            <v>10377</v>
          </cell>
          <cell r="AE28">
            <v>5692</v>
          </cell>
          <cell r="AF28">
            <v>8555</v>
          </cell>
          <cell r="AG28">
            <v>9838</v>
          </cell>
          <cell r="AH28">
            <v>9424</v>
          </cell>
          <cell r="AI28">
            <v>6933</v>
          </cell>
        </row>
        <row r="29">
          <cell r="B29">
            <v>87041</v>
          </cell>
          <cell r="C29">
            <v>80048</v>
          </cell>
          <cell r="D29">
            <v>77658</v>
          </cell>
          <cell r="E29">
            <v>72936</v>
          </cell>
          <cell r="F29">
            <v>80403</v>
          </cell>
          <cell r="G29">
            <v>80569</v>
          </cell>
          <cell r="H29">
            <v>74651</v>
          </cell>
          <cell r="I29">
            <v>73418</v>
          </cell>
          <cell r="J29">
            <v>79295</v>
          </cell>
          <cell r="K29">
            <v>80196</v>
          </cell>
          <cell r="L29">
            <v>80229</v>
          </cell>
          <cell r="M29">
            <v>79985</v>
          </cell>
          <cell r="N29">
            <v>73144</v>
          </cell>
          <cell r="O29">
            <v>73738</v>
          </cell>
          <cell r="P29">
            <v>73776</v>
          </cell>
          <cell r="Q29">
            <v>74905</v>
          </cell>
          <cell r="R29">
            <v>74597</v>
          </cell>
          <cell r="S29">
            <v>78519</v>
          </cell>
          <cell r="T29">
            <v>74981</v>
          </cell>
          <cell r="U29">
            <v>74520</v>
          </cell>
          <cell r="V29">
            <v>81071</v>
          </cell>
          <cell r="W29">
            <v>78836</v>
          </cell>
          <cell r="X29">
            <v>80979</v>
          </cell>
          <cell r="Y29">
            <v>82091</v>
          </cell>
          <cell r="Z29">
            <v>82974</v>
          </cell>
          <cell r="AA29">
            <v>83058</v>
          </cell>
          <cell r="AB29">
            <v>84270</v>
          </cell>
          <cell r="AC29">
            <v>86771</v>
          </cell>
          <cell r="AD29">
            <v>86171</v>
          </cell>
          <cell r="AE29">
            <v>66943</v>
          </cell>
          <cell r="AF29">
            <v>82283</v>
          </cell>
          <cell r="AG29">
            <v>81028</v>
          </cell>
          <cell r="AH29">
            <v>81405</v>
          </cell>
          <cell r="AI29">
            <v>83849</v>
          </cell>
        </row>
        <row r="30">
          <cell r="N30">
            <v>4659</v>
          </cell>
          <cell r="O30">
            <v>3544</v>
          </cell>
          <cell r="P30">
            <v>2435</v>
          </cell>
          <cell r="Q30">
            <v>2592</v>
          </cell>
          <cell r="R30">
            <v>2536</v>
          </cell>
          <cell r="S30">
            <v>3089</v>
          </cell>
          <cell r="T30">
            <v>2594</v>
          </cell>
          <cell r="U30">
            <v>3468</v>
          </cell>
          <cell r="V30">
            <v>4010</v>
          </cell>
          <cell r="W30">
            <v>3906</v>
          </cell>
          <cell r="X30">
            <v>4008</v>
          </cell>
          <cell r="Y30">
            <v>4123</v>
          </cell>
          <cell r="Z30">
            <v>4312</v>
          </cell>
          <cell r="AA30">
            <v>3624</v>
          </cell>
          <cell r="AB30">
            <v>3393</v>
          </cell>
          <cell r="AC30">
            <v>3240</v>
          </cell>
          <cell r="AD30">
            <v>2761</v>
          </cell>
          <cell r="AE30">
            <v>2409</v>
          </cell>
          <cell r="AF30">
            <v>2640</v>
          </cell>
          <cell r="AG30">
            <v>3190</v>
          </cell>
          <cell r="AH30">
            <v>2831</v>
          </cell>
          <cell r="AI30">
            <v>2756</v>
          </cell>
        </row>
        <row r="31">
          <cell r="B31">
            <v>3568</v>
          </cell>
          <cell r="C31">
            <v>2889</v>
          </cell>
          <cell r="D31">
            <v>2587</v>
          </cell>
          <cell r="E31">
            <v>2316</v>
          </cell>
          <cell r="F31">
            <v>2768</v>
          </cell>
          <cell r="G31">
            <v>2754</v>
          </cell>
          <cell r="H31">
            <v>2650</v>
          </cell>
          <cell r="I31">
            <v>2305</v>
          </cell>
          <cell r="J31">
            <v>2519</v>
          </cell>
          <cell r="K31">
            <v>2684</v>
          </cell>
          <cell r="L31">
            <v>2645</v>
          </cell>
          <cell r="M31">
            <v>2463</v>
          </cell>
          <cell r="N31">
            <v>2255</v>
          </cell>
          <cell r="O31">
            <v>2412</v>
          </cell>
          <cell r="P31">
            <v>1927</v>
          </cell>
          <cell r="Q31">
            <v>1028</v>
          </cell>
          <cell r="R31">
            <v>829</v>
          </cell>
          <cell r="S31">
            <v>438</v>
          </cell>
        </row>
        <row r="32">
          <cell r="B32">
            <v>60</v>
          </cell>
          <cell r="C32">
            <v>70</v>
          </cell>
          <cell r="D32">
            <v>90</v>
          </cell>
          <cell r="E32">
            <v>110</v>
          </cell>
          <cell r="F32">
            <v>110</v>
          </cell>
          <cell r="G32">
            <v>120</v>
          </cell>
          <cell r="H32">
            <v>120</v>
          </cell>
          <cell r="I32">
            <v>130</v>
          </cell>
          <cell r="J32">
            <v>130</v>
          </cell>
          <cell r="K32">
            <v>140</v>
          </cell>
          <cell r="L32">
            <v>140</v>
          </cell>
          <cell r="M32">
            <v>150</v>
          </cell>
          <cell r="N32">
            <v>150</v>
          </cell>
          <cell r="O32">
            <v>160</v>
          </cell>
          <cell r="P32">
            <v>160</v>
          </cell>
          <cell r="Q32">
            <v>50</v>
          </cell>
        </row>
        <row r="33">
          <cell r="B33">
            <v>3639</v>
          </cell>
          <cell r="C33">
            <v>3767</v>
          </cell>
          <cell r="D33">
            <v>3598</v>
          </cell>
          <cell r="E33">
            <v>3537</v>
          </cell>
          <cell r="F33">
            <v>3926</v>
          </cell>
          <cell r="G33">
            <v>3595</v>
          </cell>
          <cell r="H33">
            <v>3738</v>
          </cell>
          <cell r="I33">
            <v>3712</v>
          </cell>
          <cell r="J33">
            <v>3678</v>
          </cell>
          <cell r="K33">
            <v>3230</v>
          </cell>
          <cell r="L33">
            <v>3665</v>
          </cell>
          <cell r="M33">
            <v>2962</v>
          </cell>
          <cell r="N33">
            <v>3404</v>
          </cell>
          <cell r="O33">
            <v>3423</v>
          </cell>
          <cell r="P33">
            <v>3501</v>
          </cell>
          <cell r="Q33">
            <v>4142</v>
          </cell>
          <cell r="R33">
            <v>4229</v>
          </cell>
          <cell r="S33">
            <v>4450</v>
          </cell>
          <cell r="T33">
            <v>4532</v>
          </cell>
          <cell r="U33">
            <v>4822</v>
          </cell>
          <cell r="V33">
            <v>4856</v>
          </cell>
          <cell r="W33">
            <v>4373</v>
          </cell>
          <cell r="X33">
            <v>3996</v>
          </cell>
          <cell r="Y33">
            <v>4183</v>
          </cell>
          <cell r="Z33">
            <v>4278</v>
          </cell>
          <cell r="AA33">
            <v>4047</v>
          </cell>
          <cell r="AB33">
            <v>3790</v>
          </cell>
          <cell r="AC33">
            <v>4078</v>
          </cell>
          <cell r="AD33">
            <v>4450</v>
          </cell>
          <cell r="AE33">
            <v>3919</v>
          </cell>
          <cell r="AF33">
            <v>4707</v>
          </cell>
          <cell r="AG33">
            <v>4609</v>
          </cell>
          <cell r="AH33">
            <v>4611</v>
          </cell>
          <cell r="AI33">
            <v>4911</v>
          </cell>
        </row>
        <row r="34">
          <cell r="B34">
            <v>11</v>
          </cell>
          <cell r="C34">
            <v>12</v>
          </cell>
          <cell r="D34">
            <v>12</v>
          </cell>
          <cell r="E34">
            <v>15</v>
          </cell>
          <cell r="F34">
            <v>15</v>
          </cell>
          <cell r="G34">
            <v>15</v>
          </cell>
          <cell r="H34">
            <v>15</v>
          </cell>
          <cell r="I34">
            <v>15</v>
          </cell>
          <cell r="J34">
            <v>15</v>
          </cell>
          <cell r="K34">
            <v>15</v>
          </cell>
          <cell r="L34">
            <v>15</v>
          </cell>
          <cell r="M34">
            <v>15</v>
          </cell>
          <cell r="N34">
            <v>15</v>
          </cell>
          <cell r="O34">
            <v>15</v>
          </cell>
          <cell r="P34">
            <v>15</v>
          </cell>
          <cell r="Q34">
            <v>15</v>
          </cell>
          <cell r="R34">
            <v>15</v>
          </cell>
          <cell r="S34">
            <v>15</v>
          </cell>
          <cell r="T34">
            <v>15</v>
          </cell>
          <cell r="U34">
            <v>15</v>
          </cell>
          <cell r="V34">
            <v>15</v>
          </cell>
          <cell r="W34">
            <v>15</v>
          </cell>
          <cell r="X34">
            <v>15</v>
          </cell>
        </row>
        <row r="35">
          <cell r="B35">
            <v>4328</v>
          </cell>
          <cell r="C35">
            <v>4600</v>
          </cell>
          <cell r="D35">
            <v>3618</v>
          </cell>
          <cell r="E35">
            <v>3747</v>
          </cell>
          <cell r="F35">
            <v>4926</v>
          </cell>
          <cell r="G35">
            <v>4819</v>
          </cell>
          <cell r="H35">
            <v>4628</v>
          </cell>
          <cell r="I35">
            <v>4575</v>
          </cell>
          <cell r="J35">
            <v>4994</v>
          </cell>
          <cell r="K35">
            <v>5163</v>
          </cell>
          <cell r="L35">
            <v>4960</v>
          </cell>
          <cell r="M35">
            <v>4696</v>
          </cell>
          <cell r="N35">
            <v>4849</v>
          </cell>
          <cell r="O35">
            <v>5404</v>
          </cell>
          <cell r="P35">
            <v>5443</v>
          </cell>
          <cell r="Q35">
            <v>5530</v>
          </cell>
          <cell r="R35">
            <v>5544</v>
          </cell>
          <cell r="S35">
            <v>5805</v>
          </cell>
          <cell r="T35">
            <v>5562</v>
          </cell>
          <cell r="U35">
            <v>5307</v>
          </cell>
          <cell r="V35">
            <v>4970</v>
          </cell>
          <cell r="W35">
            <v>5305</v>
          </cell>
          <cell r="X35">
            <v>5367</v>
          </cell>
          <cell r="Y35">
            <v>5846</v>
          </cell>
          <cell r="Z35">
            <v>6011</v>
          </cell>
          <cell r="AA35">
            <v>6031</v>
          </cell>
          <cell r="AB35">
            <v>5417</v>
          </cell>
          <cell r="AC35">
            <v>6412</v>
          </cell>
          <cell r="AD35">
            <v>5998</v>
          </cell>
          <cell r="AE35">
            <v>4601</v>
          </cell>
          <cell r="AF35">
            <v>5799</v>
          </cell>
          <cell r="AG35">
            <v>5943</v>
          </cell>
          <cell r="AH35">
            <v>5917</v>
          </cell>
          <cell r="AI35">
            <v>5681</v>
          </cell>
        </row>
        <row r="36">
          <cell r="J36">
            <v>418</v>
          </cell>
          <cell r="K36">
            <v>493</v>
          </cell>
          <cell r="L36">
            <v>555</v>
          </cell>
          <cell r="M36">
            <v>594</v>
          </cell>
          <cell r="N36">
            <v>625</v>
          </cell>
          <cell r="O36">
            <v>653</v>
          </cell>
          <cell r="P36">
            <v>563</v>
          </cell>
          <cell r="Q36">
            <v>626</v>
          </cell>
          <cell r="R36">
            <v>619</v>
          </cell>
          <cell r="S36">
            <v>534</v>
          </cell>
          <cell r="T36">
            <v>609</v>
          </cell>
          <cell r="U36">
            <v>620</v>
          </cell>
          <cell r="V36">
            <v>603</v>
          </cell>
          <cell r="W36">
            <v>646</v>
          </cell>
          <cell r="X36">
            <v>617</v>
          </cell>
          <cell r="Y36">
            <v>700</v>
          </cell>
          <cell r="Z36">
            <v>719</v>
          </cell>
          <cell r="AA36">
            <v>652</v>
          </cell>
          <cell r="AB36">
            <v>664</v>
          </cell>
          <cell r="AC36">
            <v>679</v>
          </cell>
          <cell r="AD36">
            <v>622</v>
          </cell>
          <cell r="AE36">
            <v>608</v>
          </cell>
          <cell r="AF36">
            <v>667</v>
          </cell>
          <cell r="AG36">
            <v>659</v>
          </cell>
          <cell r="AH36">
            <v>670</v>
          </cell>
          <cell r="AI36">
            <v>682</v>
          </cell>
        </row>
        <row r="37">
          <cell r="B37">
            <v>3000</v>
          </cell>
          <cell r="C37">
            <v>3000</v>
          </cell>
          <cell r="D37">
            <v>3000</v>
          </cell>
          <cell r="E37">
            <v>3000</v>
          </cell>
          <cell r="F37">
            <v>3000</v>
          </cell>
          <cell r="G37">
            <v>3000</v>
          </cell>
          <cell r="H37">
            <v>3000</v>
          </cell>
          <cell r="I37">
            <v>3000</v>
          </cell>
          <cell r="J37">
            <v>3000</v>
          </cell>
          <cell r="K37">
            <v>3164</v>
          </cell>
          <cell r="L37">
            <v>3120</v>
          </cell>
          <cell r="M37">
            <v>3100</v>
          </cell>
          <cell r="N37">
            <v>2500</v>
          </cell>
          <cell r="O37">
            <v>2000</v>
          </cell>
          <cell r="P37">
            <v>1500</v>
          </cell>
          <cell r="Q37">
            <v>500</v>
          </cell>
          <cell r="R37">
            <v>500</v>
          </cell>
          <cell r="S37">
            <v>500</v>
          </cell>
          <cell r="T37">
            <v>250</v>
          </cell>
          <cell r="U37">
            <v>250</v>
          </cell>
          <cell r="V37">
            <v>250</v>
          </cell>
          <cell r="W37">
            <v>250</v>
          </cell>
          <cell r="X37">
            <v>250</v>
          </cell>
          <cell r="Y37">
            <v>250</v>
          </cell>
          <cell r="Z37">
            <v>250</v>
          </cell>
          <cell r="AA37">
            <v>250</v>
          </cell>
          <cell r="AB37">
            <v>250</v>
          </cell>
          <cell r="AC37">
            <v>250</v>
          </cell>
          <cell r="AD37">
            <v>250</v>
          </cell>
          <cell r="AE37">
            <v>250</v>
          </cell>
          <cell r="AF37">
            <v>250</v>
          </cell>
          <cell r="AG37">
            <v>250</v>
          </cell>
          <cell r="AH37">
            <v>250</v>
          </cell>
          <cell r="AI37">
            <v>250</v>
          </cell>
        </row>
        <row r="38">
          <cell r="B38">
            <v>618</v>
          </cell>
          <cell r="C38">
            <v>570</v>
          </cell>
          <cell r="D38">
            <v>483</v>
          </cell>
          <cell r="E38">
            <v>565</v>
          </cell>
          <cell r="F38">
            <v>572</v>
          </cell>
          <cell r="G38">
            <v>610</v>
          </cell>
          <cell r="H38">
            <v>564</v>
          </cell>
          <cell r="I38">
            <v>385</v>
          </cell>
          <cell r="J38">
            <v>367</v>
          </cell>
          <cell r="K38">
            <v>240</v>
          </cell>
          <cell r="L38">
            <v>54</v>
          </cell>
          <cell r="M38">
            <v>61</v>
          </cell>
          <cell r="N38">
            <v>70</v>
          </cell>
          <cell r="O38">
            <v>73</v>
          </cell>
          <cell r="P38">
            <v>70</v>
          </cell>
          <cell r="Q38">
            <v>70</v>
          </cell>
          <cell r="R38">
            <v>70</v>
          </cell>
          <cell r="S38">
            <v>70</v>
          </cell>
          <cell r="T38">
            <v>70</v>
          </cell>
          <cell r="U38">
            <v>80</v>
          </cell>
          <cell r="V38">
            <v>90</v>
          </cell>
          <cell r="W38">
            <v>100</v>
          </cell>
          <cell r="X38">
            <v>108</v>
          </cell>
          <cell r="Y38">
            <v>111</v>
          </cell>
          <cell r="Z38">
            <v>113</v>
          </cell>
          <cell r="AA38">
            <v>85</v>
          </cell>
          <cell r="AB38">
            <v>114</v>
          </cell>
          <cell r="AC38">
            <v>111</v>
          </cell>
          <cell r="AD38">
            <v>108</v>
          </cell>
          <cell r="AE38">
            <v>83</v>
          </cell>
          <cell r="AF38">
            <v>108</v>
          </cell>
          <cell r="AG38">
            <v>101</v>
          </cell>
          <cell r="AH38">
            <v>100</v>
          </cell>
          <cell r="AI38">
            <v>106</v>
          </cell>
        </row>
        <row r="39">
          <cell r="C39">
            <v>130</v>
          </cell>
          <cell r="D39">
            <v>450</v>
          </cell>
          <cell r="E39">
            <v>490</v>
          </cell>
          <cell r="F39">
            <v>550</v>
          </cell>
          <cell r="G39">
            <v>803</v>
          </cell>
          <cell r="H39">
            <v>895</v>
          </cell>
          <cell r="I39">
            <v>793</v>
          </cell>
          <cell r="J39">
            <v>905</v>
          </cell>
          <cell r="K39">
            <v>850</v>
          </cell>
          <cell r="L39">
            <v>650</v>
          </cell>
          <cell r="M39">
            <v>700</v>
          </cell>
          <cell r="N39">
            <v>800</v>
          </cell>
          <cell r="O39">
            <v>900</v>
          </cell>
          <cell r="P39">
            <v>900</v>
          </cell>
          <cell r="Q39">
            <v>1044</v>
          </cell>
          <cell r="R39">
            <v>1002</v>
          </cell>
          <cell r="S39">
            <v>1068</v>
          </cell>
          <cell r="T39">
            <v>1000</v>
          </cell>
          <cell r="U39">
            <v>1000</v>
          </cell>
          <cell r="V39">
            <v>1000</v>
          </cell>
          <cell r="W39">
            <v>1067</v>
          </cell>
          <cell r="X39">
            <v>1000</v>
          </cell>
          <cell r="Y39">
            <v>1000</v>
          </cell>
          <cell r="Z39">
            <v>1187</v>
          </cell>
          <cell r="AA39">
            <v>818</v>
          </cell>
          <cell r="AB39">
            <v>1015</v>
          </cell>
          <cell r="AC39">
            <v>1002</v>
          </cell>
          <cell r="AD39">
            <v>915</v>
          </cell>
          <cell r="AE39">
            <v>629</v>
          </cell>
          <cell r="AF39">
            <v>415</v>
          </cell>
          <cell r="AG39">
            <v>358</v>
          </cell>
          <cell r="AH39">
            <v>198</v>
          </cell>
          <cell r="AI39">
            <v>165</v>
          </cell>
        </row>
        <row r="40">
          <cell r="I40">
            <v>50</v>
          </cell>
          <cell r="J40">
            <v>63</v>
          </cell>
          <cell r="K40">
            <v>61</v>
          </cell>
          <cell r="L40">
            <v>54</v>
          </cell>
          <cell r="M40">
            <v>68</v>
          </cell>
          <cell r="N40">
            <v>92</v>
          </cell>
          <cell r="O40">
            <v>81</v>
          </cell>
          <cell r="P40">
            <v>90</v>
          </cell>
          <cell r="Q40">
            <v>103</v>
          </cell>
          <cell r="R40">
            <v>104</v>
          </cell>
          <cell r="S40">
            <v>79</v>
          </cell>
          <cell r="T40">
            <v>66</v>
          </cell>
          <cell r="U40">
            <v>61</v>
          </cell>
          <cell r="V40">
            <v>82</v>
          </cell>
          <cell r="W40">
            <v>72</v>
          </cell>
          <cell r="X40">
            <v>87</v>
          </cell>
          <cell r="Y40">
            <v>98</v>
          </cell>
          <cell r="Z40">
            <v>119</v>
          </cell>
          <cell r="AA40">
            <v>123</v>
          </cell>
          <cell r="AB40">
            <v>128</v>
          </cell>
          <cell r="AC40">
            <v>110</v>
          </cell>
          <cell r="AD40">
            <v>94</v>
          </cell>
          <cell r="AE40">
            <v>71</v>
          </cell>
          <cell r="AF40">
            <v>81</v>
          </cell>
          <cell r="AG40">
            <v>42</v>
          </cell>
          <cell r="AH40">
            <v>67</v>
          </cell>
          <cell r="AI40">
            <v>69</v>
          </cell>
        </row>
        <row r="41">
          <cell r="B41">
            <v>262</v>
          </cell>
          <cell r="C41">
            <v>193</v>
          </cell>
          <cell r="D41">
            <v>161</v>
          </cell>
          <cell r="E41">
            <v>113</v>
          </cell>
          <cell r="F41">
            <v>4</v>
          </cell>
          <cell r="G41">
            <v>163</v>
          </cell>
          <cell r="H41">
            <v>216</v>
          </cell>
          <cell r="I41">
            <v>185</v>
          </cell>
          <cell r="J41">
            <v>166</v>
          </cell>
          <cell r="K41">
            <v>209</v>
          </cell>
          <cell r="L41">
            <v>93</v>
          </cell>
          <cell r="M41">
            <v>207</v>
          </cell>
          <cell r="N41">
            <v>145</v>
          </cell>
          <cell r="O41">
            <v>201</v>
          </cell>
          <cell r="P41">
            <v>200</v>
          </cell>
          <cell r="Q41">
            <v>247</v>
          </cell>
          <cell r="R41">
            <v>273</v>
          </cell>
          <cell r="S41">
            <v>264</v>
          </cell>
          <cell r="T41">
            <v>283</v>
          </cell>
          <cell r="U41">
            <v>197</v>
          </cell>
          <cell r="V41">
            <v>327</v>
          </cell>
          <cell r="W41">
            <v>316</v>
          </cell>
          <cell r="X41">
            <v>240</v>
          </cell>
          <cell r="Y41">
            <v>226</v>
          </cell>
          <cell r="Z41">
            <v>272</v>
          </cell>
          <cell r="AA41">
            <v>263</v>
          </cell>
          <cell r="AB41">
            <v>306</v>
          </cell>
          <cell r="AC41">
            <v>351</v>
          </cell>
          <cell r="AD41">
            <v>412</v>
          </cell>
        </row>
        <row r="42">
          <cell r="B42">
            <v>11378</v>
          </cell>
          <cell r="C42">
            <v>8870</v>
          </cell>
          <cell r="D42">
            <v>8098</v>
          </cell>
          <cell r="E42">
            <v>9286</v>
          </cell>
          <cell r="F42">
            <v>9533</v>
          </cell>
          <cell r="G42">
            <v>9335</v>
          </cell>
          <cell r="H42">
            <v>10096</v>
          </cell>
          <cell r="I42">
            <v>10024</v>
          </cell>
          <cell r="J42">
            <v>9837</v>
          </cell>
          <cell r="K42">
            <v>9075</v>
          </cell>
          <cell r="L42">
            <v>8352</v>
          </cell>
          <cell r="M42">
            <v>6297</v>
          </cell>
          <cell r="N42">
            <v>6316</v>
          </cell>
          <cell r="O42">
            <v>6105</v>
          </cell>
          <cell r="P42">
            <v>6735</v>
          </cell>
          <cell r="Q42">
            <v>7373</v>
          </cell>
          <cell r="R42">
            <v>6540</v>
          </cell>
          <cell r="S42">
            <v>7295</v>
          </cell>
          <cell r="T42">
            <v>6179</v>
          </cell>
          <cell r="U42">
            <v>5233</v>
          </cell>
          <cell r="V42">
            <v>6492</v>
          </cell>
          <cell r="W42">
            <v>5440</v>
          </cell>
          <cell r="X42">
            <v>5294</v>
          </cell>
          <cell r="Y42">
            <v>5632</v>
          </cell>
          <cell r="Z42">
            <v>6400</v>
          </cell>
          <cell r="AA42">
            <v>4477</v>
          </cell>
          <cell r="AB42">
            <v>5333</v>
          </cell>
          <cell r="AC42">
            <v>5804</v>
          </cell>
          <cell r="AD42">
            <v>4934</v>
          </cell>
          <cell r="AE42">
            <v>2984</v>
          </cell>
          <cell r="AF42">
            <v>3638</v>
          </cell>
          <cell r="AG42">
            <v>3975</v>
          </cell>
          <cell r="AH42">
            <v>3952</v>
          </cell>
          <cell r="AI42">
            <v>4011</v>
          </cell>
        </row>
        <row r="43">
          <cell r="B43">
            <v>370</v>
          </cell>
          <cell r="C43">
            <v>314</v>
          </cell>
          <cell r="D43">
            <v>222</v>
          </cell>
          <cell r="E43">
            <v>364</v>
          </cell>
          <cell r="F43">
            <v>382</v>
          </cell>
          <cell r="G43">
            <v>424</v>
          </cell>
          <cell r="H43">
            <v>463</v>
          </cell>
          <cell r="I43">
            <v>431</v>
          </cell>
          <cell r="J43">
            <v>445</v>
          </cell>
          <cell r="K43">
            <v>377</v>
          </cell>
          <cell r="L43">
            <v>339</v>
          </cell>
          <cell r="M43">
            <v>251</v>
          </cell>
          <cell r="N43">
            <v>402</v>
          </cell>
          <cell r="O43">
            <v>398</v>
          </cell>
          <cell r="P43">
            <v>415</v>
          </cell>
          <cell r="Q43">
            <v>415</v>
          </cell>
          <cell r="R43">
            <v>421</v>
          </cell>
          <cell r="S43">
            <v>431</v>
          </cell>
          <cell r="T43">
            <v>387</v>
          </cell>
          <cell r="U43">
            <v>389</v>
          </cell>
          <cell r="V43">
            <v>379</v>
          </cell>
          <cell r="W43">
            <v>82</v>
          </cell>
        </row>
        <row r="44">
          <cell r="B44">
            <v>9012</v>
          </cell>
          <cell r="C44">
            <v>8857</v>
          </cell>
          <cell r="D44">
            <v>8637</v>
          </cell>
          <cell r="E44">
            <v>8190</v>
          </cell>
          <cell r="F44">
            <v>9557</v>
          </cell>
          <cell r="G44">
            <v>9212</v>
          </cell>
          <cell r="H44">
            <v>9329</v>
          </cell>
          <cell r="I44">
            <v>8673</v>
          </cell>
          <cell r="J44">
            <v>8941</v>
          </cell>
          <cell r="K44">
            <v>9052</v>
          </cell>
          <cell r="L44">
            <v>6355</v>
          </cell>
          <cell r="M44">
            <v>4525</v>
          </cell>
          <cell r="N44">
            <v>3111</v>
          </cell>
          <cell r="O44">
            <v>3189</v>
          </cell>
          <cell r="P44">
            <v>3495</v>
          </cell>
          <cell r="Q44">
            <v>4203</v>
          </cell>
          <cell r="R44">
            <v>4058</v>
          </cell>
          <cell r="S44">
            <v>4538</v>
          </cell>
          <cell r="T44">
            <v>4525</v>
          </cell>
          <cell r="U44">
            <v>3006</v>
          </cell>
          <cell r="V44">
            <v>2985</v>
          </cell>
          <cell r="W44">
            <v>3085</v>
          </cell>
          <cell r="X44">
            <v>3976</v>
          </cell>
          <cell r="Y44">
            <v>4101</v>
          </cell>
          <cell r="Z44">
            <v>4244</v>
          </cell>
          <cell r="AA44">
            <v>4098</v>
          </cell>
          <cell r="AB44">
            <v>3946</v>
          </cell>
          <cell r="AC44">
            <v>3923</v>
          </cell>
          <cell r="AD44">
            <v>2958</v>
          </cell>
          <cell r="AE44">
            <v>1575</v>
          </cell>
          <cell r="AF44">
            <v>1726</v>
          </cell>
          <cell r="AG44">
            <v>1593</v>
          </cell>
          <cell r="AH44">
            <v>1467</v>
          </cell>
          <cell r="AI44">
            <v>1604</v>
          </cell>
        </row>
        <row r="45">
          <cell r="N45">
            <v>45990</v>
          </cell>
          <cell r="O45">
            <v>40766</v>
          </cell>
          <cell r="P45">
            <v>36480</v>
          </cell>
          <cell r="Q45">
            <v>39675</v>
          </cell>
          <cell r="R45">
            <v>37079</v>
          </cell>
          <cell r="S45">
            <v>37207</v>
          </cell>
          <cell r="T45">
            <v>34736</v>
          </cell>
          <cell r="U45">
            <v>40033</v>
          </cell>
          <cell r="V45">
            <v>44536</v>
          </cell>
          <cell r="W45">
            <v>44947</v>
          </cell>
          <cell r="X45">
            <v>46251</v>
          </cell>
          <cell r="Y45">
            <v>48325</v>
          </cell>
          <cell r="Z45">
            <v>50321</v>
          </cell>
          <cell r="AA45">
            <v>48410</v>
          </cell>
          <cell r="AB45">
            <v>51742</v>
          </cell>
          <cell r="AC45">
            <v>51043</v>
          </cell>
          <cell r="AD45">
            <v>48295</v>
          </cell>
          <cell r="AE45">
            <v>43945</v>
          </cell>
          <cell r="AF45">
            <v>47934</v>
          </cell>
          <cell r="AG45">
            <v>48117</v>
          </cell>
          <cell r="AH45">
            <v>50529</v>
          </cell>
          <cell r="AI45">
            <v>50111</v>
          </cell>
        </row>
        <row r="46">
          <cell r="B46">
            <v>107283</v>
          </cell>
          <cell r="C46">
            <v>107766</v>
          </cell>
          <cell r="D46">
            <v>106723</v>
          </cell>
          <cell r="E46">
            <v>110453</v>
          </cell>
          <cell r="F46">
            <v>110893</v>
          </cell>
          <cell r="G46">
            <v>109977</v>
          </cell>
          <cell r="H46">
            <v>113840</v>
          </cell>
          <cell r="I46">
            <v>113900</v>
          </cell>
          <cell r="J46">
            <v>114559</v>
          </cell>
          <cell r="K46">
            <v>113273</v>
          </cell>
          <cell r="L46">
            <v>110167</v>
          </cell>
          <cell r="M46">
            <v>90953</v>
          </cell>
        </row>
        <row r="47">
          <cell r="AD47">
            <v>1582</v>
          </cell>
          <cell r="AE47">
            <v>1008</v>
          </cell>
          <cell r="AF47">
            <v>1235</v>
          </cell>
          <cell r="AG47">
            <v>1226</v>
          </cell>
          <cell r="AH47">
            <v>312</v>
          </cell>
          <cell r="AI47">
            <v>365</v>
          </cell>
        </row>
        <row r="48">
          <cell r="N48">
            <v>2952</v>
          </cell>
          <cell r="O48">
            <v>3205</v>
          </cell>
          <cell r="P48">
            <v>3330</v>
          </cell>
          <cell r="Q48">
            <v>3207</v>
          </cell>
          <cell r="R48">
            <v>2928</v>
          </cell>
          <cell r="S48">
            <v>3072</v>
          </cell>
          <cell r="T48">
            <v>2756</v>
          </cell>
          <cell r="U48">
            <v>2987</v>
          </cell>
          <cell r="V48">
            <v>3166</v>
          </cell>
          <cell r="W48">
            <v>3255</v>
          </cell>
          <cell r="X48">
            <v>3533</v>
          </cell>
          <cell r="Y48">
            <v>3892</v>
          </cell>
          <cell r="Z48">
            <v>3765</v>
          </cell>
          <cell r="AA48">
            <v>3681</v>
          </cell>
          <cell r="AB48">
            <v>4145</v>
          </cell>
          <cell r="AC48">
            <v>4012</v>
          </cell>
          <cell r="AD48">
            <v>3529</v>
          </cell>
          <cell r="AE48">
            <v>3019</v>
          </cell>
          <cell r="AF48">
            <v>3649</v>
          </cell>
          <cell r="AG48">
            <v>3346</v>
          </cell>
          <cell r="AH48">
            <v>3520</v>
          </cell>
          <cell r="AI48">
            <v>3617</v>
          </cell>
        </row>
        <row r="49">
          <cell r="B49">
            <v>7218</v>
          </cell>
          <cell r="C49">
            <v>7365</v>
          </cell>
          <cell r="D49">
            <v>6762</v>
          </cell>
          <cell r="E49">
            <v>5215</v>
          </cell>
          <cell r="F49">
            <v>5531</v>
          </cell>
          <cell r="G49">
            <v>6010</v>
          </cell>
          <cell r="H49">
            <v>5774</v>
          </cell>
          <cell r="I49">
            <v>6317</v>
          </cell>
          <cell r="J49">
            <v>6171</v>
          </cell>
          <cell r="K49">
            <v>6543</v>
          </cell>
          <cell r="L49">
            <v>6257</v>
          </cell>
          <cell r="M49">
            <v>6968</v>
          </cell>
          <cell r="N49">
            <v>6498</v>
          </cell>
          <cell r="O49">
            <v>6121</v>
          </cell>
          <cell r="P49">
            <v>6047</v>
          </cell>
          <cell r="Q49">
            <v>6224</v>
          </cell>
          <cell r="R49">
            <v>6014</v>
          </cell>
          <cell r="S49">
            <v>6192</v>
          </cell>
          <cell r="T49">
            <v>6893</v>
          </cell>
          <cell r="U49">
            <v>6005</v>
          </cell>
          <cell r="V49">
            <v>6292</v>
          </cell>
          <cell r="W49">
            <v>5820</v>
          </cell>
          <cell r="X49">
            <v>5823</v>
          </cell>
          <cell r="Y49">
            <v>6234</v>
          </cell>
          <cell r="Z49">
            <v>6011</v>
          </cell>
          <cell r="AA49">
            <v>6130</v>
          </cell>
          <cell r="AB49">
            <v>6159</v>
          </cell>
          <cell r="AC49">
            <v>5358</v>
          </cell>
          <cell r="AD49">
            <v>5138</v>
          </cell>
          <cell r="AE49">
            <v>4444</v>
          </cell>
          <cell r="AF49">
            <v>5429</v>
          </cell>
          <cell r="AG49">
            <v>4604</v>
          </cell>
          <cell r="AH49">
            <v>4599</v>
          </cell>
          <cell r="AI49">
            <v>4928</v>
          </cell>
        </row>
        <row r="50">
          <cell r="B50">
            <v>5582</v>
          </cell>
          <cell r="C50">
            <v>7935</v>
          </cell>
          <cell r="D50">
            <v>8442</v>
          </cell>
          <cell r="E50">
            <v>8024</v>
          </cell>
          <cell r="F50">
            <v>8763</v>
          </cell>
          <cell r="G50">
            <v>8833</v>
          </cell>
          <cell r="H50">
            <v>9003</v>
          </cell>
          <cell r="I50">
            <v>11057</v>
          </cell>
          <cell r="J50">
            <v>12578</v>
          </cell>
          <cell r="K50">
            <v>14846</v>
          </cell>
          <cell r="L50">
            <v>15339</v>
          </cell>
          <cell r="M50">
            <v>18510</v>
          </cell>
          <cell r="N50">
            <v>19323</v>
          </cell>
          <cell r="O50">
            <v>21777</v>
          </cell>
          <cell r="P50">
            <v>21169</v>
          </cell>
          <cell r="Q50">
            <v>22344</v>
          </cell>
          <cell r="R50">
            <v>23010</v>
          </cell>
          <cell r="S50">
            <v>22712</v>
          </cell>
          <cell r="T50">
            <v>23299</v>
          </cell>
          <cell r="U50">
            <v>23329</v>
          </cell>
          <cell r="V50">
            <v>24937</v>
          </cell>
          <cell r="W50">
            <v>25898</v>
          </cell>
          <cell r="X50">
            <v>26570</v>
          </cell>
          <cell r="Y50">
            <v>27314</v>
          </cell>
          <cell r="Z50">
            <v>27556</v>
          </cell>
          <cell r="AA50">
            <v>27309</v>
          </cell>
          <cell r="AB50">
            <v>27559</v>
          </cell>
          <cell r="AC50">
            <v>29437</v>
          </cell>
          <cell r="AD50">
            <v>31043</v>
          </cell>
          <cell r="AE50">
            <v>27284</v>
          </cell>
          <cell r="AF50">
            <v>35065</v>
          </cell>
          <cell r="AG50">
            <v>42213</v>
          </cell>
          <cell r="AH50">
            <v>41734</v>
          </cell>
          <cell r="AI50">
            <v>41045</v>
          </cell>
        </row>
        <row r="51">
          <cell r="B51">
            <v>6393</v>
          </cell>
          <cell r="C51">
            <v>6259</v>
          </cell>
          <cell r="D51">
            <v>5998</v>
          </cell>
          <cell r="E51">
            <v>5426</v>
          </cell>
          <cell r="F51">
            <v>5319</v>
          </cell>
          <cell r="G51">
            <v>5457</v>
          </cell>
          <cell r="H51">
            <v>4808</v>
          </cell>
          <cell r="I51">
            <v>4804</v>
          </cell>
          <cell r="J51">
            <v>4650</v>
          </cell>
          <cell r="K51">
            <v>5479</v>
          </cell>
          <cell r="L51">
            <v>5441</v>
          </cell>
          <cell r="M51">
            <v>5397</v>
          </cell>
          <cell r="N51">
            <v>4758</v>
          </cell>
          <cell r="O51">
            <v>5394</v>
          </cell>
          <cell r="P51">
            <v>5447</v>
          </cell>
          <cell r="Q51">
            <v>5106</v>
          </cell>
          <cell r="R51">
            <v>4127</v>
          </cell>
          <cell r="S51">
            <v>3927</v>
          </cell>
          <cell r="T51">
            <v>4236</v>
          </cell>
          <cell r="U51">
            <v>4058</v>
          </cell>
          <cell r="V51">
            <v>4059</v>
          </cell>
          <cell r="W51">
            <v>4219</v>
          </cell>
          <cell r="X51">
            <v>4021</v>
          </cell>
          <cell r="Y51">
            <v>3645</v>
          </cell>
          <cell r="Z51">
            <v>4036</v>
          </cell>
          <cell r="AA51">
            <v>4160</v>
          </cell>
          <cell r="AB51">
            <v>3432</v>
          </cell>
          <cell r="AC51">
            <v>3976</v>
          </cell>
          <cell r="AD51">
            <v>3784</v>
          </cell>
          <cell r="AE51">
            <v>2920</v>
          </cell>
          <cell r="AF51">
            <v>3572</v>
          </cell>
          <cell r="AG51">
            <v>3540</v>
          </cell>
          <cell r="AH51">
            <v>3081</v>
          </cell>
          <cell r="AI51">
            <v>3949</v>
          </cell>
        </row>
        <row r="52">
          <cell r="B52">
            <v>2435</v>
          </cell>
          <cell r="C52">
            <v>1770</v>
          </cell>
          <cell r="D52">
            <v>1779</v>
          </cell>
          <cell r="E52">
            <v>2011</v>
          </cell>
          <cell r="F52">
            <v>2214</v>
          </cell>
          <cell r="G52">
            <v>2424</v>
          </cell>
          <cell r="H52">
            <v>2435</v>
          </cell>
          <cell r="I52">
            <v>2314</v>
          </cell>
          <cell r="J52">
            <v>2492</v>
          </cell>
          <cell r="K52">
            <v>2638</v>
          </cell>
          <cell r="L52">
            <v>2736</v>
          </cell>
          <cell r="M52">
            <v>2812</v>
          </cell>
          <cell r="N52">
            <v>2735</v>
          </cell>
          <cell r="O52">
            <v>2845</v>
          </cell>
          <cell r="P52">
            <v>3037</v>
          </cell>
          <cell r="Q52">
            <v>3020</v>
          </cell>
          <cell r="R52">
            <v>3130</v>
          </cell>
          <cell r="S52">
            <v>3060</v>
          </cell>
          <cell r="T52">
            <v>3149</v>
          </cell>
          <cell r="U52">
            <v>3212</v>
          </cell>
          <cell r="V52">
            <v>3145</v>
          </cell>
          <cell r="W52">
            <v>3614</v>
          </cell>
          <cell r="X52">
            <v>3703</v>
          </cell>
          <cell r="Y52">
            <v>3710</v>
          </cell>
          <cell r="Z52">
            <v>3871</v>
          </cell>
          <cell r="AA52">
            <v>3730</v>
          </cell>
          <cell r="AB52">
            <v>3577</v>
          </cell>
          <cell r="AC52">
            <v>3816</v>
          </cell>
          <cell r="AD52">
            <v>3583</v>
          </cell>
          <cell r="AE52">
            <v>1966</v>
          </cell>
          <cell r="AF52">
            <v>3447</v>
          </cell>
          <cell r="AG52">
            <v>3240</v>
          </cell>
          <cell r="AH52">
            <v>2805</v>
          </cell>
          <cell r="AI52">
            <v>2896</v>
          </cell>
        </row>
        <row r="53">
          <cell r="B53">
            <v>33</v>
          </cell>
          <cell r="C53">
            <v>33</v>
          </cell>
          <cell r="D53">
            <v>10</v>
          </cell>
          <cell r="E53">
            <v>10</v>
          </cell>
          <cell r="F53">
            <v>54</v>
          </cell>
          <cell r="G53">
            <v>66</v>
          </cell>
          <cell r="H53">
            <v>79</v>
          </cell>
          <cell r="I53">
            <v>140</v>
          </cell>
          <cell r="J53">
            <v>134</v>
          </cell>
          <cell r="K53">
            <v>141</v>
          </cell>
          <cell r="L53">
            <v>129</v>
          </cell>
          <cell r="M53">
            <v>105</v>
          </cell>
          <cell r="N53">
            <v>102</v>
          </cell>
          <cell r="O53">
            <v>82</v>
          </cell>
          <cell r="P53">
            <v>88</v>
          </cell>
          <cell r="Q53">
            <v>97</v>
          </cell>
          <cell r="R53">
            <v>100</v>
          </cell>
          <cell r="S53">
            <v>100</v>
          </cell>
          <cell r="T53">
            <v>80</v>
          </cell>
          <cell r="U53">
            <v>80</v>
          </cell>
          <cell r="V53">
            <v>80</v>
          </cell>
          <cell r="W53">
            <v>80</v>
          </cell>
        </row>
        <row r="54">
          <cell r="B54">
            <v>1738</v>
          </cell>
          <cell r="C54">
            <v>1609</v>
          </cell>
          <cell r="D54">
            <v>2693</v>
          </cell>
          <cell r="E54">
            <v>3416</v>
          </cell>
          <cell r="F54">
            <v>3314</v>
          </cell>
          <cell r="G54">
            <v>3400</v>
          </cell>
          <cell r="H54">
            <v>3692</v>
          </cell>
          <cell r="I54">
            <v>3732</v>
          </cell>
          <cell r="J54">
            <v>5487</v>
          </cell>
          <cell r="K54">
            <v>5780</v>
          </cell>
          <cell r="L54">
            <v>5491</v>
          </cell>
          <cell r="M54">
            <v>5561</v>
          </cell>
          <cell r="N54">
            <v>5327</v>
          </cell>
          <cell r="O54">
            <v>6096</v>
          </cell>
          <cell r="P54">
            <v>5968</v>
          </cell>
          <cell r="Q54">
            <v>6056</v>
          </cell>
          <cell r="R54">
            <v>6213</v>
          </cell>
          <cell r="S54">
            <v>8870</v>
          </cell>
          <cell r="T54">
            <v>9374</v>
          </cell>
          <cell r="U54">
            <v>8890</v>
          </cell>
          <cell r="V54">
            <v>9618</v>
          </cell>
          <cell r="W54">
            <v>10001</v>
          </cell>
          <cell r="X54">
            <v>10169</v>
          </cell>
          <cell r="Y54">
            <v>10260</v>
          </cell>
          <cell r="Z54">
            <v>10354</v>
          </cell>
          <cell r="AA54">
            <v>9447</v>
          </cell>
          <cell r="AB54">
            <v>10407</v>
          </cell>
          <cell r="AC54">
            <v>10518</v>
          </cell>
          <cell r="AD54">
            <v>9823</v>
          </cell>
          <cell r="AE54">
            <v>7939</v>
          </cell>
          <cell r="AF54">
            <v>9358</v>
          </cell>
          <cell r="AG54">
            <v>12718</v>
          </cell>
          <cell r="AH54">
            <v>11785</v>
          </cell>
          <cell r="AI54">
            <v>13319</v>
          </cell>
        </row>
        <row r="55">
          <cell r="B55">
            <v>153</v>
          </cell>
          <cell r="C55">
            <v>158</v>
          </cell>
          <cell r="D55">
            <v>97</v>
          </cell>
          <cell r="E55">
            <v>147</v>
          </cell>
          <cell r="F55">
            <v>148</v>
          </cell>
          <cell r="G55">
            <v>142</v>
          </cell>
          <cell r="H55">
            <v>149</v>
          </cell>
          <cell r="I55">
            <v>163</v>
          </cell>
          <cell r="J55">
            <v>128</v>
          </cell>
          <cell r="K55">
            <v>155</v>
          </cell>
          <cell r="L55">
            <v>161</v>
          </cell>
          <cell r="M55">
            <v>172</v>
          </cell>
          <cell r="N55">
            <v>158</v>
          </cell>
          <cell r="O55">
            <v>165</v>
          </cell>
          <cell r="P55">
            <v>154</v>
          </cell>
          <cell r="Q55">
            <v>162</v>
          </cell>
          <cell r="R55">
            <v>155</v>
          </cell>
          <cell r="S55">
            <v>150</v>
          </cell>
          <cell r="T55">
            <v>123</v>
          </cell>
          <cell r="U55">
            <v>180</v>
          </cell>
          <cell r="V55">
            <v>195</v>
          </cell>
          <cell r="W55">
            <v>191</v>
          </cell>
          <cell r="X55">
            <v>152</v>
          </cell>
          <cell r="Y55">
            <v>45</v>
          </cell>
        </row>
        <row r="56">
          <cell r="B56">
            <v>2140</v>
          </cell>
          <cell r="C56">
            <v>2050</v>
          </cell>
          <cell r="D56">
            <v>2174</v>
          </cell>
          <cell r="E56">
            <v>2719</v>
          </cell>
          <cell r="F56">
            <v>3272</v>
          </cell>
          <cell r="G56">
            <v>3603</v>
          </cell>
          <cell r="H56">
            <v>4142</v>
          </cell>
          <cell r="I56">
            <v>4556</v>
          </cell>
          <cell r="J56">
            <v>4963</v>
          </cell>
          <cell r="K56">
            <v>4037</v>
          </cell>
          <cell r="L56">
            <v>5367</v>
          </cell>
          <cell r="M56">
            <v>5154</v>
          </cell>
          <cell r="N56">
            <v>5059</v>
          </cell>
          <cell r="O56">
            <v>4931</v>
          </cell>
          <cell r="P56">
            <v>4604</v>
          </cell>
          <cell r="Q56">
            <v>4403</v>
          </cell>
          <cell r="R56">
            <v>5253</v>
          </cell>
          <cell r="S56">
            <v>5565</v>
          </cell>
          <cell r="T56">
            <v>5286</v>
          </cell>
          <cell r="U56">
            <v>5181</v>
          </cell>
          <cell r="V56">
            <v>5333</v>
          </cell>
          <cell r="W56">
            <v>5289</v>
          </cell>
          <cell r="X56">
            <v>5003</v>
          </cell>
          <cell r="Y56">
            <v>5706</v>
          </cell>
          <cell r="Z56">
            <v>5836</v>
          </cell>
          <cell r="AA56">
            <v>5970</v>
          </cell>
          <cell r="AB56">
            <v>5952</v>
          </cell>
          <cell r="AC56">
            <v>6235</v>
          </cell>
          <cell r="AD56">
            <v>6704</v>
          </cell>
          <cell r="AE56">
            <v>7004</v>
          </cell>
          <cell r="AF56">
            <v>7679</v>
          </cell>
          <cell r="AG56">
            <v>8173</v>
          </cell>
          <cell r="AH56">
            <v>8613</v>
          </cell>
          <cell r="AI56">
            <v>9180</v>
          </cell>
        </row>
        <row r="57">
          <cell r="N57">
            <v>35162</v>
          </cell>
          <cell r="O57">
            <v>27022</v>
          </cell>
          <cell r="P57">
            <v>20084</v>
          </cell>
          <cell r="Q57">
            <v>17904</v>
          </cell>
          <cell r="R57">
            <v>17698</v>
          </cell>
          <cell r="S57">
            <v>20496</v>
          </cell>
          <cell r="T57">
            <v>20777</v>
          </cell>
          <cell r="U57">
            <v>21937</v>
          </cell>
          <cell r="V57">
            <v>25697</v>
          </cell>
          <cell r="W57">
            <v>26364</v>
          </cell>
          <cell r="X57">
            <v>27634</v>
          </cell>
          <cell r="Y57">
            <v>29528</v>
          </cell>
          <cell r="Z57">
            <v>31056</v>
          </cell>
          <cell r="AA57">
            <v>30782</v>
          </cell>
          <cell r="AB57">
            <v>32950</v>
          </cell>
          <cell r="AC57">
            <v>35647</v>
          </cell>
          <cell r="AD57">
            <v>30981</v>
          </cell>
          <cell r="AE57">
            <v>25676</v>
          </cell>
          <cell r="AF57">
            <v>27349</v>
          </cell>
          <cell r="AG57">
            <v>28867</v>
          </cell>
          <cell r="AH57">
            <v>28500</v>
          </cell>
          <cell r="AI57">
            <v>29094</v>
          </cell>
        </row>
        <row r="58">
          <cell r="B58">
            <v>6264</v>
          </cell>
          <cell r="C58">
            <v>9470</v>
          </cell>
          <cell r="D58">
            <v>8327</v>
          </cell>
          <cell r="E58">
            <v>9477</v>
          </cell>
          <cell r="F58">
            <v>9487</v>
          </cell>
          <cell r="G58">
            <v>10381</v>
          </cell>
          <cell r="H58">
            <v>9686</v>
          </cell>
          <cell r="I58">
            <v>12017</v>
          </cell>
          <cell r="J58">
            <v>13056</v>
          </cell>
          <cell r="K58">
            <v>12638</v>
          </cell>
          <cell r="L58">
            <v>12319</v>
          </cell>
          <cell r="M58">
            <v>11883</v>
          </cell>
          <cell r="N58">
            <v>11542</v>
          </cell>
          <cell r="O58">
            <v>11534</v>
          </cell>
          <cell r="P58">
            <v>11943</v>
          </cell>
          <cell r="Q58">
            <v>12236</v>
          </cell>
          <cell r="R58">
            <v>12830</v>
          </cell>
          <cell r="S58">
            <v>13054</v>
          </cell>
          <cell r="T58">
            <v>12746</v>
          </cell>
          <cell r="U58">
            <v>12139</v>
          </cell>
          <cell r="V58">
            <v>10890</v>
          </cell>
          <cell r="W58">
            <v>9870</v>
          </cell>
          <cell r="X58">
            <v>8561</v>
          </cell>
          <cell r="Y58">
            <v>10228</v>
          </cell>
          <cell r="Z58">
            <v>10180</v>
          </cell>
          <cell r="AA58">
            <v>10189</v>
          </cell>
          <cell r="AB58">
            <v>10696</v>
          </cell>
          <cell r="AC58">
            <v>10960</v>
          </cell>
          <cell r="AD58">
            <v>10137</v>
          </cell>
          <cell r="AE58">
            <v>7671</v>
          </cell>
          <cell r="AF58">
            <v>7233</v>
          </cell>
          <cell r="AG58">
            <v>6625</v>
          </cell>
          <cell r="AH58">
            <v>7183</v>
          </cell>
          <cell r="AI58">
            <v>9471</v>
          </cell>
        </row>
        <row r="59">
          <cell r="B59">
            <v>62343</v>
          </cell>
          <cell r="C59">
            <v>66742</v>
          </cell>
          <cell r="D59">
            <v>39289</v>
          </cell>
          <cell r="E59">
            <v>44185</v>
          </cell>
          <cell r="F59">
            <v>47087</v>
          </cell>
          <cell r="G59">
            <v>45764</v>
          </cell>
          <cell r="H59">
            <v>39873</v>
          </cell>
          <cell r="I59">
            <v>43917</v>
          </cell>
          <cell r="J59">
            <v>50571</v>
          </cell>
          <cell r="K59">
            <v>50687</v>
          </cell>
          <cell r="L59">
            <v>49668</v>
          </cell>
          <cell r="M59">
            <v>44123</v>
          </cell>
          <cell r="N59">
            <v>47377</v>
          </cell>
          <cell r="O59">
            <v>48155</v>
          </cell>
          <cell r="P59">
            <v>49374</v>
          </cell>
          <cell r="Q59">
            <v>50890</v>
          </cell>
          <cell r="R59">
            <v>49428</v>
          </cell>
          <cell r="S59">
            <v>49604</v>
          </cell>
          <cell r="T59">
            <v>48230</v>
          </cell>
          <cell r="U59">
            <v>46268</v>
          </cell>
          <cell r="V59">
            <v>47888</v>
          </cell>
          <cell r="W59">
            <v>42133</v>
          </cell>
          <cell r="X59">
            <v>40225</v>
          </cell>
          <cell r="Y59">
            <v>40644</v>
          </cell>
          <cell r="Z59">
            <v>42291</v>
          </cell>
          <cell r="AA59">
            <v>37222</v>
          </cell>
          <cell r="AB59">
            <v>37903</v>
          </cell>
          <cell r="AC59">
            <v>36337</v>
          </cell>
          <cell r="AD59">
            <v>33729</v>
          </cell>
          <cell r="AE59">
            <v>19018</v>
          </cell>
          <cell r="AF59">
            <v>26843</v>
          </cell>
          <cell r="AG59">
            <v>30227</v>
          </cell>
          <cell r="AH59">
            <v>32062</v>
          </cell>
          <cell r="AI59">
            <v>30308</v>
          </cell>
        </row>
        <row r="60">
          <cell r="B60">
            <v>498</v>
          </cell>
          <cell r="C60">
            <v>418</v>
          </cell>
          <cell r="D60">
            <v>202</v>
          </cell>
          <cell r="E60">
            <v>169</v>
          </cell>
          <cell r="F60">
            <v>326</v>
          </cell>
          <cell r="G60">
            <v>441</v>
          </cell>
          <cell r="H60">
            <v>493</v>
          </cell>
          <cell r="I60">
            <v>473</v>
          </cell>
          <cell r="J60">
            <v>485</v>
          </cell>
          <cell r="K60">
            <v>455</v>
          </cell>
          <cell r="L60">
            <v>314</v>
          </cell>
        </row>
        <row r="61">
          <cell r="N61">
            <v>12</v>
          </cell>
          <cell r="O61">
            <v>15</v>
          </cell>
          <cell r="P61">
            <v>7</v>
          </cell>
          <cell r="Q61">
            <v>21</v>
          </cell>
          <cell r="R61">
            <v>52</v>
          </cell>
          <cell r="S61">
            <v>41</v>
          </cell>
          <cell r="T61">
            <v>48</v>
          </cell>
          <cell r="U61">
            <v>66</v>
          </cell>
          <cell r="V61">
            <v>47</v>
          </cell>
          <cell r="W61">
            <v>48</v>
          </cell>
          <cell r="X61">
            <v>146</v>
          </cell>
          <cell r="Y61">
            <v>200</v>
          </cell>
          <cell r="Z61">
            <v>187</v>
          </cell>
          <cell r="AA61">
            <v>202</v>
          </cell>
          <cell r="AB61">
            <v>211</v>
          </cell>
          <cell r="AC61">
            <v>170</v>
          </cell>
          <cell r="AD61">
            <v>255</v>
          </cell>
          <cell r="AE61">
            <v>275</v>
          </cell>
          <cell r="AF61">
            <v>500</v>
          </cell>
          <cell r="AG61">
            <v>600</v>
          </cell>
          <cell r="AH61">
            <v>650</v>
          </cell>
          <cell r="AI61">
            <v>650</v>
          </cell>
        </row>
        <row r="62">
          <cell r="B62">
            <v>2436</v>
          </cell>
          <cell r="C62">
            <v>2816</v>
          </cell>
          <cell r="D62">
            <v>2702</v>
          </cell>
          <cell r="E62">
            <v>2836</v>
          </cell>
          <cell r="F62">
            <v>2850</v>
          </cell>
          <cell r="G62">
            <v>3113</v>
          </cell>
          <cell r="H62">
            <v>3063</v>
          </cell>
          <cell r="I62">
            <v>2867</v>
          </cell>
          <cell r="J62">
            <v>2917</v>
          </cell>
          <cell r="K62">
            <v>2898</v>
          </cell>
          <cell r="L62">
            <v>2313</v>
          </cell>
          <cell r="M62">
            <v>1266</v>
          </cell>
        </row>
        <row r="63">
          <cell r="B63">
            <v>786</v>
          </cell>
          <cell r="C63">
            <v>643</v>
          </cell>
          <cell r="D63">
            <v>478</v>
          </cell>
          <cell r="E63">
            <v>584</v>
          </cell>
          <cell r="F63">
            <v>400</v>
          </cell>
          <cell r="G63">
            <v>674</v>
          </cell>
          <cell r="H63">
            <v>644</v>
          </cell>
          <cell r="I63">
            <v>644</v>
          </cell>
          <cell r="J63">
            <v>503</v>
          </cell>
          <cell r="K63">
            <v>525</v>
          </cell>
          <cell r="L63">
            <v>521</v>
          </cell>
          <cell r="M63">
            <v>535</v>
          </cell>
          <cell r="N63">
            <v>507</v>
          </cell>
          <cell r="O63">
            <v>211</v>
          </cell>
          <cell r="P63">
            <v>150</v>
          </cell>
          <cell r="Q63">
            <v>205</v>
          </cell>
          <cell r="R63">
            <v>219</v>
          </cell>
          <cell r="S63">
            <v>216</v>
          </cell>
          <cell r="T63">
            <v>217</v>
          </cell>
          <cell r="U63">
            <v>270</v>
          </cell>
          <cell r="V63">
            <v>277</v>
          </cell>
          <cell r="W63">
            <v>156</v>
          </cell>
          <cell r="X63">
            <v>122</v>
          </cell>
          <cell r="Y63">
            <v>182</v>
          </cell>
          <cell r="Z63">
            <v>125</v>
          </cell>
          <cell r="AA63">
            <v>129</v>
          </cell>
          <cell r="AB63">
            <v>38</v>
          </cell>
          <cell r="AC63">
            <v>38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g Iron"/>
      <sheetName val="Direct Reduced Iron"/>
      <sheetName val="Steel"/>
      <sheetName val="Sheet1"/>
      <sheetName val="Sheet2"/>
    </sheetNames>
    <sheetDataSet>
      <sheetData sheetId="0">
        <row r="7">
          <cell r="A7">
            <v>1900</v>
          </cell>
          <cell r="B7">
            <v>13200000</v>
          </cell>
          <cell r="I7" t="str">
            <v>NA</v>
          </cell>
        </row>
        <row r="8">
          <cell r="A8">
            <v>1901</v>
          </cell>
          <cell r="B8">
            <v>15900000</v>
          </cell>
          <cell r="I8" t="str">
            <v>NA</v>
          </cell>
        </row>
        <row r="9">
          <cell r="A9">
            <v>1902</v>
          </cell>
          <cell r="B9">
            <v>17800000</v>
          </cell>
          <cell r="I9" t="str">
            <v>NA</v>
          </cell>
        </row>
        <row r="10">
          <cell r="A10">
            <v>1903</v>
          </cell>
          <cell r="B10">
            <v>18000000</v>
          </cell>
          <cell r="I10" t="str">
            <v>NA</v>
          </cell>
        </row>
        <row r="11">
          <cell r="A11">
            <v>1904</v>
          </cell>
          <cell r="B11">
            <v>16500000</v>
          </cell>
          <cell r="I11" t="str">
            <v>NA</v>
          </cell>
        </row>
        <row r="12">
          <cell r="A12">
            <v>1905</v>
          </cell>
          <cell r="B12">
            <v>23000000</v>
          </cell>
          <cell r="I12" t="str">
            <v>NA</v>
          </cell>
        </row>
        <row r="13">
          <cell r="A13">
            <v>1906</v>
          </cell>
          <cell r="B13">
            <v>25300000</v>
          </cell>
          <cell r="I13" t="str">
            <v>NA</v>
          </cell>
        </row>
        <row r="14">
          <cell r="A14">
            <v>1907</v>
          </cell>
          <cell r="B14">
            <v>25200000</v>
          </cell>
          <cell r="I14" t="str">
            <v>NA</v>
          </cell>
        </row>
        <row r="15">
          <cell r="A15">
            <v>1908</v>
          </cell>
          <cell r="B15">
            <v>15900000</v>
          </cell>
          <cell r="I15" t="str">
            <v>NA</v>
          </cell>
        </row>
        <row r="16">
          <cell r="A16">
            <v>1909</v>
          </cell>
          <cell r="B16">
            <v>25800000</v>
          </cell>
          <cell r="I16" t="str">
            <v>NA</v>
          </cell>
        </row>
        <row r="17">
          <cell r="A17">
            <v>1910</v>
          </cell>
          <cell r="B17">
            <v>27100000</v>
          </cell>
          <cell r="I17">
            <v>66500000</v>
          </cell>
        </row>
        <row r="18">
          <cell r="A18">
            <v>1911</v>
          </cell>
          <cell r="B18">
            <v>21500000</v>
          </cell>
          <cell r="I18">
            <v>64400000</v>
          </cell>
        </row>
        <row r="19">
          <cell r="A19">
            <v>1912</v>
          </cell>
          <cell r="B19">
            <v>27000000</v>
          </cell>
          <cell r="I19">
            <v>73700000</v>
          </cell>
        </row>
        <row r="20">
          <cell r="A20">
            <v>1913</v>
          </cell>
          <cell r="B20">
            <v>28100000</v>
          </cell>
          <cell r="I20">
            <v>79000000</v>
          </cell>
        </row>
        <row r="21">
          <cell r="A21">
            <v>1914</v>
          </cell>
          <cell r="B21">
            <v>21200000</v>
          </cell>
          <cell r="I21">
            <v>56300000</v>
          </cell>
        </row>
        <row r="22">
          <cell r="A22">
            <v>1915</v>
          </cell>
          <cell r="B22">
            <v>27100000</v>
          </cell>
          <cell r="I22">
            <v>50500000</v>
          </cell>
        </row>
        <row r="23">
          <cell r="A23">
            <v>1916</v>
          </cell>
          <cell r="B23">
            <v>35800000</v>
          </cell>
          <cell r="I23">
            <v>74300000</v>
          </cell>
        </row>
        <row r="24">
          <cell r="A24">
            <v>1917</v>
          </cell>
          <cell r="B24">
            <v>35000000</v>
          </cell>
          <cell r="I24">
            <v>71900000</v>
          </cell>
        </row>
        <row r="25">
          <cell r="A25">
            <v>1918</v>
          </cell>
          <cell r="B25">
            <v>35400000</v>
          </cell>
          <cell r="I25">
            <v>65200000</v>
          </cell>
        </row>
        <row r="26">
          <cell r="A26">
            <v>1919</v>
          </cell>
          <cell r="B26">
            <v>28100000</v>
          </cell>
          <cell r="I26">
            <v>50900000</v>
          </cell>
        </row>
        <row r="27">
          <cell r="A27">
            <v>1920</v>
          </cell>
          <cell r="B27">
            <v>33500000</v>
          </cell>
          <cell r="I27">
            <v>61300000</v>
          </cell>
        </row>
        <row r="28">
          <cell r="A28">
            <v>1921</v>
          </cell>
          <cell r="B28">
            <v>15100000</v>
          </cell>
          <cell r="I28">
            <v>36700000</v>
          </cell>
        </row>
        <row r="29">
          <cell r="A29">
            <v>1922</v>
          </cell>
          <cell r="B29">
            <v>24700000</v>
          </cell>
          <cell r="I29">
            <v>70000000</v>
          </cell>
        </row>
        <row r="30">
          <cell r="A30">
            <v>1923</v>
          </cell>
          <cell r="B30">
            <v>36600000</v>
          </cell>
          <cell r="I30">
            <v>68500000</v>
          </cell>
        </row>
        <row r="31">
          <cell r="A31">
            <v>1924</v>
          </cell>
          <cell r="B31">
            <v>28500000</v>
          </cell>
          <cell r="I31">
            <v>76900000</v>
          </cell>
        </row>
        <row r="32">
          <cell r="A32">
            <v>1925</v>
          </cell>
          <cell r="B32">
            <v>33300000</v>
          </cell>
          <cell r="I32">
            <v>76900000</v>
          </cell>
        </row>
        <row r="33">
          <cell r="A33">
            <v>1926</v>
          </cell>
          <cell r="B33">
            <v>35700000</v>
          </cell>
          <cell r="I33">
            <v>78900000</v>
          </cell>
        </row>
        <row r="34">
          <cell r="A34">
            <v>1927</v>
          </cell>
          <cell r="B34">
            <v>33200000</v>
          </cell>
          <cell r="I34">
            <v>86800000</v>
          </cell>
        </row>
        <row r="35">
          <cell r="A35">
            <v>1928</v>
          </cell>
          <cell r="B35">
            <v>34600000</v>
          </cell>
          <cell r="I35">
            <v>88900000</v>
          </cell>
        </row>
        <row r="36">
          <cell r="A36">
            <v>1929</v>
          </cell>
          <cell r="B36">
            <v>38700000</v>
          </cell>
          <cell r="I36">
            <v>98500000</v>
          </cell>
        </row>
        <row r="37">
          <cell r="A37">
            <v>1930</v>
          </cell>
          <cell r="B37">
            <v>27700000</v>
          </cell>
          <cell r="I37">
            <v>80200000</v>
          </cell>
        </row>
        <row r="38">
          <cell r="A38">
            <v>1931</v>
          </cell>
          <cell r="B38">
            <v>16300000</v>
          </cell>
          <cell r="I38">
            <v>55700000</v>
          </cell>
        </row>
        <row r="39">
          <cell r="A39">
            <v>1932</v>
          </cell>
          <cell r="B39">
            <v>7760000</v>
          </cell>
          <cell r="I39">
            <v>39800000</v>
          </cell>
        </row>
        <row r="40">
          <cell r="A40">
            <v>1933</v>
          </cell>
          <cell r="B40">
            <v>11800000</v>
          </cell>
          <cell r="I40">
            <v>49400000</v>
          </cell>
        </row>
        <row r="41">
          <cell r="A41">
            <v>1934</v>
          </cell>
          <cell r="B41">
            <v>14200000</v>
          </cell>
          <cell r="I41">
            <v>63000000</v>
          </cell>
        </row>
        <row r="42">
          <cell r="A42">
            <v>1935</v>
          </cell>
          <cell r="B42">
            <v>18900000</v>
          </cell>
          <cell r="I42">
            <v>74400000</v>
          </cell>
        </row>
        <row r="43">
          <cell r="A43">
            <v>1936</v>
          </cell>
          <cell r="B43">
            <v>27400000</v>
          </cell>
          <cell r="I43">
            <v>91600000</v>
          </cell>
        </row>
        <row r="44">
          <cell r="A44">
            <v>1937</v>
          </cell>
          <cell r="B44">
            <v>32800000</v>
          </cell>
          <cell r="I44">
            <v>104000000</v>
          </cell>
        </row>
        <row r="45">
          <cell r="A45">
            <v>1938</v>
          </cell>
          <cell r="B45">
            <v>16900000</v>
          </cell>
          <cell r="I45">
            <v>82900000</v>
          </cell>
        </row>
        <row r="46">
          <cell r="A46">
            <v>1939</v>
          </cell>
          <cell r="B46">
            <v>28200000</v>
          </cell>
          <cell r="I46">
            <v>102000000</v>
          </cell>
        </row>
        <row r="47">
          <cell r="A47">
            <v>1940</v>
          </cell>
          <cell r="B47">
            <v>37400000</v>
          </cell>
          <cell r="I47">
            <v>110000000</v>
          </cell>
        </row>
        <row r="48">
          <cell r="A48">
            <v>1941</v>
          </cell>
          <cell r="B48">
            <v>50000000</v>
          </cell>
          <cell r="I48">
            <v>110000000</v>
          </cell>
        </row>
        <row r="49">
          <cell r="A49">
            <v>1942</v>
          </cell>
          <cell r="B49">
            <v>53600000</v>
          </cell>
          <cell r="I49">
            <v>103000000</v>
          </cell>
        </row>
        <row r="50">
          <cell r="A50">
            <v>1943</v>
          </cell>
          <cell r="B50">
            <v>55100000</v>
          </cell>
          <cell r="I50">
            <v>105000000</v>
          </cell>
        </row>
        <row r="51">
          <cell r="A51">
            <v>1944</v>
          </cell>
          <cell r="B51">
            <v>55300000</v>
          </cell>
          <cell r="I51">
            <v>98000000</v>
          </cell>
        </row>
        <row r="52">
          <cell r="A52">
            <v>1945</v>
          </cell>
          <cell r="B52">
            <v>48300000</v>
          </cell>
          <cell r="I52">
            <v>71700000</v>
          </cell>
        </row>
        <row r="53">
          <cell r="A53">
            <v>1946</v>
          </cell>
          <cell r="B53">
            <v>40700000</v>
          </cell>
          <cell r="I53">
            <v>71700000</v>
          </cell>
        </row>
        <row r="54">
          <cell r="A54">
            <v>1947</v>
          </cell>
          <cell r="B54">
            <v>52900000</v>
          </cell>
          <cell r="I54">
            <v>90700000</v>
          </cell>
        </row>
        <row r="55">
          <cell r="A55">
            <v>1948</v>
          </cell>
          <cell r="B55">
            <v>54500000</v>
          </cell>
          <cell r="I55">
            <v>103000000</v>
          </cell>
        </row>
        <row r="56">
          <cell r="A56">
            <v>1949</v>
          </cell>
          <cell r="B56">
            <v>48400000</v>
          </cell>
          <cell r="I56">
            <v>105000000</v>
          </cell>
        </row>
        <row r="57">
          <cell r="A57">
            <v>1950</v>
          </cell>
          <cell r="B57">
            <v>58500000</v>
          </cell>
          <cell r="I57">
            <v>134000000</v>
          </cell>
        </row>
        <row r="58">
          <cell r="A58">
            <v>1951</v>
          </cell>
          <cell r="B58">
            <v>63800000</v>
          </cell>
          <cell r="I58">
            <v>151000000</v>
          </cell>
        </row>
        <row r="59">
          <cell r="A59">
            <v>1952</v>
          </cell>
          <cell r="B59">
            <v>55600000</v>
          </cell>
          <cell r="I59">
            <v>153000000</v>
          </cell>
        </row>
        <row r="60">
          <cell r="A60">
            <v>1953</v>
          </cell>
          <cell r="B60">
            <v>67900000</v>
          </cell>
          <cell r="I60">
            <v>169000000</v>
          </cell>
        </row>
        <row r="61">
          <cell r="A61">
            <v>1954</v>
          </cell>
          <cell r="B61">
            <v>52600000</v>
          </cell>
          <cell r="I61">
            <v>159000000</v>
          </cell>
        </row>
        <row r="62">
          <cell r="A62">
            <v>1955</v>
          </cell>
          <cell r="B62">
            <v>69700000</v>
          </cell>
          <cell r="I62">
            <v>193000000</v>
          </cell>
        </row>
        <row r="63">
          <cell r="A63">
            <v>1956</v>
          </cell>
          <cell r="B63">
            <v>68100000</v>
          </cell>
          <cell r="I63">
            <v>201000000</v>
          </cell>
        </row>
        <row r="64">
          <cell r="A64">
            <v>1957</v>
          </cell>
          <cell r="B64">
            <v>71100000</v>
          </cell>
          <cell r="I64">
            <v>212000000</v>
          </cell>
        </row>
        <row r="65">
          <cell r="A65">
            <v>1958</v>
          </cell>
          <cell r="B65">
            <v>51900000</v>
          </cell>
          <cell r="I65">
            <v>197000000</v>
          </cell>
        </row>
        <row r="66">
          <cell r="A66">
            <v>1959</v>
          </cell>
          <cell r="B66">
            <v>54600000</v>
          </cell>
          <cell r="I66">
            <v>224000000</v>
          </cell>
        </row>
        <row r="67">
          <cell r="A67">
            <v>1960</v>
          </cell>
          <cell r="B67">
            <v>60300000</v>
          </cell>
          <cell r="I67">
            <v>259000000</v>
          </cell>
        </row>
        <row r="68">
          <cell r="A68">
            <v>1961</v>
          </cell>
          <cell r="B68">
            <v>58800000</v>
          </cell>
          <cell r="I68">
            <v>256000000</v>
          </cell>
        </row>
        <row r="69">
          <cell r="A69">
            <v>1962</v>
          </cell>
          <cell r="B69">
            <v>59500000</v>
          </cell>
          <cell r="I69">
            <v>266000000</v>
          </cell>
        </row>
        <row r="70">
          <cell r="A70">
            <v>1963</v>
          </cell>
          <cell r="B70">
            <v>65200000</v>
          </cell>
          <cell r="I70">
            <v>281000000</v>
          </cell>
        </row>
        <row r="71">
          <cell r="A71">
            <v>1964</v>
          </cell>
          <cell r="B71">
            <v>77500000</v>
          </cell>
          <cell r="I71">
            <v>317000000</v>
          </cell>
        </row>
        <row r="72">
          <cell r="A72">
            <v>1965</v>
          </cell>
          <cell r="B72">
            <v>80000000</v>
          </cell>
          <cell r="I72">
            <v>335000000</v>
          </cell>
        </row>
        <row r="73">
          <cell r="A73">
            <v>1966</v>
          </cell>
          <cell r="B73">
            <v>82800000</v>
          </cell>
          <cell r="I73">
            <v>347000000</v>
          </cell>
        </row>
        <row r="74">
          <cell r="A74">
            <v>1967</v>
          </cell>
          <cell r="B74">
            <v>78700000</v>
          </cell>
          <cell r="I74">
            <v>350000000</v>
          </cell>
        </row>
        <row r="75">
          <cell r="A75">
            <v>1968</v>
          </cell>
          <cell r="B75">
            <v>80500000</v>
          </cell>
          <cell r="I75">
            <v>379000000</v>
          </cell>
        </row>
        <row r="76">
          <cell r="A76">
            <v>1969</v>
          </cell>
          <cell r="B76">
            <v>86200000</v>
          </cell>
          <cell r="I76">
            <v>411000000</v>
          </cell>
        </row>
        <row r="77">
          <cell r="A77">
            <v>1970</v>
          </cell>
          <cell r="B77">
            <v>82800000</v>
          </cell>
          <cell r="I77">
            <v>431000000</v>
          </cell>
        </row>
        <row r="78">
          <cell r="A78">
            <v>1971</v>
          </cell>
          <cell r="B78">
            <v>73800000</v>
          </cell>
          <cell r="I78">
            <v>430000000</v>
          </cell>
        </row>
        <row r="79">
          <cell r="A79">
            <v>1972</v>
          </cell>
          <cell r="B79">
            <v>80600000</v>
          </cell>
          <cell r="I79">
            <v>454000000</v>
          </cell>
        </row>
        <row r="80">
          <cell r="A80">
            <v>1973</v>
          </cell>
          <cell r="B80">
            <v>91900000</v>
          </cell>
          <cell r="I80">
            <v>501000000</v>
          </cell>
        </row>
        <row r="81">
          <cell r="A81">
            <v>1974</v>
          </cell>
          <cell r="B81">
            <v>86600000</v>
          </cell>
          <cell r="I81">
            <v>512000000</v>
          </cell>
        </row>
        <row r="82">
          <cell r="A82">
            <v>1975</v>
          </cell>
          <cell r="B82">
            <v>72300000</v>
          </cell>
          <cell r="I82">
            <v>479000000</v>
          </cell>
        </row>
        <row r="83">
          <cell r="A83">
            <v>1976</v>
          </cell>
          <cell r="B83">
            <v>78800000</v>
          </cell>
          <cell r="I83">
            <v>498000000</v>
          </cell>
        </row>
        <row r="84">
          <cell r="A84">
            <v>1977</v>
          </cell>
          <cell r="B84">
            <v>73900000</v>
          </cell>
          <cell r="I84">
            <v>488000000</v>
          </cell>
        </row>
        <row r="85">
          <cell r="A85">
            <v>1978</v>
          </cell>
          <cell r="B85">
            <v>79600000</v>
          </cell>
          <cell r="I85">
            <v>506000000</v>
          </cell>
        </row>
        <row r="86">
          <cell r="A86">
            <v>1979</v>
          </cell>
          <cell r="B86">
            <v>78900000</v>
          </cell>
          <cell r="I86">
            <v>532000000</v>
          </cell>
        </row>
        <row r="87">
          <cell r="A87">
            <v>1980</v>
          </cell>
          <cell r="B87">
            <v>62300000</v>
          </cell>
          <cell r="I87">
            <v>514000000</v>
          </cell>
        </row>
        <row r="88">
          <cell r="A88">
            <v>1981</v>
          </cell>
          <cell r="B88">
            <v>66900000</v>
          </cell>
          <cell r="I88">
            <v>502000000</v>
          </cell>
        </row>
        <row r="89">
          <cell r="A89">
            <v>1982</v>
          </cell>
          <cell r="B89">
            <v>39300000</v>
          </cell>
          <cell r="I89">
            <v>457000000</v>
          </cell>
        </row>
        <row r="90">
          <cell r="A90">
            <v>1983</v>
          </cell>
          <cell r="B90">
            <v>44200000</v>
          </cell>
          <cell r="I90">
            <v>463000000</v>
          </cell>
        </row>
        <row r="91">
          <cell r="A91">
            <v>1984</v>
          </cell>
          <cell r="B91">
            <v>47100000</v>
          </cell>
          <cell r="I91">
            <v>495000000</v>
          </cell>
        </row>
        <row r="92">
          <cell r="A92">
            <v>1985</v>
          </cell>
          <cell r="B92">
            <v>45300000</v>
          </cell>
          <cell r="I92">
            <v>499000000</v>
          </cell>
        </row>
        <row r="93">
          <cell r="A93">
            <v>1986</v>
          </cell>
          <cell r="B93">
            <v>40200000</v>
          </cell>
          <cell r="I93">
            <v>495000000</v>
          </cell>
        </row>
        <row r="94">
          <cell r="A94">
            <v>1987</v>
          </cell>
          <cell r="B94">
            <v>43800000</v>
          </cell>
          <cell r="I94">
            <v>509000000</v>
          </cell>
        </row>
        <row r="95">
          <cell r="A95">
            <v>1988</v>
          </cell>
          <cell r="B95">
            <v>50600000</v>
          </cell>
          <cell r="I95">
            <v>539000000</v>
          </cell>
        </row>
        <row r="96">
          <cell r="A96">
            <v>1989</v>
          </cell>
          <cell r="B96">
            <v>50700000</v>
          </cell>
          <cell r="I96">
            <v>546000000</v>
          </cell>
        </row>
        <row r="97">
          <cell r="A97">
            <v>1990</v>
          </cell>
          <cell r="B97">
            <v>49700000</v>
          </cell>
          <cell r="I97">
            <v>531000000</v>
          </cell>
        </row>
        <row r="98">
          <cell r="A98">
            <v>1991</v>
          </cell>
          <cell r="B98">
            <v>44100000</v>
          </cell>
          <cell r="I98">
            <v>509000000</v>
          </cell>
        </row>
        <row r="99">
          <cell r="A99">
            <v>1992</v>
          </cell>
          <cell r="B99">
            <v>47400000</v>
          </cell>
          <cell r="I99">
            <v>503000000</v>
          </cell>
        </row>
        <row r="100">
          <cell r="A100">
            <v>1993</v>
          </cell>
          <cell r="B100">
            <v>48200000</v>
          </cell>
          <cell r="I100">
            <v>507000000</v>
          </cell>
        </row>
        <row r="101">
          <cell r="A101">
            <v>1994</v>
          </cell>
          <cell r="B101">
            <v>49400000</v>
          </cell>
          <cell r="I101">
            <v>516000000</v>
          </cell>
        </row>
        <row r="102">
          <cell r="A102">
            <v>1995</v>
          </cell>
          <cell r="B102">
            <v>50900000</v>
          </cell>
          <cell r="I102">
            <v>536000000</v>
          </cell>
        </row>
        <row r="103">
          <cell r="A103">
            <v>1996</v>
          </cell>
          <cell r="B103">
            <v>49400000</v>
          </cell>
          <cell r="I103">
            <v>516000000</v>
          </cell>
        </row>
        <row r="104">
          <cell r="A104">
            <v>1997</v>
          </cell>
          <cell r="B104">
            <v>49600000</v>
          </cell>
          <cell r="I104">
            <v>540000000</v>
          </cell>
        </row>
        <row r="105">
          <cell r="A105">
            <v>1998</v>
          </cell>
          <cell r="B105">
            <v>48200000</v>
          </cell>
          <cell r="I105">
            <v>535000000</v>
          </cell>
        </row>
        <row r="106">
          <cell r="A106">
            <v>1999</v>
          </cell>
          <cell r="B106">
            <v>46300000</v>
          </cell>
          <cell r="I106">
            <v>539000000</v>
          </cell>
        </row>
        <row r="107">
          <cell r="A107">
            <v>2000</v>
          </cell>
          <cell r="B107">
            <v>47900000</v>
          </cell>
          <cell r="I107">
            <v>573000000</v>
          </cell>
        </row>
        <row r="108">
          <cell r="A108">
            <v>2001</v>
          </cell>
          <cell r="B108">
            <v>42100000</v>
          </cell>
          <cell r="I108">
            <v>585000000</v>
          </cell>
        </row>
        <row r="109">
          <cell r="A109">
            <v>2002</v>
          </cell>
          <cell r="B109">
            <v>40200000</v>
          </cell>
          <cell r="I109">
            <v>608000000</v>
          </cell>
        </row>
        <row r="110">
          <cell r="A110">
            <v>2003</v>
          </cell>
          <cell r="B110">
            <v>40600000</v>
          </cell>
          <cell r="I110">
            <v>673000000</v>
          </cell>
        </row>
        <row r="111">
          <cell r="A111">
            <v>2004</v>
          </cell>
          <cell r="B111">
            <v>42300000</v>
          </cell>
          <cell r="I111">
            <v>720000000</v>
          </cell>
        </row>
        <row r="112">
          <cell r="A112">
            <v>2005</v>
          </cell>
          <cell r="B112">
            <v>37200000</v>
          </cell>
          <cell r="I112">
            <v>802000000</v>
          </cell>
        </row>
        <row r="113">
          <cell r="A113">
            <v>2006</v>
          </cell>
          <cell r="B113">
            <v>37900000</v>
          </cell>
          <cell r="I113">
            <v>881000000</v>
          </cell>
        </row>
        <row r="114">
          <cell r="A114">
            <v>2007</v>
          </cell>
          <cell r="B114">
            <v>36300000</v>
          </cell>
          <cell r="I114">
            <v>956000000</v>
          </cell>
        </row>
        <row r="115">
          <cell r="A115">
            <v>2008</v>
          </cell>
          <cell r="B115">
            <v>33700000</v>
          </cell>
          <cell r="I115">
            <v>931000000</v>
          </cell>
        </row>
        <row r="116">
          <cell r="A116">
            <v>2009</v>
          </cell>
          <cell r="B116">
            <v>19000000</v>
          </cell>
          <cell r="I116">
            <v>919000000</v>
          </cell>
        </row>
        <row r="117">
          <cell r="A117">
            <v>2010</v>
          </cell>
          <cell r="B117">
            <v>26800000</v>
          </cell>
          <cell r="I117">
            <v>1040000000</v>
          </cell>
        </row>
        <row r="118">
          <cell r="A118">
            <v>2011</v>
          </cell>
          <cell r="B118">
            <v>30200000</v>
          </cell>
          <cell r="I118">
            <v>1110000000</v>
          </cell>
        </row>
        <row r="119">
          <cell r="A119">
            <v>2012</v>
          </cell>
          <cell r="B119">
            <v>32100000</v>
          </cell>
          <cell r="I119">
            <v>1120000000</v>
          </cell>
        </row>
        <row r="120">
          <cell r="A120">
            <v>2013</v>
          </cell>
          <cell r="B120">
            <v>30300000</v>
          </cell>
          <cell r="I120">
            <v>1170000000</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g Iron"/>
      <sheetName val="Direct Reduced Iron"/>
      <sheetName val="Steel"/>
      <sheetName val="Sheet1"/>
      <sheetName val="Sheet2"/>
    </sheetNames>
    <sheetDataSet>
      <sheetData sheetId="0">
        <row r="7">
          <cell r="A7">
            <v>1900</v>
          </cell>
          <cell r="B7">
            <v>13200000</v>
          </cell>
          <cell r="G7">
            <v>20.8</v>
          </cell>
          <cell r="I7" t="str">
            <v>NA</v>
          </cell>
        </row>
        <row r="8">
          <cell r="A8">
            <v>1901</v>
          </cell>
          <cell r="B8">
            <v>15900000</v>
          </cell>
          <cell r="G8">
            <v>16.8</v>
          </cell>
          <cell r="I8" t="str">
            <v>NA</v>
          </cell>
        </row>
        <row r="9">
          <cell r="A9">
            <v>1902</v>
          </cell>
          <cell r="B9">
            <v>17800000</v>
          </cell>
          <cell r="G9">
            <v>23.1</v>
          </cell>
          <cell r="I9" t="str">
            <v>NA</v>
          </cell>
        </row>
        <row r="10">
          <cell r="A10">
            <v>1903</v>
          </cell>
          <cell r="B10">
            <v>18000000</v>
          </cell>
          <cell r="G10">
            <v>21.1</v>
          </cell>
          <cell r="I10" t="str">
            <v>NA</v>
          </cell>
        </row>
        <row r="11">
          <cell r="A11">
            <v>1904</v>
          </cell>
          <cell r="B11">
            <v>16500000</v>
          </cell>
          <cell r="G11">
            <v>15.6</v>
          </cell>
          <cell r="I11" t="str">
            <v>NA</v>
          </cell>
        </row>
        <row r="12">
          <cell r="A12">
            <v>1905</v>
          </cell>
          <cell r="B12">
            <v>23000000</v>
          </cell>
          <cell r="G12">
            <v>18.3</v>
          </cell>
          <cell r="I12" t="str">
            <v>NA</v>
          </cell>
        </row>
        <row r="13">
          <cell r="A13">
            <v>1906</v>
          </cell>
          <cell r="B13">
            <v>25300000</v>
          </cell>
          <cell r="G13">
            <v>22</v>
          </cell>
          <cell r="I13" t="str">
            <v>NA</v>
          </cell>
        </row>
        <row r="14">
          <cell r="A14">
            <v>1907</v>
          </cell>
          <cell r="B14">
            <v>25200000</v>
          </cell>
          <cell r="G14">
            <v>22.7</v>
          </cell>
          <cell r="I14" t="str">
            <v>NA</v>
          </cell>
        </row>
        <row r="15">
          <cell r="A15">
            <v>1908</v>
          </cell>
          <cell r="B15">
            <v>15900000</v>
          </cell>
          <cell r="G15">
            <v>17.600000000000001</v>
          </cell>
          <cell r="I15" t="str">
            <v>NA</v>
          </cell>
        </row>
        <row r="16">
          <cell r="A16">
            <v>1909</v>
          </cell>
          <cell r="B16">
            <v>25800000</v>
          </cell>
          <cell r="G16">
            <v>17.899999999999999</v>
          </cell>
          <cell r="I16" t="str">
            <v>NA</v>
          </cell>
        </row>
        <row r="17">
          <cell r="A17">
            <v>1910</v>
          </cell>
          <cell r="B17">
            <v>27100000</v>
          </cell>
          <cell r="G17">
            <v>17</v>
          </cell>
          <cell r="I17">
            <v>66500000</v>
          </cell>
        </row>
        <row r="18">
          <cell r="A18">
            <v>1911</v>
          </cell>
          <cell r="B18">
            <v>21500000</v>
          </cell>
          <cell r="G18">
            <v>15.5</v>
          </cell>
          <cell r="I18">
            <v>64400000</v>
          </cell>
        </row>
        <row r="19">
          <cell r="A19">
            <v>1912</v>
          </cell>
          <cell r="B19">
            <v>27000000</v>
          </cell>
          <cell r="G19">
            <v>15.4</v>
          </cell>
          <cell r="I19">
            <v>73700000</v>
          </cell>
        </row>
        <row r="20">
          <cell r="A20">
            <v>1913</v>
          </cell>
          <cell r="B20">
            <v>28100000</v>
          </cell>
          <cell r="G20">
            <v>16.600000000000001</v>
          </cell>
          <cell r="I20">
            <v>79000000</v>
          </cell>
        </row>
        <row r="21">
          <cell r="A21">
            <v>1914</v>
          </cell>
          <cell r="B21">
            <v>21200000</v>
          </cell>
          <cell r="G21">
            <v>14.8</v>
          </cell>
          <cell r="I21">
            <v>56300000</v>
          </cell>
        </row>
        <row r="22">
          <cell r="A22">
            <v>1915</v>
          </cell>
          <cell r="B22">
            <v>27100000</v>
          </cell>
          <cell r="G22">
            <v>14.6</v>
          </cell>
          <cell r="I22">
            <v>50500000</v>
          </cell>
        </row>
        <row r="23">
          <cell r="A23">
            <v>1916</v>
          </cell>
          <cell r="B23">
            <v>35800000</v>
          </cell>
          <cell r="G23">
            <v>18.7</v>
          </cell>
          <cell r="I23">
            <v>74300000</v>
          </cell>
        </row>
        <row r="24">
          <cell r="A24">
            <v>1917</v>
          </cell>
          <cell r="B24">
            <v>35000000</v>
          </cell>
          <cell r="G24">
            <v>30.1</v>
          </cell>
          <cell r="I24">
            <v>71900000</v>
          </cell>
        </row>
        <row r="25">
          <cell r="A25">
            <v>1918</v>
          </cell>
          <cell r="B25">
            <v>35400000</v>
          </cell>
          <cell r="G25">
            <v>34.1</v>
          </cell>
          <cell r="I25">
            <v>65200000</v>
          </cell>
        </row>
        <row r="26">
          <cell r="A26">
            <v>1919</v>
          </cell>
          <cell r="B26">
            <v>28100000</v>
          </cell>
          <cell r="G26">
            <v>28.4</v>
          </cell>
          <cell r="I26">
            <v>50900000</v>
          </cell>
        </row>
        <row r="27">
          <cell r="A27">
            <v>1920</v>
          </cell>
          <cell r="B27">
            <v>33500000</v>
          </cell>
          <cell r="G27">
            <v>35.200000000000003</v>
          </cell>
          <cell r="I27">
            <v>61300000</v>
          </cell>
        </row>
        <row r="28">
          <cell r="A28">
            <v>1921</v>
          </cell>
          <cell r="B28">
            <v>15100000</v>
          </cell>
          <cell r="G28">
            <v>26.8</v>
          </cell>
          <cell r="I28">
            <v>36700000</v>
          </cell>
        </row>
        <row r="29">
          <cell r="A29">
            <v>1922</v>
          </cell>
          <cell r="B29">
            <v>24700000</v>
          </cell>
          <cell r="G29">
            <v>24.2</v>
          </cell>
          <cell r="I29">
            <v>70000000</v>
          </cell>
        </row>
        <row r="30">
          <cell r="A30">
            <v>1923</v>
          </cell>
          <cell r="B30">
            <v>36600000</v>
          </cell>
          <cell r="G30">
            <v>27.2</v>
          </cell>
          <cell r="I30">
            <v>68500000</v>
          </cell>
        </row>
        <row r="31">
          <cell r="A31">
            <v>1924</v>
          </cell>
          <cell r="B31">
            <v>28500000</v>
          </cell>
          <cell r="G31">
            <v>23.6</v>
          </cell>
          <cell r="I31">
            <v>76900000</v>
          </cell>
        </row>
        <row r="32">
          <cell r="A32">
            <v>1925</v>
          </cell>
          <cell r="B32">
            <v>33300000</v>
          </cell>
          <cell r="G32">
            <v>22.1</v>
          </cell>
          <cell r="I32">
            <v>76900000</v>
          </cell>
        </row>
        <row r="33">
          <cell r="A33">
            <v>1926</v>
          </cell>
          <cell r="B33">
            <v>35700000</v>
          </cell>
          <cell r="G33">
            <v>21.6</v>
          </cell>
          <cell r="I33">
            <v>78900000</v>
          </cell>
        </row>
        <row r="34">
          <cell r="A34">
            <v>1927</v>
          </cell>
          <cell r="B34">
            <v>33200000</v>
          </cell>
          <cell r="G34">
            <v>20.399999999999999</v>
          </cell>
          <cell r="I34">
            <v>86800000</v>
          </cell>
        </row>
        <row r="35">
          <cell r="A35">
            <v>1928</v>
          </cell>
          <cell r="B35">
            <v>34600000</v>
          </cell>
          <cell r="G35">
            <v>19</v>
          </cell>
          <cell r="I35">
            <v>88900000</v>
          </cell>
        </row>
        <row r="36">
          <cell r="A36">
            <v>1929</v>
          </cell>
          <cell r="B36">
            <v>38700000</v>
          </cell>
          <cell r="G36">
            <v>19.399999999999999</v>
          </cell>
          <cell r="I36">
            <v>98500000</v>
          </cell>
        </row>
        <row r="37">
          <cell r="A37">
            <v>1930</v>
          </cell>
          <cell r="B37">
            <v>27700000</v>
          </cell>
          <cell r="G37">
            <v>18.899999999999999</v>
          </cell>
          <cell r="I37">
            <v>80200000</v>
          </cell>
        </row>
        <row r="38">
          <cell r="A38">
            <v>1931</v>
          </cell>
          <cell r="B38">
            <v>16300000</v>
          </cell>
          <cell r="G38">
            <v>17.7</v>
          </cell>
          <cell r="I38">
            <v>55700000</v>
          </cell>
        </row>
        <row r="39">
          <cell r="A39">
            <v>1932</v>
          </cell>
          <cell r="B39">
            <v>7760000</v>
          </cell>
          <cell r="G39">
            <v>16.3</v>
          </cell>
          <cell r="I39">
            <v>39800000</v>
          </cell>
        </row>
        <row r="40">
          <cell r="A40">
            <v>1933</v>
          </cell>
          <cell r="B40">
            <v>11800000</v>
          </cell>
          <cell r="G40">
            <v>16.399999999999999</v>
          </cell>
          <cell r="I40">
            <v>49400000</v>
          </cell>
        </row>
        <row r="41">
          <cell r="A41">
            <v>1934</v>
          </cell>
          <cell r="B41">
            <v>14200000</v>
          </cell>
          <cell r="G41">
            <v>18.399999999999999</v>
          </cell>
          <cell r="I41">
            <v>63000000</v>
          </cell>
        </row>
        <row r="42">
          <cell r="A42">
            <v>1935</v>
          </cell>
          <cell r="B42">
            <v>18900000</v>
          </cell>
          <cell r="G42">
            <v>18.600000000000001</v>
          </cell>
          <cell r="I42">
            <v>74400000</v>
          </cell>
        </row>
        <row r="43">
          <cell r="A43">
            <v>1936</v>
          </cell>
          <cell r="B43">
            <v>27400000</v>
          </cell>
          <cell r="G43">
            <v>17.3</v>
          </cell>
          <cell r="I43">
            <v>91600000</v>
          </cell>
        </row>
        <row r="44">
          <cell r="A44">
            <v>1937</v>
          </cell>
          <cell r="B44">
            <v>32800000</v>
          </cell>
          <cell r="G44">
            <v>20.399999999999999</v>
          </cell>
          <cell r="I44">
            <v>104000000</v>
          </cell>
        </row>
        <row r="45">
          <cell r="A45">
            <v>1938</v>
          </cell>
          <cell r="B45">
            <v>16900000</v>
          </cell>
          <cell r="G45">
            <v>19.3</v>
          </cell>
          <cell r="I45">
            <v>82900000</v>
          </cell>
        </row>
        <row r="46">
          <cell r="A46">
            <v>1939</v>
          </cell>
          <cell r="B46">
            <v>28200000</v>
          </cell>
          <cell r="G46">
            <v>19.2</v>
          </cell>
          <cell r="I46">
            <v>102000000</v>
          </cell>
        </row>
        <row r="47">
          <cell r="A47">
            <v>1940</v>
          </cell>
          <cell r="B47">
            <v>37400000</v>
          </cell>
          <cell r="G47">
            <v>19.7</v>
          </cell>
          <cell r="I47">
            <v>110000000</v>
          </cell>
        </row>
        <row r="48">
          <cell r="A48">
            <v>1941</v>
          </cell>
          <cell r="B48">
            <v>50000000</v>
          </cell>
          <cell r="G48">
            <v>22.2</v>
          </cell>
          <cell r="I48">
            <v>110000000</v>
          </cell>
        </row>
        <row r="49">
          <cell r="A49">
            <v>1942</v>
          </cell>
          <cell r="B49">
            <v>53600000</v>
          </cell>
          <cell r="G49">
            <v>22.9</v>
          </cell>
          <cell r="I49">
            <v>103000000</v>
          </cell>
        </row>
        <row r="50">
          <cell r="A50">
            <v>1943</v>
          </cell>
          <cell r="B50">
            <v>55100000</v>
          </cell>
          <cell r="G50">
            <v>23.1</v>
          </cell>
          <cell r="I50">
            <v>105000000</v>
          </cell>
        </row>
        <row r="51">
          <cell r="A51">
            <v>1944</v>
          </cell>
          <cell r="B51">
            <v>55300000</v>
          </cell>
          <cell r="G51">
            <v>23.1</v>
          </cell>
          <cell r="I51">
            <v>98000000</v>
          </cell>
        </row>
        <row r="52">
          <cell r="A52">
            <v>1945</v>
          </cell>
          <cell r="B52">
            <v>48300000</v>
          </cell>
          <cell r="G52">
            <v>24.3</v>
          </cell>
          <cell r="I52">
            <v>71700000</v>
          </cell>
        </row>
        <row r="53">
          <cell r="A53">
            <v>1946</v>
          </cell>
          <cell r="B53">
            <v>40700000</v>
          </cell>
          <cell r="G53">
            <v>27</v>
          </cell>
          <cell r="I53">
            <v>71700000</v>
          </cell>
        </row>
        <row r="54">
          <cell r="A54">
            <v>1947</v>
          </cell>
          <cell r="B54">
            <v>52900000</v>
          </cell>
          <cell r="G54">
            <v>33.4</v>
          </cell>
          <cell r="I54">
            <v>90700000</v>
          </cell>
        </row>
        <row r="55">
          <cell r="A55">
            <v>1948</v>
          </cell>
          <cell r="B55">
            <v>54500000</v>
          </cell>
          <cell r="G55">
            <v>41</v>
          </cell>
          <cell r="I55">
            <v>103000000</v>
          </cell>
        </row>
        <row r="56">
          <cell r="A56">
            <v>1949</v>
          </cell>
          <cell r="B56">
            <v>48400000</v>
          </cell>
          <cell r="G56">
            <v>46.4</v>
          </cell>
          <cell r="I56">
            <v>105000000</v>
          </cell>
        </row>
        <row r="57">
          <cell r="A57">
            <v>1950</v>
          </cell>
          <cell r="B57">
            <v>58500000</v>
          </cell>
          <cell r="G57">
            <v>47.2</v>
          </cell>
          <cell r="I57">
            <v>134000000</v>
          </cell>
        </row>
        <row r="58">
          <cell r="A58">
            <v>1951</v>
          </cell>
          <cell r="B58">
            <v>63800000</v>
          </cell>
          <cell r="G58">
            <v>51.5</v>
          </cell>
          <cell r="I58">
            <v>151000000</v>
          </cell>
        </row>
        <row r="59">
          <cell r="A59">
            <v>1952</v>
          </cell>
          <cell r="B59">
            <v>55600000</v>
          </cell>
          <cell r="G59">
            <v>53.4</v>
          </cell>
          <cell r="I59">
            <v>153000000</v>
          </cell>
        </row>
        <row r="60">
          <cell r="A60">
            <v>1953</v>
          </cell>
          <cell r="B60">
            <v>67900000</v>
          </cell>
          <cell r="G60">
            <v>54.9</v>
          </cell>
          <cell r="I60">
            <v>169000000</v>
          </cell>
        </row>
        <row r="61">
          <cell r="A61">
            <v>1954</v>
          </cell>
          <cell r="B61">
            <v>52600000</v>
          </cell>
          <cell r="G61">
            <v>55</v>
          </cell>
          <cell r="I61">
            <v>159000000</v>
          </cell>
        </row>
        <row r="62">
          <cell r="A62">
            <v>1955</v>
          </cell>
          <cell r="B62">
            <v>69700000</v>
          </cell>
          <cell r="G62">
            <v>55.9</v>
          </cell>
          <cell r="I62">
            <v>193000000</v>
          </cell>
        </row>
        <row r="63">
          <cell r="A63">
            <v>1956</v>
          </cell>
          <cell r="B63">
            <v>68100000</v>
          </cell>
          <cell r="G63">
            <v>59.1</v>
          </cell>
          <cell r="I63">
            <v>201000000</v>
          </cell>
        </row>
        <row r="64">
          <cell r="A64">
            <v>1957</v>
          </cell>
          <cell r="B64">
            <v>71100000</v>
          </cell>
          <cell r="G64">
            <v>64.400000000000006</v>
          </cell>
          <cell r="I64">
            <v>212000000</v>
          </cell>
        </row>
        <row r="65">
          <cell r="A65">
            <v>1958</v>
          </cell>
          <cell r="B65">
            <v>51900000</v>
          </cell>
          <cell r="G65">
            <v>65.7</v>
          </cell>
          <cell r="I65">
            <v>197000000</v>
          </cell>
        </row>
        <row r="66">
          <cell r="A66">
            <v>1959</v>
          </cell>
          <cell r="B66">
            <v>54600000</v>
          </cell>
          <cell r="G66">
            <v>65.400000000000006</v>
          </cell>
          <cell r="I66">
            <v>224000000</v>
          </cell>
        </row>
        <row r="67">
          <cell r="A67">
            <v>1960</v>
          </cell>
          <cell r="B67">
            <v>60300000</v>
          </cell>
          <cell r="G67">
            <v>65.599999999999994</v>
          </cell>
          <cell r="I67">
            <v>259000000</v>
          </cell>
        </row>
        <row r="68">
          <cell r="A68">
            <v>1961</v>
          </cell>
          <cell r="B68">
            <v>58800000</v>
          </cell>
          <cell r="G68">
            <v>64.5</v>
          </cell>
          <cell r="I68">
            <v>256000000</v>
          </cell>
        </row>
        <row r="69">
          <cell r="A69">
            <v>1962</v>
          </cell>
          <cell r="B69">
            <v>59500000</v>
          </cell>
          <cell r="G69">
            <v>64.099999999999994</v>
          </cell>
          <cell r="I69">
            <v>266000000</v>
          </cell>
        </row>
        <row r="70">
          <cell r="A70">
            <v>1963</v>
          </cell>
          <cell r="B70">
            <v>65200000</v>
          </cell>
          <cell r="G70">
            <v>64.5</v>
          </cell>
          <cell r="I70">
            <v>281000000</v>
          </cell>
        </row>
        <row r="71">
          <cell r="A71">
            <v>1964</v>
          </cell>
          <cell r="B71">
            <v>77500000</v>
          </cell>
          <cell r="G71">
            <v>64.2</v>
          </cell>
          <cell r="I71">
            <v>317000000</v>
          </cell>
        </row>
        <row r="72">
          <cell r="A72">
            <v>1965</v>
          </cell>
          <cell r="B72">
            <v>80000000</v>
          </cell>
          <cell r="G72">
            <v>62.8</v>
          </cell>
          <cell r="I72">
            <v>335000000</v>
          </cell>
        </row>
        <row r="73">
          <cell r="A73">
            <v>1966</v>
          </cell>
          <cell r="B73">
            <v>82800000</v>
          </cell>
          <cell r="G73">
            <v>62.1</v>
          </cell>
          <cell r="I73">
            <v>347000000</v>
          </cell>
        </row>
        <row r="74">
          <cell r="A74">
            <v>1967</v>
          </cell>
          <cell r="B74">
            <v>78700000</v>
          </cell>
          <cell r="G74">
            <v>62.2</v>
          </cell>
          <cell r="I74">
            <v>350000000</v>
          </cell>
        </row>
        <row r="75">
          <cell r="A75">
            <v>1968</v>
          </cell>
          <cell r="B75">
            <v>80500000</v>
          </cell>
          <cell r="G75">
            <v>62.2</v>
          </cell>
          <cell r="I75">
            <v>379000000</v>
          </cell>
        </row>
        <row r="76">
          <cell r="A76">
            <v>1969</v>
          </cell>
          <cell r="B76">
            <v>86200000</v>
          </cell>
          <cell r="G76">
            <v>71.599999999999994</v>
          </cell>
          <cell r="I76">
            <v>411000000</v>
          </cell>
        </row>
        <row r="77">
          <cell r="A77">
            <v>1970</v>
          </cell>
          <cell r="B77">
            <v>82800000</v>
          </cell>
          <cell r="G77">
            <v>71.599999999999994</v>
          </cell>
          <cell r="I77">
            <v>431000000</v>
          </cell>
        </row>
        <row r="78">
          <cell r="A78">
            <v>1971</v>
          </cell>
          <cell r="B78">
            <v>73800000</v>
          </cell>
          <cell r="G78">
            <v>77.400000000000006</v>
          </cell>
          <cell r="I78">
            <v>430000000</v>
          </cell>
        </row>
        <row r="79">
          <cell r="A79">
            <v>1972</v>
          </cell>
          <cell r="B79">
            <v>80600000</v>
          </cell>
          <cell r="G79">
            <v>85.3</v>
          </cell>
          <cell r="I79">
            <v>454000000</v>
          </cell>
        </row>
        <row r="80">
          <cell r="A80">
            <v>1973</v>
          </cell>
          <cell r="B80">
            <v>91900000</v>
          </cell>
          <cell r="G80">
            <v>82</v>
          </cell>
          <cell r="I80">
            <v>501000000</v>
          </cell>
        </row>
        <row r="81">
          <cell r="A81">
            <v>1974</v>
          </cell>
          <cell r="B81">
            <v>86600000</v>
          </cell>
          <cell r="G81">
            <v>143</v>
          </cell>
          <cell r="I81">
            <v>512000000</v>
          </cell>
        </row>
        <row r="82">
          <cell r="A82">
            <v>1975</v>
          </cell>
          <cell r="B82">
            <v>72300000</v>
          </cell>
          <cell r="G82">
            <v>189</v>
          </cell>
          <cell r="I82">
            <v>479000000</v>
          </cell>
        </row>
        <row r="83">
          <cell r="A83">
            <v>1976</v>
          </cell>
          <cell r="B83">
            <v>78800000</v>
          </cell>
          <cell r="G83">
            <v>198</v>
          </cell>
          <cell r="I83">
            <v>498000000</v>
          </cell>
        </row>
        <row r="84">
          <cell r="A84">
            <v>1977</v>
          </cell>
          <cell r="B84">
            <v>73900000</v>
          </cell>
          <cell r="G84">
            <v>199</v>
          </cell>
          <cell r="I84">
            <v>488000000</v>
          </cell>
        </row>
        <row r="85">
          <cell r="A85">
            <v>1978</v>
          </cell>
          <cell r="B85">
            <v>79600000</v>
          </cell>
          <cell r="G85">
            <v>205</v>
          </cell>
          <cell r="I85">
            <v>506000000</v>
          </cell>
        </row>
        <row r="86">
          <cell r="A86">
            <v>1979</v>
          </cell>
          <cell r="B86">
            <v>78900000</v>
          </cell>
          <cell r="G86">
            <v>212</v>
          </cell>
          <cell r="I86">
            <v>532000000</v>
          </cell>
        </row>
        <row r="87">
          <cell r="A87">
            <v>1980</v>
          </cell>
          <cell r="B87">
            <v>62300000</v>
          </cell>
          <cell r="G87">
            <v>217</v>
          </cell>
          <cell r="I87">
            <v>514000000</v>
          </cell>
        </row>
        <row r="88">
          <cell r="A88">
            <v>1981</v>
          </cell>
          <cell r="B88">
            <v>66900000</v>
          </cell>
          <cell r="G88">
            <v>227</v>
          </cell>
          <cell r="I88">
            <v>502000000</v>
          </cell>
        </row>
        <row r="89">
          <cell r="A89">
            <v>1982</v>
          </cell>
          <cell r="B89">
            <v>39300000</v>
          </cell>
          <cell r="G89">
            <v>230</v>
          </cell>
          <cell r="I89">
            <v>457000000</v>
          </cell>
        </row>
        <row r="90">
          <cell r="A90">
            <v>1983</v>
          </cell>
          <cell r="B90">
            <v>44200000</v>
          </cell>
          <cell r="G90">
            <v>226</v>
          </cell>
          <cell r="I90">
            <v>463000000</v>
          </cell>
        </row>
        <row r="91">
          <cell r="A91">
            <v>1984</v>
          </cell>
          <cell r="B91">
            <v>47100000</v>
          </cell>
          <cell r="G91">
            <v>215</v>
          </cell>
          <cell r="I91">
            <v>495000000</v>
          </cell>
        </row>
        <row r="92">
          <cell r="A92">
            <v>1985</v>
          </cell>
          <cell r="B92">
            <v>45300000</v>
          </cell>
          <cell r="G92">
            <v>223</v>
          </cell>
          <cell r="I92">
            <v>499000000</v>
          </cell>
        </row>
        <row r="93">
          <cell r="A93">
            <v>1986</v>
          </cell>
          <cell r="B93">
            <v>40200000</v>
          </cell>
          <cell r="G93">
            <v>207</v>
          </cell>
          <cell r="I93">
            <v>495000000</v>
          </cell>
        </row>
        <row r="94">
          <cell r="A94">
            <v>1987</v>
          </cell>
          <cell r="B94">
            <v>43800000</v>
          </cell>
          <cell r="G94">
            <v>209</v>
          </cell>
          <cell r="I94">
            <v>509000000</v>
          </cell>
        </row>
        <row r="95">
          <cell r="A95">
            <v>1988</v>
          </cell>
          <cell r="B95">
            <v>50600000</v>
          </cell>
          <cell r="G95">
            <v>235</v>
          </cell>
          <cell r="I95">
            <v>539000000</v>
          </cell>
        </row>
        <row r="96">
          <cell r="A96">
            <v>1989</v>
          </cell>
          <cell r="B96">
            <v>50700000</v>
          </cell>
          <cell r="G96" t="str">
            <v>NA</v>
          </cell>
          <cell r="I96">
            <v>546000000</v>
          </cell>
        </row>
        <row r="97">
          <cell r="A97">
            <v>1990</v>
          </cell>
          <cell r="B97">
            <v>49700000</v>
          </cell>
          <cell r="G97" t="str">
            <v>NA</v>
          </cell>
          <cell r="I97">
            <v>531000000</v>
          </cell>
        </row>
        <row r="98">
          <cell r="A98">
            <v>1991</v>
          </cell>
          <cell r="B98">
            <v>44100000</v>
          </cell>
          <cell r="G98" t="str">
            <v>NA</v>
          </cell>
          <cell r="I98">
            <v>509000000</v>
          </cell>
        </row>
        <row r="99">
          <cell r="A99">
            <v>1992</v>
          </cell>
          <cell r="B99">
            <v>47400000</v>
          </cell>
          <cell r="G99" t="str">
            <v>NA</v>
          </cell>
          <cell r="I99">
            <v>503000000</v>
          </cell>
        </row>
        <row r="100">
          <cell r="A100">
            <v>1993</v>
          </cell>
          <cell r="B100">
            <v>48200000</v>
          </cell>
          <cell r="G100" t="str">
            <v>NA</v>
          </cell>
          <cell r="I100">
            <v>507000000</v>
          </cell>
        </row>
        <row r="101">
          <cell r="A101">
            <v>1994</v>
          </cell>
          <cell r="B101">
            <v>49400000</v>
          </cell>
          <cell r="G101" t="str">
            <v>NA</v>
          </cell>
          <cell r="I101">
            <v>516000000</v>
          </cell>
        </row>
        <row r="102">
          <cell r="A102">
            <v>1995</v>
          </cell>
          <cell r="B102">
            <v>50900000</v>
          </cell>
          <cell r="G102" t="str">
            <v>NA</v>
          </cell>
          <cell r="I102">
            <v>536000000</v>
          </cell>
        </row>
        <row r="103">
          <cell r="A103">
            <v>1996</v>
          </cell>
          <cell r="B103">
            <v>49400000</v>
          </cell>
          <cell r="G103" t="str">
            <v>NA</v>
          </cell>
          <cell r="I103">
            <v>516000000</v>
          </cell>
        </row>
        <row r="104">
          <cell r="A104">
            <v>1997</v>
          </cell>
          <cell r="B104">
            <v>49600000</v>
          </cell>
          <cell r="G104" t="str">
            <v>NA</v>
          </cell>
          <cell r="I104">
            <v>540000000</v>
          </cell>
        </row>
        <row r="105">
          <cell r="A105">
            <v>1998</v>
          </cell>
          <cell r="B105">
            <v>48200000</v>
          </cell>
          <cell r="G105" t="str">
            <v>NA</v>
          </cell>
          <cell r="I105">
            <v>535000000</v>
          </cell>
        </row>
        <row r="106">
          <cell r="A106">
            <v>1999</v>
          </cell>
          <cell r="B106">
            <v>46300000</v>
          </cell>
          <cell r="G106" t="str">
            <v>NA</v>
          </cell>
          <cell r="I106">
            <v>539000000</v>
          </cell>
        </row>
        <row r="107">
          <cell r="A107">
            <v>2000</v>
          </cell>
          <cell r="B107">
            <v>47900000</v>
          </cell>
          <cell r="G107" t="str">
            <v>NA</v>
          </cell>
          <cell r="I107">
            <v>573000000</v>
          </cell>
        </row>
        <row r="108">
          <cell r="A108">
            <v>2001</v>
          </cell>
          <cell r="B108">
            <v>42100000</v>
          </cell>
          <cell r="G108" t="str">
            <v>NA</v>
          </cell>
          <cell r="I108">
            <v>585000000</v>
          </cell>
        </row>
        <row r="109">
          <cell r="A109">
            <v>2002</v>
          </cell>
          <cell r="B109">
            <v>40200000</v>
          </cell>
          <cell r="G109" t="str">
            <v>NA</v>
          </cell>
          <cell r="I109">
            <v>608000000</v>
          </cell>
        </row>
        <row r="110">
          <cell r="A110">
            <v>2003</v>
          </cell>
          <cell r="B110">
            <v>40600000</v>
          </cell>
          <cell r="G110" t="str">
            <v>NA</v>
          </cell>
          <cell r="I110">
            <v>673000000</v>
          </cell>
        </row>
        <row r="111">
          <cell r="A111">
            <v>2004</v>
          </cell>
          <cell r="B111">
            <v>42300000</v>
          </cell>
          <cell r="G111" t="str">
            <v>NA</v>
          </cell>
          <cell r="I111">
            <v>720000000</v>
          </cell>
        </row>
        <row r="112">
          <cell r="A112">
            <v>2005</v>
          </cell>
          <cell r="B112">
            <v>37200000</v>
          </cell>
          <cell r="G112" t="str">
            <v>NA</v>
          </cell>
          <cell r="I112">
            <v>802000000</v>
          </cell>
        </row>
        <row r="113">
          <cell r="A113">
            <v>2006</v>
          </cell>
          <cell r="B113">
            <v>37900000</v>
          </cell>
          <cell r="G113" t="str">
            <v>NA</v>
          </cell>
          <cell r="I113">
            <v>881000000</v>
          </cell>
        </row>
        <row r="114">
          <cell r="A114">
            <v>2007</v>
          </cell>
          <cell r="B114">
            <v>36300000</v>
          </cell>
          <cell r="G114" t="str">
            <v>NA</v>
          </cell>
          <cell r="I114">
            <v>956000000</v>
          </cell>
        </row>
        <row r="115">
          <cell r="A115">
            <v>2008</v>
          </cell>
          <cell r="B115">
            <v>33700000</v>
          </cell>
          <cell r="G115" t="str">
            <v>NA</v>
          </cell>
          <cell r="I115">
            <v>931000000</v>
          </cell>
        </row>
        <row r="116">
          <cell r="A116">
            <v>2009</v>
          </cell>
          <cell r="B116">
            <v>19000000</v>
          </cell>
          <cell r="G116" t="str">
            <v>NA</v>
          </cell>
          <cell r="I116">
            <v>919000000</v>
          </cell>
        </row>
        <row r="117">
          <cell r="A117">
            <v>2010</v>
          </cell>
          <cell r="B117">
            <v>26800000</v>
          </cell>
          <cell r="G117" t="str">
            <v>NA</v>
          </cell>
          <cell r="I117">
            <v>1040000000</v>
          </cell>
        </row>
        <row r="118">
          <cell r="A118">
            <v>2011</v>
          </cell>
          <cell r="B118">
            <v>30200000</v>
          </cell>
          <cell r="G118" t="str">
            <v>NA</v>
          </cell>
          <cell r="I118">
            <v>1110000000</v>
          </cell>
        </row>
        <row r="119">
          <cell r="A119">
            <v>2012</v>
          </cell>
          <cell r="B119">
            <v>32100000</v>
          </cell>
          <cell r="G119" t="str">
            <v>NA</v>
          </cell>
          <cell r="I119">
            <v>1120000000</v>
          </cell>
        </row>
        <row r="120">
          <cell r="A120">
            <v>2013</v>
          </cell>
          <cell r="B120">
            <v>30300000</v>
          </cell>
          <cell r="G120" t="str">
            <v>NA</v>
          </cell>
          <cell r="I120">
            <v>1170000000</v>
          </cell>
        </row>
        <row r="121">
          <cell r="A121">
            <v>2014</v>
          </cell>
          <cell r="B121">
            <v>29400000</v>
          </cell>
          <cell r="I121">
            <v>1190000000</v>
          </cell>
        </row>
        <row r="122">
          <cell r="A122">
            <v>2015</v>
          </cell>
          <cell r="B122">
            <v>25400000</v>
          </cell>
          <cell r="I122">
            <v>1160000000</v>
          </cell>
        </row>
        <row r="123">
          <cell r="A123">
            <v>2016</v>
          </cell>
          <cell r="B123">
            <v>22300000</v>
          </cell>
          <cell r="I123">
            <v>1160000000</v>
          </cell>
        </row>
        <row r="124">
          <cell r="A124">
            <v>2017</v>
          </cell>
          <cell r="B124">
            <v>22400000</v>
          </cell>
          <cell r="I124">
            <v>1170000000</v>
          </cell>
        </row>
      </sheetData>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Data"/>
    </sheetNames>
    <sheetDataSet>
      <sheetData sheetId="0"/>
      <sheetData sheetId="1">
        <row r="4">
          <cell r="AJ4"/>
        </row>
        <row r="5">
          <cell r="AJ5">
            <v>300</v>
          </cell>
          <cell r="AK5">
            <v>300</v>
          </cell>
          <cell r="AL5">
            <v>300</v>
          </cell>
          <cell r="AM5">
            <v>300</v>
          </cell>
        </row>
        <row r="6">
          <cell r="AK6">
            <v>2685</v>
          </cell>
          <cell r="AL6">
            <v>2141</v>
          </cell>
          <cell r="AM6">
            <v>2171</v>
          </cell>
        </row>
        <row r="7">
          <cell r="AK7">
            <v>3594</v>
          </cell>
          <cell r="AL7">
            <v>3642</v>
          </cell>
          <cell r="AM7">
            <v>3758</v>
          </cell>
        </row>
        <row r="8">
          <cell r="AK8">
            <v>5805</v>
          </cell>
          <cell r="AL8">
            <v>5642</v>
          </cell>
          <cell r="AM8">
            <v>6335</v>
          </cell>
        </row>
        <row r="9">
          <cell r="AK9">
            <v>4248</v>
          </cell>
          <cell r="AL9">
            <v>4869</v>
          </cell>
          <cell r="AM9">
            <v>4860</v>
          </cell>
        </row>
        <row r="10">
          <cell r="AK10">
            <v>845</v>
          </cell>
          <cell r="AL10">
            <v>778</v>
          </cell>
          <cell r="AM10">
            <v>738</v>
          </cell>
        </row>
        <row r="11">
          <cell r="AK11">
            <v>27803</v>
          </cell>
          <cell r="AL11">
            <v>26036</v>
          </cell>
          <cell r="AM11">
            <v>28427</v>
          </cell>
        </row>
        <row r="13">
          <cell r="AK13">
            <v>5851</v>
          </cell>
          <cell r="AL13">
            <v>6240</v>
          </cell>
          <cell r="AM13">
            <v>6306</v>
          </cell>
        </row>
        <row r="14">
          <cell r="AK14">
            <v>644</v>
          </cell>
          <cell r="AL14">
            <v>677</v>
          </cell>
          <cell r="AM14">
            <v>670</v>
          </cell>
        </row>
        <row r="15">
          <cell r="AK15">
            <v>691413</v>
          </cell>
          <cell r="AL15">
            <v>698190</v>
          </cell>
          <cell r="AM15">
            <v>710760</v>
          </cell>
        </row>
        <row r="16">
          <cell r="AK16">
            <v>240</v>
          </cell>
          <cell r="AL16">
            <v>225</v>
          </cell>
          <cell r="AM16">
            <v>203</v>
          </cell>
        </row>
        <row r="17">
          <cell r="AK17">
            <v>4031</v>
          </cell>
          <cell r="AL17">
            <v>4165</v>
          </cell>
          <cell r="AM17">
            <v>3691</v>
          </cell>
        </row>
        <row r="19">
          <cell r="AK19">
            <v>500</v>
          </cell>
          <cell r="AL19">
            <v>500</v>
          </cell>
          <cell r="AM19">
            <v>500</v>
          </cell>
        </row>
        <row r="21">
          <cell r="AK21">
            <v>2594</v>
          </cell>
          <cell r="AL21">
            <v>2670</v>
          </cell>
          <cell r="AM21">
            <v>2604</v>
          </cell>
        </row>
        <row r="22">
          <cell r="AK22">
            <v>10097</v>
          </cell>
          <cell r="AL22">
            <v>9724</v>
          </cell>
          <cell r="AM22">
            <v>10678</v>
          </cell>
        </row>
        <row r="23">
          <cell r="AK23">
            <v>27842</v>
          </cell>
          <cell r="AL23">
            <v>27270</v>
          </cell>
          <cell r="AM23">
            <v>27816</v>
          </cell>
        </row>
        <row r="25">
          <cell r="AK25">
            <v>1247</v>
          </cell>
          <cell r="AL25">
            <v>864</v>
          </cell>
          <cell r="AM25">
            <v>1311</v>
          </cell>
        </row>
        <row r="26">
          <cell r="AK26">
            <v>58394</v>
          </cell>
          <cell r="AL26">
            <v>63714</v>
          </cell>
          <cell r="AM26">
            <v>66808</v>
          </cell>
        </row>
        <row r="27">
          <cell r="AK27">
            <v>2459</v>
          </cell>
          <cell r="AL27">
            <v>2251</v>
          </cell>
          <cell r="AM27">
            <v>2293</v>
          </cell>
        </row>
        <row r="28">
          <cell r="AK28">
            <v>5051</v>
          </cell>
          <cell r="AL28">
            <v>6044</v>
          </cell>
          <cell r="AM28">
            <v>5052</v>
          </cell>
        </row>
        <row r="29">
          <cell r="AK29">
            <v>81011</v>
          </cell>
          <cell r="AL29">
            <v>80186</v>
          </cell>
          <cell r="AM29">
            <v>78330</v>
          </cell>
        </row>
        <row r="30">
          <cell r="AK30">
            <v>3235</v>
          </cell>
          <cell r="AL30">
            <v>6901</v>
          </cell>
          <cell r="AM30">
            <v>3769</v>
          </cell>
        </row>
        <row r="32">
          <cell r="AK32">
            <v>477</v>
          </cell>
          <cell r="AL32">
            <v>522</v>
          </cell>
          <cell r="AM32">
            <v>382</v>
          </cell>
        </row>
        <row r="33">
          <cell r="AK33">
            <v>4573</v>
          </cell>
          <cell r="AL33">
            <v>4476</v>
          </cell>
          <cell r="AM33">
            <v>4245</v>
          </cell>
        </row>
        <row r="35">
          <cell r="AK35">
            <v>6050</v>
          </cell>
          <cell r="AL35">
            <v>6092</v>
          </cell>
          <cell r="AM35">
            <v>6145</v>
          </cell>
        </row>
        <row r="36">
          <cell r="AK36">
            <v>678</v>
          </cell>
          <cell r="AL36">
            <v>670</v>
          </cell>
          <cell r="AM36">
            <v>683</v>
          </cell>
        </row>
        <row r="37">
          <cell r="AK37">
            <v>250</v>
          </cell>
          <cell r="AL37">
            <v>250</v>
          </cell>
          <cell r="AM37">
            <v>250</v>
          </cell>
        </row>
        <row r="38">
          <cell r="AK38">
            <v>100</v>
          </cell>
          <cell r="AL38">
            <v>100</v>
          </cell>
          <cell r="AM38">
            <v>100</v>
          </cell>
        </row>
        <row r="39">
          <cell r="AK39">
            <v>163</v>
          </cell>
        </row>
        <row r="40">
          <cell r="AK40">
            <v>73</v>
          </cell>
          <cell r="AL40">
            <v>50</v>
          </cell>
          <cell r="AM40">
            <v>38</v>
          </cell>
        </row>
        <row r="42">
          <cell r="AK42">
            <v>4821</v>
          </cell>
          <cell r="AL42">
            <v>4674</v>
          </cell>
          <cell r="AM42">
            <v>5151</v>
          </cell>
        </row>
        <row r="44">
          <cell r="AK44">
            <v>1983</v>
          </cell>
          <cell r="AL44">
            <v>1972</v>
          </cell>
          <cell r="AM44">
            <v>1927</v>
          </cell>
        </row>
        <row r="45">
          <cell r="AK45">
            <v>52553</v>
          </cell>
          <cell r="AL45">
            <v>51877</v>
          </cell>
          <cell r="AM45">
            <v>52036</v>
          </cell>
        </row>
        <row r="47">
          <cell r="AK47">
            <v>904</v>
          </cell>
          <cell r="AL47">
            <v>1154</v>
          </cell>
          <cell r="AM47">
            <v>1340</v>
          </cell>
        </row>
        <row r="48">
          <cell r="AK48">
            <v>3738</v>
          </cell>
          <cell r="AL48">
            <v>3987</v>
          </cell>
          <cell r="AM48">
            <v>4106</v>
          </cell>
        </row>
        <row r="49">
          <cell r="AK49">
            <v>4464</v>
          </cell>
          <cell r="AL49">
            <v>4311</v>
          </cell>
          <cell r="AM49">
            <v>4352</v>
          </cell>
        </row>
        <row r="50">
          <cell r="AK50">
            <v>47639</v>
          </cell>
          <cell r="AL50">
            <v>46336</v>
          </cell>
          <cell r="AM50">
            <v>47071</v>
          </cell>
        </row>
        <row r="51">
          <cell r="AK51">
            <v>4450</v>
          </cell>
          <cell r="AL51">
            <v>4116</v>
          </cell>
          <cell r="AM51">
            <v>4462</v>
          </cell>
        </row>
        <row r="52">
          <cell r="AK52">
            <v>2865</v>
          </cell>
          <cell r="AL52">
            <v>3079</v>
          </cell>
          <cell r="AM52">
            <v>3111</v>
          </cell>
        </row>
        <row r="54">
          <cell r="AK54">
            <v>14370</v>
          </cell>
          <cell r="AL54">
            <v>14890</v>
          </cell>
          <cell r="AM54">
            <v>14361</v>
          </cell>
        </row>
        <row r="56">
          <cell r="AK56">
            <v>10184</v>
          </cell>
          <cell r="AL56">
            <v>10304</v>
          </cell>
          <cell r="AM56">
            <v>10589</v>
          </cell>
        </row>
        <row r="57">
          <cell r="AK57">
            <v>21797</v>
          </cell>
          <cell r="AL57">
            <v>23618</v>
          </cell>
          <cell r="AM57">
            <v>20123</v>
          </cell>
        </row>
        <row r="58">
          <cell r="AK58">
            <v>8774</v>
          </cell>
          <cell r="AL58">
            <v>6142</v>
          </cell>
          <cell r="AM58">
            <v>5996</v>
          </cell>
        </row>
        <row r="59">
          <cell r="B59">
            <v>62343</v>
          </cell>
          <cell r="C59">
            <v>66742</v>
          </cell>
          <cell r="D59">
            <v>39289</v>
          </cell>
          <cell r="E59">
            <v>44185</v>
          </cell>
          <cell r="F59">
            <v>47087</v>
          </cell>
          <cell r="G59">
            <v>45764</v>
          </cell>
          <cell r="H59">
            <v>39873</v>
          </cell>
          <cell r="I59">
            <v>43917</v>
          </cell>
          <cell r="J59">
            <v>50571</v>
          </cell>
          <cell r="K59">
            <v>50687</v>
          </cell>
          <cell r="L59">
            <v>49668</v>
          </cell>
          <cell r="M59">
            <v>44123</v>
          </cell>
          <cell r="N59">
            <v>47377</v>
          </cell>
          <cell r="O59">
            <v>48155</v>
          </cell>
          <cell r="P59">
            <v>49374</v>
          </cell>
          <cell r="Q59">
            <v>50890</v>
          </cell>
          <cell r="R59">
            <v>49428</v>
          </cell>
          <cell r="S59">
            <v>49604</v>
          </cell>
          <cell r="T59">
            <v>48230</v>
          </cell>
          <cell r="U59">
            <v>46268</v>
          </cell>
          <cell r="V59">
            <v>47888</v>
          </cell>
          <cell r="W59">
            <v>42133</v>
          </cell>
          <cell r="X59">
            <v>40225</v>
          </cell>
          <cell r="Y59">
            <v>40644</v>
          </cell>
          <cell r="Z59">
            <v>42291</v>
          </cell>
          <cell r="AA59">
            <v>37222</v>
          </cell>
          <cell r="AB59">
            <v>37903</v>
          </cell>
          <cell r="AC59">
            <v>36337</v>
          </cell>
          <cell r="AD59">
            <v>33729</v>
          </cell>
          <cell r="AE59">
            <v>19018</v>
          </cell>
          <cell r="AF59">
            <v>26843</v>
          </cell>
          <cell r="AG59">
            <v>30227</v>
          </cell>
          <cell r="AH59">
            <v>32062</v>
          </cell>
          <cell r="AI59">
            <v>30308</v>
          </cell>
          <cell r="AJ59">
            <v>29374</v>
          </cell>
          <cell r="AK59">
            <v>25435</v>
          </cell>
          <cell r="AL59">
            <v>22293</v>
          </cell>
          <cell r="AM59">
            <v>22395</v>
          </cell>
        </row>
        <row r="61">
          <cell r="AK61">
            <v>1700</v>
          </cell>
          <cell r="AL61">
            <v>2600</v>
          </cell>
          <cell r="AM61">
            <v>4250</v>
          </cell>
        </row>
      </sheetData>
    </sheetDataSet>
  </externalBook>
</externalLink>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A84"/>
  <sheetViews>
    <sheetView tabSelected="1" topLeftCell="DM1" workbookViewId="0">
      <selection activeCell="DV61" sqref="DV61"/>
    </sheetView>
  </sheetViews>
  <sheetFormatPr baseColWidth="10" defaultColWidth="8.83203125" defaultRowHeight="15" x14ac:dyDescent="0.2"/>
  <cols>
    <col min="1" max="1" width="19.83203125" customWidth="1"/>
    <col min="2" max="2" width="7.33203125" style="43" customWidth="1"/>
    <col min="3" max="3" width="7.83203125" style="9" customWidth="1"/>
    <col min="4" max="23" width="7.83203125" style="43" customWidth="1"/>
    <col min="24" max="83" width="7" style="1" customWidth="1"/>
    <col min="84" max="84" width="7.6640625" style="1" customWidth="1"/>
    <col min="85" max="93" width="7" style="1" customWidth="1"/>
    <col min="94" max="94" width="8" customWidth="1"/>
    <col min="95" max="123" width="8.1640625" customWidth="1"/>
    <col min="124" max="128" width="9.83203125" customWidth="1"/>
  </cols>
  <sheetData>
    <row r="1" spans="1:131" s="32" customFormat="1" x14ac:dyDescent="0.2">
      <c r="A1" s="32" t="s">
        <v>70</v>
      </c>
    </row>
    <row r="2" spans="1:131" s="32" customFormat="1" x14ac:dyDescent="0.2">
      <c r="A2" s="32" t="s">
        <v>0</v>
      </c>
      <c r="AM2" s="32">
        <f>SUMIFS(AM$3:AM$63,$B$3:$B$63,$B23)</f>
        <v>31914</v>
      </c>
    </row>
    <row r="3" spans="1:131" s="33" customFormat="1" ht="14" x14ac:dyDescent="0.2">
      <c r="A3" s="33" t="s">
        <v>1</v>
      </c>
      <c r="B3" s="33" t="s">
        <v>266</v>
      </c>
      <c r="C3" s="33" t="s">
        <v>75</v>
      </c>
      <c r="D3" s="34">
        <v>1890</v>
      </c>
      <c r="E3" s="34">
        <v>1891</v>
      </c>
      <c r="F3" s="34">
        <v>1892</v>
      </c>
      <c r="G3" s="34">
        <v>1893</v>
      </c>
      <c r="H3" s="34">
        <v>1894</v>
      </c>
      <c r="I3" s="34">
        <v>1895</v>
      </c>
      <c r="J3" s="34">
        <v>1896</v>
      </c>
      <c r="K3" s="34">
        <v>1897</v>
      </c>
      <c r="L3" s="34">
        <v>1898</v>
      </c>
      <c r="M3" s="34">
        <v>1899</v>
      </c>
      <c r="N3" s="34">
        <v>1900</v>
      </c>
      <c r="O3" s="34">
        <v>1901</v>
      </c>
      <c r="P3" s="34">
        <v>1902</v>
      </c>
      <c r="Q3" s="34">
        <v>1903</v>
      </c>
      <c r="R3" s="34">
        <v>1904</v>
      </c>
      <c r="S3" s="34">
        <v>1905</v>
      </c>
      <c r="T3" s="34">
        <v>1906</v>
      </c>
      <c r="U3" s="34">
        <v>1907</v>
      </c>
      <c r="V3" s="34">
        <v>1908</v>
      </c>
      <c r="W3" s="34">
        <v>1909</v>
      </c>
      <c r="X3" s="34">
        <v>1910</v>
      </c>
      <c r="Y3" s="34">
        <v>1911</v>
      </c>
      <c r="Z3" s="34">
        <v>1912</v>
      </c>
      <c r="AA3" s="34">
        <v>1913</v>
      </c>
      <c r="AB3" s="34">
        <v>1914</v>
      </c>
      <c r="AC3" s="34">
        <v>1915</v>
      </c>
      <c r="AD3" s="34">
        <v>1916</v>
      </c>
      <c r="AE3" s="34">
        <v>1917</v>
      </c>
      <c r="AF3" s="34">
        <v>1918</v>
      </c>
      <c r="AG3" s="34">
        <v>1919</v>
      </c>
      <c r="AH3" s="34">
        <v>1920</v>
      </c>
      <c r="AI3" s="34">
        <v>1921</v>
      </c>
      <c r="AJ3" s="34">
        <v>1922</v>
      </c>
      <c r="AK3" s="34">
        <v>1923</v>
      </c>
      <c r="AL3" s="34">
        <v>1924</v>
      </c>
      <c r="AM3" s="34">
        <v>1925</v>
      </c>
      <c r="AN3" s="34">
        <v>1926</v>
      </c>
      <c r="AO3" s="34">
        <v>1927</v>
      </c>
      <c r="AP3" s="34">
        <v>1928</v>
      </c>
      <c r="AQ3" s="34">
        <v>1929</v>
      </c>
      <c r="AR3" s="34">
        <v>1930</v>
      </c>
      <c r="AS3" s="34">
        <v>1931</v>
      </c>
      <c r="AT3" s="34">
        <v>1932</v>
      </c>
      <c r="AU3" s="34">
        <v>1933</v>
      </c>
      <c r="AV3" s="34">
        <v>1934</v>
      </c>
      <c r="AW3" s="34">
        <v>1935</v>
      </c>
      <c r="AX3" s="34">
        <v>1936</v>
      </c>
      <c r="AY3" s="34">
        <v>1937</v>
      </c>
      <c r="AZ3" s="34">
        <v>1938</v>
      </c>
      <c r="BA3" s="34">
        <v>1939</v>
      </c>
      <c r="BB3" s="34">
        <v>1940</v>
      </c>
      <c r="BC3" s="34">
        <v>1941</v>
      </c>
      <c r="BD3" s="34">
        <v>1942</v>
      </c>
      <c r="BE3" s="34">
        <v>1943</v>
      </c>
      <c r="BF3" s="34">
        <v>1944</v>
      </c>
      <c r="BG3" s="34">
        <v>1945</v>
      </c>
      <c r="BH3" s="34">
        <v>1946</v>
      </c>
      <c r="BI3" s="34">
        <v>1947</v>
      </c>
      <c r="BJ3" s="34">
        <v>1948</v>
      </c>
      <c r="BK3" s="34">
        <v>1949</v>
      </c>
      <c r="BL3" s="34">
        <v>1950</v>
      </c>
      <c r="BM3" s="34">
        <v>1951</v>
      </c>
      <c r="BN3" s="34">
        <v>1952</v>
      </c>
      <c r="BO3" s="34">
        <v>1953</v>
      </c>
      <c r="BP3" s="34">
        <v>1954</v>
      </c>
      <c r="BQ3" s="34">
        <v>1955</v>
      </c>
      <c r="BR3" s="34">
        <v>1956</v>
      </c>
      <c r="BS3" s="34">
        <v>1957</v>
      </c>
      <c r="BT3" s="34">
        <v>1958</v>
      </c>
      <c r="BU3" s="34">
        <v>1959</v>
      </c>
      <c r="BV3" s="34">
        <v>1960</v>
      </c>
      <c r="BW3" s="34">
        <v>1961</v>
      </c>
      <c r="BX3" s="34">
        <v>1962</v>
      </c>
      <c r="BY3" s="34">
        <v>1963</v>
      </c>
      <c r="BZ3" s="34">
        <v>1964</v>
      </c>
      <c r="CA3" s="34">
        <v>1965</v>
      </c>
      <c r="CB3" s="34">
        <v>1966</v>
      </c>
      <c r="CC3" s="34">
        <v>1967</v>
      </c>
      <c r="CD3" s="34">
        <v>1968</v>
      </c>
      <c r="CE3" s="34">
        <v>1969</v>
      </c>
      <c r="CF3" s="34">
        <v>1970</v>
      </c>
      <c r="CG3" s="34">
        <v>1971</v>
      </c>
      <c r="CH3" s="34">
        <v>1972</v>
      </c>
      <c r="CI3" s="34">
        <v>1973</v>
      </c>
      <c r="CJ3" s="34">
        <v>1974</v>
      </c>
      <c r="CK3" s="34">
        <v>1975</v>
      </c>
      <c r="CL3" s="34">
        <v>1976</v>
      </c>
      <c r="CM3" s="34">
        <v>1977</v>
      </c>
      <c r="CN3" s="34">
        <v>1978</v>
      </c>
      <c r="CO3" s="34">
        <v>1979</v>
      </c>
      <c r="CP3" s="34">
        <v>1980</v>
      </c>
      <c r="CQ3" s="34">
        <v>1981</v>
      </c>
      <c r="CR3" s="34">
        <v>1982</v>
      </c>
      <c r="CS3" s="34">
        <v>1983</v>
      </c>
      <c r="CT3" s="34">
        <v>1984</v>
      </c>
      <c r="CU3" s="34">
        <v>1985</v>
      </c>
      <c r="CV3" s="34">
        <v>1986</v>
      </c>
      <c r="CW3" s="34">
        <v>1987</v>
      </c>
      <c r="CX3" s="34">
        <v>1988</v>
      </c>
      <c r="CY3" s="34">
        <v>1989</v>
      </c>
      <c r="CZ3" s="34">
        <v>1990</v>
      </c>
      <c r="DA3" s="34">
        <v>1991</v>
      </c>
      <c r="DB3" s="34">
        <v>1992</v>
      </c>
      <c r="DC3" s="34">
        <v>1993</v>
      </c>
      <c r="DD3" s="34">
        <v>1994</v>
      </c>
      <c r="DE3" s="34">
        <v>1995</v>
      </c>
      <c r="DF3" s="34">
        <v>1996</v>
      </c>
      <c r="DG3" s="34">
        <v>1997</v>
      </c>
      <c r="DH3" s="34">
        <v>1998</v>
      </c>
      <c r="DI3" s="34">
        <v>1999</v>
      </c>
      <c r="DJ3" s="34">
        <v>2000</v>
      </c>
      <c r="DK3" s="34">
        <v>2001</v>
      </c>
      <c r="DL3" s="34">
        <v>2002</v>
      </c>
      <c r="DM3" s="34">
        <v>2003</v>
      </c>
      <c r="DN3" s="34">
        <v>2004</v>
      </c>
      <c r="DO3" s="34">
        <v>2005</v>
      </c>
      <c r="DP3" s="34">
        <v>2006</v>
      </c>
      <c r="DQ3" s="34">
        <v>2007</v>
      </c>
      <c r="DR3" s="34">
        <v>2008</v>
      </c>
      <c r="DS3" s="34">
        <v>2009</v>
      </c>
      <c r="DT3" s="34">
        <v>2010</v>
      </c>
      <c r="DU3" s="34">
        <v>2011</v>
      </c>
      <c r="DV3" s="34">
        <v>2012</v>
      </c>
      <c r="DW3" s="34">
        <v>2013</v>
      </c>
      <c r="DX3" s="34">
        <v>2014</v>
      </c>
      <c r="DY3" s="33">
        <v>2015</v>
      </c>
      <c r="DZ3" s="33">
        <v>2016</v>
      </c>
      <c r="EA3" s="33">
        <v>2017</v>
      </c>
    </row>
    <row r="4" spans="1:131" ht="16" x14ac:dyDescent="0.2">
      <c r="A4" t="s">
        <v>2</v>
      </c>
      <c r="C4" s="9" t="s">
        <v>85</v>
      </c>
      <c r="D4" s="46"/>
      <c r="E4" s="7">
        <f t="shared" ref="E4:E59" si="0">F4-(I4-D4)/5</f>
        <v>0</v>
      </c>
      <c r="F4" s="7">
        <f t="shared" ref="F4:F59" si="1">G4-(I4-D4)/5</f>
        <v>0</v>
      </c>
      <c r="G4" s="7">
        <f t="shared" ref="G4:G59" si="2">H4-(I4-D4)/5</f>
        <v>0</v>
      </c>
      <c r="H4" s="7">
        <f t="shared" ref="H4:H59" si="3">I4-(I4-D4)/5</f>
        <v>0</v>
      </c>
      <c r="I4" s="46"/>
      <c r="J4" s="7">
        <f t="shared" ref="J4:J59" si="4">K4-(N4-I4)/5</f>
        <v>0</v>
      </c>
      <c r="K4" s="7">
        <f t="shared" ref="K4:K59" si="5">L4-(N4-I4)/5</f>
        <v>0</v>
      </c>
      <c r="L4" s="7">
        <f t="shared" ref="L4:L59" si="6">M4-(N4-I4)/5</f>
        <v>0</v>
      </c>
      <c r="M4" s="7">
        <f t="shared" ref="M4:M59" si="7">N4-(N4-I4)/5</f>
        <v>0</v>
      </c>
      <c r="N4" s="46"/>
      <c r="O4" s="7">
        <f t="shared" ref="O4:O58" si="8">P4-(S4-N4)/5</f>
        <v>0</v>
      </c>
      <c r="P4" s="7">
        <f t="shared" ref="P4:P58" si="9">Q4-(S4-N4)/5</f>
        <v>0</v>
      </c>
      <c r="Q4" s="7">
        <f t="shared" ref="Q4:Q58" si="10">R4-(S4-N4)/5</f>
        <v>0</v>
      </c>
      <c r="R4" s="7">
        <f t="shared" ref="R4:R58" si="11">S4-(S4-N4)/5</f>
        <v>0</v>
      </c>
      <c r="S4" s="46"/>
      <c r="T4" s="7">
        <f t="shared" ref="T4:T58" si="12">U4-(X4-S4)/5</f>
        <v>0</v>
      </c>
      <c r="U4" s="7">
        <f t="shared" ref="U4:U58" si="13">V4-(X4-S4)/5</f>
        <v>0</v>
      </c>
      <c r="V4" s="7">
        <f t="shared" ref="V4:V58" si="14">W4-(X4-S4)/5</f>
        <v>0</v>
      </c>
      <c r="W4" s="7">
        <f t="shared" ref="W4:W58" si="15">X4-(X4-S4)/5</f>
        <v>0</v>
      </c>
      <c r="X4" s="46"/>
      <c r="Y4" s="7">
        <f t="shared" ref="Y4:Y58" si="16">Z4-(AC4-X4)/5</f>
        <v>0</v>
      </c>
      <c r="Z4" s="7">
        <f t="shared" ref="Z4:Z58" si="17">AA4-(AC4-X4)/5</f>
        <v>0</v>
      </c>
      <c r="AA4" s="7">
        <f t="shared" ref="AA4:AA58" si="18">AB4-(AC4-X4)/5</f>
        <v>0</v>
      </c>
      <c r="AB4" s="7">
        <f t="shared" ref="AB4:AB58" si="19">AC4-(AC4-X4)/5</f>
        <v>0</v>
      </c>
      <c r="AC4" s="46"/>
      <c r="AD4" s="7">
        <f t="shared" ref="AD4:AD58" si="20">AE4-(AH4-AC4)/5</f>
        <v>0</v>
      </c>
      <c r="AE4" s="7">
        <f t="shared" ref="AE4:AE58" si="21">AF4-(AH4-AC4)/5</f>
        <v>0</v>
      </c>
      <c r="AF4" s="7">
        <f t="shared" ref="AF4:AF58" si="22">AG4-(AH4-AC4)/5</f>
        <v>0</v>
      </c>
      <c r="AG4" s="7">
        <f t="shared" ref="AG4:AG58" si="23">AH4-(AH4-AC4)/5</f>
        <v>0</v>
      </c>
      <c r="AH4" s="46"/>
      <c r="AI4" s="7">
        <f t="shared" ref="AI4:AI58" si="24">AJ4-(AM4-AH4)/5</f>
        <v>0</v>
      </c>
      <c r="AJ4" s="7">
        <f t="shared" ref="AJ4:AJ58" si="25">AK4-(AM4-AH4)/5</f>
        <v>0</v>
      </c>
      <c r="AK4" s="7">
        <f t="shared" ref="AK4:AK58" si="26">AL4-(AM4-AH4)/5</f>
        <v>0</v>
      </c>
      <c r="AL4" s="7">
        <f t="shared" ref="AL4:AL58" si="27">AM4-(AM4-AH4)/5</f>
        <v>0</v>
      </c>
      <c r="AM4" s="46">
        <f>SUMIFS(SPEW_Pig_iron_production!$R:$R,SPEW_Pig_iron_production!$B:$B,$C4)</f>
        <v>0</v>
      </c>
      <c r="AN4" s="7">
        <f t="shared" ref="AN4:AN58" si="28">AO4-(AR4-AM4)/5</f>
        <v>0</v>
      </c>
      <c r="AO4" s="7">
        <f t="shared" ref="AO4:AO58" si="29">AP4-(AR4-AM4)/5</f>
        <v>0</v>
      </c>
      <c r="AP4" s="7">
        <f t="shared" ref="AP4:AP58" si="30">AQ4-(AR4-AM4)/5</f>
        <v>0</v>
      </c>
      <c r="AQ4" s="7">
        <f t="shared" ref="AQ4:AQ58" si="31">AR4-(AR4-AM4)/5</f>
        <v>0</v>
      </c>
      <c r="AR4" s="46">
        <f>SUMIFS(SPEW_Pig_iron_production!$S:$S,SPEW_Pig_iron_production!$B:$B,$C4)</f>
        <v>0</v>
      </c>
      <c r="AS4" s="7">
        <f t="shared" ref="AS4:AS58" si="32">AT4-(AW4-AR4)/5</f>
        <v>0</v>
      </c>
      <c r="AT4" s="7">
        <f t="shared" ref="AT4:AT58" si="33">AU4-(AW4-AR4)/5</f>
        <v>0</v>
      </c>
      <c r="AU4" s="7">
        <f t="shared" ref="AU4:AU58" si="34">AV4-(AW4-AR4)/5</f>
        <v>0</v>
      </c>
      <c r="AV4" s="7">
        <f t="shared" ref="AV4:AV58" si="35">AW4-(AW4-AR4)/5</f>
        <v>0</v>
      </c>
      <c r="AW4" s="46">
        <f>SUMIFS(SPEW_Pig_iron_production!$T:$T,SPEW_Pig_iron_production!$B:$B,$C4)</f>
        <v>0</v>
      </c>
      <c r="AX4" s="7">
        <f t="shared" ref="AX4:AX58" si="36">AY4-(BB4-AW4)/5</f>
        <v>0</v>
      </c>
      <c r="AY4" s="7">
        <f t="shared" ref="AY4:AY58" si="37">AZ4-(BB4-AW4)/5</f>
        <v>0</v>
      </c>
      <c r="AZ4" s="7">
        <f t="shared" ref="AZ4:AZ58" si="38">BA4-(BB4-AW4)/5</f>
        <v>0</v>
      </c>
      <c r="BA4" s="7">
        <f t="shared" ref="BA4:BA58" si="39">BB4-(BB4-AW4)/5</f>
        <v>0</v>
      </c>
      <c r="BB4" s="46">
        <f>SUMIFS(SPEW_Pig_iron_production!$U:$U,SPEW_Pig_iron_production!$B:$B,$C4)</f>
        <v>0</v>
      </c>
      <c r="BC4" s="7">
        <f t="shared" ref="BC4:BC58" si="40">BD4-(BG4-BB4)/5</f>
        <v>0</v>
      </c>
      <c r="BD4" s="7">
        <f t="shared" ref="BD4:BD58" si="41">BE4-(BG4-BB4)/5</f>
        <v>0</v>
      </c>
      <c r="BE4" s="7">
        <f t="shared" ref="BE4:BE58" si="42">BF4-(BG4-BB4)/5</f>
        <v>0</v>
      </c>
      <c r="BF4" s="7">
        <f t="shared" ref="BF4:BF58" si="43">BG4-(BG4-BB4)/5</f>
        <v>0</v>
      </c>
      <c r="BG4" s="46">
        <f>SUMIFS(SPEW_Pig_iron_production!$V:$V,SPEW_Pig_iron_production!$B:$B,$C4)</f>
        <v>0</v>
      </c>
      <c r="BH4" s="7">
        <f t="shared" ref="BH4:BH58" si="44">BI4-(BL4-BG4)/5</f>
        <v>0</v>
      </c>
      <c r="BI4" s="7">
        <f t="shared" ref="BI4:BI58" si="45">BJ4-(BL4-BG4)/5</f>
        <v>0</v>
      </c>
      <c r="BJ4" s="7">
        <f t="shared" ref="BJ4:BJ58" si="46">BK4-(BL4-BG4)/5</f>
        <v>0</v>
      </c>
      <c r="BK4" s="7">
        <f t="shared" ref="BK4:BK58" si="47">BL4-(BL4-BG4)/5</f>
        <v>0</v>
      </c>
      <c r="BL4" s="46">
        <f>SUMIFS(SPEW_Pig_iron_production!$W:$W,SPEW_Pig_iron_production!$B:$B,$C4)</f>
        <v>0</v>
      </c>
      <c r="BM4" s="7">
        <f t="shared" ref="BM4:BM58" si="48">BN4-(BQ4-BL4)/5</f>
        <v>0</v>
      </c>
      <c r="BN4" s="7">
        <f t="shared" ref="BN4:BN58" si="49">BO4-(BQ4-BL4)/5</f>
        <v>0</v>
      </c>
      <c r="BO4" s="7">
        <f t="shared" ref="BO4:BO58" si="50">BP4-(BQ4-BL4)/5</f>
        <v>0</v>
      </c>
      <c r="BP4" s="7">
        <f t="shared" ref="BP4:BP58" si="51">BQ4-(BQ4-BL4)/5</f>
        <v>0</v>
      </c>
      <c r="BQ4" s="46">
        <f>SUMIFS(SPEW_Pig_iron_production!$X:$X,SPEW_Pig_iron_production!$B:$B,$C4)</f>
        <v>0</v>
      </c>
      <c r="BR4" s="7">
        <f t="shared" ref="BR4:BR58" si="52">BS4-(BV4-BQ4)/5</f>
        <v>0</v>
      </c>
      <c r="BS4" s="7">
        <f t="shared" ref="BS4:BS58" si="53">BT4-(BV4-BQ4)/5</f>
        <v>0</v>
      </c>
      <c r="BT4" s="7">
        <f t="shared" ref="BT4:BT58" si="54">BU4-(BV4-BQ4)/5</f>
        <v>0</v>
      </c>
      <c r="BU4" s="7">
        <f t="shared" ref="BU4:BU58" si="55">BV4-(BV4-BQ4)/5</f>
        <v>0</v>
      </c>
      <c r="BV4" s="46">
        <f>SUMIFS(SPEW_Pig_iron_production!$Y:$Y,SPEW_Pig_iron_production!$B:$B,$C4)</f>
        <v>0</v>
      </c>
      <c r="BW4" s="7">
        <f t="shared" ref="BW4:BW58" si="56">BX4-(CA4-BV4)/5</f>
        <v>0</v>
      </c>
      <c r="BX4" s="7">
        <f t="shared" ref="BX4:BX58" si="57">BY4-(CA4-BV4)/5</f>
        <v>0</v>
      </c>
      <c r="BY4" s="7">
        <f t="shared" ref="BY4:BY58" si="58">BZ4-(CA4-BV4)/5</f>
        <v>0</v>
      </c>
      <c r="BZ4" s="7">
        <f t="shared" ref="BZ4:BZ58" si="59">CA4-(CA4-BV4)/5</f>
        <v>0</v>
      </c>
      <c r="CA4" s="46">
        <f>SUMIFS(SPEW_Pig_iron_production!$Z:$Z,SPEW_Pig_iron_production!$B:$B,$C4)</f>
        <v>0</v>
      </c>
      <c r="CB4" s="7">
        <f t="shared" ref="CB4:CB58" si="60">CC4-(CF4-CA4)/5</f>
        <v>0</v>
      </c>
      <c r="CC4" s="7">
        <f t="shared" ref="CC4:CC58" si="61">CD4-(CF4-CA4)/5</f>
        <v>0</v>
      </c>
      <c r="CD4" s="7">
        <f t="shared" ref="CD4:CD58" si="62">CE4-(CF4-CA4)/5</f>
        <v>0</v>
      </c>
      <c r="CE4" s="7">
        <f t="shared" ref="CE4:CE58" si="63">CF4-(CF4-CA4)/5</f>
        <v>0</v>
      </c>
      <c r="CF4" s="46">
        <f>SUMIFS(SPEW_Pig_iron_production!$AA:$AA,SPEW_Pig_iron_production!$B:$B,$C4)</f>
        <v>0</v>
      </c>
      <c r="CG4" s="7">
        <f t="shared" ref="CG4:CG58" si="64">CH4-(CK4-CF4)/5</f>
        <v>0</v>
      </c>
      <c r="CH4" s="7">
        <f t="shared" ref="CH4:CH58" si="65">CI4-(CK4-CF4)/5</f>
        <v>0</v>
      </c>
      <c r="CI4" s="7">
        <f t="shared" ref="CI4:CI58" si="66">CJ4-(CK4-CF4)/5</f>
        <v>0</v>
      </c>
      <c r="CJ4" s="7">
        <f t="shared" ref="CJ4:CJ58" si="67">CK4-(CK4-CF4)/5</f>
        <v>0</v>
      </c>
      <c r="CK4" s="46">
        <f>SUMIFS(SPEW_Pig_iron_production!$AB:$AB,SPEW_Pig_iron_production!$B:$B,$C4)</f>
        <v>0</v>
      </c>
      <c r="CL4" s="7">
        <f t="shared" ref="CL4:CL58" si="68">CM4-(CP4-CK4)/5</f>
        <v>5</v>
      </c>
      <c r="CM4" s="7">
        <f t="shared" ref="CM4:CM58" si="69">CN4-(CP4-CK4)/5</f>
        <v>10</v>
      </c>
      <c r="CN4" s="7">
        <f t="shared" ref="CN4:CN58" si="70">CO4-(CP4-CK4)/5</f>
        <v>15</v>
      </c>
      <c r="CO4" s="7">
        <f t="shared" ref="CO4:CO58" si="71">CP4-(CP4-CK4)/5</f>
        <v>20</v>
      </c>
      <c r="CP4" s="2">
        <f>[1]Data!B4</f>
        <v>25</v>
      </c>
      <c r="CQ4" s="2">
        <f>[1]Data!C4</f>
        <v>25</v>
      </c>
      <c r="CR4" s="2">
        <f>[1]Data!D4</f>
        <v>30</v>
      </c>
      <c r="CS4" s="2">
        <f>[1]Data!E4</f>
        <v>35</v>
      </c>
      <c r="CT4" s="2">
        <f>[1]Data!F4</f>
        <v>40</v>
      </c>
      <c r="CU4" s="2">
        <f>[1]Data!G4</f>
        <v>45</v>
      </c>
      <c r="CV4" s="2">
        <f>[1]Data!H4</f>
        <v>50</v>
      </c>
      <c r="CW4" s="2">
        <f>[1]Data!I4</f>
        <v>50</v>
      </c>
      <c r="CX4" s="2">
        <f>[1]Data!J4</f>
        <v>50</v>
      </c>
      <c r="CY4" s="2">
        <f>[1]Data!K4</f>
        <v>55</v>
      </c>
      <c r="CZ4" s="2">
        <f>[1]Data!L4</f>
        <v>40</v>
      </c>
      <c r="DA4" s="2">
        <f>[1]Data!M4</f>
        <v>10</v>
      </c>
      <c r="DB4" s="2">
        <f>[1]Data!N4</f>
        <v>4</v>
      </c>
      <c r="DC4" s="2">
        <f>[1]Data!O4</f>
        <v>0</v>
      </c>
      <c r="DD4" s="2">
        <f>[1]Data!P4</f>
        <v>0</v>
      </c>
      <c r="DE4" s="2">
        <f>[1]Data!Q4</f>
        <v>0</v>
      </c>
      <c r="DF4" s="2">
        <f>[1]Data!R4</f>
        <v>0</v>
      </c>
      <c r="DG4" s="2">
        <f>[1]Data!S4</f>
        <v>0</v>
      </c>
      <c r="DH4" s="2">
        <f>[1]Data!T4</f>
        <v>0</v>
      </c>
      <c r="DI4" s="2">
        <f>[1]Data!U4</f>
        <v>0</v>
      </c>
      <c r="DJ4" s="2">
        <f>[1]Data!V4</f>
        <v>0</v>
      </c>
      <c r="DK4" s="2">
        <f>[1]Data!W4</f>
        <v>0</v>
      </c>
      <c r="DL4" s="2">
        <f>[1]Data!X4</f>
        <v>0</v>
      </c>
      <c r="DM4" s="2">
        <f>[1]Data!Y4</f>
        <v>0</v>
      </c>
      <c r="DN4" s="2">
        <f>[1]Data!Z4</f>
        <v>0</v>
      </c>
      <c r="DO4" s="2">
        <f>[1]Data!AA4</f>
        <v>0</v>
      </c>
      <c r="DP4" s="2">
        <f>[1]Data!AB4</f>
        <v>0</v>
      </c>
      <c r="DQ4" s="2">
        <f>[1]Data!AC4</f>
        <v>0</v>
      </c>
      <c r="DR4" s="2">
        <f>[1]Data!AD4</f>
        <v>0</v>
      </c>
      <c r="DS4" s="2">
        <f>[1]Data!AE4</f>
        <v>0</v>
      </c>
      <c r="DT4" s="2">
        <f>[1]Data!AF4</f>
        <v>0</v>
      </c>
      <c r="DU4" s="2">
        <f>[1]Data!AG4</f>
        <v>0</v>
      </c>
      <c r="DV4" s="2">
        <f>[1]Data!AH4</f>
        <v>0</v>
      </c>
      <c r="DW4" s="2">
        <f>[1]Data!AI4</f>
        <v>0</v>
      </c>
      <c r="DX4" s="2">
        <f>[4]Data!AJ4</f>
        <v>0</v>
      </c>
      <c r="DY4" s="2">
        <f>[4]Data!AK4</f>
        <v>0</v>
      </c>
      <c r="DZ4" s="2">
        <f>[4]Data!AL4</f>
        <v>0</v>
      </c>
      <c r="EA4" s="2">
        <f>[4]Data!AM4</f>
        <v>0</v>
      </c>
    </row>
    <row r="5" spans="1:131" ht="16" x14ac:dyDescent="0.2">
      <c r="A5" t="s">
        <v>3</v>
      </c>
      <c r="C5" s="9" t="s">
        <v>86</v>
      </c>
      <c r="D5" s="46"/>
      <c r="E5" s="7">
        <f t="shared" si="0"/>
        <v>0</v>
      </c>
      <c r="F5" s="7">
        <f t="shared" si="1"/>
        <v>0</v>
      </c>
      <c r="G5" s="7">
        <f t="shared" si="2"/>
        <v>0</v>
      </c>
      <c r="H5" s="7">
        <f t="shared" si="3"/>
        <v>0</v>
      </c>
      <c r="I5" s="46"/>
      <c r="J5" s="7">
        <f t="shared" si="4"/>
        <v>0</v>
      </c>
      <c r="K5" s="7">
        <f t="shared" si="5"/>
        <v>0</v>
      </c>
      <c r="L5" s="7">
        <f t="shared" si="6"/>
        <v>0</v>
      </c>
      <c r="M5" s="7">
        <f t="shared" si="7"/>
        <v>0</v>
      </c>
      <c r="N5" s="46"/>
      <c r="O5" s="7">
        <f t="shared" si="8"/>
        <v>0</v>
      </c>
      <c r="P5" s="7">
        <f t="shared" si="9"/>
        <v>0</v>
      </c>
      <c r="Q5" s="7">
        <f t="shared" si="10"/>
        <v>0</v>
      </c>
      <c r="R5" s="7">
        <f t="shared" si="11"/>
        <v>0</v>
      </c>
      <c r="S5" s="46"/>
      <c r="T5" s="7">
        <f t="shared" si="12"/>
        <v>0</v>
      </c>
      <c r="U5" s="7">
        <f t="shared" si="13"/>
        <v>0</v>
      </c>
      <c r="V5" s="7">
        <f t="shared" si="14"/>
        <v>0</v>
      </c>
      <c r="W5" s="7">
        <f t="shared" si="15"/>
        <v>0</v>
      </c>
      <c r="X5" s="46"/>
      <c r="Y5" s="7">
        <f t="shared" si="16"/>
        <v>0</v>
      </c>
      <c r="Z5" s="7">
        <f t="shared" si="17"/>
        <v>0</v>
      </c>
      <c r="AA5" s="7">
        <f t="shared" si="18"/>
        <v>0</v>
      </c>
      <c r="AB5" s="7">
        <f t="shared" si="19"/>
        <v>0</v>
      </c>
      <c r="AC5" s="46"/>
      <c r="AD5" s="7">
        <f t="shared" si="20"/>
        <v>0</v>
      </c>
      <c r="AE5" s="7">
        <f t="shared" si="21"/>
        <v>0</v>
      </c>
      <c r="AF5" s="7">
        <f t="shared" si="22"/>
        <v>0</v>
      </c>
      <c r="AG5" s="7">
        <f t="shared" si="23"/>
        <v>0</v>
      </c>
      <c r="AH5" s="46"/>
      <c r="AI5" s="7">
        <f t="shared" si="24"/>
        <v>0</v>
      </c>
      <c r="AJ5" s="7">
        <f t="shared" si="25"/>
        <v>0</v>
      </c>
      <c r="AK5" s="7">
        <f t="shared" si="26"/>
        <v>0</v>
      </c>
      <c r="AL5" s="7">
        <f t="shared" si="27"/>
        <v>0</v>
      </c>
      <c r="AM5" s="46">
        <f>SUMIFS(SPEW_Pig_iron_production!$R:$R,SPEW_Pig_iron_production!$B:$B,$C5)</f>
        <v>0</v>
      </c>
      <c r="AN5" s="7">
        <f t="shared" si="28"/>
        <v>0</v>
      </c>
      <c r="AO5" s="7">
        <f t="shared" si="29"/>
        <v>0</v>
      </c>
      <c r="AP5" s="7">
        <f t="shared" si="30"/>
        <v>0</v>
      </c>
      <c r="AQ5" s="7">
        <f t="shared" si="31"/>
        <v>0</v>
      </c>
      <c r="AR5" s="46">
        <f>SUMIFS(SPEW_Pig_iron_production!$S:$S,SPEW_Pig_iron_production!$B:$B,$C5)</f>
        <v>0</v>
      </c>
      <c r="AS5" s="7">
        <f t="shared" si="32"/>
        <v>0</v>
      </c>
      <c r="AT5" s="7">
        <f t="shared" si="33"/>
        <v>0</v>
      </c>
      <c r="AU5" s="7">
        <f t="shared" si="34"/>
        <v>0</v>
      </c>
      <c r="AV5" s="7">
        <f t="shared" si="35"/>
        <v>0</v>
      </c>
      <c r="AW5" s="46">
        <f>SUMIFS(SPEW_Pig_iron_production!$T:$T,SPEW_Pig_iron_production!$B:$B,$C5)</f>
        <v>0</v>
      </c>
      <c r="AX5" s="7">
        <f t="shared" si="36"/>
        <v>0</v>
      </c>
      <c r="AY5" s="7">
        <f t="shared" si="37"/>
        <v>0</v>
      </c>
      <c r="AZ5" s="7">
        <f t="shared" si="38"/>
        <v>0</v>
      </c>
      <c r="BA5" s="7">
        <f t="shared" si="39"/>
        <v>0</v>
      </c>
      <c r="BB5" s="46">
        <f>SUMIFS(SPEW_Pig_iron_production!$U:$U,SPEW_Pig_iron_production!$B:$B,$C5)</f>
        <v>0</v>
      </c>
      <c r="BC5" s="7">
        <f t="shared" si="40"/>
        <v>0</v>
      </c>
      <c r="BD5" s="7">
        <f t="shared" si="41"/>
        <v>0</v>
      </c>
      <c r="BE5" s="7">
        <f t="shared" si="42"/>
        <v>0</v>
      </c>
      <c r="BF5" s="7">
        <f t="shared" si="43"/>
        <v>0</v>
      </c>
      <c r="BG5" s="46">
        <f>SUMIFS(SPEW_Pig_iron_production!$V:$V,SPEW_Pig_iron_production!$B:$B,$C5)</f>
        <v>0</v>
      </c>
      <c r="BH5" s="7">
        <f t="shared" si="44"/>
        <v>0</v>
      </c>
      <c r="BI5" s="7">
        <f t="shared" si="45"/>
        <v>0</v>
      </c>
      <c r="BJ5" s="7">
        <f t="shared" si="46"/>
        <v>0</v>
      </c>
      <c r="BK5" s="7">
        <f t="shared" si="47"/>
        <v>0</v>
      </c>
      <c r="BL5" s="46">
        <f>SUMIFS(SPEW_Pig_iron_production!$W:$W,SPEW_Pig_iron_production!$B:$B,$C5)</f>
        <v>0</v>
      </c>
      <c r="BM5" s="7">
        <f t="shared" si="48"/>
        <v>0</v>
      </c>
      <c r="BN5" s="7">
        <f t="shared" si="49"/>
        <v>0</v>
      </c>
      <c r="BO5" s="7">
        <f t="shared" si="50"/>
        <v>0</v>
      </c>
      <c r="BP5" s="7">
        <f t="shared" si="51"/>
        <v>0</v>
      </c>
      <c r="BQ5" s="46">
        <f>SUMIFS(SPEW_Pig_iron_production!$X:$X,SPEW_Pig_iron_production!$B:$B,$C5)</f>
        <v>0</v>
      </c>
      <c r="BR5" s="7">
        <f t="shared" si="52"/>
        <v>0</v>
      </c>
      <c r="BS5" s="7">
        <f t="shared" si="53"/>
        <v>0</v>
      </c>
      <c r="BT5" s="7">
        <f t="shared" si="54"/>
        <v>0</v>
      </c>
      <c r="BU5" s="7">
        <f t="shared" si="55"/>
        <v>0</v>
      </c>
      <c r="BV5" s="46">
        <f>SUMIFS(SPEW_Pig_iron_production!$Y:$Y,SPEW_Pig_iron_production!$B:$B,$C5)</f>
        <v>0</v>
      </c>
      <c r="BW5" s="7">
        <f t="shared" si="56"/>
        <v>0</v>
      </c>
      <c r="BX5" s="7">
        <f t="shared" si="57"/>
        <v>0</v>
      </c>
      <c r="BY5" s="7">
        <f t="shared" si="58"/>
        <v>0</v>
      </c>
      <c r="BZ5" s="7">
        <f t="shared" si="59"/>
        <v>0</v>
      </c>
      <c r="CA5" s="46">
        <f>SUMIFS(SPEW_Pig_iron_production!$Z:$Z,SPEW_Pig_iron_production!$B:$B,$C5)</f>
        <v>0</v>
      </c>
      <c r="CB5" s="7">
        <f t="shared" si="60"/>
        <v>81.799999999999969</v>
      </c>
      <c r="CC5" s="7">
        <f t="shared" si="61"/>
        <v>163.59999999999997</v>
      </c>
      <c r="CD5" s="7">
        <f t="shared" si="62"/>
        <v>245.39999999999998</v>
      </c>
      <c r="CE5" s="7">
        <f t="shared" si="63"/>
        <v>327.2</v>
      </c>
      <c r="CF5" s="46">
        <f>SUMIFS(SPEW_Pig_iron_production!$AA:$AA,SPEW_Pig_iron_production!$B:$B,$C5)</f>
        <v>409</v>
      </c>
      <c r="CG5" s="7">
        <f t="shared" si="64"/>
        <v>407</v>
      </c>
      <c r="CH5" s="7">
        <f t="shared" si="65"/>
        <v>405</v>
      </c>
      <c r="CI5" s="7">
        <f t="shared" si="66"/>
        <v>403</v>
      </c>
      <c r="CJ5" s="7">
        <f t="shared" si="67"/>
        <v>401</v>
      </c>
      <c r="CK5" s="46">
        <f>SUMIFS(SPEW_Pig_iron_production!$AB:$AB,SPEW_Pig_iron_production!$B:$B,$C5)</f>
        <v>399</v>
      </c>
      <c r="CL5" s="7">
        <f t="shared" si="68"/>
        <v>453</v>
      </c>
      <c r="CM5" s="7">
        <f t="shared" si="69"/>
        <v>507</v>
      </c>
      <c r="CN5" s="7">
        <f t="shared" si="70"/>
        <v>561</v>
      </c>
      <c r="CO5" s="7">
        <f t="shared" si="71"/>
        <v>615</v>
      </c>
      <c r="CP5" s="2">
        <f>[1]Data!B5</f>
        <v>669</v>
      </c>
      <c r="CQ5" s="2">
        <f>[1]Data!C5</f>
        <v>897</v>
      </c>
      <c r="CR5" s="2">
        <f>[1]Data!D5</f>
        <v>1069</v>
      </c>
      <c r="CS5" s="2">
        <f>[1]Data!E5</f>
        <v>1126</v>
      </c>
      <c r="CT5" s="2">
        <f>[1]Data!F5</f>
        <v>1191</v>
      </c>
      <c r="CU5" s="2">
        <f>[1]Data!G5</f>
        <v>1477</v>
      </c>
      <c r="CV5" s="2">
        <f>[1]Data!H5</f>
        <v>1262</v>
      </c>
      <c r="CW5" s="2">
        <f>[1]Data!I5</f>
        <v>1493</v>
      </c>
      <c r="CX5" s="2">
        <f>[1]Data!J5</f>
        <v>1215</v>
      </c>
      <c r="CY5" s="2">
        <f>[1]Data!K5</f>
        <v>1315</v>
      </c>
      <c r="CZ5" s="2">
        <f>[1]Data!L5</f>
        <v>1054</v>
      </c>
      <c r="DA5" s="2">
        <f>[1]Data!M5</f>
        <v>879</v>
      </c>
      <c r="DB5" s="2">
        <f>[1]Data!N5</f>
        <v>930</v>
      </c>
      <c r="DC5" s="2">
        <f>[1]Data!O5</f>
        <v>925</v>
      </c>
      <c r="DD5" s="2">
        <f>[1]Data!P5</f>
        <v>919</v>
      </c>
      <c r="DE5" s="2">
        <f>[1]Data!Q5</f>
        <v>962</v>
      </c>
      <c r="DF5" s="2">
        <f>[1]Data!R5</f>
        <v>850</v>
      </c>
      <c r="DG5" s="2">
        <f>[1]Data!S5</f>
        <v>526</v>
      </c>
      <c r="DH5" s="2">
        <f>[1]Data!T5</f>
        <v>757</v>
      </c>
      <c r="DI5" s="2">
        <f>[1]Data!U5</f>
        <v>807</v>
      </c>
      <c r="DJ5" s="2">
        <f>[1]Data!V5</f>
        <v>767</v>
      </c>
      <c r="DK5" s="2">
        <f>[1]Data!W5</f>
        <v>800</v>
      </c>
      <c r="DL5" s="2">
        <f>[1]Data!X5</f>
        <v>960</v>
      </c>
      <c r="DM5" s="2">
        <f>[1]Data!Y5</f>
        <v>965</v>
      </c>
      <c r="DN5" s="2">
        <f>[1]Data!Z5</f>
        <v>994</v>
      </c>
      <c r="DO5" s="2">
        <f>[1]Data!AA5</f>
        <v>952</v>
      </c>
      <c r="DP5" s="2">
        <f>[1]Data!AB5</f>
        <v>1093</v>
      </c>
      <c r="DQ5" s="2">
        <f>[1]Data!AC5</f>
        <v>1193</v>
      </c>
      <c r="DR5" s="2">
        <f>[1]Data!AD5</f>
        <v>690</v>
      </c>
      <c r="DS5" s="2">
        <f>[1]Data!AE5</f>
        <v>680</v>
      </c>
      <c r="DT5" s="2">
        <f>[1]Data!AF5</f>
        <v>696</v>
      </c>
      <c r="DU5" s="2">
        <f>[1]Data!AG5</f>
        <v>360</v>
      </c>
      <c r="DV5" s="2">
        <f>[1]Data!AH5</f>
        <v>350</v>
      </c>
      <c r="DW5" s="2">
        <f>[1]Data!AI5</f>
        <v>300</v>
      </c>
      <c r="DX5" s="2">
        <f>[4]Data!AJ5</f>
        <v>300</v>
      </c>
      <c r="DY5" s="2">
        <f>[4]Data!AK5</f>
        <v>300</v>
      </c>
      <c r="DZ5" s="2">
        <f>[4]Data!AL5</f>
        <v>300</v>
      </c>
      <c r="EA5" s="2">
        <f>[4]Data!AM5</f>
        <v>300</v>
      </c>
    </row>
    <row r="6" spans="1:131" ht="16" x14ac:dyDescent="0.2">
      <c r="A6" t="s">
        <v>4</v>
      </c>
      <c r="C6" s="9" t="s">
        <v>87</v>
      </c>
      <c r="D6" s="46"/>
      <c r="E6" s="7">
        <f t="shared" si="0"/>
        <v>0</v>
      </c>
      <c r="F6" s="7">
        <f t="shared" si="1"/>
        <v>0</v>
      </c>
      <c r="G6" s="7">
        <f t="shared" si="2"/>
        <v>0</v>
      </c>
      <c r="H6" s="7">
        <f t="shared" si="3"/>
        <v>0</v>
      </c>
      <c r="I6" s="46"/>
      <c r="J6" s="7">
        <f t="shared" si="4"/>
        <v>0</v>
      </c>
      <c r="K6" s="7">
        <f t="shared" si="5"/>
        <v>0</v>
      </c>
      <c r="L6" s="7">
        <f t="shared" si="6"/>
        <v>0</v>
      </c>
      <c r="M6" s="7">
        <f t="shared" si="7"/>
        <v>0</v>
      </c>
      <c r="N6" s="46"/>
      <c r="O6" s="7">
        <f t="shared" si="8"/>
        <v>0</v>
      </c>
      <c r="P6" s="7">
        <f t="shared" si="9"/>
        <v>0</v>
      </c>
      <c r="Q6" s="7">
        <f t="shared" si="10"/>
        <v>0</v>
      </c>
      <c r="R6" s="7">
        <f t="shared" si="11"/>
        <v>0</v>
      </c>
      <c r="S6" s="46"/>
      <c r="T6" s="7">
        <f t="shared" si="12"/>
        <v>0</v>
      </c>
      <c r="U6" s="7">
        <f t="shared" si="13"/>
        <v>0</v>
      </c>
      <c r="V6" s="7">
        <f t="shared" si="14"/>
        <v>0</v>
      </c>
      <c r="W6" s="7">
        <f t="shared" si="15"/>
        <v>0</v>
      </c>
      <c r="X6" s="46"/>
      <c r="Y6" s="7">
        <f t="shared" si="16"/>
        <v>0</v>
      </c>
      <c r="Z6" s="7">
        <f t="shared" si="17"/>
        <v>0</v>
      </c>
      <c r="AA6" s="7">
        <f t="shared" si="18"/>
        <v>0</v>
      </c>
      <c r="AB6" s="7">
        <f t="shared" si="19"/>
        <v>0</v>
      </c>
      <c r="AC6" s="46"/>
      <c r="AD6" s="7">
        <f t="shared" si="20"/>
        <v>0</v>
      </c>
      <c r="AE6" s="7">
        <f t="shared" si="21"/>
        <v>0</v>
      </c>
      <c r="AF6" s="7">
        <f t="shared" si="22"/>
        <v>0</v>
      </c>
      <c r="AG6" s="7">
        <f t="shared" si="23"/>
        <v>0</v>
      </c>
      <c r="AH6" s="46"/>
      <c r="AI6" s="7">
        <f t="shared" si="24"/>
        <v>0</v>
      </c>
      <c r="AJ6" s="7">
        <f t="shared" si="25"/>
        <v>0</v>
      </c>
      <c r="AK6" s="7">
        <f t="shared" si="26"/>
        <v>0</v>
      </c>
      <c r="AL6" s="7">
        <f t="shared" si="27"/>
        <v>0</v>
      </c>
      <c r="AM6" s="46">
        <f>SUMIFS(SPEW_Pig_iron_production!$R:$R,SPEW_Pig_iron_production!$B:$B,$C6)</f>
        <v>0</v>
      </c>
      <c r="AN6" s="7">
        <f t="shared" si="28"/>
        <v>0</v>
      </c>
      <c r="AO6" s="7">
        <f t="shared" si="29"/>
        <v>0</v>
      </c>
      <c r="AP6" s="7">
        <f t="shared" si="30"/>
        <v>0</v>
      </c>
      <c r="AQ6" s="7">
        <f t="shared" si="31"/>
        <v>0</v>
      </c>
      <c r="AR6" s="46">
        <f>SUMIFS(SPEW_Pig_iron_production!$S:$S,SPEW_Pig_iron_production!$B:$B,$C6)</f>
        <v>0</v>
      </c>
      <c r="AS6" s="7">
        <f t="shared" si="32"/>
        <v>0</v>
      </c>
      <c r="AT6" s="7">
        <f t="shared" si="33"/>
        <v>0</v>
      </c>
      <c r="AU6" s="7">
        <f t="shared" si="34"/>
        <v>0</v>
      </c>
      <c r="AV6" s="7">
        <f t="shared" si="35"/>
        <v>0</v>
      </c>
      <c r="AW6" s="46">
        <f>SUMIFS(SPEW_Pig_iron_production!$T:$T,SPEW_Pig_iron_production!$B:$B,$C6)</f>
        <v>0</v>
      </c>
      <c r="AX6" s="7">
        <f t="shared" si="36"/>
        <v>0</v>
      </c>
      <c r="AY6" s="7">
        <f t="shared" si="37"/>
        <v>0</v>
      </c>
      <c r="AZ6" s="7">
        <f t="shared" si="38"/>
        <v>0</v>
      </c>
      <c r="BA6" s="7">
        <f t="shared" si="39"/>
        <v>0</v>
      </c>
      <c r="BB6" s="46">
        <f>SUMIFS(SPEW_Pig_iron_production!$U:$U,SPEW_Pig_iron_production!$B:$B,$C6)</f>
        <v>0</v>
      </c>
      <c r="BC6" s="7">
        <f t="shared" si="40"/>
        <v>0.59999999999999976</v>
      </c>
      <c r="BD6" s="7">
        <f t="shared" si="41"/>
        <v>1.1999999999999997</v>
      </c>
      <c r="BE6" s="7">
        <f t="shared" si="42"/>
        <v>1.7999999999999998</v>
      </c>
      <c r="BF6" s="7">
        <f t="shared" si="43"/>
        <v>2.4</v>
      </c>
      <c r="BG6" s="46">
        <f>SUMIFS(SPEW_Pig_iron_production!$V:$V,SPEW_Pig_iron_production!$B:$B,$C6)</f>
        <v>3</v>
      </c>
      <c r="BH6" s="7">
        <f t="shared" si="44"/>
        <v>6</v>
      </c>
      <c r="BI6" s="7">
        <f t="shared" si="45"/>
        <v>9</v>
      </c>
      <c r="BJ6" s="7">
        <f t="shared" si="46"/>
        <v>12</v>
      </c>
      <c r="BK6" s="7">
        <f t="shared" si="47"/>
        <v>15</v>
      </c>
      <c r="BL6" s="46">
        <f>SUMIFS(SPEW_Pig_iron_production!$W:$W,SPEW_Pig_iron_production!$B:$B,$C6)</f>
        <v>18</v>
      </c>
      <c r="BM6" s="7">
        <f t="shared" si="48"/>
        <v>21.400000000000006</v>
      </c>
      <c r="BN6" s="7">
        <f t="shared" si="49"/>
        <v>24.800000000000004</v>
      </c>
      <c r="BO6" s="7">
        <f t="shared" si="50"/>
        <v>28.200000000000003</v>
      </c>
      <c r="BP6" s="7">
        <f t="shared" si="51"/>
        <v>31.6</v>
      </c>
      <c r="BQ6" s="46">
        <f>SUMIFS(SPEW_Pig_iron_production!$X:$X,SPEW_Pig_iron_production!$B:$B,$C6)</f>
        <v>35</v>
      </c>
      <c r="BR6" s="7">
        <f t="shared" si="52"/>
        <v>64.2</v>
      </c>
      <c r="BS6" s="7">
        <f t="shared" si="53"/>
        <v>93.4</v>
      </c>
      <c r="BT6" s="7">
        <f t="shared" si="54"/>
        <v>122.60000000000001</v>
      </c>
      <c r="BU6" s="7">
        <f t="shared" si="55"/>
        <v>151.80000000000001</v>
      </c>
      <c r="BV6" s="46">
        <f>SUMIFS(SPEW_Pig_iron_production!$Y:$Y,SPEW_Pig_iron_production!$B:$B,$C6)</f>
        <v>181</v>
      </c>
      <c r="BW6" s="7">
        <f t="shared" si="56"/>
        <v>277.40000000000009</v>
      </c>
      <c r="BX6" s="7">
        <f t="shared" si="57"/>
        <v>373.80000000000007</v>
      </c>
      <c r="BY6" s="7">
        <f t="shared" si="58"/>
        <v>470.20000000000005</v>
      </c>
      <c r="BZ6" s="7">
        <f t="shared" si="59"/>
        <v>566.6</v>
      </c>
      <c r="CA6" s="46">
        <f>SUMIFS(SPEW_Pig_iron_production!$Z:$Z,SPEW_Pig_iron_production!$B:$B,$C6)</f>
        <v>663</v>
      </c>
      <c r="CB6" s="7">
        <f t="shared" si="60"/>
        <v>693.40000000000009</v>
      </c>
      <c r="CC6" s="7">
        <f t="shared" si="61"/>
        <v>723.80000000000007</v>
      </c>
      <c r="CD6" s="7">
        <f t="shared" si="62"/>
        <v>754.2</v>
      </c>
      <c r="CE6" s="7">
        <f t="shared" si="63"/>
        <v>784.6</v>
      </c>
      <c r="CF6" s="46">
        <f>SUMIFS(SPEW_Pig_iron_production!$AA:$AA,SPEW_Pig_iron_production!$B:$B,$C6)</f>
        <v>815</v>
      </c>
      <c r="CG6" s="7">
        <f t="shared" si="64"/>
        <v>869.6</v>
      </c>
      <c r="CH6" s="7">
        <f t="shared" si="65"/>
        <v>924.2</v>
      </c>
      <c r="CI6" s="7">
        <f t="shared" si="66"/>
        <v>978.80000000000007</v>
      </c>
      <c r="CJ6" s="7">
        <f t="shared" si="67"/>
        <v>1033.4000000000001</v>
      </c>
      <c r="CK6" s="46">
        <f>SUMIFS(SPEW_Pig_iron_production!$AB:$AB,SPEW_Pig_iron_production!$B:$B,$C6)</f>
        <v>1088</v>
      </c>
      <c r="CL6" s="7">
        <f t="shared" si="68"/>
        <v>1077.3999999999996</v>
      </c>
      <c r="CM6" s="7">
        <f t="shared" si="69"/>
        <v>1066.7999999999997</v>
      </c>
      <c r="CN6" s="7">
        <f t="shared" si="70"/>
        <v>1056.1999999999998</v>
      </c>
      <c r="CO6" s="7">
        <f t="shared" si="71"/>
        <v>1045.5999999999999</v>
      </c>
      <c r="CP6" s="2">
        <f>[1]Data!B6</f>
        <v>1035</v>
      </c>
      <c r="CQ6" s="2">
        <f>[1]Data!C6</f>
        <v>118</v>
      </c>
      <c r="CR6" s="2">
        <f>[1]Data!D6</f>
        <v>974</v>
      </c>
      <c r="CS6" s="2">
        <f>[1]Data!E6</f>
        <v>913</v>
      </c>
      <c r="CT6" s="2">
        <f>[1]Data!F6</f>
        <v>902</v>
      </c>
      <c r="CU6" s="2">
        <f>[1]Data!G6</f>
        <v>1310</v>
      </c>
      <c r="CV6" s="2">
        <f>[1]Data!H6</f>
        <v>1625</v>
      </c>
      <c r="CW6" s="2">
        <f>[1]Data!I6</f>
        <v>1752</v>
      </c>
      <c r="CX6" s="2">
        <f>[1]Data!J6</f>
        <v>1596</v>
      </c>
      <c r="CY6" s="2">
        <f>[1]Data!K6</f>
        <v>2062</v>
      </c>
      <c r="CZ6" s="2">
        <f>[1]Data!L6</f>
        <v>1922</v>
      </c>
      <c r="DA6" s="2">
        <f>[1]Data!M6</f>
        <v>1305</v>
      </c>
      <c r="DB6" s="2">
        <f>[1]Data!N6</f>
        <v>966</v>
      </c>
      <c r="DC6" s="2">
        <f>[1]Data!O6</f>
        <v>984</v>
      </c>
      <c r="DD6" s="2">
        <f>[1]Data!P6</f>
        <v>1410</v>
      </c>
      <c r="DE6" s="2">
        <f>[1]Data!Q6</f>
        <v>1568</v>
      </c>
      <c r="DF6" s="2">
        <f>[1]Data!R6</f>
        <v>1966</v>
      </c>
      <c r="DG6" s="2">
        <f>[1]Data!S6</f>
        <v>2080</v>
      </c>
      <c r="DH6" s="2">
        <f>[1]Data!T6</f>
        <v>2122</v>
      </c>
      <c r="DI6" s="2">
        <f>[1]Data!U6</f>
        <v>1985</v>
      </c>
      <c r="DJ6" s="2">
        <f>[1]Data!V6</f>
        <v>2183</v>
      </c>
      <c r="DK6" s="2">
        <f>[1]Data!W6</f>
        <v>1909</v>
      </c>
      <c r="DL6" s="2">
        <f>[1]Data!X6</f>
        <v>2174</v>
      </c>
      <c r="DM6" s="2">
        <f>[1]Data!Y6</f>
        <v>2405</v>
      </c>
      <c r="DN6" s="2">
        <f>[1]Data!Z6</f>
        <v>2392</v>
      </c>
      <c r="DO6" s="2">
        <f>[1]Data!AA6</f>
        <v>2644</v>
      </c>
      <c r="DP6" s="2">
        <f>[1]Data!AB6</f>
        <v>2481</v>
      </c>
      <c r="DQ6" s="2">
        <f>[1]Data!AC6</f>
        <v>2593</v>
      </c>
      <c r="DR6" s="2">
        <f>[1]Data!AD6</f>
        <v>2581</v>
      </c>
      <c r="DS6" s="2">
        <f>[1]Data!AE6</f>
        <v>2042</v>
      </c>
      <c r="DT6" s="2">
        <f>[1]Data!AF6</f>
        <v>2532</v>
      </c>
      <c r="DU6" s="2">
        <f>[1]Data!AG6</f>
        <v>2801</v>
      </c>
      <c r="DV6" s="2">
        <f>[1]Data!AH6</f>
        <v>2073</v>
      </c>
      <c r="DW6" s="2">
        <f>[1]Data!AI6</f>
        <v>2650</v>
      </c>
      <c r="DX6" s="2">
        <v>2766</v>
      </c>
      <c r="DY6" s="2">
        <f>[4]Data!AK6</f>
        <v>2685</v>
      </c>
      <c r="DZ6" s="2">
        <f>[4]Data!AL6</f>
        <v>2141</v>
      </c>
      <c r="EA6" s="2">
        <f>[4]Data!AM6</f>
        <v>2171</v>
      </c>
    </row>
    <row r="7" spans="1:131" ht="16" x14ac:dyDescent="0.2">
      <c r="A7" t="s">
        <v>5</v>
      </c>
      <c r="C7" s="9" t="s">
        <v>88</v>
      </c>
      <c r="D7" s="46">
        <f>Hyde_iron!$C$47</f>
        <v>0</v>
      </c>
      <c r="E7" s="7">
        <f t="shared" si="0"/>
        <v>0</v>
      </c>
      <c r="F7" s="7">
        <f t="shared" si="1"/>
        <v>0</v>
      </c>
      <c r="G7" s="7">
        <f t="shared" si="2"/>
        <v>0</v>
      </c>
      <c r="H7" s="7">
        <f t="shared" si="3"/>
        <v>0</v>
      </c>
      <c r="I7" s="46">
        <f>Hyde_iron!$D$47</f>
        <v>0</v>
      </c>
      <c r="J7" s="7">
        <f t="shared" si="4"/>
        <v>0</v>
      </c>
      <c r="K7" s="7">
        <f t="shared" si="5"/>
        <v>0</v>
      </c>
      <c r="L7" s="7">
        <f t="shared" si="6"/>
        <v>0</v>
      </c>
      <c r="M7" s="7">
        <f t="shared" si="7"/>
        <v>0</v>
      </c>
      <c r="N7" s="46">
        <f>Hyde_iron!$E$47</f>
        <v>0</v>
      </c>
      <c r="O7" s="7">
        <f t="shared" si="8"/>
        <v>0</v>
      </c>
      <c r="P7" s="7">
        <f t="shared" si="9"/>
        <v>0</v>
      </c>
      <c r="Q7" s="7">
        <f t="shared" si="10"/>
        <v>0</v>
      </c>
      <c r="R7" s="7">
        <f t="shared" si="11"/>
        <v>0</v>
      </c>
      <c r="S7" s="46">
        <f>Hyde_iron!$F$47</f>
        <v>0</v>
      </c>
      <c r="T7" s="7">
        <f t="shared" si="12"/>
        <v>8.1999999999999993</v>
      </c>
      <c r="U7" s="7">
        <f t="shared" si="13"/>
        <v>16.399999999999999</v>
      </c>
      <c r="V7" s="7">
        <f t="shared" si="14"/>
        <v>24.599999999999998</v>
      </c>
      <c r="W7" s="7">
        <f t="shared" si="15"/>
        <v>32.799999999999997</v>
      </c>
      <c r="X7" s="46">
        <f>Hyde_iron!$G$47</f>
        <v>41</v>
      </c>
      <c r="Y7" s="7">
        <f t="shared" si="16"/>
        <v>62.600000000000016</v>
      </c>
      <c r="Z7" s="7">
        <f t="shared" si="17"/>
        <v>84.200000000000017</v>
      </c>
      <c r="AA7" s="7">
        <f t="shared" si="18"/>
        <v>105.80000000000001</v>
      </c>
      <c r="AB7" s="7">
        <f t="shared" si="19"/>
        <v>127.4</v>
      </c>
      <c r="AC7" s="46">
        <f>Hyde_iron!$H$47</f>
        <v>149</v>
      </c>
      <c r="AD7" s="7">
        <f t="shared" si="20"/>
        <v>189.20000000000005</v>
      </c>
      <c r="AE7" s="7">
        <f t="shared" si="21"/>
        <v>229.40000000000003</v>
      </c>
      <c r="AF7" s="7">
        <f t="shared" si="22"/>
        <v>269.60000000000002</v>
      </c>
      <c r="AG7" s="7">
        <f t="shared" si="23"/>
        <v>309.8</v>
      </c>
      <c r="AH7" s="46">
        <f>Hyde_iron!$I$47</f>
        <v>350</v>
      </c>
      <c r="AI7" s="7">
        <f t="shared" si="24"/>
        <v>369.20000000000005</v>
      </c>
      <c r="AJ7" s="7">
        <f t="shared" si="25"/>
        <v>388.40000000000003</v>
      </c>
      <c r="AK7" s="7">
        <f t="shared" si="26"/>
        <v>407.6</v>
      </c>
      <c r="AL7" s="7">
        <f t="shared" si="27"/>
        <v>426.8</v>
      </c>
      <c r="AM7" s="46">
        <f>SUMIFS(SPEW_Pig_iron_production!$R:$R,SPEW_Pig_iron_production!$B:$B,$C7)</f>
        <v>446</v>
      </c>
      <c r="AN7" s="7">
        <f t="shared" si="28"/>
        <v>419.40000000000009</v>
      </c>
      <c r="AO7" s="7">
        <f t="shared" si="29"/>
        <v>392.80000000000007</v>
      </c>
      <c r="AP7" s="7">
        <f t="shared" si="30"/>
        <v>366.20000000000005</v>
      </c>
      <c r="AQ7" s="7">
        <f t="shared" si="31"/>
        <v>339.6</v>
      </c>
      <c r="AR7" s="46">
        <f>SUMIFS(SPEW_Pig_iron_production!$S:$S,SPEW_Pig_iron_production!$B:$B,$C7)</f>
        <v>313</v>
      </c>
      <c r="AS7" s="7">
        <f t="shared" si="32"/>
        <v>392.40000000000009</v>
      </c>
      <c r="AT7" s="7">
        <f t="shared" si="33"/>
        <v>471.80000000000007</v>
      </c>
      <c r="AU7" s="7">
        <f t="shared" si="34"/>
        <v>551.20000000000005</v>
      </c>
      <c r="AV7" s="7">
        <f t="shared" si="35"/>
        <v>630.6</v>
      </c>
      <c r="AW7" s="46">
        <f>SUMIFS(SPEW_Pig_iron_production!$T:$T,SPEW_Pig_iron_production!$B:$B,$C7)</f>
        <v>710</v>
      </c>
      <c r="AX7" s="7">
        <f t="shared" si="36"/>
        <v>814.19999999999982</v>
      </c>
      <c r="AY7" s="7">
        <f t="shared" si="37"/>
        <v>918.39999999999986</v>
      </c>
      <c r="AZ7" s="7">
        <f t="shared" si="38"/>
        <v>1022.5999999999999</v>
      </c>
      <c r="BA7" s="7">
        <f t="shared" si="39"/>
        <v>1126.8</v>
      </c>
      <c r="BB7" s="46">
        <f>SUMIFS(SPEW_Pig_iron_production!$U:$U,SPEW_Pig_iron_production!$B:$B,$C7)</f>
        <v>1231</v>
      </c>
      <c r="BC7" s="7">
        <f t="shared" si="40"/>
        <v>1212</v>
      </c>
      <c r="BD7" s="7">
        <f t="shared" si="41"/>
        <v>1193</v>
      </c>
      <c r="BE7" s="7">
        <f t="shared" si="42"/>
        <v>1174</v>
      </c>
      <c r="BF7" s="7">
        <f t="shared" si="43"/>
        <v>1155</v>
      </c>
      <c r="BG7" s="46">
        <f>SUMIFS(SPEW_Pig_iron_production!$V:$V,SPEW_Pig_iron_production!$B:$B,$C7)</f>
        <v>1136</v>
      </c>
      <c r="BH7" s="7">
        <f t="shared" si="44"/>
        <v>1131.8000000000002</v>
      </c>
      <c r="BI7" s="7">
        <f t="shared" si="45"/>
        <v>1127.6000000000001</v>
      </c>
      <c r="BJ7" s="7">
        <f t="shared" si="46"/>
        <v>1123.4000000000001</v>
      </c>
      <c r="BK7" s="7">
        <f t="shared" si="47"/>
        <v>1119.2</v>
      </c>
      <c r="BL7" s="46">
        <f>SUMIFS(SPEW_Pig_iron_production!$W:$W,SPEW_Pig_iron_production!$B:$B,$C7)</f>
        <v>1115</v>
      </c>
      <c r="BM7" s="7">
        <f t="shared" si="48"/>
        <v>1271.8000000000002</v>
      </c>
      <c r="BN7" s="7">
        <f t="shared" si="49"/>
        <v>1428.6000000000001</v>
      </c>
      <c r="BO7" s="7">
        <f t="shared" si="50"/>
        <v>1585.4</v>
      </c>
      <c r="BP7" s="7">
        <f t="shared" si="51"/>
        <v>1742.2</v>
      </c>
      <c r="BQ7" s="46">
        <f>SUMIFS(SPEW_Pig_iron_production!$X:$X,SPEW_Pig_iron_production!$B:$B,$C7)</f>
        <v>1899</v>
      </c>
      <c r="BR7" s="7">
        <f t="shared" si="52"/>
        <v>2058.7999999999993</v>
      </c>
      <c r="BS7" s="7">
        <f t="shared" si="53"/>
        <v>2218.5999999999995</v>
      </c>
      <c r="BT7" s="7">
        <f t="shared" si="54"/>
        <v>2378.3999999999996</v>
      </c>
      <c r="BU7" s="7">
        <f t="shared" si="55"/>
        <v>2538.1999999999998</v>
      </c>
      <c r="BV7" s="46">
        <f>SUMIFS(SPEW_Pig_iron_production!$Y:$Y,SPEW_Pig_iron_production!$B:$B,$C7)</f>
        <v>2698</v>
      </c>
      <c r="BW7" s="7">
        <f t="shared" si="56"/>
        <v>2958.2000000000007</v>
      </c>
      <c r="BX7" s="7">
        <f t="shared" si="57"/>
        <v>3218.4000000000005</v>
      </c>
      <c r="BY7" s="7">
        <f t="shared" si="58"/>
        <v>3478.6000000000004</v>
      </c>
      <c r="BZ7" s="7">
        <f t="shared" si="59"/>
        <v>3738.8</v>
      </c>
      <c r="CA7" s="46">
        <f>SUMIFS(SPEW_Pig_iron_production!$Z:$Z,SPEW_Pig_iron_production!$B:$B,$C7)</f>
        <v>3999</v>
      </c>
      <c r="CB7" s="7">
        <f t="shared" si="60"/>
        <v>4353</v>
      </c>
      <c r="CC7" s="7">
        <f t="shared" si="61"/>
        <v>4707</v>
      </c>
      <c r="CD7" s="7">
        <f t="shared" si="62"/>
        <v>5061</v>
      </c>
      <c r="CE7" s="7">
        <f t="shared" si="63"/>
        <v>5415</v>
      </c>
      <c r="CF7" s="46">
        <f>SUMIFS(SPEW_Pig_iron_production!$AA:$AA,SPEW_Pig_iron_production!$B:$B,$C7)</f>
        <v>5769</v>
      </c>
      <c r="CG7" s="7">
        <f t="shared" si="64"/>
        <v>6121.4000000000015</v>
      </c>
      <c r="CH7" s="7">
        <f t="shared" si="65"/>
        <v>6473.8000000000011</v>
      </c>
      <c r="CI7" s="7">
        <f t="shared" si="66"/>
        <v>6826.2000000000007</v>
      </c>
      <c r="CJ7" s="7">
        <f t="shared" si="67"/>
        <v>7178.6</v>
      </c>
      <c r="CK7" s="46">
        <f>SUMIFS(SPEW_Pig_iron_production!$AB:$AB,SPEW_Pig_iron_production!$B:$B,$C7)</f>
        <v>7531</v>
      </c>
      <c r="CL7" s="7">
        <f t="shared" si="68"/>
        <v>7420</v>
      </c>
      <c r="CM7" s="7">
        <f t="shared" si="69"/>
        <v>7309</v>
      </c>
      <c r="CN7" s="7">
        <f t="shared" si="70"/>
        <v>7198</v>
      </c>
      <c r="CO7" s="7">
        <f t="shared" si="71"/>
        <v>7087</v>
      </c>
      <c r="CP7" s="2">
        <f>[1]Data!B7</f>
        <v>6976</v>
      </c>
      <c r="CQ7" s="2">
        <f>[1]Data!C7</f>
        <v>6740</v>
      </c>
      <c r="CR7" s="2">
        <f>[1]Data!D7</f>
        <v>5953</v>
      </c>
      <c r="CS7" s="2">
        <f>[1]Data!E7</f>
        <v>5062</v>
      </c>
      <c r="CT7" s="2">
        <f>[1]Data!F7</f>
        <v>5324</v>
      </c>
      <c r="CU7" s="2">
        <f>[1]Data!G7</f>
        <v>5599</v>
      </c>
      <c r="CV7" s="2">
        <f>[1]Data!H7</f>
        <v>5853</v>
      </c>
      <c r="CW7" s="2">
        <f>[1]Data!I7</f>
        <v>5581</v>
      </c>
      <c r="CX7" s="2">
        <f>[1]Data!J7</f>
        <v>5723</v>
      </c>
      <c r="CY7" s="2">
        <f>[1]Data!K7</f>
        <v>6084</v>
      </c>
      <c r="CZ7" s="2">
        <f>[1]Data!L7</f>
        <v>6127</v>
      </c>
      <c r="DA7" s="2">
        <f>[1]Data!M7</f>
        <v>5633</v>
      </c>
      <c r="DB7" s="2">
        <f>[1]Data!N7</f>
        <v>6384</v>
      </c>
      <c r="DC7" s="2">
        <f>[1]Data!O7</f>
        <v>7414</v>
      </c>
      <c r="DD7" s="2">
        <f>[1]Data!P7</f>
        <v>7466</v>
      </c>
      <c r="DE7" s="2">
        <f>[1]Data!Q7</f>
        <v>7475</v>
      </c>
      <c r="DF7" s="2">
        <f>[1]Data!R7</f>
        <v>7381</v>
      </c>
      <c r="DG7" s="2">
        <f>[1]Data!S7</f>
        <v>7685</v>
      </c>
      <c r="DH7" s="2">
        <f>[1]Data!T7</f>
        <v>7723</v>
      </c>
      <c r="DI7" s="2">
        <f>[1]Data!U7</f>
        <v>7047</v>
      </c>
      <c r="DJ7" s="2">
        <f>[1]Data!V7</f>
        <v>7049</v>
      </c>
      <c r="DK7" s="2">
        <f>[1]Data!W7</f>
        <v>6017</v>
      </c>
      <c r="DL7" s="2">
        <f>[1]Data!X7</f>
        <v>6106</v>
      </c>
      <c r="DM7" s="2">
        <f>[1]Data!Y7</f>
        <v>6116</v>
      </c>
      <c r="DN7" s="2">
        <f>[1]Data!Z7</f>
        <v>5735</v>
      </c>
      <c r="DO7" s="2">
        <f>[1]Data!AA7</f>
        <v>6203</v>
      </c>
      <c r="DP7" s="2">
        <f>[1]Data!AB7</f>
        <v>6433</v>
      </c>
      <c r="DQ7" s="2">
        <f>[1]Data!AC7</f>
        <v>6369</v>
      </c>
      <c r="DR7" s="2">
        <f>[1]Data!AD7</f>
        <v>6057</v>
      </c>
      <c r="DS7" s="2">
        <f>[1]Data!AE7</f>
        <v>4370</v>
      </c>
      <c r="DT7" s="2">
        <f>[1]Data!AF7</f>
        <v>6005</v>
      </c>
      <c r="DU7" s="2">
        <f>[1]Data!AG7</f>
        <v>5265</v>
      </c>
      <c r="DV7" s="2">
        <f>[1]Data!AH7</f>
        <v>3710</v>
      </c>
      <c r="DW7" s="2">
        <f>[1]Data!AI7</f>
        <v>3477</v>
      </c>
      <c r="DX7" s="2">
        <v>3282</v>
      </c>
      <c r="DY7" s="2">
        <f>[4]Data!AK7</f>
        <v>3594</v>
      </c>
      <c r="DZ7" s="2">
        <f>[4]Data!AL7</f>
        <v>3642</v>
      </c>
      <c r="EA7" s="2">
        <f>[4]Data!AM7</f>
        <v>3758</v>
      </c>
    </row>
    <row r="8" spans="1:131" ht="16" x14ac:dyDescent="0.2">
      <c r="A8" t="s">
        <v>6</v>
      </c>
      <c r="B8" s="15" t="s">
        <v>286</v>
      </c>
      <c r="C8" s="9" t="s">
        <v>89</v>
      </c>
      <c r="D8" s="46">
        <f>SUMIFS(Hyde_iron!$C$34:$C$48,Hyde_iron!$B$34:$B$48,$B8)*I8/SUMIFS(I$3:I$63,$B$3:$B$63,$B8)</f>
        <v>185.89208497837939</v>
      </c>
      <c r="E8" s="7">
        <f t="shared" si="0"/>
        <v>190.71918280378515</v>
      </c>
      <c r="F8" s="7">
        <f t="shared" si="1"/>
        <v>195.54628062919093</v>
      </c>
      <c r="G8" s="7">
        <f t="shared" si="2"/>
        <v>200.37337845459672</v>
      </c>
      <c r="H8" s="7">
        <f t="shared" si="3"/>
        <v>205.2004762800025</v>
      </c>
      <c r="I8" s="46">
        <f>SUMIFS(Hyde_iron!$D$34:$D$48,Hyde_iron!$B$34:$B$48,$B8)*N8/SUMIFS(N$3:N$63,$B$3:$B$63,$B8)</f>
        <v>210.02757410540829</v>
      </c>
      <c r="J8" s="7">
        <f t="shared" si="4"/>
        <v>218.58394435044187</v>
      </c>
      <c r="K8" s="7">
        <f t="shared" si="5"/>
        <v>227.14031459547539</v>
      </c>
      <c r="L8" s="7">
        <f t="shared" si="6"/>
        <v>235.69668484050891</v>
      </c>
      <c r="M8" s="7">
        <f t="shared" si="7"/>
        <v>244.25305508554243</v>
      </c>
      <c r="N8" s="46">
        <f>SUMIFS(Hyde_iron!$E$34:$E$48,Hyde_iron!$B$34:$B$48,$B8)*S8/SUMIFS(S$3:S$63,$B$3:$B$63,$B8)</f>
        <v>252.80942533057595</v>
      </c>
      <c r="O8" s="7">
        <f t="shared" si="8"/>
        <v>266.93827160493828</v>
      </c>
      <c r="P8" s="7">
        <f t="shared" si="9"/>
        <v>281.06711787930061</v>
      </c>
      <c r="Q8" s="7">
        <f t="shared" si="10"/>
        <v>295.19596415366294</v>
      </c>
      <c r="R8" s="7">
        <f t="shared" si="11"/>
        <v>309.32481042802527</v>
      </c>
      <c r="S8" s="46">
        <f>SUMIFS(Hyde_iron!$F$34:$F$48,Hyde_iron!$B$34:$B$48,$B8)*X8/SUMIFS(X$3:X$63,$B$3:$B$63,$B8)</f>
        <v>323.4536567023876</v>
      </c>
      <c r="T8" s="7">
        <f t="shared" si="12"/>
        <v>331.40515134423748</v>
      </c>
      <c r="U8" s="7">
        <f t="shared" si="13"/>
        <v>339.35664598608747</v>
      </c>
      <c r="V8" s="7">
        <f t="shared" si="14"/>
        <v>347.30814062793746</v>
      </c>
      <c r="W8" s="7">
        <f t="shared" si="15"/>
        <v>355.25963526978745</v>
      </c>
      <c r="X8" s="46">
        <f>SUMIFS(Hyde_iron!$G$34:$G$48,Hyde_iron!$B$34:$B$48,$B8)*AC8/SUMIFS(AC$3:AC$63,$B$3:$B$63,$B8)</f>
        <v>363.21112991163744</v>
      </c>
      <c r="Y8" s="7">
        <f t="shared" si="16"/>
        <v>348.52741743435467</v>
      </c>
      <c r="Z8" s="7">
        <f t="shared" si="17"/>
        <v>333.84370495707202</v>
      </c>
      <c r="AA8" s="7">
        <f t="shared" si="18"/>
        <v>319.15999247978937</v>
      </c>
      <c r="AB8" s="7">
        <f t="shared" si="19"/>
        <v>304.47628000250671</v>
      </c>
      <c r="AC8" s="46">
        <f>SUMIFS(Hyde_iron!$H$34:$H$48,Hyde_iron!$B$34:$B$48,$B8)*AH8/SUMIFS(AH$3:AH$63,$B$3:$B$63,$B8)</f>
        <v>289.79256752522406</v>
      </c>
      <c r="AD8" s="7">
        <f t="shared" si="20"/>
        <v>282.61264648743509</v>
      </c>
      <c r="AE8" s="7">
        <f t="shared" si="21"/>
        <v>275.432725449646</v>
      </c>
      <c r="AF8" s="7">
        <f t="shared" si="22"/>
        <v>268.25280441185691</v>
      </c>
      <c r="AG8" s="7">
        <f t="shared" si="23"/>
        <v>261.07288337406783</v>
      </c>
      <c r="AH8" s="46">
        <f>SUMIFS(Hyde_iron!$I$34:$I$48,Hyde_iron!$B$34:$B$48,$B8)*AM8/SUMIFS(AM$3:AM$63,$B$3:$B$63,$B8)</f>
        <v>253.89296233627874</v>
      </c>
      <c r="AI8" s="7">
        <f t="shared" si="24"/>
        <v>279.11436986902299</v>
      </c>
      <c r="AJ8" s="7">
        <f t="shared" si="25"/>
        <v>304.33577740176725</v>
      </c>
      <c r="AK8" s="7">
        <f t="shared" si="26"/>
        <v>329.5571849345115</v>
      </c>
      <c r="AL8" s="7">
        <f t="shared" si="27"/>
        <v>354.77859246725575</v>
      </c>
      <c r="AM8" s="46">
        <f>SUMIFS(SPEW_Pig_iron_production!$R:$R,SPEW_Pig_iron_production!$B:$B,$C8)</f>
        <v>380</v>
      </c>
      <c r="AN8" s="7">
        <f t="shared" si="28"/>
        <v>363.40000000000009</v>
      </c>
      <c r="AO8" s="7">
        <f t="shared" si="29"/>
        <v>346.80000000000007</v>
      </c>
      <c r="AP8" s="7">
        <f t="shared" si="30"/>
        <v>330.20000000000005</v>
      </c>
      <c r="AQ8" s="7">
        <f t="shared" si="31"/>
        <v>313.60000000000002</v>
      </c>
      <c r="AR8" s="46">
        <f>SUMIFS(SPEW_Pig_iron_production!$S:$S,SPEW_Pig_iron_production!$B:$B,$C8)</f>
        <v>297</v>
      </c>
      <c r="AS8" s="7">
        <f t="shared" si="32"/>
        <v>276.20000000000005</v>
      </c>
      <c r="AT8" s="7">
        <f t="shared" si="33"/>
        <v>255.40000000000003</v>
      </c>
      <c r="AU8" s="7">
        <f t="shared" si="34"/>
        <v>234.60000000000002</v>
      </c>
      <c r="AV8" s="7">
        <f t="shared" si="35"/>
        <v>213.8</v>
      </c>
      <c r="AW8" s="46">
        <f>SUMIFS(SPEW_Pig_iron_production!$T:$T,SPEW_Pig_iron_production!$B:$B,$C8)</f>
        <v>193</v>
      </c>
      <c r="AX8" s="7">
        <f t="shared" si="36"/>
        <v>290.2</v>
      </c>
      <c r="AY8" s="7">
        <f t="shared" si="37"/>
        <v>387.4</v>
      </c>
      <c r="AZ8" s="7">
        <f t="shared" si="38"/>
        <v>484.59999999999997</v>
      </c>
      <c r="BA8" s="7">
        <f t="shared" si="39"/>
        <v>581.79999999999995</v>
      </c>
      <c r="BB8" s="46">
        <f>SUMIFS(SPEW_Pig_iron_production!$U:$U,SPEW_Pig_iron_production!$B:$B,$C8)</f>
        <v>679</v>
      </c>
      <c r="BC8" s="7">
        <f t="shared" si="40"/>
        <v>563.6</v>
      </c>
      <c r="BD8" s="7">
        <f t="shared" si="41"/>
        <v>448.20000000000005</v>
      </c>
      <c r="BE8" s="7">
        <f t="shared" si="42"/>
        <v>332.8</v>
      </c>
      <c r="BF8" s="7">
        <f t="shared" si="43"/>
        <v>217.4</v>
      </c>
      <c r="BG8" s="46">
        <f>SUMIFS(SPEW_Pig_iron_production!$V:$V,SPEW_Pig_iron_production!$B:$B,$C8)</f>
        <v>102</v>
      </c>
      <c r="BH8" s="7">
        <f t="shared" si="44"/>
        <v>258.19999999999993</v>
      </c>
      <c r="BI8" s="7">
        <f t="shared" si="45"/>
        <v>414.39999999999992</v>
      </c>
      <c r="BJ8" s="7">
        <f t="shared" si="46"/>
        <v>570.59999999999991</v>
      </c>
      <c r="BK8" s="7">
        <f t="shared" si="47"/>
        <v>726.8</v>
      </c>
      <c r="BL8" s="46">
        <f>SUMIFS(SPEW_Pig_iron_production!$W:$W,SPEW_Pig_iron_production!$B:$B,$C8)</f>
        <v>883</v>
      </c>
      <c r="BM8" s="7">
        <f t="shared" si="48"/>
        <v>1007.6000000000003</v>
      </c>
      <c r="BN8" s="7">
        <f t="shared" si="49"/>
        <v>1132.2000000000003</v>
      </c>
      <c r="BO8" s="7">
        <f t="shared" si="50"/>
        <v>1256.8000000000002</v>
      </c>
      <c r="BP8" s="7">
        <f t="shared" si="51"/>
        <v>1381.4</v>
      </c>
      <c r="BQ8" s="46">
        <f>SUMIFS(SPEW_Pig_iron_production!$X:$X,SPEW_Pig_iron_production!$B:$B,$C8)</f>
        <v>1506</v>
      </c>
      <c r="BR8" s="7">
        <f t="shared" si="52"/>
        <v>1651.2</v>
      </c>
      <c r="BS8" s="7">
        <f t="shared" si="53"/>
        <v>1796.4</v>
      </c>
      <c r="BT8" s="7">
        <f t="shared" si="54"/>
        <v>1941.6000000000001</v>
      </c>
      <c r="BU8" s="7">
        <f t="shared" si="55"/>
        <v>2086.8000000000002</v>
      </c>
      <c r="BV8" s="46">
        <f>SUMIFS(SPEW_Pig_iron_production!$Y:$Y,SPEW_Pig_iron_production!$B:$B,$C8)</f>
        <v>2232</v>
      </c>
      <c r="BW8" s="7">
        <f t="shared" si="56"/>
        <v>2225.6000000000004</v>
      </c>
      <c r="BX8" s="7">
        <f t="shared" si="57"/>
        <v>2219.2000000000003</v>
      </c>
      <c r="BY8" s="7">
        <f t="shared" si="58"/>
        <v>2212.8000000000002</v>
      </c>
      <c r="BZ8" s="7">
        <f t="shared" si="59"/>
        <v>2206.4</v>
      </c>
      <c r="CA8" s="46">
        <f>SUMIFS(SPEW_Pig_iron_production!$Z:$Z,SPEW_Pig_iron_production!$B:$B,$C8)</f>
        <v>2200</v>
      </c>
      <c r="CB8" s="7">
        <f t="shared" si="60"/>
        <v>2352.7999999999993</v>
      </c>
      <c r="CC8" s="7">
        <f t="shared" si="61"/>
        <v>2505.5999999999995</v>
      </c>
      <c r="CD8" s="7">
        <f t="shared" si="62"/>
        <v>2658.3999999999996</v>
      </c>
      <c r="CE8" s="7">
        <f t="shared" si="63"/>
        <v>2811.2</v>
      </c>
      <c r="CF8" s="46">
        <f>SUMIFS(SPEW_Pig_iron_production!$AA:$AA,SPEW_Pig_iron_production!$B:$B,$C8)</f>
        <v>2964</v>
      </c>
      <c r="CG8" s="7">
        <f t="shared" si="64"/>
        <v>2982.3999999999996</v>
      </c>
      <c r="CH8" s="7">
        <f t="shared" si="65"/>
        <v>3000.7999999999997</v>
      </c>
      <c r="CI8" s="7">
        <f t="shared" si="66"/>
        <v>3019.2</v>
      </c>
      <c r="CJ8" s="7">
        <f t="shared" si="67"/>
        <v>3037.6</v>
      </c>
      <c r="CK8" s="46">
        <f>SUMIFS(SPEW_Pig_iron_production!$AB:$AB,SPEW_Pig_iron_production!$B:$B,$C8)</f>
        <v>3056</v>
      </c>
      <c r="CL8" s="7">
        <f t="shared" si="68"/>
        <v>3141.7999999999993</v>
      </c>
      <c r="CM8" s="7">
        <f t="shared" si="69"/>
        <v>3227.5999999999995</v>
      </c>
      <c r="CN8" s="7">
        <f t="shared" si="70"/>
        <v>3313.3999999999996</v>
      </c>
      <c r="CO8" s="7">
        <f t="shared" si="71"/>
        <v>3399.2</v>
      </c>
      <c r="CP8" s="2">
        <f>[1]Data!B8</f>
        <v>3485</v>
      </c>
      <c r="CQ8" s="2">
        <f>[1]Data!C8</f>
        <v>3477</v>
      </c>
      <c r="CR8" s="2">
        <f>[1]Data!D8</f>
        <v>3115</v>
      </c>
      <c r="CS8" s="2">
        <f>[1]Data!E8</f>
        <v>3319</v>
      </c>
      <c r="CT8" s="2">
        <f>[1]Data!F8</f>
        <v>3745</v>
      </c>
      <c r="CU8" s="2">
        <f>[1]Data!G8</f>
        <v>3734</v>
      </c>
      <c r="CV8" s="2">
        <f>[1]Data!H8</f>
        <v>3349</v>
      </c>
      <c r="CW8" s="2">
        <f>[1]Data!I8</f>
        <v>3451</v>
      </c>
      <c r="CX8" s="2">
        <f>[1]Data!J8</f>
        <v>3665</v>
      </c>
      <c r="CY8" s="2">
        <f>[1]Data!K8</f>
        <v>3823</v>
      </c>
      <c r="CZ8" s="2">
        <f>[1]Data!L8</f>
        <v>3452</v>
      </c>
      <c r="DA8" s="2">
        <f>[1]Data!M8</f>
        <v>3442</v>
      </c>
      <c r="DB8" s="2">
        <f>[1]Data!N8</f>
        <v>3074</v>
      </c>
      <c r="DC8" s="2">
        <f>[1]Data!O8</f>
        <v>3070</v>
      </c>
      <c r="DD8" s="2">
        <f>[1]Data!P8</f>
        <v>3320</v>
      </c>
      <c r="DE8" s="2">
        <f>[1]Data!Q8</f>
        <v>3878</v>
      </c>
      <c r="DF8" s="2">
        <f>[1]Data!R8</f>
        <v>3416</v>
      </c>
      <c r="DG8" s="2">
        <f>[1]Data!S8</f>
        <v>3966</v>
      </c>
      <c r="DH8" s="2">
        <f>[1]Data!T8</f>
        <v>4021</v>
      </c>
      <c r="DI8" s="2">
        <f>[1]Data!U8</f>
        <v>3913</v>
      </c>
      <c r="DJ8" s="2">
        <f>[1]Data!V8</f>
        <v>4318</v>
      </c>
      <c r="DK8" s="2">
        <f>[1]Data!W8</f>
        <v>4375</v>
      </c>
      <c r="DL8" s="2">
        <f>[1]Data!X8</f>
        <v>4669</v>
      </c>
      <c r="DM8" s="2">
        <f>[1]Data!Y8</f>
        <v>4677</v>
      </c>
      <c r="DN8" s="2">
        <f>[1]Data!Z8</f>
        <v>4847</v>
      </c>
      <c r="DO8" s="2">
        <f>[1]Data!AA8</f>
        <v>5444</v>
      </c>
      <c r="DP8" s="2">
        <f>[1]Data!AB8</f>
        <v>5547</v>
      </c>
      <c r="DQ8" s="2">
        <f>[1]Data!AC8</f>
        <v>5908</v>
      </c>
      <c r="DR8" s="2">
        <f>[1]Data!AD8</f>
        <v>5795</v>
      </c>
      <c r="DS8" s="2">
        <f>[1]Data!AE8</f>
        <v>4353</v>
      </c>
      <c r="DT8" s="2">
        <f>[1]Data!AF8</f>
        <v>5621</v>
      </c>
      <c r="DU8" s="2">
        <f>[1]Data!AG8</f>
        <v>5815</v>
      </c>
      <c r="DV8" s="2">
        <f>[1]Data!AH8</f>
        <v>5751</v>
      </c>
      <c r="DW8" s="2">
        <f>[1]Data!AI8</f>
        <v>6152</v>
      </c>
      <c r="DX8" s="2">
        <v>6029</v>
      </c>
      <c r="DY8" s="2">
        <f>[4]Data!AK8</f>
        <v>5805</v>
      </c>
      <c r="DZ8" s="2">
        <f>[4]Data!AL8</f>
        <v>5642</v>
      </c>
      <c r="EA8" s="2">
        <f>[4]Data!AM8</f>
        <v>6335</v>
      </c>
    </row>
    <row r="9" spans="1:131" ht="16" x14ac:dyDescent="0.2">
      <c r="A9" t="s">
        <v>7</v>
      </c>
      <c r="B9" s="15" t="s">
        <v>286</v>
      </c>
      <c r="C9" s="9" t="s">
        <v>90</v>
      </c>
      <c r="D9" s="46">
        <f>SUMIFS(Hyde_iron!$C$34:$C$48,Hyde_iron!$B$34:$B$48,$B9)*I9/SUMIFS(I$3:I$63,$B$3:$B$63,$B9)</f>
        <v>1244.0094002632072</v>
      </c>
      <c r="E9" s="7">
        <f t="shared" si="0"/>
        <v>1276.3128470263832</v>
      </c>
      <c r="F9" s="7">
        <f t="shared" si="1"/>
        <v>1308.6162937895592</v>
      </c>
      <c r="G9" s="7">
        <f t="shared" si="2"/>
        <v>1340.9197405527352</v>
      </c>
      <c r="H9" s="7">
        <f t="shared" si="3"/>
        <v>1373.2231873159112</v>
      </c>
      <c r="I9" s="46">
        <f>SUMIFS(Hyde_iron!$D$34:$D$48,Hyde_iron!$B$34:$B$48,$B9)*N9/SUMIFS(N$3:N$63,$B$3:$B$63,$B9)</f>
        <v>1405.5266340790872</v>
      </c>
      <c r="J9" s="7">
        <f t="shared" si="4"/>
        <v>1462.7867644294035</v>
      </c>
      <c r="K9" s="7">
        <f t="shared" si="5"/>
        <v>1520.0468947797201</v>
      </c>
      <c r="L9" s="7">
        <f t="shared" si="6"/>
        <v>1577.3070251300367</v>
      </c>
      <c r="M9" s="7">
        <f t="shared" si="7"/>
        <v>1634.5671554803532</v>
      </c>
      <c r="N9" s="46">
        <f>SUMIFS(Hyde_iron!$E$34:$E$48,Hyde_iron!$B$34:$B$48,$B9)*S9/SUMIFS(S$3:S$63,$B$3:$B$63,$B9)</f>
        <v>1691.8272858306698</v>
      </c>
      <c r="O9" s="7">
        <f t="shared" si="8"/>
        <v>1786.379012345679</v>
      </c>
      <c r="P9" s="7">
        <f t="shared" si="9"/>
        <v>1880.9307388606881</v>
      </c>
      <c r="Q9" s="7">
        <f t="shared" si="10"/>
        <v>1975.4824653756971</v>
      </c>
      <c r="R9" s="7">
        <f t="shared" si="11"/>
        <v>2070.0341918907061</v>
      </c>
      <c r="S9" s="46">
        <f>SUMIFS(Hyde_iron!$F$34:$F$48,Hyde_iron!$B$34:$B$48,$B9)*X9/SUMIFS(X$3:X$63,$B$3:$B$63,$B9)</f>
        <v>2164.5859184057149</v>
      </c>
      <c r="T9" s="7">
        <f t="shared" si="12"/>
        <v>2217.7981575484109</v>
      </c>
      <c r="U9" s="7">
        <f t="shared" si="13"/>
        <v>2271.010396691107</v>
      </c>
      <c r="V9" s="7">
        <f t="shared" si="14"/>
        <v>2324.222635833803</v>
      </c>
      <c r="W9" s="7">
        <f t="shared" si="15"/>
        <v>2377.434874976499</v>
      </c>
      <c r="X9" s="46">
        <f>SUMIFS(Hyde_iron!$G$34:$G$48,Hyde_iron!$B$34:$B$48,$B9)*AC9/SUMIFS(AC$3:AC$63,$B$3:$B$63,$B9)</f>
        <v>2430.6471141191951</v>
      </c>
      <c r="Y9" s="7">
        <f t="shared" si="16"/>
        <v>2332.3821645672747</v>
      </c>
      <c r="Z9" s="7">
        <f t="shared" si="17"/>
        <v>2234.1172150153538</v>
      </c>
      <c r="AA9" s="7">
        <f t="shared" si="18"/>
        <v>2135.852265463433</v>
      </c>
      <c r="AB9" s="7">
        <f t="shared" si="19"/>
        <v>2037.5873159115122</v>
      </c>
      <c r="AC9" s="46">
        <f>SUMIFS(Hyde_iron!$H$34:$H$48,Hyde_iron!$B$34:$B$48,$B9)*AH9/SUMIFS(AH$3:AH$63,$B$3:$B$63,$B9)</f>
        <v>1939.3223663595916</v>
      </c>
      <c r="AD9" s="7">
        <f t="shared" si="20"/>
        <v>1891.2735789935455</v>
      </c>
      <c r="AE9" s="7">
        <f t="shared" si="21"/>
        <v>1843.2247916274991</v>
      </c>
      <c r="AF9" s="7">
        <f t="shared" si="22"/>
        <v>1795.1760042614528</v>
      </c>
      <c r="AG9" s="7">
        <f t="shared" si="23"/>
        <v>1747.1272168954065</v>
      </c>
      <c r="AH9" s="46">
        <f>SUMIFS(Hyde_iron!$I$34:$I$48,Hyde_iron!$B$34:$B$48,$B9)*AM9/SUMIFS(AM$3:AM$63,$B$3:$B$63,$B9)</f>
        <v>1699.0784295293602</v>
      </c>
      <c r="AI9" s="7">
        <f t="shared" si="24"/>
        <v>1867.8627436234879</v>
      </c>
      <c r="AJ9" s="7">
        <f t="shared" si="25"/>
        <v>2036.6470577176158</v>
      </c>
      <c r="AK9" s="7">
        <f t="shared" si="26"/>
        <v>2205.4313718117437</v>
      </c>
      <c r="AL9" s="7">
        <f t="shared" si="27"/>
        <v>2374.2156859058719</v>
      </c>
      <c r="AM9" s="46">
        <f>SUMIFS(SPEW_Pig_iron_production!$R:$R,SPEW_Pig_iron_production!$B:$B,$C9)</f>
        <v>2543</v>
      </c>
      <c r="AN9" s="7">
        <f t="shared" si="28"/>
        <v>2707.3999999999996</v>
      </c>
      <c r="AO9" s="7">
        <f t="shared" si="29"/>
        <v>2871.7999999999997</v>
      </c>
      <c r="AP9" s="7">
        <f t="shared" si="30"/>
        <v>3036.2</v>
      </c>
      <c r="AQ9" s="7">
        <f t="shared" si="31"/>
        <v>3200.6</v>
      </c>
      <c r="AR9" s="46">
        <f>SUMIFS(SPEW_Pig_iron_production!$S:$S,SPEW_Pig_iron_production!$B:$B,$C9)</f>
        <v>3365</v>
      </c>
      <c r="AS9" s="7">
        <f t="shared" si="32"/>
        <v>3298</v>
      </c>
      <c r="AT9" s="7">
        <f t="shared" si="33"/>
        <v>3231</v>
      </c>
      <c r="AU9" s="7">
        <f t="shared" si="34"/>
        <v>3164</v>
      </c>
      <c r="AV9" s="7">
        <f t="shared" si="35"/>
        <v>3097</v>
      </c>
      <c r="AW9" s="46">
        <f>SUMIFS(SPEW_Pig_iron_production!$T:$T,SPEW_Pig_iron_production!$B:$B,$C9)</f>
        <v>3030</v>
      </c>
      <c r="AX9" s="7">
        <f t="shared" si="36"/>
        <v>2782</v>
      </c>
      <c r="AY9" s="7">
        <f t="shared" si="37"/>
        <v>2534</v>
      </c>
      <c r="AZ9" s="7">
        <f t="shared" si="38"/>
        <v>2286</v>
      </c>
      <c r="BA9" s="7">
        <f t="shared" si="39"/>
        <v>2038</v>
      </c>
      <c r="BB9" s="46">
        <f>SUMIFS(SPEW_Pig_iron_production!$U:$U,SPEW_Pig_iron_production!$B:$B,$C9)</f>
        <v>1790</v>
      </c>
      <c r="BC9" s="7">
        <f t="shared" si="40"/>
        <v>1579</v>
      </c>
      <c r="BD9" s="7">
        <f t="shared" si="41"/>
        <v>1368</v>
      </c>
      <c r="BE9" s="7">
        <f t="shared" si="42"/>
        <v>1157</v>
      </c>
      <c r="BF9" s="7">
        <f t="shared" si="43"/>
        <v>946</v>
      </c>
      <c r="BG9" s="46">
        <f>SUMIFS(SPEW_Pig_iron_production!$V:$V,SPEW_Pig_iron_production!$B:$B,$C9)</f>
        <v>735</v>
      </c>
      <c r="BH9" s="7">
        <f t="shared" si="44"/>
        <v>1327</v>
      </c>
      <c r="BI9" s="7">
        <f t="shared" si="45"/>
        <v>1919</v>
      </c>
      <c r="BJ9" s="7">
        <f t="shared" si="46"/>
        <v>2511</v>
      </c>
      <c r="BK9" s="7">
        <f t="shared" si="47"/>
        <v>3103</v>
      </c>
      <c r="BL9" s="46">
        <f>SUMIFS(SPEW_Pig_iron_production!$W:$W,SPEW_Pig_iron_production!$B:$B,$C9)</f>
        <v>3695</v>
      </c>
      <c r="BM9" s="7">
        <f t="shared" si="48"/>
        <v>4033</v>
      </c>
      <c r="BN9" s="7">
        <f t="shared" si="49"/>
        <v>4371</v>
      </c>
      <c r="BO9" s="7">
        <f t="shared" si="50"/>
        <v>4709</v>
      </c>
      <c r="BP9" s="7">
        <f t="shared" si="51"/>
        <v>5047</v>
      </c>
      <c r="BQ9" s="46">
        <f>SUMIFS(SPEW_Pig_iron_production!$X:$X,SPEW_Pig_iron_production!$B:$B,$C9)</f>
        <v>5385</v>
      </c>
      <c r="BR9" s="7">
        <f t="shared" si="52"/>
        <v>5618.5999999999985</v>
      </c>
      <c r="BS9" s="7">
        <f t="shared" si="53"/>
        <v>5852.1999999999989</v>
      </c>
      <c r="BT9" s="7">
        <f t="shared" si="54"/>
        <v>6085.7999999999993</v>
      </c>
      <c r="BU9" s="7">
        <f t="shared" si="55"/>
        <v>6319.4</v>
      </c>
      <c r="BV9" s="46">
        <f>SUMIFS(SPEW_Pig_iron_production!$Y:$Y,SPEW_Pig_iron_production!$B:$B,$C9)</f>
        <v>6553</v>
      </c>
      <c r="BW9" s="7">
        <f t="shared" si="56"/>
        <v>6915.7999999999993</v>
      </c>
      <c r="BX9" s="7">
        <f t="shared" si="57"/>
        <v>7278.5999999999995</v>
      </c>
      <c r="BY9" s="7">
        <f t="shared" si="58"/>
        <v>7641.4</v>
      </c>
      <c r="BZ9" s="7">
        <f t="shared" si="59"/>
        <v>8004.2</v>
      </c>
      <c r="CA9" s="46">
        <f>SUMIFS(SPEW_Pig_iron_production!$Z:$Z,SPEW_Pig_iron_production!$B:$B,$C9)</f>
        <v>8367</v>
      </c>
      <c r="CB9" s="7">
        <f t="shared" si="60"/>
        <v>8862.5999999999985</v>
      </c>
      <c r="CC9" s="7">
        <f t="shared" si="61"/>
        <v>9358.1999999999989</v>
      </c>
      <c r="CD9" s="7">
        <f t="shared" si="62"/>
        <v>9853.7999999999993</v>
      </c>
      <c r="CE9" s="7">
        <f t="shared" si="63"/>
        <v>10349.4</v>
      </c>
      <c r="CF9" s="46">
        <f>SUMIFS(SPEW_Pig_iron_production!$AA:$AA,SPEW_Pig_iron_production!$B:$B,$C9)</f>
        <v>10845</v>
      </c>
      <c r="CG9" s="7">
        <f t="shared" si="64"/>
        <v>10492.199999999997</v>
      </c>
      <c r="CH9" s="7">
        <f t="shared" si="65"/>
        <v>10139.399999999998</v>
      </c>
      <c r="CI9" s="7">
        <f t="shared" si="66"/>
        <v>9786.5999999999985</v>
      </c>
      <c r="CJ9" s="7">
        <f t="shared" si="67"/>
        <v>9433.7999999999993</v>
      </c>
      <c r="CK9" s="46">
        <f>SUMIFS(SPEW_Pig_iron_production!$AB:$AB,SPEW_Pig_iron_production!$B:$B,$C9)</f>
        <v>9081</v>
      </c>
      <c r="CL9" s="7">
        <f t="shared" si="68"/>
        <v>9233.5999999999985</v>
      </c>
      <c r="CM9" s="7">
        <f t="shared" si="69"/>
        <v>9386.1999999999989</v>
      </c>
      <c r="CN9" s="7">
        <f t="shared" si="70"/>
        <v>9538.7999999999993</v>
      </c>
      <c r="CO9" s="7">
        <f t="shared" si="71"/>
        <v>9691.4</v>
      </c>
      <c r="CP9" s="2">
        <f>[1]Data!B9</f>
        <v>9844</v>
      </c>
      <c r="CQ9" s="2">
        <f>[1]Data!C9</f>
        <v>9787</v>
      </c>
      <c r="CR9" s="2">
        <f>[1]Data!D9</f>
        <v>7832</v>
      </c>
      <c r="CS9" s="2">
        <f>[1]Data!E9</f>
        <v>8033</v>
      </c>
      <c r="CT9" s="2">
        <f>[1]Data!F9</f>
        <v>8968</v>
      </c>
      <c r="CU9" s="2">
        <f>[1]Data!G9</f>
        <v>8720</v>
      </c>
      <c r="CV9" s="2">
        <f>[1]Data!H9</f>
        <v>8046</v>
      </c>
      <c r="CW9" s="2">
        <f>[1]Data!I9</f>
        <v>8239</v>
      </c>
      <c r="CX9" s="2">
        <f>[1]Data!J9</f>
        <v>9146</v>
      </c>
      <c r="CY9" s="2">
        <f>[1]Data!K9</f>
        <v>8862</v>
      </c>
      <c r="CZ9" s="2">
        <f>[1]Data!L9</f>
        <v>9416</v>
      </c>
      <c r="DA9" s="2">
        <f>[1]Data!M9</f>
        <v>9353</v>
      </c>
      <c r="DB9" s="2">
        <f>[1]Data!N9</f>
        <v>8524</v>
      </c>
      <c r="DC9" s="2">
        <f>[1]Data!O9</f>
        <v>8179</v>
      </c>
      <c r="DD9" s="2">
        <f>[1]Data!P9</f>
        <v>8979</v>
      </c>
      <c r="DE9" s="2">
        <f>[1]Data!Q9</f>
        <v>9199</v>
      </c>
      <c r="DF9" s="2">
        <f>[1]Data!R9</f>
        <v>8627</v>
      </c>
      <c r="DG9" s="2">
        <f>[1]Data!S9</f>
        <v>8076</v>
      </c>
      <c r="DH9" s="2">
        <f>[1]Data!T9</f>
        <v>8618</v>
      </c>
      <c r="DI9" s="2">
        <f>[1]Data!U9</f>
        <v>8430</v>
      </c>
      <c r="DJ9" s="2">
        <f>[1]Data!V9</f>
        <v>8471</v>
      </c>
      <c r="DK9" s="2">
        <f>[1]Data!W9</f>
        <v>7732</v>
      </c>
      <c r="DL9" s="2">
        <f>[1]Data!X9</f>
        <v>7988</v>
      </c>
      <c r="DM9" s="2">
        <f>[1]Data!Y9</f>
        <v>7813</v>
      </c>
      <c r="DN9" s="2">
        <f>[1]Data!Z9</f>
        <v>8224</v>
      </c>
      <c r="DO9" s="2">
        <f>[1]Data!AA9</f>
        <v>7254</v>
      </c>
      <c r="DP9" s="2">
        <f>[1]Data!AB9</f>
        <v>7516</v>
      </c>
      <c r="DQ9" s="2">
        <f>[1]Data!AC9</f>
        <v>6577</v>
      </c>
      <c r="DR9" s="2">
        <f>[1]Data!AD9</f>
        <v>6977</v>
      </c>
      <c r="DS9" s="2">
        <f>[1]Data!AE9</f>
        <v>3087</v>
      </c>
      <c r="DT9" s="2">
        <f>[1]Data!AF9</f>
        <v>4688</v>
      </c>
      <c r="DU9" s="2">
        <f>[1]Data!AG9</f>
        <v>4725</v>
      </c>
      <c r="DV9" s="2">
        <f>[1]Data!AH9</f>
        <v>4073</v>
      </c>
      <c r="DW9" s="2">
        <f>[1]Data!AI9</f>
        <v>4343</v>
      </c>
      <c r="DX9" s="2">
        <v>4388</v>
      </c>
      <c r="DY9" s="2">
        <f>[4]Data!AK9</f>
        <v>4248</v>
      </c>
      <c r="DZ9" s="2">
        <f>[4]Data!AL9</f>
        <v>4869</v>
      </c>
      <c r="EA9" s="2">
        <f>[4]Data!AM9</f>
        <v>4860</v>
      </c>
    </row>
    <row r="10" spans="1:131" ht="16" x14ac:dyDescent="0.2">
      <c r="A10" t="s">
        <v>8</v>
      </c>
      <c r="B10" s="15" t="s">
        <v>287</v>
      </c>
      <c r="C10" s="9" t="s">
        <v>91</v>
      </c>
      <c r="D10" s="46">
        <f>SUMIFS(Hyde_iron!$C$34:$C$48,Hyde_iron!$B$34:$B$48,$B10)*I10/SUMIFS(I$3:I$63,$B$3:$B$63,$B10)</f>
        <v>0</v>
      </c>
      <c r="E10" s="7">
        <f t="shared" si="0"/>
        <v>0</v>
      </c>
      <c r="F10" s="7">
        <f t="shared" si="1"/>
        <v>0</v>
      </c>
      <c r="G10" s="7">
        <f t="shared" si="2"/>
        <v>0</v>
      </c>
      <c r="H10" s="7">
        <f t="shared" si="3"/>
        <v>0</v>
      </c>
      <c r="I10" s="46">
        <f>SUMIFS(Hyde_iron!$D$34:$D$48,Hyde_iron!$B$34:$B$48,$B10)*N10/SUMIFS(N$3:N$63,$B$3:$B$63,$B10)</f>
        <v>0</v>
      </c>
      <c r="J10" s="7">
        <f t="shared" si="4"/>
        <v>0</v>
      </c>
      <c r="K10" s="7">
        <f t="shared" si="5"/>
        <v>0</v>
      </c>
      <c r="L10" s="7">
        <f t="shared" si="6"/>
        <v>0</v>
      </c>
      <c r="M10" s="7">
        <f t="shared" si="7"/>
        <v>0</v>
      </c>
      <c r="N10" s="46">
        <f>SUMIFS(Hyde_iron!$E$34:$E$48,Hyde_iron!$B$34:$B$48,$B10)*S10/SUMIFS(S$3:S$63,$B$3:$B$63,$B10)</f>
        <v>0</v>
      </c>
      <c r="O10" s="7">
        <f t="shared" si="8"/>
        <v>0</v>
      </c>
      <c r="P10" s="7">
        <f t="shared" si="9"/>
        <v>0</v>
      </c>
      <c r="Q10" s="7">
        <f t="shared" si="10"/>
        <v>0</v>
      </c>
      <c r="R10" s="7">
        <f t="shared" si="11"/>
        <v>0</v>
      </c>
      <c r="S10" s="46">
        <f>SUMIFS(Hyde_iron!$F$34:$F$48,Hyde_iron!$B$34:$B$48,$B10)*X10/SUMIFS(X$3:X$63,$B$3:$B$63,$B10)</f>
        <v>0</v>
      </c>
      <c r="T10" s="7">
        <f t="shared" si="12"/>
        <v>0</v>
      </c>
      <c r="U10" s="7">
        <f t="shared" si="13"/>
        <v>0</v>
      </c>
      <c r="V10" s="7">
        <f t="shared" si="14"/>
        <v>0</v>
      </c>
      <c r="W10" s="7">
        <f t="shared" si="15"/>
        <v>0</v>
      </c>
      <c r="X10" s="46">
        <f>SUMIFS(Hyde_iron!$G$34:$G$48,Hyde_iron!$B$34:$B$48,$B10)*AC10/SUMIFS(AC$3:AC$63,$B$3:$B$63,$B10)</f>
        <v>0</v>
      </c>
      <c r="Y10" s="7">
        <f t="shared" si="16"/>
        <v>0</v>
      </c>
      <c r="Z10" s="7">
        <f t="shared" si="17"/>
        <v>0</v>
      </c>
      <c r="AA10" s="7">
        <f t="shared" si="18"/>
        <v>0</v>
      </c>
      <c r="AB10" s="7">
        <f t="shared" si="19"/>
        <v>0</v>
      </c>
      <c r="AC10" s="46">
        <f>SUMIFS(Hyde_iron!$H$34:$H$48,Hyde_iron!$B$34:$B$48,$B10)*AH10/SUMIFS(AH$3:AH$63,$B$3:$B$63,$B10)</f>
        <v>0</v>
      </c>
      <c r="AD10" s="7">
        <f t="shared" si="20"/>
        <v>0</v>
      </c>
      <c r="AE10" s="7">
        <f t="shared" si="21"/>
        <v>0</v>
      </c>
      <c r="AF10" s="7">
        <f t="shared" si="22"/>
        <v>0</v>
      </c>
      <c r="AG10" s="7">
        <f t="shared" si="23"/>
        <v>0</v>
      </c>
      <c r="AH10" s="46">
        <f>SUMIFS(Hyde_iron!$I$34:$I$48,Hyde_iron!$B$34:$B$48,$B10)*AM10/SUMIFS(AM$3:AM$63,$B$3:$B$63,$B10)</f>
        <v>0</v>
      </c>
      <c r="AI10" s="7">
        <f t="shared" si="24"/>
        <v>0</v>
      </c>
      <c r="AJ10" s="7">
        <f t="shared" si="25"/>
        <v>0</v>
      </c>
      <c r="AK10" s="7">
        <f t="shared" si="26"/>
        <v>0</v>
      </c>
      <c r="AL10" s="7">
        <f t="shared" si="27"/>
        <v>0</v>
      </c>
      <c r="AM10" s="46">
        <f>SUMIFS(SPEW_Pig_iron_production!$R:$R,SPEW_Pig_iron_production!$B:$B,$C10)</f>
        <v>0</v>
      </c>
      <c r="AN10" s="7">
        <f t="shared" si="28"/>
        <v>0</v>
      </c>
      <c r="AO10" s="7">
        <f t="shared" si="29"/>
        <v>0</v>
      </c>
      <c r="AP10" s="7">
        <f t="shared" si="30"/>
        <v>0</v>
      </c>
      <c r="AQ10" s="7">
        <f t="shared" si="31"/>
        <v>0</v>
      </c>
      <c r="AR10" s="46">
        <f>SUMIFS(SPEW_Pig_iron_production!$S:$S,SPEW_Pig_iron_production!$B:$B,$C10)</f>
        <v>0</v>
      </c>
      <c r="AS10" s="7">
        <f t="shared" si="32"/>
        <v>0</v>
      </c>
      <c r="AT10" s="7">
        <f t="shared" si="33"/>
        <v>0</v>
      </c>
      <c r="AU10" s="7">
        <f t="shared" si="34"/>
        <v>0</v>
      </c>
      <c r="AV10" s="7">
        <f t="shared" si="35"/>
        <v>0</v>
      </c>
      <c r="AW10" s="46">
        <f>SUMIFS(SPEW_Pig_iron_production!$T:$T,SPEW_Pig_iron_production!$B:$B,$C10)</f>
        <v>0</v>
      </c>
      <c r="AX10" s="7">
        <f t="shared" si="36"/>
        <v>0</v>
      </c>
      <c r="AY10" s="7">
        <f t="shared" si="37"/>
        <v>0</v>
      </c>
      <c r="AZ10" s="7">
        <f t="shared" si="38"/>
        <v>0</v>
      </c>
      <c r="BA10" s="7">
        <f t="shared" si="39"/>
        <v>0</v>
      </c>
      <c r="BB10" s="46">
        <f>SUMIFS(SPEW_Pig_iron_production!$U:$U,SPEW_Pig_iron_production!$B:$B,$C10)</f>
        <v>0</v>
      </c>
      <c r="BC10" s="7">
        <f t="shared" si="40"/>
        <v>0</v>
      </c>
      <c r="BD10" s="7">
        <f t="shared" si="41"/>
        <v>0</v>
      </c>
      <c r="BE10" s="7">
        <f t="shared" si="42"/>
        <v>0</v>
      </c>
      <c r="BF10" s="7">
        <f t="shared" si="43"/>
        <v>0</v>
      </c>
      <c r="BG10" s="46">
        <f>SUMIFS(SPEW_Pig_iron_production!$V:$V,SPEW_Pig_iron_production!$B:$B,$C10)</f>
        <v>0</v>
      </c>
      <c r="BH10" s="7">
        <f t="shared" si="44"/>
        <v>0</v>
      </c>
      <c r="BI10" s="7">
        <f t="shared" si="45"/>
        <v>0</v>
      </c>
      <c r="BJ10" s="7">
        <f t="shared" si="46"/>
        <v>0</v>
      </c>
      <c r="BK10" s="7">
        <f t="shared" si="47"/>
        <v>0</v>
      </c>
      <c r="BL10" s="46">
        <f>SUMIFS(SPEW_Pig_iron_production!$W:$W,SPEW_Pig_iron_production!$B:$B,$C10)</f>
        <v>0</v>
      </c>
      <c r="BM10" s="7">
        <f t="shared" si="48"/>
        <v>0</v>
      </c>
      <c r="BN10" s="7">
        <f t="shared" si="49"/>
        <v>0</v>
      </c>
      <c r="BO10" s="7">
        <f t="shared" si="50"/>
        <v>0</v>
      </c>
      <c r="BP10" s="7">
        <f t="shared" si="51"/>
        <v>0</v>
      </c>
      <c r="BQ10" s="46">
        <f>SUMIFS(SPEW_Pig_iron_production!$X:$X,SPEW_Pig_iron_production!$B:$B,$C10)</f>
        <v>0</v>
      </c>
      <c r="BR10" s="7">
        <f t="shared" si="52"/>
        <v>0</v>
      </c>
      <c r="BS10" s="7">
        <f t="shared" si="53"/>
        <v>0</v>
      </c>
      <c r="BT10" s="7">
        <f t="shared" si="54"/>
        <v>0</v>
      </c>
      <c r="BU10" s="7">
        <f t="shared" si="55"/>
        <v>0</v>
      </c>
      <c r="BV10" s="46">
        <f>SUMIFS(SPEW_Pig_iron_production!$Y:$Y,SPEW_Pig_iron_production!$B:$B,$C10)</f>
        <v>0</v>
      </c>
      <c r="BW10" s="7">
        <f t="shared" si="56"/>
        <v>0</v>
      </c>
      <c r="BX10" s="7">
        <f t="shared" si="57"/>
        <v>0</v>
      </c>
      <c r="BY10" s="7">
        <f t="shared" si="58"/>
        <v>0</v>
      </c>
      <c r="BZ10" s="7">
        <f t="shared" si="59"/>
        <v>0</v>
      </c>
      <c r="CA10" s="46">
        <f>SUMIFS(SPEW_Pig_iron_production!$Z:$Z,SPEW_Pig_iron_production!$B:$B,$C10)</f>
        <v>0</v>
      </c>
      <c r="CB10" s="7">
        <f t="shared" si="60"/>
        <v>0</v>
      </c>
      <c r="CC10" s="7">
        <f t="shared" si="61"/>
        <v>0</v>
      </c>
      <c r="CD10" s="7">
        <f t="shared" si="62"/>
        <v>0</v>
      </c>
      <c r="CE10" s="7">
        <f t="shared" si="63"/>
        <v>0</v>
      </c>
      <c r="CF10" s="46">
        <f>SUMIFS(SPEW_Pig_iron_production!$AA:$AA,SPEW_Pig_iron_production!$B:$B,$C10)</f>
        <v>0</v>
      </c>
      <c r="CG10" s="7">
        <f t="shared" si="64"/>
        <v>0</v>
      </c>
      <c r="CH10" s="7">
        <f t="shared" si="65"/>
        <v>0</v>
      </c>
      <c r="CI10" s="7">
        <f t="shared" si="66"/>
        <v>0</v>
      </c>
      <c r="CJ10" s="7">
        <f t="shared" si="67"/>
        <v>0</v>
      </c>
      <c r="CK10" s="46">
        <f>SUMIFS(SPEW_Pig_iron_production!$AB:$AB,SPEW_Pig_iron_production!$B:$B,$C10)</f>
        <v>0</v>
      </c>
      <c r="CL10" s="7">
        <f t="shared" si="68"/>
        <v>0</v>
      </c>
      <c r="CM10" s="7">
        <f t="shared" si="69"/>
        <v>0</v>
      </c>
      <c r="CN10" s="7">
        <f t="shared" si="70"/>
        <v>0</v>
      </c>
      <c r="CO10" s="7">
        <f t="shared" si="71"/>
        <v>0</v>
      </c>
      <c r="CP10" s="2">
        <f>[1]Data!B10</f>
        <v>0</v>
      </c>
      <c r="CQ10" s="2">
        <f>[1]Data!C10</f>
        <v>0</v>
      </c>
      <c r="CR10" s="2">
        <f>[1]Data!D10</f>
        <v>0</v>
      </c>
      <c r="CS10" s="2">
        <f>[1]Data!E10</f>
        <v>0</v>
      </c>
      <c r="CT10" s="2">
        <f>[1]Data!F10</f>
        <v>0</v>
      </c>
      <c r="CU10" s="2">
        <f>[1]Data!G10</f>
        <v>0</v>
      </c>
      <c r="CV10" s="2">
        <f>[1]Data!H10</f>
        <v>0</v>
      </c>
      <c r="CW10" s="2">
        <f>[1]Data!I10</f>
        <v>0</v>
      </c>
      <c r="CX10" s="2">
        <f>[1]Data!J10</f>
        <v>0</v>
      </c>
      <c r="CY10" s="2">
        <f>[1]Data!K10</f>
        <v>0</v>
      </c>
      <c r="CZ10" s="2">
        <f>[1]Data!L10</f>
        <v>0</v>
      </c>
      <c r="DA10" s="2">
        <f>[1]Data!M10</f>
        <v>0</v>
      </c>
      <c r="DB10" s="2">
        <f>[1]Data!N10</f>
        <v>0</v>
      </c>
      <c r="DC10" s="2">
        <f>[1]Data!O10</f>
        <v>0</v>
      </c>
      <c r="DD10" s="2">
        <f>[1]Data!P10</f>
        <v>0</v>
      </c>
      <c r="DE10" s="2">
        <f>[1]Data!Q10</f>
        <v>0</v>
      </c>
      <c r="DF10" s="2">
        <f>[1]Data!R10</f>
        <v>0</v>
      </c>
      <c r="DG10" s="2">
        <f>[1]Data!S10</f>
        <v>0</v>
      </c>
      <c r="DH10" s="2">
        <f>[1]Data!T10</f>
        <v>0</v>
      </c>
      <c r="DI10" s="2">
        <f>[1]Data!U10</f>
        <v>0</v>
      </c>
      <c r="DJ10" s="2">
        <f>[1]Data!V10</f>
        <v>0</v>
      </c>
      <c r="DK10" s="2">
        <f>[1]Data!W10</f>
        <v>0</v>
      </c>
      <c r="DL10" s="2">
        <f>[1]Data!X10</f>
        <v>0</v>
      </c>
      <c r="DM10" s="2">
        <f>[1]Data!Y10</f>
        <v>0</v>
      </c>
      <c r="DN10" s="2">
        <f>[1]Data!Z10</f>
        <v>0</v>
      </c>
      <c r="DO10" s="2">
        <f>[1]Data!AA10</f>
        <v>0</v>
      </c>
      <c r="DP10" s="2">
        <f>[1]Data!AB10</f>
        <v>0</v>
      </c>
      <c r="DQ10" s="2">
        <f>[1]Data!AC10</f>
        <v>0</v>
      </c>
      <c r="DR10" s="2">
        <f>[1]Data!AD10</f>
        <v>243</v>
      </c>
      <c r="DS10" s="2">
        <f>[1]Data!AE10</f>
        <v>483</v>
      </c>
      <c r="DT10" s="2">
        <f>[1]Data!AF10</f>
        <v>621</v>
      </c>
      <c r="DU10" s="2">
        <f>[1]Data!AG10</f>
        <v>685</v>
      </c>
      <c r="DV10" s="2">
        <f>[1]Data!AH10</f>
        <v>750</v>
      </c>
      <c r="DW10" s="2">
        <f>[1]Data!AI10</f>
        <v>759</v>
      </c>
      <c r="DX10" s="2">
        <v>860</v>
      </c>
      <c r="DY10" s="2">
        <f>[4]Data!AK10</f>
        <v>845</v>
      </c>
      <c r="DZ10" s="2">
        <f>[4]Data!AL10</f>
        <v>778</v>
      </c>
      <c r="EA10" s="2">
        <f>[4]Data!AM10</f>
        <v>738</v>
      </c>
    </row>
    <row r="11" spans="1:131" ht="16" x14ac:dyDescent="0.2">
      <c r="A11" t="s">
        <v>9</v>
      </c>
      <c r="C11" s="9" t="s">
        <v>92</v>
      </c>
      <c r="D11" s="46">
        <v>0</v>
      </c>
      <c r="E11" s="7">
        <f t="shared" si="0"/>
        <v>0</v>
      </c>
      <c r="F11" s="7">
        <f t="shared" si="1"/>
        <v>0</v>
      </c>
      <c r="G11" s="7">
        <f t="shared" si="2"/>
        <v>0</v>
      </c>
      <c r="H11" s="7">
        <f t="shared" si="3"/>
        <v>0</v>
      </c>
      <c r="I11" s="46">
        <v>0</v>
      </c>
      <c r="J11" s="7">
        <f t="shared" si="4"/>
        <v>0</v>
      </c>
      <c r="K11" s="7">
        <f t="shared" si="5"/>
        <v>0</v>
      </c>
      <c r="L11" s="7">
        <f t="shared" si="6"/>
        <v>0</v>
      </c>
      <c r="M11" s="7">
        <f t="shared" si="7"/>
        <v>0</v>
      </c>
      <c r="N11" s="46">
        <v>0</v>
      </c>
      <c r="O11" s="7">
        <f t="shared" si="8"/>
        <v>0</v>
      </c>
      <c r="P11" s="7">
        <f t="shared" si="9"/>
        <v>0</v>
      </c>
      <c r="Q11" s="7">
        <f t="shared" si="10"/>
        <v>0</v>
      </c>
      <c r="R11" s="7">
        <f t="shared" si="11"/>
        <v>0</v>
      </c>
      <c r="S11" s="46">
        <v>0</v>
      </c>
      <c r="T11" s="7">
        <f t="shared" si="12"/>
        <v>0</v>
      </c>
      <c r="U11" s="7">
        <f t="shared" si="13"/>
        <v>0</v>
      </c>
      <c r="V11" s="7">
        <f t="shared" si="14"/>
        <v>0</v>
      </c>
      <c r="W11" s="7">
        <f t="shared" si="15"/>
        <v>0</v>
      </c>
      <c r="X11" s="46">
        <v>0</v>
      </c>
      <c r="Y11" s="7">
        <f t="shared" si="16"/>
        <v>0</v>
      </c>
      <c r="Z11" s="7">
        <f t="shared" si="17"/>
        <v>0</v>
      </c>
      <c r="AA11" s="7">
        <f t="shared" si="18"/>
        <v>0</v>
      </c>
      <c r="AB11" s="7">
        <f t="shared" si="19"/>
        <v>0</v>
      </c>
      <c r="AC11" s="46">
        <f>Hyde_iron!$H$38*AH11/(AH$11+AH$33)</f>
        <v>0</v>
      </c>
      <c r="AD11" s="7">
        <f t="shared" si="20"/>
        <v>3.18987341772152</v>
      </c>
      <c r="AE11" s="7">
        <f t="shared" si="21"/>
        <v>6.3797468354430391</v>
      </c>
      <c r="AF11" s="7">
        <f t="shared" si="22"/>
        <v>9.5696202531645582</v>
      </c>
      <c r="AG11" s="7">
        <f t="shared" si="23"/>
        <v>12.759493670886076</v>
      </c>
      <c r="AH11" s="46">
        <f>Hyde_iron!$I$38*AM11/(AM$11+AM$33)</f>
        <v>15.949367088607595</v>
      </c>
      <c r="AI11" s="7">
        <f t="shared" si="24"/>
        <v>18.759493670886073</v>
      </c>
      <c r="AJ11" s="7">
        <f t="shared" si="25"/>
        <v>21.569620253164555</v>
      </c>
      <c r="AK11" s="7">
        <f t="shared" si="26"/>
        <v>24.379746835443036</v>
      </c>
      <c r="AL11" s="7">
        <f t="shared" si="27"/>
        <v>27.189873417721518</v>
      </c>
      <c r="AM11" s="46">
        <f>SUMIFS(SPEW_Pig_iron_production!$R:$R,SPEW_Pig_iron_production!$B:$B,$C11)</f>
        <v>30</v>
      </c>
      <c r="AN11" s="7">
        <f t="shared" si="28"/>
        <v>31</v>
      </c>
      <c r="AO11" s="7">
        <f t="shared" si="29"/>
        <v>32</v>
      </c>
      <c r="AP11" s="7">
        <f t="shared" si="30"/>
        <v>33</v>
      </c>
      <c r="AQ11" s="7">
        <f t="shared" si="31"/>
        <v>34</v>
      </c>
      <c r="AR11" s="46">
        <f>SUMIFS(SPEW_Pig_iron_production!$S:$S,SPEW_Pig_iron_production!$B:$B,$C11)</f>
        <v>35</v>
      </c>
      <c r="AS11" s="7">
        <f t="shared" si="32"/>
        <v>40.800000000000011</v>
      </c>
      <c r="AT11" s="7">
        <f t="shared" si="33"/>
        <v>46.600000000000009</v>
      </c>
      <c r="AU11" s="7">
        <f t="shared" si="34"/>
        <v>52.400000000000006</v>
      </c>
      <c r="AV11" s="7">
        <f t="shared" si="35"/>
        <v>58.2</v>
      </c>
      <c r="AW11" s="46">
        <f>SUMIFS(SPEW_Pig_iron_production!$T:$T,SPEW_Pig_iron_production!$B:$B,$C11)</f>
        <v>64</v>
      </c>
      <c r="AX11" s="7">
        <f t="shared" si="36"/>
        <v>88.399999999999977</v>
      </c>
      <c r="AY11" s="7">
        <f t="shared" si="37"/>
        <v>112.79999999999998</v>
      </c>
      <c r="AZ11" s="7">
        <f t="shared" si="38"/>
        <v>137.19999999999999</v>
      </c>
      <c r="BA11" s="7">
        <f t="shared" si="39"/>
        <v>161.6</v>
      </c>
      <c r="BB11" s="46">
        <f>SUMIFS(SPEW_Pig_iron_production!$U:$U,SPEW_Pig_iron_production!$B:$B,$C11)</f>
        <v>186</v>
      </c>
      <c r="BC11" s="7">
        <f t="shared" si="40"/>
        <v>200.79999999999995</v>
      </c>
      <c r="BD11" s="7">
        <f t="shared" si="41"/>
        <v>215.59999999999997</v>
      </c>
      <c r="BE11" s="7">
        <f t="shared" si="42"/>
        <v>230.39999999999998</v>
      </c>
      <c r="BF11" s="7">
        <f t="shared" si="43"/>
        <v>245.2</v>
      </c>
      <c r="BG11" s="46">
        <f>SUMIFS(SPEW_Pig_iron_production!$V:$V,SPEW_Pig_iron_production!$B:$B,$C11)</f>
        <v>260</v>
      </c>
      <c r="BH11" s="7">
        <f t="shared" si="44"/>
        <v>353.80000000000007</v>
      </c>
      <c r="BI11" s="7">
        <f t="shared" si="45"/>
        <v>447.60000000000008</v>
      </c>
      <c r="BJ11" s="7">
        <f t="shared" si="46"/>
        <v>541.40000000000009</v>
      </c>
      <c r="BK11" s="7">
        <f t="shared" si="47"/>
        <v>635.20000000000005</v>
      </c>
      <c r="BL11" s="46">
        <f>SUMIFS(SPEW_Pig_iron_production!$W:$W,SPEW_Pig_iron_production!$B:$B,$C11)</f>
        <v>729</v>
      </c>
      <c r="BM11" s="7">
        <f t="shared" si="48"/>
        <v>800.59999999999991</v>
      </c>
      <c r="BN11" s="7">
        <f t="shared" si="49"/>
        <v>872.19999999999993</v>
      </c>
      <c r="BO11" s="7">
        <f t="shared" si="50"/>
        <v>943.8</v>
      </c>
      <c r="BP11" s="7">
        <f t="shared" si="51"/>
        <v>1015.4</v>
      </c>
      <c r="BQ11" s="46">
        <f>SUMIFS(SPEW_Pig_iron_production!$X:$X,SPEW_Pig_iron_production!$B:$B,$C11)</f>
        <v>1087</v>
      </c>
      <c r="BR11" s="7">
        <f t="shared" si="52"/>
        <v>1226.1999999999998</v>
      </c>
      <c r="BS11" s="7">
        <f t="shared" si="53"/>
        <v>1365.3999999999999</v>
      </c>
      <c r="BT11" s="7">
        <f t="shared" si="54"/>
        <v>1504.6</v>
      </c>
      <c r="BU11" s="7">
        <f t="shared" si="55"/>
        <v>1643.8</v>
      </c>
      <c r="BV11" s="46">
        <f>SUMIFS(SPEW_Pig_iron_production!$Y:$Y,SPEW_Pig_iron_production!$B:$B,$C11)</f>
        <v>1783</v>
      </c>
      <c r="BW11" s="7">
        <f t="shared" si="56"/>
        <v>1944.3999999999996</v>
      </c>
      <c r="BX11" s="7">
        <f t="shared" si="57"/>
        <v>2105.7999999999997</v>
      </c>
      <c r="BY11" s="7">
        <f t="shared" si="58"/>
        <v>2267.1999999999998</v>
      </c>
      <c r="BZ11" s="7">
        <f t="shared" si="59"/>
        <v>2428.6</v>
      </c>
      <c r="CA11" s="46">
        <f>SUMIFS(SPEW_Pig_iron_production!$Z:$Z,SPEW_Pig_iron_production!$B:$B,$C11)</f>
        <v>2590</v>
      </c>
      <c r="CB11" s="7">
        <f t="shared" si="60"/>
        <v>2931.2000000000007</v>
      </c>
      <c r="CC11" s="7">
        <f t="shared" si="61"/>
        <v>3272.4000000000005</v>
      </c>
      <c r="CD11" s="7">
        <f t="shared" si="62"/>
        <v>3613.6000000000004</v>
      </c>
      <c r="CE11" s="7">
        <f t="shared" si="63"/>
        <v>3954.8</v>
      </c>
      <c r="CF11" s="46">
        <f>SUMIFS(SPEW_Pig_iron_production!$AA:$AA,SPEW_Pig_iron_production!$B:$B,$C11)</f>
        <v>4296</v>
      </c>
      <c r="CG11" s="7">
        <f t="shared" si="64"/>
        <v>4915.4000000000015</v>
      </c>
      <c r="CH11" s="7">
        <f t="shared" si="65"/>
        <v>5534.8000000000011</v>
      </c>
      <c r="CI11" s="7">
        <f t="shared" si="66"/>
        <v>6154.2000000000007</v>
      </c>
      <c r="CJ11" s="7">
        <f t="shared" si="67"/>
        <v>6773.6</v>
      </c>
      <c r="CK11" s="46">
        <f>SUMIFS(SPEW_Pig_iron_production!$AB:$AB,SPEW_Pig_iron_production!$B:$B,$C11)</f>
        <v>7393</v>
      </c>
      <c r="CL11" s="7">
        <f t="shared" si="68"/>
        <v>8451.4000000000015</v>
      </c>
      <c r="CM11" s="7">
        <f t="shared" si="69"/>
        <v>9509.8000000000011</v>
      </c>
      <c r="CN11" s="7">
        <f t="shared" si="70"/>
        <v>10568.2</v>
      </c>
      <c r="CO11" s="7">
        <f t="shared" si="71"/>
        <v>11626.6</v>
      </c>
      <c r="CP11" s="2">
        <f>[1]Data!B11</f>
        <v>12685</v>
      </c>
      <c r="CQ11" s="2">
        <f>[1]Data!C11</f>
        <v>10791</v>
      </c>
      <c r="CR11" s="2">
        <f>[1]Data!D11</f>
        <v>10827</v>
      </c>
      <c r="CS11" s="2">
        <f>[1]Data!E11</f>
        <v>12945</v>
      </c>
      <c r="CT11" s="2">
        <f>[1]Data!F11</f>
        <v>17230</v>
      </c>
      <c r="CU11" s="2">
        <f>[1]Data!G11</f>
        <v>18961</v>
      </c>
      <c r="CV11" s="2">
        <f>[1]Data!H11</f>
        <v>20353</v>
      </c>
      <c r="CW11" s="2">
        <f>[1]Data!I11</f>
        <v>21335</v>
      </c>
      <c r="CX11" s="2">
        <f>[1]Data!J11</f>
        <v>23454</v>
      </c>
      <c r="CY11" s="2">
        <f>[1]Data!K11</f>
        <v>24363</v>
      </c>
      <c r="CZ11" s="2">
        <f>[1]Data!L11</f>
        <v>21141</v>
      </c>
      <c r="DA11" s="2">
        <f>[1]Data!M11</f>
        <v>22695</v>
      </c>
      <c r="DB11" s="2">
        <f>[1]Data!N11</f>
        <v>23152</v>
      </c>
      <c r="DC11" s="2">
        <f>[1]Data!O11</f>
        <v>23982</v>
      </c>
      <c r="DD11" s="2">
        <f>[1]Data!P11</f>
        <v>25177</v>
      </c>
      <c r="DE11" s="2">
        <f>[1]Data!Q11</f>
        <v>25021</v>
      </c>
      <c r="DF11" s="2">
        <f>[1]Data!R11</f>
        <v>23978</v>
      </c>
      <c r="DG11" s="2">
        <f>[1]Data!S11</f>
        <v>25013</v>
      </c>
      <c r="DH11" s="2">
        <f>[1]Data!T11</f>
        <v>25111</v>
      </c>
      <c r="DI11" s="2">
        <f>[1]Data!U11</f>
        <v>24549</v>
      </c>
      <c r="DJ11" s="2">
        <f>[1]Data!V11</f>
        <v>27723</v>
      </c>
      <c r="DK11" s="2">
        <f>[1]Data!W11</f>
        <v>27391</v>
      </c>
      <c r="DL11" s="2">
        <f>[1]Data!X11</f>
        <v>29694</v>
      </c>
      <c r="DM11" s="2">
        <f>[1]Data!Y11</f>
        <v>32038</v>
      </c>
      <c r="DN11" s="2">
        <f>[1]Data!Z11</f>
        <v>34558</v>
      </c>
      <c r="DO11" s="2">
        <f>[1]Data!AA11</f>
        <v>33884</v>
      </c>
      <c r="DP11" s="2">
        <f>[1]Data!AB11</f>
        <v>32452</v>
      </c>
      <c r="DQ11" s="2">
        <f>[1]Data!AC11</f>
        <v>35571</v>
      </c>
      <c r="DR11" s="2">
        <f>[1]Data!AD11</f>
        <v>34925</v>
      </c>
      <c r="DS11" s="2">
        <f>[1]Data!AE11</f>
        <v>25135</v>
      </c>
      <c r="DT11" s="2">
        <f>[1]Data!AF11</f>
        <v>30955</v>
      </c>
      <c r="DU11" s="2">
        <f>[1]Data!AG11</f>
        <v>33319</v>
      </c>
      <c r="DV11" s="2">
        <f>[1]Data!AH11</f>
        <v>26900</v>
      </c>
      <c r="DW11" s="2">
        <f>[1]Data!AI11</f>
        <v>26200</v>
      </c>
      <c r="DX11" s="2">
        <v>27016</v>
      </c>
      <c r="DY11" s="2">
        <f>[4]Data!AK11</f>
        <v>27803</v>
      </c>
      <c r="DZ11" s="2">
        <f>[4]Data!AL11</f>
        <v>26036</v>
      </c>
      <c r="EA11" s="2">
        <f>[4]Data!AM11</f>
        <v>28427</v>
      </c>
    </row>
    <row r="12" spans="1:131" ht="16" x14ac:dyDescent="0.2">
      <c r="A12" t="s">
        <v>10</v>
      </c>
      <c r="B12" s="15" t="s">
        <v>287</v>
      </c>
      <c r="C12" s="9" t="s">
        <v>93</v>
      </c>
      <c r="D12" s="46">
        <f>SUMIFS(Hyde_iron!$C$34:$C$48,Hyde_iron!$B$34:$B$48,$B12)*I12/SUMIFS(I$3:I$63,$B$3:$B$63,$B12)</f>
        <v>0</v>
      </c>
      <c r="E12" s="7">
        <f t="shared" si="0"/>
        <v>0</v>
      </c>
      <c r="F12" s="7">
        <f t="shared" si="1"/>
        <v>0</v>
      </c>
      <c r="G12" s="7">
        <f t="shared" si="2"/>
        <v>0</v>
      </c>
      <c r="H12" s="7">
        <f t="shared" si="3"/>
        <v>0</v>
      </c>
      <c r="I12" s="46">
        <f>SUMIFS(Hyde_iron!$D$34:$D$48,Hyde_iron!$B$34:$B$48,$B12)*N12/SUMIFS(N$3:N$63,$B$3:$B$63,$B12)</f>
        <v>0</v>
      </c>
      <c r="J12" s="7">
        <f t="shared" si="4"/>
        <v>0</v>
      </c>
      <c r="K12" s="7">
        <f t="shared" si="5"/>
        <v>0</v>
      </c>
      <c r="L12" s="7">
        <f t="shared" si="6"/>
        <v>0</v>
      </c>
      <c r="M12" s="7">
        <f t="shared" si="7"/>
        <v>0</v>
      </c>
      <c r="N12" s="46">
        <f>SUMIFS(Hyde_iron!$E$34:$E$48,Hyde_iron!$B$34:$B$48,$B12)*S12/SUMIFS(S$3:S$63,$B$3:$B$63,$B12)</f>
        <v>0</v>
      </c>
      <c r="O12" s="7">
        <f t="shared" si="8"/>
        <v>0</v>
      </c>
      <c r="P12" s="7">
        <f t="shared" si="9"/>
        <v>0</v>
      </c>
      <c r="Q12" s="7">
        <f t="shared" si="10"/>
        <v>0</v>
      </c>
      <c r="R12" s="7">
        <f t="shared" si="11"/>
        <v>0</v>
      </c>
      <c r="S12" s="46">
        <f>SUMIFS(Hyde_iron!$F$34:$F$48,Hyde_iron!$B$34:$B$48,$B12)*X12/SUMIFS(X$3:X$63,$B$3:$B$63,$B12)</f>
        <v>0</v>
      </c>
      <c r="T12" s="7">
        <f t="shared" si="12"/>
        <v>0</v>
      </c>
      <c r="U12" s="7">
        <f t="shared" si="13"/>
        <v>0</v>
      </c>
      <c r="V12" s="7">
        <f t="shared" si="14"/>
        <v>0</v>
      </c>
      <c r="W12" s="7">
        <f t="shared" si="15"/>
        <v>0</v>
      </c>
      <c r="X12" s="46">
        <f>SUMIFS(Hyde_iron!$G$34:$G$48,Hyde_iron!$B$34:$B$48,$B12)*AC12/SUMIFS(AC$3:AC$63,$B$3:$B$63,$B12)</f>
        <v>0</v>
      </c>
      <c r="Y12" s="7">
        <f t="shared" si="16"/>
        <v>0</v>
      </c>
      <c r="Z12" s="7">
        <f t="shared" si="17"/>
        <v>0</v>
      </c>
      <c r="AA12" s="7">
        <f t="shared" si="18"/>
        <v>0</v>
      </c>
      <c r="AB12" s="7">
        <f t="shared" si="19"/>
        <v>0</v>
      </c>
      <c r="AC12" s="46">
        <f>SUMIFS(Hyde_iron!$H$34:$H$48,Hyde_iron!$B$34:$B$48,$B12)*AH12/SUMIFS(AH$3:AH$63,$B$3:$B$63,$B12)</f>
        <v>0</v>
      </c>
      <c r="AD12" s="7">
        <f t="shared" si="20"/>
        <v>0</v>
      </c>
      <c r="AE12" s="7">
        <f t="shared" si="21"/>
        <v>0</v>
      </c>
      <c r="AF12" s="7">
        <f t="shared" si="22"/>
        <v>0</v>
      </c>
      <c r="AG12" s="7">
        <f t="shared" si="23"/>
        <v>0</v>
      </c>
      <c r="AH12" s="46">
        <f>SUMIFS(Hyde_iron!$I$34:$I$48,Hyde_iron!$B$34:$B$48,$B12)*AM12/SUMIFS(AM$3:AM$63,$B$3:$B$63,$B12)</f>
        <v>0</v>
      </c>
      <c r="AI12" s="7">
        <f t="shared" si="24"/>
        <v>0</v>
      </c>
      <c r="AJ12" s="7">
        <f t="shared" si="25"/>
        <v>0</v>
      </c>
      <c r="AK12" s="7">
        <f t="shared" si="26"/>
        <v>0</v>
      </c>
      <c r="AL12" s="7">
        <f t="shared" si="27"/>
        <v>0</v>
      </c>
      <c r="AM12" s="46">
        <f>SUMIFS(SPEW_Pig_iron_production!$R:$R,SPEW_Pig_iron_production!$B:$B,$C12)</f>
        <v>0</v>
      </c>
      <c r="AN12" s="7">
        <f t="shared" si="28"/>
        <v>0</v>
      </c>
      <c r="AO12" s="7">
        <f t="shared" si="29"/>
        <v>0</v>
      </c>
      <c r="AP12" s="7">
        <f t="shared" si="30"/>
        <v>0</v>
      </c>
      <c r="AQ12" s="7">
        <f t="shared" si="31"/>
        <v>0</v>
      </c>
      <c r="AR12" s="46">
        <f>SUMIFS(SPEW_Pig_iron_production!$S:$S,SPEW_Pig_iron_production!$B:$B,$C12)</f>
        <v>0</v>
      </c>
      <c r="AS12" s="7">
        <f t="shared" si="32"/>
        <v>0</v>
      </c>
      <c r="AT12" s="7">
        <f t="shared" si="33"/>
        <v>0</v>
      </c>
      <c r="AU12" s="7">
        <f t="shared" si="34"/>
        <v>0</v>
      </c>
      <c r="AV12" s="7">
        <f t="shared" si="35"/>
        <v>0</v>
      </c>
      <c r="AW12" s="46">
        <f>SUMIFS(SPEW_Pig_iron_production!$T:$T,SPEW_Pig_iron_production!$B:$B,$C12)</f>
        <v>0</v>
      </c>
      <c r="AX12" s="7">
        <f t="shared" si="36"/>
        <v>0</v>
      </c>
      <c r="AY12" s="7">
        <f t="shared" si="37"/>
        <v>0</v>
      </c>
      <c r="AZ12" s="7">
        <f t="shared" si="38"/>
        <v>0</v>
      </c>
      <c r="BA12" s="7">
        <f t="shared" si="39"/>
        <v>0</v>
      </c>
      <c r="BB12" s="46">
        <f>SUMIFS(SPEW_Pig_iron_production!$U:$U,SPEW_Pig_iron_production!$B:$B,$C12)</f>
        <v>0</v>
      </c>
      <c r="BC12" s="7">
        <f t="shared" si="40"/>
        <v>0</v>
      </c>
      <c r="BD12" s="7">
        <f t="shared" si="41"/>
        <v>0</v>
      </c>
      <c r="BE12" s="7">
        <f t="shared" si="42"/>
        <v>0</v>
      </c>
      <c r="BF12" s="7">
        <f t="shared" si="43"/>
        <v>0</v>
      </c>
      <c r="BG12" s="46">
        <f>SUMIFS(SPEW_Pig_iron_production!$V:$V,SPEW_Pig_iron_production!$B:$B,$C12)</f>
        <v>0</v>
      </c>
      <c r="BH12" s="7">
        <f t="shared" si="44"/>
        <v>0.59999999999999976</v>
      </c>
      <c r="BI12" s="7">
        <f t="shared" si="45"/>
        <v>1.1999999999999997</v>
      </c>
      <c r="BJ12" s="7">
        <f t="shared" si="46"/>
        <v>1.7999999999999998</v>
      </c>
      <c r="BK12" s="7">
        <f t="shared" si="47"/>
        <v>2.4</v>
      </c>
      <c r="BL12" s="46">
        <f>SUMIFS(SPEW_Pig_iron_production!$W:$W,SPEW_Pig_iron_production!$B:$B,$C12)</f>
        <v>3</v>
      </c>
      <c r="BM12" s="7">
        <f t="shared" si="48"/>
        <v>4</v>
      </c>
      <c r="BN12" s="7">
        <f t="shared" si="49"/>
        <v>5</v>
      </c>
      <c r="BO12" s="7">
        <f t="shared" si="50"/>
        <v>6</v>
      </c>
      <c r="BP12" s="7">
        <f t="shared" si="51"/>
        <v>7</v>
      </c>
      <c r="BQ12" s="46">
        <f>SUMIFS(SPEW_Pig_iron_production!$X:$X,SPEW_Pig_iron_production!$B:$B,$C12)</f>
        <v>8</v>
      </c>
      <c r="BR12" s="7">
        <f t="shared" si="52"/>
        <v>44.8</v>
      </c>
      <c r="BS12" s="7">
        <f t="shared" si="53"/>
        <v>81.599999999999994</v>
      </c>
      <c r="BT12" s="7">
        <f t="shared" si="54"/>
        <v>118.39999999999999</v>
      </c>
      <c r="BU12" s="7">
        <f t="shared" si="55"/>
        <v>155.19999999999999</v>
      </c>
      <c r="BV12" s="46">
        <f>SUMIFS(SPEW_Pig_iron_production!$Y:$Y,SPEW_Pig_iron_production!$B:$B,$C12)</f>
        <v>192</v>
      </c>
      <c r="BW12" s="7">
        <f t="shared" si="56"/>
        <v>292.59999999999991</v>
      </c>
      <c r="BX12" s="7">
        <f t="shared" si="57"/>
        <v>393.19999999999993</v>
      </c>
      <c r="BY12" s="7">
        <f t="shared" si="58"/>
        <v>493.79999999999995</v>
      </c>
      <c r="BZ12" s="7">
        <f t="shared" si="59"/>
        <v>594.4</v>
      </c>
      <c r="CA12" s="46">
        <f>SUMIFS(SPEW_Pig_iron_production!$Z:$Z,SPEW_Pig_iron_production!$B:$B,$C12)</f>
        <v>695</v>
      </c>
      <c r="CB12" s="7">
        <f t="shared" si="60"/>
        <v>806.39999999999986</v>
      </c>
      <c r="CC12" s="7">
        <f t="shared" si="61"/>
        <v>917.79999999999984</v>
      </c>
      <c r="CD12" s="7">
        <f t="shared" si="62"/>
        <v>1029.1999999999998</v>
      </c>
      <c r="CE12" s="7">
        <f t="shared" si="63"/>
        <v>1140.5999999999999</v>
      </c>
      <c r="CF12" s="46">
        <f>SUMIFS(SPEW_Pig_iron_production!$AA:$AA,SPEW_Pig_iron_production!$B:$B,$C12)</f>
        <v>1252</v>
      </c>
      <c r="CG12" s="7">
        <f t="shared" si="64"/>
        <v>1313.6000000000004</v>
      </c>
      <c r="CH12" s="7">
        <f t="shared" si="65"/>
        <v>1375.2000000000003</v>
      </c>
      <c r="CI12" s="7">
        <f t="shared" si="66"/>
        <v>1436.8000000000002</v>
      </c>
      <c r="CJ12" s="7">
        <f t="shared" si="67"/>
        <v>1498.4</v>
      </c>
      <c r="CK12" s="46">
        <f>SUMIFS(SPEW_Pig_iron_production!$AB:$AB,SPEW_Pig_iron_production!$B:$B,$C12)</f>
        <v>1560</v>
      </c>
      <c r="CL12" s="7">
        <f t="shared" si="68"/>
        <v>1555.8000000000002</v>
      </c>
      <c r="CM12" s="7">
        <f t="shared" si="69"/>
        <v>1551.6000000000001</v>
      </c>
      <c r="CN12" s="7">
        <f t="shared" si="70"/>
        <v>1547.4</v>
      </c>
      <c r="CO12" s="7">
        <f t="shared" si="71"/>
        <v>1543.2</v>
      </c>
      <c r="CP12" s="2">
        <f>[1]Data!B12</f>
        <v>1539</v>
      </c>
      <c r="CQ12" s="2">
        <f>[1]Data!C12</f>
        <v>1515</v>
      </c>
      <c r="CR12" s="2">
        <f>[1]Data!D12</f>
        <v>1562</v>
      </c>
      <c r="CS12" s="2">
        <f>[1]Data!E12</f>
        <v>1626</v>
      </c>
      <c r="CT12" s="2">
        <f>[1]Data!F12</f>
        <v>1583</v>
      </c>
      <c r="CU12" s="2">
        <f>[1]Data!G12</f>
        <v>1712</v>
      </c>
      <c r="CV12" s="2">
        <f>[1]Data!H12</f>
        <v>1605</v>
      </c>
      <c r="CW12" s="2">
        <f>[1]Data!I12</f>
        <v>1657</v>
      </c>
      <c r="CX12" s="2">
        <f>[1]Data!J12</f>
        <v>1441</v>
      </c>
      <c r="CY12" s="2">
        <f>[1]Data!K12</f>
        <v>1487</v>
      </c>
      <c r="CZ12" s="2">
        <f>[1]Data!L12</f>
        <v>1143</v>
      </c>
      <c r="DA12" s="2">
        <f>[1]Data!M12</f>
        <v>960</v>
      </c>
      <c r="DB12" s="2">
        <f>[1]Data!N12</f>
        <v>848</v>
      </c>
      <c r="DC12" s="2">
        <f>[1]Data!O12</f>
        <v>1013</v>
      </c>
      <c r="DD12" s="2">
        <f>[1]Data!P12</f>
        <v>1470</v>
      </c>
      <c r="DE12" s="2">
        <f>[1]Data!Q12</f>
        <v>1607</v>
      </c>
      <c r="DF12" s="2">
        <f>[1]Data!R12</f>
        <v>1504</v>
      </c>
      <c r="DG12" s="2">
        <f>[1]Data!S12</f>
        <v>1643</v>
      </c>
      <c r="DH12" s="2">
        <f>[1]Data!T12</f>
        <v>1390</v>
      </c>
      <c r="DI12" s="2">
        <f>[1]Data!U12</f>
        <v>1152</v>
      </c>
      <c r="DJ12" s="2">
        <f>[1]Data!V12</f>
        <v>1216</v>
      </c>
      <c r="DK12" s="2">
        <f>[1]Data!W12</f>
        <v>1211</v>
      </c>
      <c r="DL12" s="2">
        <f>[1]Data!X12</f>
        <v>1072</v>
      </c>
      <c r="DM12" s="2">
        <f>[1]Data!Y12</f>
        <v>1386</v>
      </c>
      <c r="DN12" s="2">
        <f>[1]Data!Z12</f>
        <v>1158</v>
      </c>
      <c r="DO12" s="2">
        <f>[1]Data!AA12</f>
        <v>1115</v>
      </c>
      <c r="DP12" s="2">
        <f>[1]Data!AB12</f>
        <v>1147</v>
      </c>
      <c r="DQ12" s="2">
        <f>[1]Data!AC12</f>
        <v>1069</v>
      </c>
      <c r="DR12" s="2">
        <f>[1]Data!AD12</f>
        <v>441</v>
      </c>
      <c r="DS12" s="2">
        <f>[1]Data!AE12</f>
        <v>0</v>
      </c>
      <c r="DT12" s="2">
        <f>[1]Data!AF12</f>
        <v>0</v>
      </c>
      <c r="DU12" s="2">
        <f>[1]Data!AG12</f>
        <v>0</v>
      </c>
      <c r="DV12" s="2">
        <f>[1]Data!AH12</f>
        <v>0</v>
      </c>
      <c r="DW12" s="2">
        <f>[1]Data!AI12</f>
        <v>0</v>
      </c>
      <c r="DX12" s="2">
        <v>0</v>
      </c>
      <c r="DY12" s="2">
        <f>[4]Data!AK12</f>
        <v>0</v>
      </c>
      <c r="DZ12" s="2">
        <f>[4]Data!AL12</f>
        <v>0</v>
      </c>
      <c r="EA12" s="2">
        <f>[4]Data!AM12</f>
        <v>0</v>
      </c>
    </row>
    <row r="13" spans="1:131" ht="16" x14ac:dyDescent="0.2">
      <c r="A13" t="s">
        <v>11</v>
      </c>
      <c r="C13" s="9" t="s">
        <v>94</v>
      </c>
      <c r="D13" s="46">
        <f>Hyde_iron!$C$36</f>
        <v>20</v>
      </c>
      <c r="E13" s="7">
        <f t="shared" si="0"/>
        <v>23.8</v>
      </c>
      <c r="F13" s="7">
        <f t="shared" si="1"/>
        <v>27.6</v>
      </c>
      <c r="G13" s="7">
        <f t="shared" si="2"/>
        <v>31.400000000000002</v>
      </c>
      <c r="H13" s="7">
        <f t="shared" si="3"/>
        <v>35.200000000000003</v>
      </c>
      <c r="I13" s="46">
        <f>Hyde_iron!$D$36</f>
        <v>39</v>
      </c>
      <c r="J13" s="7">
        <f t="shared" si="4"/>
        <v>49.199999999999989</v>
      </c>
      <c r="K13" s="7">
        <f t="shared" si="5"/>
        <v>59.399999999999991</v>
      </c>
      <c r="L13" s="7">
        <f t="shared" si="6"/>
        <v>69.599999999999994</v>
      </c>
      <c r="M13" s="7">
        <f t="shared" si="7"/>
        <v>79.8</v>
      </c>
      <c r="N13" s="46">
        <f>Hyde_iron!$E$36</f>
        <v>90</v>
      </c>
      <c r="O13" s="7">
        <f t="shared" si="8"/>
        <v>167.40000000000003</v>
      </c>
      <c r="P13" s="7">
        <f t="shared" si="9"/>
        <v>244.80000000000004</v>
      </c>
      <c r="Q13" s="7">
        <f t="shared" si="10"/>
        <v>322.20000000000005</v>
      </c>
      <c r="R13" s="7">
        <f t="shared" si="11"/>
        <v>399.6</v>
      </c>
      <c r="S13" s="46">
        <f>Hyde_iron!$F$36</f>
        <v>477</v>
      </c>
      <c r="T13" s="7">
        <f t="shared" si="12"/>
        <v>526.80000000000018</v>
      </c>
      <c r="U13" s="7">
        <f t="shared" si="13"/>
        <v>576.60000000000014</v>
      </c>
      <c r="V13" s="7">
        <f t="shared" si="14"/>
        <v>626.40000000000009</v>
      </c>
      <c r="W13" s="7">
        <f t="shared" si="15"/>
        <v>676.2</v>
      </c>
      <c r="X13" s="46">
        <f>Hyde_iron!$G$36</f>
        <v>726</v>
      </c>
      <c r="Y13" s="7">
        <f t="shared" si="16"/>
        <v>746.59999999999991</v>
      </c>
      <c r="Z13" s="7">
        <f t="shared" si="17"/>
        <v>767.19999999999993</v>
      </c>
      <c r="AA13" s="7">
        <f t="shared" si="18"/>
        <v>787.8</v>
      </c>
      <c r="AB13" s="7">
        <f t="shared" si="19"/>
        <v>808.4</v>
      </c>
      <c r="AC13" s="46">
        <f>Hyde_iron!$H$36</f>
        <v>829</v>
      </c>
      <c r="AD13" s="7">
        <f t="shared" si="20"/>
        <v>866.19999999999982</v>
      </c>
      <c r="AE13" s="7">
        <f t="shared" si="21"/>
        <v>903.39999999999986</v>
      </c>
      <c r="AF13" s="7">
        <f t="shared" si="22"/>
        <v>940.59999999999991</v>
      </c>
      <c r="AG13" s="7">
        <f t="shared" si="23"/>
        <v>977.8</v>
      </c>
      <c r="AH13" s="46">
        <f>Hyde_iron!$I$36</f>
        <v>1015</v>
      </c>
      <c r="AI13" s="7">
        <f t="shared" si="24"/>
        <v>933.19999999999982</v>
      </c>
      <c r="AJ13" s="7">
        <f t="shared" si="25"/>
        <v>851.39999999999986</v>
      </c>
      <c r="AK13" s="7">
        <f t="shared" si="26"/>
        <v>769.59999999999991</v>
      </c>
      <c r="AL13" s="7">
        <f t="shared" si="27"/>
        <v>687.8</v>
      </c>
      <c r="AM13" s="46">
        <f>SUMIFS(SPEW_Pig_iron_production!$R:$R,SPEW_Pig_iron_production!$B:$B,$C13)</f>
        <v>606</v>
      </c>
      <c r="AN13" s="7">
        <f t="shared" si="28"/>
        <v>649.80000000000018</v>
      </c>
      <c r="AO13" s="7">
        <f t="shared" si="29"/>
        <v>693.60000000000014</v>
      </c>
      <c r="AP13" s="7">
        <f t="shared" si="30"/>
        <v>737.40000000000009</v>
      </c>
      <c r="AQ13" s="7">
        <f t="shared" si="31"/>
        <v>781.2</v>
      </c>
      <c r="AR13" s="46">
        <f>SUMIFS(SPEW_Pig_iron_production!$S:$S,SPEW_Pig_iron_production!$B:$B,$C13)</f>
        <v>825</v>
      </c>
      <c r="AS13" s="7">
        <f t="shared" si="32"/>
        <v>793.40000000000009</v>
      </c>
      <c r="AT13" s="7">
        <f t="shared" si="33"/>
        <v>761.80000000000007</v>
      </c>
      <c r="AU13" s="7">
        <f t="shared" si="34"/>
        <v>730.2</v>
      </c>
      <c r="AV13" s="7">
        <f t="shared" si="35"/>
        <v>698.6</v>
      </c>
      <c r="AW13" s="46">
        <f>SUMIFS(SPEW_Pig_iron_production!$T:$T,SPEW_Pig_iron_production!$B:$B,$C13)</f>
        <v>667</v>
      </c>
      <c r="AX13" s="7">
        <f t="shared" si="36"/>
        <v>798.19999999999982</v>
      </c>
      <c r="AY13" s="7">
        <f t="shared" si="37"/>
        <v>929.39999999999986</v>
      </c>
      <c r="AZ13" s="7">
        <f t="shared" si="38"/>
        <v>1060.5999999999999</v>
      </c>
      <c r="BA13" s="7">
        <f t="shared" si="39"/>
        <v>1191.8</v>
      </c>
      <c r="BB13" s="46">
        <f>SUMIFS(SPEW_Pig_iron_production!$U:$U,SPEW_Pig_iron_production!$B:$B,$C13)</f>
        <v>1323</v>
      </c>
      <c r="BC13" s="7">
        <f t="shared" si="40"/>
        <v>1412.1999999999998</v>
      </c>
      <c r="BD13" s="7">
        <f t="shared" si="41"/>
        <v>1501.3999999999999</v>
      </c>
      <c r="BE13" s="7">
        <f t="shared" si="42"/>
        <v>1590.6</v>
      </c>
      <c r="BF13" s="7">
        <f t="shared" si="43"/>
        <v>1679.8</v>
      </c>
      <c r="BG13" s="46">
        <f>SUMIFS(SPEW_Pig_iron_production!$V:$V,SPEW_Pig_iron_production!$B:$B,$C13)</f>
        <v>1769</v>
      </c>
      <c r="BH13" s="7">
        <f t="shared" si="44"/>
        <v>1868.3999999999996</v>
      </c>
      <c r="BI13" s="7">
        <f t="shared" si="45"/>
        <v>1967.7999999999997</v>
      </c>
      <c r="BJ13" s="7">
        <f t="shared" si="46"/>
        <v>2067.1999999999998</v>
      </c>
      <c r="BK13" s="7">
        <f t="shared" si="47"/>
        <v>2166.6</v>
      </c>
      <c r="BL13" s="46">
        <f>SUMIFS(SPEW_Pig_iron_production!$W:$W,SPEW_Pig_iron_production!$B:$B,$C13)</f>
        <v>2266</v>
      </c>
      <c r="BM13" s="7">
        <f t="shared" si="48"/>
        <v>2430.6000000000004</v>
      </c>
      <c r="BN13" s="7">
        <f t="shared" si="49"/>
        <v>2595.2000000000003</v>
      </c>
      <c r="BO13" s="7">
        <f t="shared" si="50"/>
        <v>2759.8</v>
      </c>
      <c r="BP13" s="7">
        <f t="shared" si="51"/>
        <v>2924.4</v>
      </c>
      <c r="BQ13" s="46">
        <f>SUMIFS(SPEW_Pig_iron_production!$X:$X,SPEW_Pig_iron_production!$B:$B,$C13)</f>
        <v>3089</v>
      </c>
      <c r="BR13" s="7">
        <f t="shared" si="52"/>
        <v>3276.2000000000007</v>
      </c>
      <c r="BS13" s="7">
        <f t="shared" si="53"/>
        <v>3463.4000000000005</v>
      </c>
      <c r="BT13" s="7">
        <f t="shared" si="54"/>
        <v>3650.6000000000004</v>
      </c>
      <c r="BU13" s="7">
        <f t="shared" si="55"/>
        <v>3837.8</v>
      </c>
      <c r="BV13" s="46">
        <f>SUMIFS(SPEW_Pig_iron_production!$Y:$Y,SPEW_Pig_iron_production!$B:$B,$C13)</f>
        <v>4025</v>
      </c>
      <c r="BW13" s="7">
        <f t="shared" si="56"/>
        <v>4536.4000000000015</v>
      </c>
      <c r="BX13" s="7">
        <f t="shared" si="57"/>
        <v>5047.8000000000011</v>
      </c>
      <c r="BY13" s="7">
        <f t="shared" si="58"/>
        <v>5559.2000000000007</v>
      </c>
      <c r="BZ13" s="7">
        <f t="shared" si="59"/>
        <v>6070.6</v>
      </c>
      <c r="CA13" s="46">
        <f>SUMIFS(SPEW_Pig_iron_production!$Z:$Z,SPEW_Pig_iron_production!$B:$B,$C13)</f>
        <v>6582</v>
      </c>
      <c r="CB13" s="7">
        <f t="shared" si="60"/>
        <v>6950.4000000000015</v>
      </c>
      <c r="CC13" s="7">
        <f t="shared" si="61"/>
        <v>7318.8000000000011</v>
      </c>
      <c r="CD13" s="7">
        <f t="shared" si="62"/>
        <v>7687.2000000000007</v>
      </c>
      <c r="CE13" s="7">
        <f t="shared" si="63"/>
        <v>8055.6</v>
      </c>
      <c r="CF13" s="46">
        <f>SUMIFS(SPEW_Pig_iron_production!$AA:$AA,SPEW_Pig_iron_production!$B:$B,$C13)</f>
        <v>8424</v>
      </c>
      <c r="CG13" s="7">
        <f t="shared" si="64"/>
        <v>8601</v>
      </c>
      <c r="CH13" s="7">
        <f t="shared" si="65"/>
        <v>8778</v>
      </c>
      <c r="CI13" s="7">
        <f t="shared" si="66"/>
        <v>8955</v>
      </c>
      <c r="CJ13" s="7">
        <f t="shared" si="67"/>
        <v>9132</v>
      </c>
      <c r="CK13" s="46">
        <f>SUMIFS(SPEW_Pig_iron_production!$AB:$AB,SPEW_Pig_iron_production!$B:$B,$C13)</f>
        <v>9309</v>
      </c>
      <c r="CL13" s="7">
        <f t="shared" si="68"/>
        <v>9625.8000000000029</v>
      </c>
      <c r="CM13" s="7">
        <f t="shared" si="69"/>
        <v>9942.6000000000022</v>
      </c>
      <c r="CN13" s="7">
        <f t="shared" si="70"/>
        <v>10259.400000000001</v>
      </c>
      <c r="CO13" s="7">
        <f t="shared" si="71"/>
        <v>10576.2</v>
      </c>
      <c r="CP13" s="2">
        <f>[1]Data!B13</f>
        <v>10893</v>
      </c>
      <c r="CQ13" s="2">
        <f>[1]Data!C13</f>
        <v>9743</v>
      </c>
      <c r="CR13" s="2">
        <f>[1]Data!D13</f>
        <v>8000</v>
      </c>
      <c r="CS13" s="2">
        <f>[1]Data!E13</f>
        <v>8567</v>
      </c>
      <c r="CT13" s="2">
        <f>[1]Data!F13</f>
        <v>9643</v>
      </c>
      <c r="CU13" s="2">
        <f>[1]Data!G13</f>
        <v>9665</v>
      </c>
      <c r="CV13" s="2">
        <f>[1]Data!H13</f>
        <v>9248</v>
      </c>
      <c r="CW13" s="2">
        <f>[1]Data!I13</f>
        <v>9719</v>
      </c>
      <c r="CX13" s="2">
        <f>[1]Data!J13</f>
        <v>9498</v>
      </c>
      <c r="CY13" s="2">
        <f>[1]Data!K13</f>
        <v>10139</v>
      </c>
      <c r="CZ13" s="2">
        <f>[1]Data!L13</f>
        <v>7346</v>
      </c>
      <c r="DA13" s="2">
        <f>[1]Data!M13</f>
        <v>8267</v>
      </c>
      <c r="DB13" s="2">
        <f>[1]Data!N13</f>
        <v>8621</v>
      </c>
      <c r="DC13" s="2">
        <f>[1]Data!O13</f>
        <v>8633</v>
      </c>
      <c r="DD13" s="2">
        <f>[1]Data!P13</f>
        <v>8106</v>
      </c>
      <c r="DE13" s="2">
        <f>[1]Data!Q13</f>
        <v>8464</v>
      </c>
      <c r="DF13" s="2">
        <f>[1]Data!R13</f>
        <v>8638</v>
      </c>
      <c r="DG13" s="2">
        <f>[1]Data!S13</f>
        <v>9567</v>
      </c>
      <c r="DH13" s="2">
        <f>[1]Data!T13</f>
        <v>8937</v>
      </c>
      <c r="DI13" s="2">
        <f>[1]Data!U13</f>
        <v>8857</v>
      </c>
      <c r="DJ13" s="2">
        <f>[1]Data!V13</f>
        <v>8904</v>
      </c>
      <c r="DK13" s="2">
        <f>[1]Data!W13</f>
        <v>8302</v>
      </c>
      <c r="DL13" s="2">
        <f>[1]Data!X13</f>
        <v>8670</v>
      </c>
      <c r="DM13" s="2">
        <f>[1]Data!Y13</f>
        <v>8554</v>
      </c>
      <c r="DN13" s="2">
        <f>[1]Data!Z13</f>
        <v>8828</v>
      </c>
      <c r="DO13" s="2">
        <f>[1]Data!AA13</f>
        <v>8274</v>
      </c>
      <c r="DP13" s="2">
        <f>[1]Data!AB13</f>
        <v>8305</v>
      </c>
      <c r="DQ13" s="2">
        <f>[1]Data!AC13</f>
        <v>8579</v>
      </c>
      <c r="DR13" s="2">
        <f>[1]Data!AD13</f>
        <v>8770</v>
      </c>
      <c r="DS13" s="2">
        <f>[1]Data!AE13</f>
        <v>5273</v>
      </c>
      <c r="DT13" s="2">
        <f>[1]Data!AF13</f>
        <v>7666</v>
      </c>
      <c r="DU13" s="2">
        <f>[1]Data!AG13</f>
        <v>7323</v>
      </c>
      <c r="DV13" s="2">
        <f>[1]Data!AH13</f>
        <v>7654</v>
      </c>
      <c r="DW13" s="2">
        <f>[1]Data!AI13</f>
        <v>6100</v>
      </c>
      <c r="DX13" s="2">
        <v>6728</v>
      </c>
      <c r="DY13" s="2">
        <f>[4]Data!AK13</f>
        <v>5851</v>
      </c>
      <c r="DZ13" s="2">
        <f>[4]Data!AL13</f>
        <v>6240</v>
      </c>
      <c r="EA13" s="2">
        <f>[4]Data!AM13</f>
        <v>6306</v>
      </c>
    </row>
    <row r="14" spans="1:131" ht="16" x14ac:dyDescent="0.2">
      <c r="A14" t="s">
        <v>12</v>
      </c>
      <c r="C14" s="9" t="s">
        <v>95</v>
      </c>
      <c r="D14" s="46"/>
      <c r="E14" s="7">
        <f t="shared" si="0"/>
        <v>0</v>
      </c>
      <c r="F14" s="7">
        <f t="shared" si="1"/>
        <v>0</v>
      </c>
      <c r="G14" s="7">
        <f t="shared" si="2"/>
        <v>0</v>
      </c>
      <c r="H14" s="7">
        <f t="shared" si="3"/>
        <v>0</v>
      </c>
      <c r="I14" s="46"/>
      <c r="J14" s="7">
        <f t="shared" si="4"/>
        <v>0</v>
      </c>
      <c r="K14" s="7">
        <f t="shared" si="5"/>
        <v>0</v>
      </c>
      <c r="L14" s="7">
        <f t="shared" si="6"/>
        <v>0</v>
      </c>
      <c r="M14" s="7">
        <f t="shared" si="7"/>
        <v>0</v>
      </c>
      <c r="N14" s="46"/>
      <c r="O14" s="7">
        <f t="shared" si="8"/>
        <v>0</v>
      </c>
      <c r="P14" s="7">
        <f t="shared" si="9"/>
        <v>0</v>
      </c>
      <c r="Q14" s="7">
        <f t="shared" si="10"/>
        <v>0</v>
      </c>
      <c r="R14" s="7">
        <f t="shared" si="11"/>
        <v>0</v>
      </c>
      <c r="S14" s="46"/>
      <c r="T14" s="7">
        <f t="shared" si="12"/>
        <v>0</v>
      </c>
      <c r="U14" s="7">
        <f t="shared" si="13"/>
        <v>0</v>
      </c>
      <c r="V14" s="7">
        <f t="shared" si="14"/>
        <v>0</v>
      </c>
      <c r="W14" s="7">
        <f t="shared" si="15"/>
        <v>0</v>
      </c>
      <c r="X14" s="46"/>
      <c r="Y14" s="7">
        <f t="shared" si="16"/>
        <v>0</v>
      </c>
      <c r="Z14" s="7">
        <f t="shared" si="17"/>
        <v>0</v>
      </c>
      <c r="AA14" s="7">
        <f t="shared" si="18"/>
        <v>0</v>
      </c>
      <c r="AB14" s="7">
        <f t="shared" si="19"/>
        <v>0</v>
      </c>
      <c r="AC14" s="46"/>
      <c r="AD14" s="7">
        <f t="shared" si="20"/>
        <v>0</v>
      </c>
      <c r="AE14" s="7">
        <f t="shared" si="21"/>
        <v>0</v>
      </c>
      <c r="AF14" s="7">
        <f t="shared" si="22"/>
        <v>0</v>
      </c>
      <c r="AG14" s="7">
        <f t="shared" si="23"/>
        <v>0</v>
      </c>
      <c r="AH14" s="46"/>
      <c r="AI14" s="7">
        <f t="shared" si="24"/>
        <v>0</v>
      </c>
      <c r="AJ14" s="7">
        <f t="shared" si="25"/>
        <v>0</v>
      </c>
      <c r="AK14" s="7">
        <f t="shared" si="26"/>
        <v>0</v>
      </c>
      <c r="AL14" s="7">
        <f t="shared" si="27"/>
        <v>0</v>
      </c>
      <c r="AM14" s="46">
        <f>SUMIFS(SPEW_Pig_iron_production!$R:$R,SPEW_Pig_iron_production!$B:$B,$C14)</f>
        <v>0</v>
      </c>
      <c r="AN14" s="7">
        <f t="shared" si="28"/>
        <v>0</v>
      </c>
      <c r="AO14" s="7">
        <f t="shared" si="29"/>
        <v>0</v>
      </c>
      <c r="AP14" s="7">
        <f t="shared" si="30"/>
        <v>0</v>
      </c>
      <c r="AQ14" s="7">
        <f t="shared" si="31"/>
        <v>0</v>
      </c>
      <c r="AR14" s="46">
        <f>SUMIFS(SPEW_Pig_iron_production!$S:$S,SPEW_Pig_iron_production!$B:$B,$C14)</f>
        <v>0</v>
      </c>
      <c r="AS14" s="7">
        <f t="shared" si="32"/>
        <v>0</v>
      </c>
      <c r="AT14" s="7">
        <f t="shared" si="33"/>
        <v>0</v>
      </c>
      <c r="AU14" s="7">
        <f t="shared" si="34"/>
        <v>0</v>
      </c>
      <c r="AV14" s="7">
        <f t="shared" si="35"/>
        <v>0</v>
      </c>
      <c r="AW14" s="46">
        <f>SUMIFS(SPEW_Pig_iron_production!$T:$T,SPEW_Pig_iron_production!$B:$B,$C14)</f>
        <v>0</v>
      </c>
      <c r="AX14" s="7">
        <f t="shared" si="36"/>
        <v>1.3999999999999995</v>
      </c>
      <c r="AY14" s="7">
        <f t="shared" si="37"/>
        <v>2.7999999999999994</v>
      </c>
      <c r="AZ14" s="7">
        <f t="shared" si="38"/>
        <v>4.1999999999999993</v>
      </c>
      <c r="BA14" s="7">
        <f t="shared" si="39"/>
        <v>5.6</v>
      </c>
      <c r="BB14" s="46">
        <f>SUMIFS(SPEW_Pig_iron_production!$U:$U,SPEW_Pig_iron_production!$B:$B,$C14)</f>
        <v>7</v>
      </c>
      <c r="BC14" s="7">
        <f t="shared" si="40"/>
        <v>8.3999999999999986</v>
      </c>
      <c r="BD14" s="7">
        <f t="shared" si="41"/>
        <v>9.7999999999999989</v>
      </c>
      <c r="BE14" s="7">
        <f t="shared" si="42"/>
        <v>11.2</v>
      </c>
      <c r="BF14" s="7">
        <f t="shared" si="43"/>
        <v>12.6</v>
      </c>
      <c r="BG14" s="46">
        <f>SUMIFS(SPEW_Pig_iron_production!$V:$V,SPEW_Pig_iron_production!$B:$B,$C14)</f>
        <v>14</v>
      </c>
      <c r="BH14" s="7">
        <f t="shared" si="44"/>
        <v>33.199999999999989</v>
      </c>
      <c r="BI14" s="7">
        <f t="shared" si="45"/>
        <v>52.399999999999991</v>
      </c>
      <c r="BJ14" s="7">
        <f t="shared" si="46"/>
        <v>71.599999999999994</v>
      </c>
      <c r="BK14" s="7">
        <f t="shared" si="47"/>
        <v>90.8</v>
      </c>
      <c r="BL14" s="46">
        <f>SUMIFS(SPEW_Pig_iron_production!$W:$W,SPEW_Pig_iron_production!$B:$B,$C14)</f>
        <v>110</v>
      </c>
      <c r="BM14" s="7">
        <f t="shared" si="48"/>
        <v>139.20000000000005</v>
      </c>
      <c r="BN14" s="7">
        <f t="shared" si="49"/>
        <v>168.40000000000003</v>
      </c>
      <c r="BO14" s="7">
        <f t="shared" si="50"/>
        <v>197.60000000000002</v>
      </c>
      <c r="BP14" s="7">
        <f t="shared" si="51"/>
        <v>226.8</v>
      </c>
      <c r="BQ14" s="46">
        <f>SUMIFS(SPEW_Pig_iron_production!$X:$X,SPEW_Pig_iron_production!$B:$B,$C14)</f>
        <v>256</v>
      </c>
      <c r="BR14" s="7">
        <f t="shared" si="52"/>
        <v>258</v>
      </c>
      <c r="BS14" s="7">
        <f t="shared" si="53"/>
        <v>260</v>
      </c>
      <c r="BT14" s="7">
        <f t="shared" si="54"/>
        <v>262</v>
      </c>
      <c r="BU14" s="7">
        <f t="shared" si="55"/>
        <v>264</v>
      </c>
      <c r="BV14" s="46">
        <f>SUMIFS(SPEW_Pig_iron_production!$Y:$Y,SPEW_Pig_iron_production!$B:$B,$C14)</f>
        <v>266</v>
      </c>
      <c r="BW14" s="7">
        <f t="shared" si="56"/>
        <v>274.59999999999991</v>
      </c>
      <c r="BX14" s="7">
        <f t="shared" si="57"/>
        <v>283.19999999999993</v>
      </c>
      <c r="BY14" s="7">
        <f t="shared" si="58"/>
        <v>291.79999999999995</v>
      </c>
      <c r="BZ14" s="7">
        <f t="shared" si="59"/>
        <v>300.39999999999998</v>
      </c>
      <c r="CA14" s="46">
        <f>SUMIFS(SPEW_Pig_iron_production!$Z:$Z,SPEW_Pig_iron_production!$B:$B,$C14)</f>
        <v>309</v>
      </c>
      <c r="CB14" s="7">
        <f t="shared" si="60"/>
        <v>343.40000000000009</v>
      </c>
      <c r="CC14" s="7">
        <f t="shared" si="61"/>
        <v>377.80000000000007</v>
      </c>
      <c r="CD14" s="7">
        <f t="shared" si="62"/>
        <v>412.20000000000005</v>
      </c>
      <c r="CE14" s="7">
        <f t="shared" si="63"/>
        <v>446.6</v>
      </c>
      <c r="CF14" s="46">
        <f>SUMIFS(SPEW_Pig_iron_production!$AA:$AA,SPEW_Pig_iron_production!$B:$B,$C14)</f>
        <v>481</v>
      </c>
      <c r="CG14" s="7">
        <f t="shared" si="64"/>
        <v>472.59999999999991</v>
      </c>
      <c r="CH14" s="7">
        <f t="shared" si="65"/>
        <v>464.19999999999993</v>
      </c>
      <c r="CI14" s="7">
        <f t="shared" si="66"/>
        <v>455.79999999999995</v>
      </c>
      <c r="CJ14" s="7">
        <f t="shared" si="67"/>
        <v>447.4</v>
      </c>
      <c r="CK14" s="46">
        <f>SUMIFS(SPEW_Pig_iron_production!$AB:$AB,SPEW_Pig_iron_production!$B:$B,$C14)</f>
        <v>439</v>
      </c>
      <c r="CL14" s="7">
        <f t="shared" si="68"/>
        <v>480.80000000000013</v>
      </c>
      <c r="CM14" s="7">
        <f t="shared" si="69"/>
        <v>522.60000000000014</v>
      </c>
      <c r="CN14" s="7">
        <f t="shared" si="70"/>
        <v>564.40000000000009</v>
      </c>
      <c r="CO14" s="7">
        <f t="shared" si="71"/>
        <v>606.20000000000005</v>
      </c>
      <c r="CP14" s="2">
        <f>[1]Data!B14</f>
        <v>648</v>
      </c>
      <c r="CQ14" s="2">
        <f>[1]Data!C14</f>
        <v>582</v>
      </c>
      <c r="CR14" s="2">
        <f>[1]Data!D14</f>
        <v>453</v>
      </c>
      <c r="CS14" s="2">
        <f>[1]Data!E14</f>
        <v>539</v>
      </c>
      <c r="CT14" s="2">
        <f>[1]Data!F14</f>
        <v>594</v>
      </c>
      <c r="CU14" s="2">
        <f>[1]Data!G14</f>
        <v>580</v>
      </c>
      <c r="CV14" s="2">
        <f>[1]Data!H14</f>
        <v>591</v>
      </c>
      <c r="CW14" s="2">
        <f>[1]Data!I14</f>
        <v>617</v>
      </c>
      <c r="CX14" s="2">
        <f>[1]Data!J14</f>
        <v>776</v>
      </c>
      <c r="CY14" s="2">
        <f>[1]Data!K14</f>
        <v>679</v>
      </c>
      <c r="CZ14" s="2">
        <f>[1]Data!L14</f>
        <v>675</v>
      </c>
      <c r="DA14" s="2">
        <f>[1]Data!M14</f>
        <v>703</v>
      </c>
      <c r="DB14" s="2">
        <f>[1]Data!N14</f>
        <v>873</v>
      </c>
      <c r="DC14" s="2">
        <f>[1]Data!O14</f>
        <v>917</v>
      </c>
      <c r="DD14" s="2">
        <f>[1]Data!P14</f>
        <v>886</v>
      </c>
      <c r="DE14" s="2">
        <f>[1]Data!Q14</f>
        <v>855</v>
      </c>
      <c r="DF14" s="2">
        <f>[1]Data!R14</f>
        <v>996</v>
      </c>
      <c r="DG14" s="2">
        <f>[1]Data!S14</f>
        <v>941</v>
      </c>
      <c r="DH14" s="2">
        <f>[1]Data!T14</f>
        <v>993</v>
      </c>
      <c r="DI14" s="2">
        <f>[1]Data!U14</f>
        <v>1030</v>
      </c>
      <c r="DJ14" s="2">
        <f>[1]Data!V14</f>
        <v>1024</v>
      </c>
      <c r="DK14" s="2">
        <f>[1]Data!W14</f>
        <v>897</v>
      </c>
      <c r="DL14" s="2">
        <f>[1]Data!X14</f>
        <v>964</v>
      </c>
      <c r="DM14" s="2">
        <f>[1]Data!Y14</f>
        <v>988</v>
      </c>
      <c r="DN14" s="2">
        <f>[1]Data!Z14</f>
        <v>1137</v>
      </c>
      <c r="DO14" s="2">
        <f>[1]Data!AA14</f>
        <v>1074</v>
      </c>
      <c r="DP14" s="2">
        <f>[1]Data!AB14</f>
        <v>1115</v>
      </c>
      <c r="DQ14" s="2">
        <f>[1]Data!AC14</f>
        <v>1147</v>
      </c>
      <c r="DR14" s="2">
        <f>[1]Data!AD14</f>
        <v>1109</v>
      </c>
      <c r="DS14" s="2">
        <f>[1]Data!AE14</f>
        <v>923</v>
      </c>
      <c r="DT14" s="2">
        <f>[1]Data!AF14</f>
        <v>635</v>
      </c>
      <c r="DU14" s="2">
        <f>[1]Data!AG14</f>
        <v>1072</v>
      </c>
      <c r="DV14" s="2">
        <f>[1]Data!AH14</f>
        <v>1068</v>
      </c>
      <c r="DW14" s="2">
        <f>[1]Data!AI14</f>
        <v>766</v>
      </c>
      <c r="DX14" s="2">
        <v>584</v>
      </c>
      <c r="DY14" s="2">
        <f>[4]Data!AK14</f>
        <v>644</v>
      </c>
      <c r="DZ14" s="2">
        <f>[4]Data!AL14</f>
        <v>677</v>
      </c>
      <c r="EA14" s="2">
        <f>[4]Data!AM14</f>
        <v>670</v>
      </c>
    </row>
    <row r="15" spans="1:131" ht="16" x14ac:dyDescent="0.2">
      <c r="A15" t="s">
        <v>13</v>
      </c>
      <c r="C15" s="9" t="s">
        <v>96</v>
      </c>
      <c r="D15" s="46">
        <f>Hyde_iron!$C$45</f>
        <v>0</v>
      </c>
      <c r="E15" s="7">
        <f t="shared" si="0"/>
        <v>0</v>
      </c>
      <c r="F15" s="7">
        <f t="shared" si="1"/>
        <v>0</v>
      </c>
      <c r="G15" s="7">
        <f t="shared" si="2"/>
        <v>0</v>
      </c>
      <c r="H15" s="7">
        <f t="shared" si="3"/>
        <v>0</v>
      </c>
      <c r="I15" s="46">
        <f>Hyde_iron!$D$45</f>
        <v>0</v>
      </c>
      <c r="J15" s="7">
        <f t="shared" si="4"/>
        <v>0</v>
      </c>
      <c r="K15" s="7">
        <f t="shared" si="5"/>
        <v>0</v>
      </c>
      <c r="L15" s="7">
        <f t="shared" si="6"/>
        <v>0</v>
      </c>
      <c r="M15" s="7">
        <f t="shared" si="7"/>
        <v>0</v>
      </c>
      <c r="N15" s="46">
        <f>Hyde_iron!$E$45</f>
        <v>0</v>
      </c>
      <c r="O15" s="7">
        <f t="shared" si="8"/>
        <v>0</v>
      </c>
      <c r="P15" s="7">
        <f t="shared" si="9"/>
        <v>0</v>
      </c>
      <c r="Q15" s="7">
        <f t="shared" si="10"/>
        <v>0</v>
      </c>
      <c r="R15" s="7">
        <f t="shared" si="11"/>
        <v>0</v>
      </c>
      <c r="S15" s="46">
        <f>Hyde_iron!$F$45</f>
        <v>0</v>
      </c>
      <c r="T15" s="7">
        <f t="shared" si="12"/>
        <v>0</v>
      </c>
      <c r="U15" s="7">
        <f t="shared" si="13"/>
        <v>0</v>
      </c>
      <c r="V15" s="7">
        <f t="shared" si="14"/>
        <v>0</v>
      </c>
      <c r="W15" s="7">
        <f t="shared" si="15"/>
        <v>0</v>
      </c>
      <c r="X15" s="46">
        <f>Hyde_iron!$G$45</f>
        <v>0</v>
      </c>
      <c r="Y15" s="7">
        <f t="shared" si="16"/>
        <v>0</v>
      </c>
      <c r="Z15" s="7">
        <f t="shared" si="17"/>
        <v>0</v>
      </c>
      <c r="AA15" s="7">
        <f t="shared" si="18"/>
        <v>0</v>
      </c>
      <c r="AB15" s="7">
        <f t="shared" si="19"/>
        <v>0</v>
      </c>
      <c r="AC15" s="46">
        <f>Hyde_iron!$H$45</f>
        <v>0</v>
      </c>
      <c r="AD15" s="7">
        <f t="shared" si="20"/>
        <v>51.799999999999983</v>
      </c>
      <c r="AE15" s="7">
        <f t="shared" si="21"/>
        <v>103.59999999999998</v>
      </c>
      <c r="AF15" s="7">
        <f t="shared" si="22"/>
        <v>155.39999999999998</v>
      </c>
      <c r="AG15" s="7">
        <f t="shared" si="23"/>
        <v>207.2</v>
      </c>
      <c r="AH15" s="46">
        <f>Hyde_iron!$I$45</f>
        <v>259</v>
      </c>
      <c r="AI15" s="7">
        <f t="shared" si="24"/>
        <v>245.79999999999995</v>
      </c>
      <c r="AJ15" s="7">
        <f t="shared" si="25"/>
        <v>232.59999999999997</v>
      </c>
      <c r="AK15" s="7">
        <f t="shared" si="26"/>
        <v>219.39999999999998</v>
      </c>
      <c r="AL15" s="7">
        <f t="shared" si="27"/>
        <v>206.2</v>
      </c>
      <c r="AM15" s="46">
        <f>SUMIFS(SPEW_Pig_iron_production!$R:$R,SPEW_Pig_iron_production!$B:$B,$C15)</f>
        <v>193</v>
      </c>
      <c r="AN15" s="7">
        <f t="shared" si="28"/>
        <v>229.59999999999994</v>
      </c>
      <c r="AO15" s="7">
        <f t="shared" si="29"/>
        <v>266.19999999999993</v>
      </c>
      <c r="AP15" s="7">
        <f t="shared" si="30"/>
        <v>302.79999999999995</v>
      </c>
      <c r="AQ15" s="7">
        <f t="shared" si="31"/>
        <v>339.4</v>
      </c>
      <c r="AR15" s="46">
        <f>SUMIFS(SPEW_Pig_iron_production!$S:$S,SPEW_Pig_iron_production!$B:$B,$C15)</f>
        <v>376</v>
      </c>
      <c r="AS15" s="7">
        <f t="shared" si="32"/>
        <v>430.40000000000009</v>
      </c>
      <c r="AT15" s="7">
        <f t="shared" si="33"/>
        <v>484.80000000000007</v>
      </c>
      <c r="AU15" s="7">
        <f t="shared" si="34"/>
        <v>539.20000000000005</v>
      </c>
      <c r="AV15" s="7">
        <f t="shared" si="35"/>
        <v>593.6</v>
      </c>
      <c r="AW15" s="46">
        <f>SUMIFS(SPEW_Pig_iron_production!$T:$T,SPEW_Pig_iron_production!$B:$B,$C15)</f>
        <v>648</v>
      </c>
      <c r="AX15" s="7">
        <f t="shared" si="36"/>
        <v>739.59999999999991</v>
      </c>
      <c r="AY15" s="7">
        <f t="shared" si="37"/>
        <v>831.19999999999993</v>
      </c>
      <c r="AZ15" s="7">
        <f t="shared" si="38"/>
        <v>922.8</v>
      </c>
      <c r="BA15" s="7">
        <f t="shared" si="39"/>
        <v>1014.4</v>
      </c>
      <c r="BB15" s="46">
        <f>SUMIFS(SPEW_Pig_iron_production!$U:$U,SPEW_Pig_iron_production!$B:$B,$C15)</f>
        <v>1106</v>
      </c>
      <c r="BC15" s="7">
        <f t="shared" si="40"/>
        <v>927.40000000000009</v>
      </c>
      <c r="BD15" s="7">
        <f t="shared" si="41"/>
        <v>748.80000000000007</v>
      </c>
      <c r="BE15" s="7">
        <f t="shared" si="42"/>
        <v>570.20000000000005</v>
      </c>
      <c r="BF15" s="7">
        <f t="shared" si="43"/>
        <v>391.6</v>
      </c>
      <c r="BG15" s="46">
        <f>SUMIFS(SPEW_Pig_iron_production!$V:$V,SPEW_Pig_iron_production!$B:$B,$C15)</f>
        <v>213</v>
      </c>
      <c r="BH15" s="7">
        <f t="shared" si="44"/>
        <v>350.40000000000009</v>
      </c>
      <c r="BI15" s="7">
        <f t="shared" si="45"/>
        <v>487.80000000000007</v>
      </c>
      <c r="BJ15" s="7">
        <f t="shared" si="46"/>
        <v>625.20000000000005</v>
      </c>
      <c r="BK15" s="7">
        <f t="shared" si="47"/>
        <v>762.6</v>
      </c>
      <c r="BL15" s="46">
        <f>SUMIFS(SPEW_Pig_iron_production!$W:$W,SPEW_Pig_iron_production!$B:$B,$C15)</f>
        <v>900</v>
      </c>
      <c r="BM15" s="7">
        <f t="shared" si="48"/>
        <v>1494.3999999999996</v>
      </c>
      <c r="BN15" s="7">
        <f t="shared" si="49"/>
        <v>2088.7999999999997</v>
      </c>
      <c r="BO15" s="7">
        <f t="shared" si="50"/>
        <v>2683.2</v>
      </c>
      <c r="BP15" s="7">
        <f t="shared" si="51"/>
        <v>3277.6</v>
      </c>
      <c r="BQ15" s="46">
        <f>SUMIFS(SPEW_Pig_iron_production!$X:$X,SPEW_Pig_iron_production!$B:$B,$C15)</f>
        <v>3872</v>
      </c>
      <c r="BR15" s="7">
        <f t="shared" si="52"/>
        <v>8529.6000000000022</v>
      </c>
      <c r="BS15" s="7">
        <f t="shared" si="53"/>
        <v>13187.200000000003</v>
      </c>
      <c r="BT15" s="7">
        <f t="shared" si="54"/>
        <v>17844.800000000003</v>
      </c>
      <c r="BU15" s="7">
        <f t="shared" si="55"/>
        <v>22502.400000000001</v>
      </c>
      <c r="BV15" s="46">
        <f>SUMIFS(SPEW_Pig_iron_production!$Y:$Y,SPEW_Pig_iron_production!$B:$B,$C15)</f>
        <v>27160</v>
      </c>
      <c r="BW15" s="7">
        <f t="shared" si="56"/>
        <v>23882</v>
      </c>
      <c r="BX15" s="7">
        <f t="shared" si="57"/>
        <v>20604</v>
      </c>
      <c r="BY15" s="7">
        <f t="shared" si="58"/>
        <v>17326</v>
      </c>
      <c r="BZ15" s="7">
        <f t="shared" si="59"/>
        <v>14048</v>
      </c>
      <c r="CA15" s="46">
        <f>SUMIFS(SPEW_Pig_iron_production!$Z:$Z,SPEW_Pig_iron_production!$B:$B,$C15)</f>
        <v>10770</v>
      </c>
      <c r="CB15" s="7">
        <f t="shared" si="60"/>
        <v>12028</v>
      </c>
      <c r="CC15" s="7">
        <f t="shared" si="61"/>
        <v>13286</v>
      </c>
      <c r="CD15" s="7">
        <f t="shared" si="62"/>
        <v>14544</v>
      </c>
      <c r="CE15" s="7">
        <f t="shared" si="63"/>
        <v>15802</v>
      </c>
      <c r="CF15" s="46">
        <f>SUMIFS(SPEW_Pig_iron_production!$AA:$AA,SPEW_Pig_iron_production!$B:$B,$C15)</f>
        <v>17060</v>
      </c>
      <c r="CG15" s="7">
        <f t="shared" si="64"/>
        <v>18546</v>
      </c>
      <c r="CH15" s="7">
        <f t="shared" si="65"/>
        <v>20032</v>
      </c>
      <c r="CI15" s="7">
        <f t="shared" si="66"/>
        <v>21518</v>
      </c>
      <c r="CJ15" s="7">
        <f t="shared" si="67"/>
        <v>23004</v>
      </c>
      <c r="CK15" s="46">
        <f>SUMIFS(SPEW_Pig_iron_production!$AB:$AB,SPEW_Pig_iron_production!$B:$B,$C15)</f>
        <v>24490</v>
      </c>
      <c r="CL15" s="7">
        <f t="shared" si="68"/>
        <v>27196.799999999999</v>
      </c>
      <c r="CM15" s="7">
        <f t="shared" si="69"/>
        <v>29903.599999999999</v>
      </c>
      <c r="CN15" s="7">
        <f t="shared" si="70"/>
        <v>32610.399999999998</v>
      </c>
      <c r="CO15" s="7">
        <f t="shared" si="71"/>
        <v>35317.199999999997</v>
      </c>
      <c r="CP15" s="2">
        <f>[1]Data!B15</f>
        <v>38024</v>
      </c>
      <c r="CQ15" s="2">
        <f>[1]Data!C15</f>
        <v>34166</v>
      </c>
      <c r="CR15" s="2">
        <f>[1]Data!D15</f>
        <v>35510</v>
      </c>
      <c r="CS15" s="2">
        <f>[1]Data!E15</f>
        <v>37378</v>
      </c>
      <c r="CT15" s="2">
        <f>[1]Data!F15</f>
        <v>40062</v>
      </c>
      <c r="CU15" s="2">
        <f>[1]Data!G15</f>
        <v>43840</v>
      </c>
      <c r="CV15" s="2">
        <f>[1]Data!H15</f>
        <v>50639</v>
      </c>
      <c r="CW15" s="2">
        <f>[1]Data!I15</f>
        <v>55032</v>
      </c>
      <c r="CX15" s="2">
        <f>[1]Data!J15</f>
        <v>57040</v>
      </c>
      <c r="CY15" s="2">
        <f>[1]Data!K15</f>
        <v>58200</v>
      </c>
      <c r="CZ15" s="2">
        <f>[1]Data!L15</f>
        <v>62380</v>
      </c>
      <c r="DA15" s="2">
        <f>[1]Data!M15</f>
        <v>67654</v>
      </c>
      <c r="DB15" s="2">
        <f>[1]Data!N15</f>
        <v>75893</v>
      </c>
      <c r="DC15" s="2">
        <f>[1]Data!O15</f>
        <v>87377</v>
      </c>
      <c r="DD15" s="2">
        <f>[1]Data!P15</f>
        <v>97409</v>
      </c>
      <c r="DE15" s="2">
        <f>[1]Data!Q15</f>
        <v>105293</v>
      </c>
      <c r="DF15" s="2">
        <f>[1]Data!R15</f>
        <v>107225</v>
      </c>
      <c r="DG15" s="2">
        <f>[1]Data!S15</f>
        <v>115114</v>
      </c>
      <c r="DH15" s="2">
        <f>[1]Data!T15</f>
        <v>118521</v>
      </c>
      <c r="DI15" s="2">
        <f>[1]Data!U15</f>
        <v>125330</v>
      </c>
      <c r="DJ15" s="2">
        <f>[1]Data!V15</f>
        <v>131015</v>
      </c>
      <c r="DK15" s="2">
        <f>[1]Data!W15</f>
        <v>155543</v>
      </c>
      <c r="DL15" s="2">
        <f>[1]Data!X15</f>
        <v>170792</v>
      </c>
      <c r="DM15" s="2">
        <f>[1]Data!Y15</f>
        <v>213667</v>
      </c>
      <c r="DN15" s="2">
        <f>[1]Data!Z15</f>
        <v>251851</v>
      </c>
      <c r="DO15" s="2">
        <f>[1]Data!AA15</f>
        <v>344732</v>
      </c>
      <c r="DP15" s="2">
        <f>[1]Data!AB15</f>
        <v>413641</v>
      </c>
      <c r="DQ15" s="2">
        <f>[1]Data!AC15</f>
        <v>476604</v>
      </c>
      <c r="DR15" s="2">
        <f>[1]Data!AD15</f>
        <v>483226</v>
      </c>
      <c r="DS15" s="2">
        <f>[1]Data!AE15</f>
        <v>568634</v>
      </c>
      <c r="DT15" s="2">
        <f>[1]Data!AF15</f>
        <v>595601</v>
      </c>
      <c r="DU15" s="2">
        <f>[1]Data!AG15</f>
        <v>645429</v>
      </c>
      <c r="DV15" s="2">
        <f>[1]Data!AH15</f>
        <v>670102</v>
      </c>
      <c r="DW15" s="2">
        <f>[1]Data!AI15</f>
        <v>748084</v>
      </c>
      <c r="DX15" s="2">
        <v>711600</v>
      </c>
      <c r="DY15" s="2">
        <f>[4]Data!AK15</f>
        <v>691413</v>
      </c>
      <c r="DZ15" s="2">
        <f>[4]Data!AL15</f>
        <v>698190</v>
      </c>
      <c r="EA15" s="2">
        <f>[4]Data!AM15</f>
        <v>710760</v>
      </c>
    </row>
    <row r="16" spans="1:131" ht="16" x14ac:dyDescent="0.2">
      <c r="A16" t="s">
        <v>14</v>
      </c>
      <c r="C16" s="9" t="s">
        <v>97</v>
      </c>
      <c r="D16" s="46"/>
      <c r="E16" s="7">
        <f t="shared" si="0"/>
        <v>0</v>
      </c>
      <c r="F16" s="7">
        <f t="shared" si="1"/>
        <v>0</v>
      </c>
      <c r="G16" s="7">
        <f t="shared" si="2"/>
        <v>0</v>
      </c>
      <c r="H16" s="7">
        <f t="shared" si="3"/>
        <v>0</v>
      </c>
      <c r="I16" s="46"/>
      <c r="J16" s="7">
        <f t="shared" si="4"/>
        <v>0</v>
      </c>
      <c r="K16" s="7">
        <f t="shared" si="5"/>
        <v>0</v>
      </c>
      <c r="L16" s="7">
        <f t="shared" si="6"/>
        <v>0</v>
      </c>
      <c r="M16" s="7">
        <f t="shared" si="7"/>
        <v>0</v>
      </c>
      <c r="N16" s="46"/>
      <c r="O16" s="7">
        <f t="shared" si="8"/>
        <v>0</v>
      </c>
      <c r="P16" s="7">
        <f t="shared" si="9"/>
        <v>0</v>
      </c>
      <c r="Q16" s="7">
        <f t="shared" si="10"/>
        <v>0</v>
      </c>
      <c r="R16" s="7">
        <f t="shared" si="11"/>
        <v>0</v>
      </c>
      <c r="S16" s="46"/>
      <c r="T16" s="7">
        <f t="shared" si="12"/>
        <v>0</v>
      </c>
      <c r="U16" s="7">
        <f t="shared" si="13"/>
        <v>0</v>
      </c>
      <c r="V16" s="7">
        <f t="shared" si="14"/>
        <v>0</v>
      </c>
      <c r="W16" s="7">
        <f t="shared" si="15"/>
        <v>0</v>
      </c>
      <c r="X16" s="46"/>
      <c r="Y16" s="7">
        <f t="shared" si="16"/>
        <v>0</v>
      </c>
      <c r="Z16" s="7">
        <f t="shared" si="17"/>
        <v>0</v>
      </c>
      <c r="AA16" s="7">
        <f t="shared" si="18"/>
        <v>0</v>
      </c>
      <c r="AB16" s="7">
        <f t="shared" si="19"/>
        <v>0</v>
      </c>
      <c r="AC16" s="46"/>
      <c r="AD16" s="7">
        <f t="shared" si="20"/>
        <v>0</v>
      </c>
      <c r="AE16" s="7">
        <f t="shared" si="21"/>
        <v>0</v>
      </c>
      <c r="AF16" s="7">
        <f t="shared" si="22"/>
        <v>0</v>
      </c>
      <c r="AG16" s="7">
        <f t="shared" si="23"/>
        <v>0</v>
      </c>
      <c r="AH16" s="46"/>
      <c r="AI16" s="7">
        <f t="shared" si="24"/>
        <v>0</v>
      </c>
      <c r="AJ16" s="7">
        <f t="shared" si="25"/>
        <v>0</v>
      </c>
      <c r="AK16" s="7">
        <f t="shared" si="26"/>
        <v>0</v>
      </c>
      <c r="AL16" s="7">
        <f t="shared" si="27"/>
        <v>0</v>
      </c>
      <c r="AM16" s="46">
        <f>SUMIFS(SPEW_Pig_iron_production!$R:$R,SPEW_Pig_iron_production!$B:$B,$C16)</f>
        <v>0</v>
      </c>
      <c r="AN16" s="7">
        <f t="shared" si="28"/>
        <v>0</v>
      </c>
      <c r="AO16" s="7">
        <f t="shared" si="29"/>
        <v>0</v>
      </c>
      <c r="AP16" s="7">
        <f t="shared" si="30"/>
        <v>0</v>
      </c>
      <c r="AQ16" s="7">
        <f t="shared" si="31"/>
        <v>0</v>
      </c>
      <c r="AR16" s="46">
        <f>SUMIFS(SPEW_Pig_iron_production!$S:$S,SPEW_Pig_iron_production!$B:$B,$C16)</f>
        <v>0</v>
      </c>
      <c r="AS16" s="7">
        <f t="shared" si="32"/>
        <v>0</v>
      </c>
      <c r="AT16" s="7">
        <f t="shared" si="33"/>
        <v>0</v>
      </c>
      <c r="AU16" s="7">
        <f t="shared" si="34"/>
        <v>0</v>
      </c>
      <c r="AV16" s="7">
        <f t="shared" si="35"/>
        <v>0</v>
      </c>
      <c r="AW16" s="46">
        <f>SUMIFS(SPEW_Pig_iron_production!$T:$T,SPEW_Pig_iron_production!$B:$B,$C16)</f>
        <v>0</v>
      </c>
      <c r="AX16" s="7">
        <f t="shared" si="36"/>
        <v>0</v>
      </c>
      <c r="AY16" s="7">
        <f t="shared" si="37"/>
        <v>0</v>
      </c>
      <c r="AZ16" s="7">
        <f t="shared" si="38"/>
        <v>0</v>
      </c>
      <c r="BA16" s="7">
        <f t="shared" si="39"/>
        <v>0</v>
      </c>
      <c r="BB16" s="46">
        <f>SUMIFS(SPEW_Pig_iron_production!$U:$U,SPEW_Pig_iron_production!$B:$B,$C16)</f>
        <v>0</v>
      </c>
      <c r="BC16" s="7">
        <f t="shared" si="40"/>
        <v>0</v>
      </c>
      <c r="BD16" s="7">
        <f t="shared" si="41"/>
        <v>0</v>
      </c>
      <c r="BE16" s="7">
        <f t="shared" si="42"/>
        <v>0</v>
      </c>
      <c r="BF16" s="7">
        <f t="shared" si="43"/>
        <v>0</v>
      </c>
      <c r="BG16" s="46">
        <f>SUMIFS(SPEW_Pig_iron_production!$V:$V,SPEW_Pig_iron_production!$B:$B,$C16)</f>
        <v>0</v>
      </c>
      <c r="BH16" s="7">
        <f t="shared" si="44"/>
        <v>0</v>
      </c>
      <c r="BI16" s="7">
        <f t="shared" si="45"/>
        <v>0</v>
      </c>
      <c r="BJ16" s="7">
        <f t="shared" si="46"/>
        <v>0</v>
      </c>
      <c r="BK16" s="7">
        <f t="shared" si="47"/>
        <v>0</v>
      </c>
      <c r="BL16" s="46">
        <f>SUMIFS(SPEW_Pig_iron_production!$W:$W,SPEW_Pig_iron_production!$B:$B,$C16)</f>
        <v>0</v>
      </c>
      <c r="BM16" s="7">
        <f t="shared" si="48"/>
        <v>19.800000000000008</v>
      </c>
      <c r="BN16" s="7">
        <f t="shared" si="49"/>
        <v>39.600000000000009</v>
      </c>
      <c r="BO16" s="7">
        <f t="shared" si="50"/>
        <v>59.400000000000006</v>
      </c>
      <c r="BP16" s="7">
        <f t="shared" si="51"/>
        <v>79.2</v>
      </c>
      <c r="BQ16" s="46">
        <f>SUMIFS(SPEW_Pig_iron_production!$X:$X,SPEW_Pig_iron_production!$B:$B,$C16)</f>
        <v>99</v>
      </c>
      <c r="BR16" s="7">
        <f t="shared" si="52"/>
        <v>135.20000000000005</v>
      </c>
      <c r="BS16" s="7">
        <f t="shared" si="53"/>
        <v>171.40000000000003</v>
      </c>
      <c r="BT16" s="7">
        <f t="shared" si="54"/>
        <v>207.60000000000002</v>
      </c>
      <c r="BU16" s="7">
        <f t="shared" si="55"/>
        <v>243.8</v>
      </c>
      <c r="BV16" s="46">
        <f>SUMIFS(SPEW_Pig_iron_production!$Y:$Y,SPEW_Pig_iron_production!$B:$B,$C16)</f>
        <v>280</v>
      </c>
      <c r="BW16" s="7">
        <f t="shared" si="56"/>
        <v>263.79999999999995</v>
      </c>
      <c r="BX16" s="7">
        <f t="shared" si="57"/>
        <v>247.59999999999997</v>
      </c>
      <c r="BY16" s="7">
        <f t="shared" si="58"/>
        <v>231.39999999999998</v>
      </c>
      <c r="BZ16" s="7">
        <f t="shared" si="59"/>
        <v>215.2</v>
      </c>
      <c r="CA16" s="46">
        <f>SUMIFS(SPEW_Pig_iron_production!$Z:$Z,SPEW_Pig_iron_production!$B:$B,$C16)</f>
        <v>199</v>
      </c>
      <c r="CB16" s="7">
        <f t="shared" si="60"/>
        <v>205</v>
      </c>
      <c r="CC16" s="7">
        <f t="shared" si="61"/>
        <v>211</v>
      </c>
      <c r="CD16" s="7">
        <f t="shared" si="62"/>
        <v>217</v>
      </c>
      <c r="CE16" s="7">
        <f t="shared" si="63"/>
        <v>223</v>
      </c>
      <c r="CF16" s="46">
        <f>SUMIFS(SPEW_Pig_iron_production!$AA:$AA,SPEW_Pig_iron_production!$B:$B,$C16)</f>
        <v>229</v>
      </c>
      <c r="CG16" s="7">
        <f t="shared" si="64"/>
        <v>242</v>
      </c>
      <c r="CH16" s="7">
        <f t="shared" si="65"/>
        <v>255</v>
      </c>
      <c r="CI16" s="7">
        <f t="shared" si="66"/>
        <v>268</v>
      </c>
      <c r="CJ16" s="7">
        <f t="shared" si="67"/>
        <v>281</v>
      </c>
      <c r="CK16" s="46">
        <f>SUMIFS(SPEW_Pig_iron_production!$AB:$AB,SPEW_Pig_iron_production!$B:$B,$C16)</f>
        <v>294</v>
      </c>
      <c r="CL16" s="7">
        <f t="shared" si="68"/>
        <v>291</v>
      </c>
      <c r="CM16" s="7">
        <f t="shared" si="69"/>
        <v>288</v>
      </c>
      <c r="CN16" s="7">
        <f t="shared" si="70"/>
        <v>285</v>
      </c>
      <c r="CO16" s="7">
        <f t="shared" si="71"/>
        <v>282</v>
      </c>
      <c r="CP16" s="2">
        <f>[1]Data!B16</f>
        <v>279</v>
      </c>
      <c r="CQ16" s="2">
        <f>[1]Data!C16</f>
        <v>233</v>
      </c>
      <c r="CR16" s="2">
        <f>[1]Data!D16</f>
        <v>207</v>
      </c>
      <c r="CS16" s="2">
        <f>[1]Data!E16</f>
        <v>241</v>
      </c>
      <c r="CT16" s="2">
        <f>[1]Data!F16</f>
        <v>252</v>
      </c>
      <c r="CU16" s="2">
        <f>[1]Data!G16</f>
        <v>234</v>
      </c>
      <c r="CV16" s="2">
        <f>[1]Data!H16</f>
        <v>317</v>
      </c>
      <c r="CW16" s="2">
        <f>[1]Data!I16</f>
        <v>326</v>
      </c>
      <c r="CX16" s="2">
        <f>[1]Data!J16</f>
        <v>309</v>
      </c>
      <c r="CY16" s="2">
        <f>[1]Data!K16</f>
        <v>297</v>
      </c>
      <c r="CZ16" s="2">
        <f>[1]Data!L16</f>
        <v>323</v>
      </c>
      <c r="DA16" s="2">
        <f>[1]Data!M16</f>
        <v>305</v>
      </c>
      <c r="DB16" s="2">
        <f>[1]Data!N16</f>
        <v>308</v>
      </c>
      <c r="DC16" s="2">
        <f>[1]Data!O16</f>
        <v>238</v>
      </c>
      <c r="DD16" s="2">
        <f>[1]Data!P16</f>
        <v>245</v>
      </c>
      <c r="DE16" s="2">
        <f>[1]Data!Q16</f>
        <v>313</v>
      </c>
      <c r="DF16" s="2">
        <f>[1]Data!R16</f>
        <v>286</v>
      </c>
      <c r="DG16" s="2">
        <f>[1]Data!S16</f>
        <v>324</v>
      </c>
      <c r="DH16" s="2">
        <f>[1]Data!T16</f>
        <v>256</v>
      </c>
      <c r="DI16" s="2">
        <f>[1]Data!U16</f>
        <v>264</v>
      </c>
      <c r="DJ16" s="2">
        <f>[1]Data!V16</f>
        <v>285</v>
      </c>
      <c r="DK16" s="2">
        <f>[1]Data!W16</f>
        <v>319</v>
      </c>
      <c r="DL16" s="2">
        <f>[1]Data!X16</f>
        <v>311</v>
      </c>
      <c r="DM16" s="2">
        <f>[1]Data!Y16</f>
        <v>283</v>
      </c>
      <c r="DN16" s="2">
        <f>[1]Data!Z16</f>
        <v>312</v>
      </c>
      <c r="DO16" s="2">
        <f>[1]Data!AA16</f>
        <v>325</v>
      </c>
      <c r="DP16" s="2">
        <f>[1]Data!AB16</f>
        <v>360</v>
      </c>
      <c r="DQ16" s="2">
        <f>[1]Data!AC16</f>
        <v>341</v>
      </c>
      <c r="DR16" s="2">
        <f>[1]Data!AD16</f>
        <v>308</v>
      </c>
      <c r="DS16" s="2">
        <f>[1]Data!AE16</f>
        <v>342</v>
      </c>
      <c r="DT16" s="2">
        <f>[1]Data!AF16</f>
        <v>327</v>
      </c>
      <c r="DU16" s="2">
        <f>[1]Data!AG16</f>
        <v>302</v>
      </c>
      <c r="DV16" s="2">
        <f>[1]Data!AH16</f>
        <v>345</v>
      </c>
      <c r="DW16" s="2">
        <f>[1]Data!AI16</f>
        <v>307</v>
      </c>
      <c r="DX16" s="2">
        <v>234</v>
      </c>
      <c r="DY16" s="2">
        <f>[4]Data!AK16</f>
        <v>240</v>
      </c>
      <c r="DZ16" s="2">
        <f>[4]Data!AL16</f>
        <v>225</v>
      </c>
      <c r="EA16" s="2">
        <f>[4]Data!AM16</f>
        <v>203</v>
      </c>
    </row>
    <row r="17" spans="1:131" ht="16" x14ac:dyDescent="0.2">
      <c r="A17" t="s">
        <v>15</v>
      </c>
      <c r="B17" s="15" t="s">
        <v>287</v>
      </c>
      <c r="C17" s="9" t="s">
        <v>98</v>
      </c>
      <c r="D17" s="46">
        <f>SUMIFS(Hyde_iron!$C$34:$C$48,Hyde_iron!$B$34:$B$48,$B17)*I17/SUMIFS(I$3:I$63,$B$3:$B$63,$B17)</f>
        <v>0</v>
      </c>
      <c r="E17" s="7">
        <f t="shared" si="0"/>
        <v>0</v>
      </c>
      <c r="F17" s="7">
        <f t="shared" si="1"/>
        <v>0</v>
      </c>
      <c r="G17" s="7">
        <f t="shared" si="2"/>
        <v>0</v>
      </c>
      <c r="H17" s="7">
        <f t="shared" si="3"/>
        <v>0</v>
      </c>
      <c r="I17" s="46">
        <f>SUMIFS(Hyde_iron!$D$34:$D$48,Hyde_iron!$B$34:$B$48,$B17)*N17/SUMIFS(N$3:N$63,$B$3:$B$63,$B17)</f>
        <v>0</v>
      </c>
      <c r="J17" s="7">
        <f t="shared" si="4"/>
        <v>0</v>
      </c>
      <c r="K17" s="7">
        <f t="shared" si="5"/>
        <v>0</v>
      </c>
      <c r="L17" s="7">
        <f t="shared" si="6"/>
        <v>0</v>
      </c>
      <c r="M17" s="7">
        <f t="shared" si="7"/>
        <v>0</v>
      </c>
      <c r="N17" s="46">
        <f>SUMIFS(Hyde_iron!$E$34:$E$48,Hyde_iron!$B$34:$B$48,$B17)*S17/SUMIFS(S$3:S$63,$B$3:$B$63,$B17)</f>
        <v>0</v>
      </c>
      <c r="O17" s="7">
        <f t="shared" si="8"/>
        <v>0</v>
      </c>
      <c r="P17" s="7">
        <f t="shared" si="9"/>
        <v>0</v>
      </c>
      <c r="Q17" s="7">
        <f t="shared" si="10"/>
        <v>0</v>
      </c>
      <c r="R17" s="7">
        <f t="shared" si="11"/>
        <v>0</v>
      </c>
      <c r="S17" s="46">
        <f>SUMIFS(Hyde_iron!$F$34:$F$48,Hyde_iron!$B$34:$B$48,$B17)*X17/SUMIFS(X$3:X$63,$B$3:$B$63,$B17)</f>
        <v>0</v>
      </c>
      <c r="T17" s="7">
        <f t="shared" si="12"/>
        <v>0</v>
      </c>
      <c r="U17" s="7">
        <f t="shared" si="13"/>
        <v>0</v>
      </c>
      <c r="V17" s="7">
        <f t="shared" si="14"/>
        <v>0</v>
      </c>
      <c r="W17" s="7">
        <f t="shared" si="15"/>
        <v>0</v>
      </c>
      <c r="X17" s="46">
        <f>SUMIFS(Hyde_iron!$G$34:$G$48,Hyde_iron!$B$34:$B$48,$B17)*AC17/SUMIFS(AC$3:AC$63,$B$3:$B$63,$B17)</f>
        <v>0</v>
      </c>
      <c r="Y17" s="7">
        <f t="shared" si="16"/>
        <v>0</v>
      </c>
      <c r="Z17" s="7">
        <f t="shared" si="17"/>
        <v>0</v>
      </c>
      <c r="AA17" s="7">
        <f t="shared" si="18"/>
        <v>0</v>
      </c>
      <c r="AB17" s="7">
        <f t="shared" si="19"/>
        <v>0</v>
      </c>
      <c r="AC17" s="46">
        <f>SUMIFS(Hyde_iron!$H$34:$H$48,Hyde_iron!$B$34:$B$48,$B17)*AH17/SUMIFS(AH$3:AH$63,$B$3:$B$63,$B17)</f>
        <v>0</v>
      </c>
      <c r="AD17" s="7">
        <f t="shared" si="20"/>
        <v>0</v>
      </c>
      <c r="AE17" s="7">
        <f t="shared" si="21"/>
        <v>0</v>
      </c>
      <c r="AF17" s="7">
        <f t="shared" si="22"/>
        <v>0</v>
      </c>
      <c r="AG17" s="7">
        <f t="shared" si="23"/>
        <v>0</v>
      </c>
      <c r="AH17" s="46">
        <f>SUMIFS(Hyde_iron!$I$34:$I$48,Hyde_iron!$B$34:$B$48,$B17)*AM17/SUMIFS(AM$3:AM$63,$B$3:$B$63,$B17)</f>
        <v>0</v>
      </c>
      <c r="AI17" s="7">
        <f t="shared" si="24"/>
        <v>0</v>
      </c>
      <c r="AJ17" s="7">
        <f t="shared" si="25"/>
        <v>0</v>
      </c>
      <c r="AK17" s="7">
        <f t="shared" si="26"/>
        <v>0</v>
      </c>
      <c r="AL17" s="7">
        <f t="shared" si="27"/>
        <v>0</v>
      </c>
      <c r="AM17" s="46">
        <f>SUMIFS(SPEW_Pig_iron_production!$R:$R,SPEW_Pig_iron_production!$B:$B,$C17)</f>
        <v>0</v>
      </c>
      <c r="AN17" s="7">
        <f t="shared" si="28"/>
        <v>0</v>
      </c>
      <c r="AO17" s="7">
        <f t="shared" si="29"/>
        <v>0</v>
      </c>
      <c r="AP17" s="7">
        <f t="shared" si="30"/>
        <v>0</v>
      </c>
      <c r="AQ17" s="7">
        <f t="shared" si="31"/>
        <v>0</v>
      </c>
      <c r="AR17" s="46">
        <f>SUMIFS(SPEW_Pig_iron_production!$S:$S,SPEW_Pig_iron_production!$B:$B,$C17)</f>
        <v>0</v>
      </c>
      <c r="AS17" s="7">
        <f t="shared" si="32"/>
        <v>0</v>
      </c>
      <c r="AT17" s="7">
        <f t="shared" si="33"/>
        <v>0</v>
      </c>
      <c r="AU17" s="7">
        <f t="shared" si="34"/>
        <v>0</v>
      </c>
      <c r="AV17" s="7">
        <f t="shared" si="35"/>
        <v>0</v>
      </c>
      <c r="AW17" s="46">
        <f>SUMIFS(SPEW_Pig_iron_production!$T:$T,SPEW_Pig_iron_production!$B:$B,$C17)</f>
        <v>0</v>
      </c>
      <c r="AX17" s="7">
        <f t="shared" si="36"/>
        <v>0</v>
      </c>
      <c r="AY17" s="7">
        <f t="shared" si="37"/>
        <v>0</v>
      </c>
      <c r="AZ17" s="7">
        <f t="shared" si="38"/>
        <v>0</v>
      </c>
      <c r="BA17" s="7">
        <f t="shared" si="39"/>
        <v>0</v>
      </c>
      <c r="BB17" s="46">
        <f>SUMIFS(SPEW_Pig_iron_production!$U:$U,SPEW_Pig_iron_production!$B:$B,$C17)</f>
        <v>0</v>
      </c>
      <c r="BC17" s="7">
        <f t="shared" si="40"/>
        <v>0</v>
      </c>
      <c r="BD17" s="7">
        <f t="shared" si="41"/>
        <v>0</v>
      </c>
      <c r="BE17" s="7">
        <f t="shared" si="42"/>
        <v>0</v>
      </c>
      <c r="BF17" s="7">
        <f t="shared" si="43"/>
        <v>0</v>
      </c>
      <c r="BG17" s="46">
        <f>SUMIFS(SPEW_Pig_iron_production!$V:$V,SPEW_Pig_iron_production!$B:$B,$C17)</f>
        <v>0</v>
      </c>
      <c r="BH17" s="7">
        <f t="shared" si="44"/>
        <v>0</v>
      </c>
      <c r="BI17" s="7">
        <f t="shared" si="45"/>
        <v>0</v>
      </c>
      <c r="BJ17" s="7">
        <f t="shared" si="46"/>
        <v>0</v>
      </c>
      <c r="BK17" s="7">
        <f t="shared" si="47"/>
        <v>0</v>
      </c>
      <c r="BL17" s="46">
        <f>SUMIFS(SPEW_Pig_iron_production!$W:$W,SPEW_Pig_iron_production!$B:$B,$C17)</f>
        <v>0</v>
      </c>
      <c r="BM17" s="7">
        <f t="shared" si="48"/>
        <v>0</v>
      </c>
      <c r="BN17" s="7">
        <f t="shared" si="49"/>
        <v>0</v>
      </c>
      <c r="BO17" s="7">
        <f t="shared" si="50"/>
        <v>0</v>
      </c>
      <c r="BP17" s="7">
        <f t="shared" si="51"/>
        <v>0</v>
      </c>
      <c r="BQ17" s="46">
        <f>SUMIFS(SPEW_Pig_iron_production!$X:$X,SPEW_Pig_iron_production!$B:$B,$C17)</f>
        <v>0</v>
      </c>
      <c r="BR17" s="7">
        <f t="shared" si="52"/>
        <v>0</v>
      </c>
      <c r="BS17" s="7">
        <f t="shared" si="53"/>
        <v>0</v>
      </c>
      <c r="BT17" s="7">
        <f t="shared" si="54"/>
        <v>0</v>
      </c>
      <c r="BU17" s="7">
        <f t="shared" si="55"/>
        <v>0</v>
      </c>
      <c r="BV17" s="46">
        <f>SUMIFS(SPEW_Pig_iron_production!$Y:$Y,SPEW_Pig_iron_production!$B:$B,$C17)</f>
        <v>0</v>
      </c>
      <c r="BW17" s="7">
        <f t="shared" si="56"/>
        <v>0</v>
      </c>
      <c r="BX17" s="7">
        <f t="shared" si="57"/>
        <v>0</v>
      </c>
      <c r="BY17" s="7">
        <f t="shared" si="58"/>
        <v>0</v>
      </c>
      <c r="BZ17" s="7">
        <f t="shared" si="59"/>
        <v>0</v>
      </c>
      <c r="CA17" s="46">
        <f>SUMIFS(SPEW_Pig_iron_production!$Z:$Z,SPEW_Pig_iron_production!$B:$B,$C17)</f>
        <v>0</v>
      </c>
      <c r="CB17" s="7">
        <f t="shared" si="60"/>
        <v>0</v>
      </c>
      <c r="CC17" s="7">
        <f t="shared" si="61"/>
        <v>0</v>
      </c>
      <c r="CD17" s="7">
        <f t="shared" si="62"/>
        <v>0</v>
      </c>
      <c r="CE17" s="7">
        <f t="shared" si="63"/>
        <v>0</v>
      </c>
      <c r="CF17" s="46">
        <f>SUMIFS(SPEW_Pig_iron_production!$AA:$AA,SPEW_Pig_iron_production!$B:$B,$C17)</f>
        <v>0</v>
      </c>
      <c r="CG17" s="7">
        <f t="shared" si="64"/>
        <v>0</v>
      </c>
      <c r="CH17" s="7">
        <f t="shared" si="65"/>
        <v>0</v>
      </c>
      <c r="CI17" s="7">
        <f t="shared" si="66"/>
        <v>0</v>
      </c>
      <c r="CJ17" s="7">
        <f t="shared" si="67"/>
        <v>0</v>
      </c>
      <c r="CK17" s="46">
        <f>SUMIFS(SPEW_Pig_iron_production!$AB:$AB,SPEW_Pig_iron_production!$B:$B,$C17)</f>
        <v>0</v>
      </c>
      <c r="CL17" s="7">
        <f t="shared" si="68"/>
        <v>0</v>
      </c>
      <c r="CM17" s="7">
        <f t="shared" si="69"/>
        <v>0</v>
      </c>
      <c r="CN17" s="7">
        <f t="shared" si="70"/>
        <v>0</v>
      </c>
      <c r="CO17" s="7">
        <f t="shared" si="71"/>
        <v>0</v>
      </c>
      <c r="CP17" s="2">
        <f>[1]Data!B17</f>
        <v>0</v>
      </c>
      <c r="CQ17" s="2">
        <f>[1]Data!C17</f>
        <v>0</v>
      </c>
      <c r="CR17" s="2">
        <f>[1]Data!D17</f>
        <v>0</v>
      </c>
      <c r="CS17" s="2">
        <f>[1]Data!E17</f>
        <v>0</v>
      </c>
      <c r="CT17" s="2">
        <f>[1]Data!F17</f>
        <v>0</v>
      </c>
      <c r="CU17" s="2">
        <f>[1]Data!G17</f>
        <v>0</v>
      </c>
      <c r="CV17" s="2">
        <f>[1]Data!H17</f>
        <v>0</v>
      </c>
      <c r="CW17" s="2">
        <f>[1]Data!I17</f>
        <v>0</v>
      </c>
      <c r="CX17" s="2">
        <f>[1]Data!J17</f>
        <v>0</v>
      </c>
      <c r="CY17" s="2">
        <f>[1]Data!K17</f>
        <v>0</v>
      </c>
      <c r="CZ17" s="2">
        <f>[1]Data!L17</f>
        <v>0</v>
      </c>
      <c r="DA17" s="2">
        <f>[1]Data!M17</f>
        <v>0</v>
      </c>
      <c r="DB17" s="2">
        <f>[1]Data!N17</f>
        <v>5082</v>
      </c>
      <c r="DC17" s="2">
        <f>[1]Data!O17</f>
        <v>4655</v>
      </c>
      <c r="DD17" s="2">
        <f>[1]Data!P17</f>
        <v>5268</v>
      </c>
      <c r="DE17" s="2">
        <f>[1]Data!Q17</f>
        <v>5274</v>
      </c>
      <c r="DF17" s="2">
        <f>[1]Data!R17</f>
        <v>4898</v>
      </c>
      <c r="DG17" s="2">
        <f>[1]Data!S17</f>
        <v>5195</v>
      </c>
      <c r="DH17" s="2">
        <f>[1]Data!T17</f>
        <v>4982</v>
      </c>
      <c r="DI17" s="2">
        <f>[1]Data!U17</f>
        <v>4023</v>
      </c>
      <c r="DJ17" s="2">
        <f>[1]Data!V17</f>
        <v>4621</v>
      </c>
      <c r="DK17" s="2">
        <f>[1]Data!W17</f>
        <v>4671</v>
      </c>
      <c r="DL17" s="2">
        <f>[1]Data!X17</f>
        <v>4840</v>
      </c>
      <c r="DM17" s="2">
        <f>[1]Data!Y17</f>
        <v>5207</v>
      </c>
      <c r="DN17" s="2">
        <f>[1]Data!Z17</f>
        <v>5384</v>
      </c>
      <c r="DO17" s="2">
        <f>[1]Data!AA17</f>
        <v>4627</v>
      </c>
      <c r="DP17" s="2">
        <f>[1]Data!AB17</f>
        <v>5192</v>
      </c>
      <c r="DQ17" s="2">
        <f>[1]Data!AC17</f>
        <v>5287</v>
      </c>
      <c r="DR17" s="2">
        <f>[1]Data!AD17</f>
        <v>4737</v>
      </c>
      <c r="DS17" s="2">
        <f>[1]Data!AE17</f>
        <v>3483</v>
      </c>
      <c r="DT17" s="2">
        <f>[1]Data!AF17</f>
        <v>3987</v>
      </c>
      <c r="DU17" s="2">
        <f>[1]Data!AG17</f>
        <v>4137</v>
      </c>
      <c r="DV17" s="2">
        <f>[1]Data!AH17</f>
        <v>3935</v>
      </c>
      <c r="DW17" s="2">
        <f>[1]Data!AI17</f>
        <v>4040</v>
      </c>
      <c r="DX17" s="2">
        <v>4152</v>
      </c>
      <c r="DY17" s="2">
        <f>[4]Data!AK17</f>
        <v>4031</v>
      </c>
      <c r="DZ17" s="2">
        <f>[4]Data!AL17</f>
        <v>4165</v>
      </c>
      <c r="EA17" s="2">
        <f>[4]Data!AM17</f>
        <v>3691</v>
      </c>
    </row>
    <row r="18" spans="1:131" ht="16" x14ac:dyDescent="0.2">
      <c r="A18" t="s">
        <v>16</v>
      </c>
      <c r="B18" s="15" t="s">
        <v>287</v>
      </c>
      <c r="C18" s="9" t="s">
        <v>99</v>
      </c>
      <c r="D18" s="46">
        <f>SUMIFS(Hyde_iron!$C$34:$C$48,Hyde_iron!$B$34:$B$48,$B18)*I18/SUMIFS(I$3:I$63,$B$3:$B$63,$B18)</f>
        <v>212.45216331505182</v>
      </c>
      <c r="E18" s="7">
        <f t="shared" si="0"/>
        <v>219.55758683729431</v>
      </c>
      <c r="F18" s="7">
        <f t="shared" si="1"/>
        <v>226.66301035953686</v>
      </c>
      <c r="G18" s="7">
        <f t="shared" si="2"/>
        <v>233.7684338817794</v>
      </c>
      <c r="H18" s="7">
        <f t="shared" si="3"/>
        <v>240.87385740402195</v>
      </c>
      <c r="I18" s="46">
        <f>SUMIFS(Hyde_iron!$D$34:$D$48,Hyde_iron!$B$34:$B$48,$B18)*N18/SUMIFS(N$3:N$63,$B$3:$B$63,$B18)</f>
        <v>247.97928092626449</v>
      </c>
      <c r="J18" s="7">
        <f t="shared" si="4"/>
        <v>263.18488726386352</v>
      </c>
      <c r="K18" s="7">
        <f t="shared" si="5"/>
        <v>278.39049360146254</v>
      </c>
      <c r="L18" s="7">
        <f t="shared" si="6"/>
        <v>293.59609993906156</v>
      </c>
      <c r="M18" s="7">
        <f t="shared" si="7"/>
        <v>308.80170627666058</v>
      </c>
      <c r="N18" s="46">
        <f>SUMIFS(Hyde_iron!$E$34:$E$48,Hyde_iron!$B$34:$B$48,$B18)*S18/SUMIFS(S$3:S$63,$B$3:$B$63,$B18)</f>
        <v>324.0073126142596</v>
      </c>
      <c r="O18" s="7">
        <f t="shared" si="8"/>
        <v>319.03351614868973</v>
      </c>
      <c r="P18" s="7">
        <f t="shared" si="9"/>
        <v>314.05971968311997</v>
      </c>
      <c r="Q18" s="7">
        <f t="shared" si="10"/>
        <v>309.0859232175502</v>
      </c>
      <c r="R18" s="7">
        <f t="shared" si="11"/>
        <v>304.11212675198044</v>
      </c>
      <c r="S18" s="46">
        <f>SUMIFS(Hyde_iron!$F$34:$F$48,Hyde_iron!$B$34:$B$48,$B18)*X18/SUMIFS(X$3:X$63,$B$3:$B$63,$B18)</f>
        <v>299.13833028641068</v>
      </c>
      <c r="T18" s="7">
        <f t="shared" si="12"/>
        <v>310.64911639244355</v>
      </c>
      <c r="U18" s="7">
        <f t="shared" si="13"/>
        <v>322.15990249847647</v>
      </c>
      <c r="V18" s="7">
        <f t="shared" si="14"/>
        <v>333.67068860450939</v>
      </c>
      <c r="W18" s="7">
        <f t="shared" si="15"/>
        <v>345.18147471054232</v>
      </c>
      <c r="X18" s="46">
        <f>SUMIFS(Hyde_iron!$G$34:$G$48,Hyde_iron!$B$34:$B$48,$B18)*AC18/SUMIFS(AC$3:AC$63,$B$3:$B$63,$B18)</f>
        <v>356.69226081657524</v>
      </c>
      <c r="Y18" s="7">
        <f t="shared" si="16"/>
        <v>340.49189518586218</v>
      </c>
      <c r="Z18" s="7">
        <f t="shared" si="17"/>
        <v>324.29152955514922</v>
      </c>
      <c r="AA18" s="7">
        <f t="shared" si="18"/>
        <v>308.09116392443627</v>
      </c>
      <c r="AB18" s="7">
        <f t="shared" si="19"/>
        <v>291.89079829372332</v>
      </c>
      <c r="AC18" s="46">
        <f>SUMIFS(Hyde_iron!$H$34:$H$48,Hyde_iron!$B$34:$B$48,$B18)*AH18/SUMIFS(AH$3:AH$63,$B$3:$B$63,$B18)</f>
        <v>275.69043266301037</v>
      </c>
      <c r="AD18" s="7">
        <f t="shared" si="20"/>
        <v>387.38769043266302</v>
      </c>
      <c r="AE18" s="7">
        <f t="shared" si="21"/>
        <v>499.08494820231567</v>
      </c>
      <c r="AF18" s="7">
        <f t="shared" si="22"/>
        <v>610.78220597196832</v>
      </c>
      <c r="AG18" s="7">
        <f t="shared" si="23"/>
        <v>722.47946374162098</v>
      </c>
      <c r="AH18" s="46">
        <f>SUMIFS(Hyde_iron!$I$34:$I$48,Hyde_iron!$B$34:$B$48,$B18)*AM18/SUMIFS(AM$3:AM$63,$B$3:$B$63,$B18)</f>
        <v>834.17672151127363</v>
      </c>
      <c r="AI18" s="7">
        <f t="shared" si="24"/>
        <v>900.54137720901872</v>
      </c>
      <c r="AJ18" s="7">
        <f t="shared" si="25"/>
        <v>966.90603290676404</v>
      </c>
      <c r="AK18" s="7">
        <f t="shared" si="26"/>
        <v>1033.2706886045094</v>
      </c>
      <c r="AL18" s="7">
        <f t="shared" si="27"/>
        <v>1099.6353443022547</v>
      </c>
      <c r="AM18" s="46">
        <f>SUMIFS(SPEW_Pig_iron_production!$R:$R,SPEW_Pig_iron_production!$B:$B,$C18)</f>
        <v>1166</v>
      </c>
      <c r="AN18" s="7">
        <f t="shared" si="28"/>
        <v>1220.1999999999998</v>
      </c>
      <c r="AO18" s="7">
        <f t="shared" si="29"/>
        <v>1274.3999999999999</v>
      </c>
      <c r="AP18" s="7">
        <f t="shared" si="30"/>
        <v>1328.6</v>
      </c>
      <c r="AQ18" s="7">
        <f t="shared" si="31"/>
        <v>1382.8</v>
      </c>
      <c r="AR18" s="46">
        <f>SUMIFS(SPEW_Pig_iron_production!$S:$S,SPEW_Pig_iron_production!$B:$B,$C18)</f>
        <v>1437</v>
      </c>
      <c r="AS18" s="7">
        <f t="shared" si="32"/>
        <v>1311.8000000000002</v>
      </c>
      <c r="AT18" s="7">
        <f t="shared" si="33"/>
        <v>1186.6000000000001</v>
      </c>
      <c r="AU18" s="7">
        <f t="shared" si="34"/>
        <v>1061.4000000000001</v>
      </c>
      <c r="AV18" s="7">
        <f t="shared" si="35"/>
        <v>936.2</v>
      </c>
      <c r="AW18" s="46">
        <f>SUMIFS(SPEW_Pig_iron_production!$T:$T,SPEW_Pig_iron_production!$B:$B,$C18)</f>
        <v>811</v>
      </c>
      <c r="AX18" s="7">
        <f t="shared" si="36"/>
        <v>965.19999999999982</v>
      </c>
      <c r="AY18" s="7">
        <f t="shared" si="37"/>
        <v>1119.3999999999999</v>
      </c>
      <c r="AZ18" s="7">
        <f t="shared" si="38"/>
        <v>1273.5999999999999</v>
      </c>
      <c r="BA18" s="7">
        <f t="shared" si="39"/>
        <v>1427.8</v>
      </c>
      <c r="BB18" s="46">
        <f>SUMIFS(SPEW_Pig_iron_production!$U:$U,SPEW_Pig_iron_production!$B:$B,$C18)</f>
        <v>1582</v>
      </c>
      <c r="BC18" s="7">
        <f t="shared" si="40"/>
        <v>1380.8000000000002</v>
      </c>
      <c r="BD18" s="7">
        <f t="shared" si="41"/>
        <v>1179.6000000000001</v>
      </c>
      <c r="BE18" s="7">
        <f t="shared" si="42"/>
        <v>978.40000000000009</v>
      </c>
      <c r="BF18" s="7">
        <f t="shared" si="43"/>
        <v>777.2</v>
      </c>
      <c r="BG18" s="46">
        <f>SUMIFS(SPEW_Pig_iron_production!$V:$V,SPEW_Pig_iron_production!$B:$B,$C18)</f>
        <v>576</v>
      </c>
      <c r="BH18" s="7">
        <f t="shared" si="44"/>
        <v>851</v>
      </c>
      <c r="BI18" s="7">
        <f t="shared" si="45"/>
        <v>1126</v>
      </c>
      <c r="BJ18" s="7">
        <f t="shared" si="46"/>
        <v>1401</v>
      </c>
      <c r="BK18" s="7">
        <f t="shared" si="47"/>
        <v>1676</v>
      </c>
      <c r="BL18" s="46">
        <f>SUMIFS(SPEW_Pig_iron_production!$W:$W,SPEW_Pig_iron_production!$B:$B,$C18)</f>
        <v>1951</v>
      </c>
      <c r="BM18" s="7">
        <f t="shared" si="48"/>
        <v>2157.2000000000007</v>
      </c>
      <c r="BN18" s="7">
        <f t="shared" si="49"/>
        <v>2363.4000000000005</v>
      </c>
      <c r="BO18" s="7">
        <f t="shared" si="50"/>
        <v>2569.6000000000004</v>
      </c>
      <c r="BP18" s="7">
        <f t="shared" si="51"/>
        <v>2775.8</v>
      </c>
      <c r="BQ18" s="46">
        <f>SUMIFS(SPEW_Pig_iron_production!$X:$X,SPEW_Pig_iron_production!$B:$B,$C18)</f>
        <v>2982</v>
      </c>
      <c r="BR18" s="7">
        <f t="shared" si="52"/>
        <v>3324.7999999999993</v>
      </c>
      <c r="BS18" s="7">
        <f t="shared" si="53"/>
        <v>3667.5999999999995</v>
      </c>
      <c r="BT18" s="7">
        <f t="shared" si="54"/>
        <v>4010.3999999999996</v>
      </c>
      <c r="BU18" s="7">
        <f t="shared" si="55"/>
        <v>4353.2</v>
      </c>
      <c r="BV18" s="46">
        <f>SUMIFS(SPEW_Pig_iron_production!$Y:$Y,SPEW_Pig_iron_production!$B:$B,$C18)</f>
        <v>4696</v>
      </c>
      <c r="BW18" s="7">
        <f t="shared" si="56"/>
        <v>4930.4000000000015</v>
      </c>
      <c r="BX18" s="7">
        <f t="shared" si="57"/>
        <v>5164.8000000000011</v>
      </c>
      <c r="BY18" s="7">
        <f t="shared" si="58"/>
        <v>5399.2000000000007</v>
      </c>
      <c r="BZ18" s="7">
        <f t="shared" si="59"/>
        <v>5633.6</v>
      </c>
      <c r="CA18" s="46">
        <f>SUMIFS(SPEW_Pig_iron_production!$Z:$Z,SPEW_Pig_iron_production!$B:$B,$C18)</f>
        <v>5868</v>
      </c>
      <c r="CB18" s="7">
        <f t="shared" si="60"/>
        <v>6204</v>
      </c>
      <c r="CC18" s="7">
        <f t="shared" si="61"/>
        <v>6540</v>
      </c>
      <c r="CD18" s="7">
        <f t="shared" si="62"/>
        <v>6876</v>
      </c>
      <c r="CE18" s="7">
        <f t="shared" si="63"/>
        <v>7212</v>
      </c>
      <c r="CF18" s="46">
        <f>SUMIFS(SPEW_Pig_iron_production!$AA:$AA,SPEW_Pig_iron_production!$B:$B,$C18)</f>
        <v>7548</v>
      </c>
      <c r="CG18" s="7">
        <f t="shared" si="64"/>
        <v>7894.5999999999985</v>
      </c>
      <c r="CH18" s="7">
        <f t="shared" si="65"/>
        <v>8241.1999999999989</v>
      </c>
      <c r="CI18" s="7">
        <f t="shared" si="66"/>
        <v>8587.7999999999993</v>
      </c>
      <c r="CJ18" s="7">
        <f t="shared" si="67"/>
        <v>8934.4</v>
      </c>
      <c r="CK18" s="46">
        <f>SUMIFS(SPEW_Pig_iron_production!$AB:$AB,SPEW_Pig_iron_production!$B:$B,$C18)</f>
        <v>9281</v>
      </c>
      <c r="CL18" s="7">
        <f t="shared" si="68"/>
        <v>9388.8000000000029</v>
      </c>
      <c r="CM18" s="7">
        <f t="shared" si="69"/>
        <v>9496.6000000000022</v>
      </c>
      <c r="CN18" s="7">
        <f t="shared" si="70"/>
        <v>9604.4000000000015</v>
      </c>
      <c r="CO18" s="7">
        <f t="shared" si="71"/>
        <v>9712.2000000000007</v>
      </c>
      <c r="CP18" s="2">
        <f>[1]Data!B18</f>
        <v>9820</v>
      </c>
      <c r="CQ18" s="2">
        <f>[1]Data!C18</f>
        <v>9903</v>
      </c>
      <c r="CR18" s="2">
        <f>[1]Data!D18</f>
        <v>9525</v>
      </c>
      <c r="CS18" s="2">
        <f>[1]Data!E18</f>
        <v>9466</v>
      </c>
      <c r="CT18" s="2">
        <f>[1]Data!F18</f>
        <v>9561</v>
      </c>
      <c r="CU18" s="2">
        <f>[1]Data!G18</f>
        <v>9562</v>
      </c>
      <c r="CV18" s="2">
        <f>[1]Data!H18</f>
        <v>9573</v>
      </c>
      <c r="CW18" s="2">
        <f>[1]Data!I18</f>
        <v>9788</v>
      </c>
      <c r="CX18" s="2">
        <f>[1]Data!J18</f>
        <v>9706</v>
      </c>
      <c r="CY18" s="2">
        <f>[1]Data!K18</f>
        <v>9911</v>
      </c>
      <c r="CZ18" s="2">
        <f>[1]Data!L18</f>
        <v>9667</v>
      </c>
      <c r="DA18" s="2">
        <f>[1]Data!M18</f>
        <v>8479</v>
      </c>
      <c r="DB18" s="2">
        <f>[1]Data!N18</f>
        <v>0</v>
      </c>
      <c r="DC18" s="2">
        <f>[1]Data!O18</f>
        <v>0</v>
      </c>
      <c r="DD18" s="2">
        <f>[1]Data!P18</f>
        <v>0</v>
      </c>
      <c r="DE18" s="2">
        <f>[1]Data!Q18</f>
        <v>0</v>
      </c>
      <c r="DF18" s="2">
        <f>[1]Data!R18</f>
        <v>0</v>
      </c>
      <c r="DG18" s="2">
        <f>[1]Data!S18</f>
        <v>0</v>
      </c>
      <c r="DH18" s="2">
        <f>[1]Data!T18</f>
        <v>0</v>
      </c>
      <c r="DI18" s="2">
        <f>[1]Data!U18</f>
        <v>0</v>
      </c>
      <c r="DJ18" s="2">
        <f>[1]Data!V18</f>
        <v>0</v>
      </c>
      <c r="DK18" s="2">
        <f>[1]Data!W18</f>
        <v>0</v>
      </c>
      <c r="DL18" s="2">
        <f>[1]Data!X18</f>
        <v>0</v>
      </c>
      <c r="DM18" s="2">
        <f>[1]Data!Y18</f>
        <v>0</v>
      </c>
      <c r="DN18" s="2">
        <f>[1]Data!Z18</f>
        <v>0</v>
      </c>
      <c r="DO18" s="2">
        <f>[1]Data!AA18</f>
        <v>0</v>
      </c>
      <c r="DP18" s="2">
        <f>[1]Data!AB18</f>
        <v>0</v>
      </c>
      <c r="DQ18" s="2">
        <f>[1]Data!AC18</f>
        <v>0</v>
      </c>
      <c r="DR18" s="2">
        <f>[1]Data!AD18</f>
        <v>0</v>
      </c>
      <c r="DS18" s="2">
        <f>[1]Data!AE18</f>
        <v>0</v>
      </c>
      <c r="DT18" s="2">
        <f>[1]Data!AF18</f>
        <v>0</v>
      </c>
      <c r="DU18" s="2">
        <f>[1]Data!AG18</f>
        <v>0</v>
      </c>
      <c r="DV18" s="2">
        <f>[1]Data!AH18</f>
        <v>0</v>
      </c>
      <c r="DW18" s="2">
        <f>[1]Data!AI18</f>
        <v>0</v>
      </c>
      <c r="DX18" s="2">
        <v>0</v>
      </c>
      <c r="DY18" s="2">
        <f>[4]Data!AK18</f>
        <v>0</v>
      </c>
      <c r="DZ18" s="2">
        <f>[4]Data!AL18</f>
        <v>0</v>
      </c>
      <c r="EA18" s="2">
        <f>[4]Data!AM18</f>
        <v>0</v>
      </c>
    </row>
    <row r="19" spans="1:131" ht="16" x14ac:dyDescent="0.2">
      <c r="A19" t="s">
        <v>17</v>
      </c>
      <c r="C19" s="9" t="s">
        <v>100</v>
      </c>
      <c r="D19" s="46"/>
      <c r="E19" s="7">
        <f t="shared" si="0"/>
        <v>0</v>
      </c>
      <c r="F19" s="7">
        <f t="shared" si="1"/>
        <v>0</v>
      </c>
      <c r="G19" s="7">
        <f t="shared" si="2"/>
        <v>0</v>
      </c>
      <c r="H19" s="7">
        <f t="shared" si="3"/>
        <v>0</v>
      </c>
      <c r="I19" s="46"/>
      <c r="J19" s="7">
        <f t="shared" si="4"/>
        <v>0</v>
      </c>
      <c r="K19" s="7">
        <f t="shared" si="5"/>
        <v>0</v>
      </c>
      <c r="L19" s="7">
        <f t="shared" si="6"/>
        <v>0</v>
      </c>
      <c r="M19" s="7">
        <f t="shared" si="7"/>
        <v>0</v>
      </c>
      <c r="N19" s="46"/>
      <c r="O19" s="7">
        <f t="shared" si="8"/>
        <v>0</v>
      </c>
      <c r="P19" s="7">
        <f t="shared" si="9"/>
        <v>0</v>
      </c>
      <c r="Q19" s="7">
        <f t="shared" si="10"/>
        <v>0</v>
      </c>
      <c r="R19" s="7">
        <f t="shared" si="11"/>
        <v>0</v>
      </c>
      <c r="S19" s="46"/>
      <c r="T19" s="7">
        <f t="shared" si="12"/>
        <v>0</v>
      </c>
      <c r="U19" s="7">
        <f t="shared" si="13"/>
        <v>0</v>
      </c>
      <c r="V19" s="7">
        <f t="shared" si="14"/>
        <v>0</v>
      </c>
      <c r="W19" s="7">
        <f t="shared" si="15"/>
        <v>0</v>
      </c>
      <c r="X19" s="46"/>
      <c r="Y19" s="7">
        <f t="shared" si="16"/>
        <v>0</v>
      </c>
      <c r="Z19" s="7">
        <f t="shared" si="17"/>
        <v>0</v>
      </c>
      <c r="AA19" s="7">
        <f t="shared" si="18"/>
        <v>0</v>
      </c>
      <c r="AB19" s="7">
        <f t="shared" si="19"/>
        <v>0</v>
      </c>
      <c r="AC19" s="46"/>
      <c r="AD19" s="7">
        <f t="shared" si="20"/>
        <v>0</v>
      </c>
      <c r="AE19" s="7">
        <f t="shared" si="21"/>
        <v>0</v>
      </c>
      <c r="AF19" s="7">
        <f t="shared" si="22"/>
        <v>0</v>
      </c>
      <c r="AG19" s="7">
        <f t="shared" si="23"/>
        <v>0</v>
      </c>
      <c r="AH19" s="46"/>
      <c r="AI19" s="7">
        <f t="shared" si="24"/>
        <v>0</v>
      </c>
      <c r="AJ19" s="7">
        <f t="shared" si="25"/>
        <v>0</v>
      </c>
      <c r="AK19" s="7">
        <f t="shared" si="26"/>
        <v>0</v>
      </c>
      <c r="AL19" s="7">
        <f t="shared" si="27"/>
        <v>0</v>
      </c>
      <c r="AM19" s="46">
        <f>SUMIFS(SPEW_Pig_iron_production!$R:$R,SPEW_Pig_iron_production!$B:$B,$C19)</f>
        <v>0</v>
      </c>
      <c r="AN19" s="7">
        <f t="shared" si="28"/>
        <v>0</v>
      </c>
      <c r="AO19" s="7">
        <f t="shared" si="29"/>
        <v>0</v>
      </c>
      <c r="AP19" s="7">
        <f t="shared" si="30"/>
        <v>0</v>
      </c>
      <c r="AQ19" s="7">
        <f t="shared" si="31"/>
        <v>0</v>
      </c>
      <c r="AR19" s="46">
        <f>SUMIFS(SPEW_Pig_iron_production!$S:$S,SPEW_Pig_iron_production!$B:$B,$C19)</f>
        <v>0</v>
      </c>
      <c r="AS19" s="7">
        <f t="shared" si="32"/>
        <v>0</v>
      </c>
      <c r="AT19" s="7">
        <f t="shared" si="33"/>
        <v>0</v>
      </c>
      <c r="AU19" s="7">
        <f t="shared" si="34"/>
        <v>0</v>
      </c>
      <c r="AV19" s="7">
        <f t="shared" si="35"/>
        <v>0</v>
      </c>
      <c r="AW19" s="46">
        <f>SUMIFS(SPEW_Pig_iron_production!$T:$T,SPEW_Pig_iron_production!$B:$B,$C19)</f>
        <v>0</v>
      </c>
      <c r="AX19" s="7">
        <f t="shared" si="36"/>
        <v>0</v>
      </c>
      <c r="AY19" s="7">
        <f t="shared" si="37"/>
        <v>0</v>
      </c>
      <c r="AZ19" s="7">
        <f t="shared" si="38"/>
        <v>0</v>
      </c>
      <c r="BA19" s="7">
        <f t="shared" si="39"/>
        <v>0</v>
      </c>
      <c r="BB19" s="46">
        <f>SUMIFS(SPEW_Pig_iron_production!$U:$U,SPEW_Pig_iron_production!$B:$B,$C19)</f>
        <v>0</v>
      </c>
      <c r="BC19" s="7">
        <f t="shared" si="40"/>
        <v>0</v>
      </c>
      <c r="BD19" s="7">
        <f t="shared" si="41"/>
        <v>0</v>
      </c>
      <c r="BE19" s="7">
        <f t="shared" si="42"/>
        <v>0</v>
      </c>
      <c r="BF19" s="7">
        <f t="shared" si="43"/>
        <v>0</v>
      </c>
      <c r="BG19" s="46">
        <f>SUMIFS(SPEW_Pig_iron_production!$V:$V,SPEW_Pig_iron_production!$B:$B,$C19)</f>
        <v>0</v>
      </c>
      <c r="BH19" s="7">
        <f t="shared" si="44"/>
        <v>0</v>
      </c>
      <c r="BI19" s="7">
        <f t="shared" si="45"/>
        <v>0</v>
      </c>
      <c r="BJ19" s="7">
        <f t="shared" si="46"/>
        <v>0</v>
      </c>
      <c r="BK19" s="7">
        <f t="shared" si="47"/>
        <v>0</v>
      </c>
      <c r="BL19" s="46">
        <f>SUMIFS(SPEW_Pig_iron_production!$W:$W,SPEW_Pig_iron_production!$B:$B,$C19)</f>
        <v>0</v>
      </c>
      <c r="BM19" s="7">
        <f t="shared" si="48"/>
        <v>0</v>
      </c>
      <c r="BN19" s="7">
        <f t="shared" si="49"/>
        <v>0</v>
      </c>
      <c r="BO19" s="7">
        <f t="shared" si="50"/>
        <v>0</v>
      </c>
      <c r="BP19" s="7">
        <f t="shared" si="51"/>
        <v>0</v>
      </c>
      <c r="BQ19" s="46">
        <f>SUMIFS(SPEW_Pig_iron_production!$X:$X,SPEW_Pig_iron_production!$B:$B,$C19)</f>
        <v>0</v>
      </c>
      <c r="BR19" s="7">
        <f t="shared" si="52"/>
        <v>28.600000000000009</v>
      </c>
      <c r="BS19" s="7">
        <f t="shared" si="53"/>
        <v>57.20000000000001</v>
      </c>
      <c r="BT19" s="7">
        <f t="shared" si="54"/>
        <v>85.800000000000011</v>
      </c>
      <c r="BU19" s="7">
        <f t="shared" si="55"/>
        <v>114.4</v>
      </c>
      <c r="BV19" s="46">
        <f>SUMIFS(SPEW_Pig_iron_production!$Y:$Y,SPEW_Pig_iron_production!$B:$B,$C19)</f>
        <v>143</v>
      </c>
      <c r="BW19" s="7">
        <f t="shared" si="56"/>
        <v>154.39999999999998</v>
      </c>
      <c r="BX19" s="7">
        <f t="shared" si="57"/>
        <v>165.79999999999998</v>
      </c>
      <c r="BY19" s="7">
        <f t="shared" si="58"/>
        <v>177.2</v>
      </c>
      <c r="BZ19" s="7">
        <f t="shared" si="59"/>
        <v>188.6</v>
      </c>
      <c r="CA19" s="46">
        <f>SUMIFS(SPEW_Pig_iron_production!$Z:$Z,SPEW_Pig_iron_production!$B:$B,$C19)</f>
        <v>200</v>
      </c>
      <c r="CB19" s="7">
        <f t="shared" si="60"/>
        <v>220</v>
      </c>
      <c r="CC19" s="7">
        <f t="shared" si="61"/>
        <v>240</v>
      </c>
      <c r="CD19" s="7">
        <f t="shared" si="62"/>
        <v>260</v>
      </c>
      <c r="CE19" s="7">
        <f t="shared" si="63"/>
        <v>280</v>
      </c>
      <c r="CF19" s="46">
        <f>SUMIFS(SPEW_Pig_iron_production!$AA:$AA,SPEW_Pig_iron_production!$B:$B,$C19)</f>
        <v>300</v>
      </c>
      <c r="CG19" s="7">
        <f t="shared" si="64"/>
        <v>324</v>
      </c>
      <c r="CH19" s="7">
        <f t="shared" si="65"/>
        <v>348</v>
      </c>
      <c r="CI19" s="7">
        <f t="shared" si="66"/>
        <v>372</v>
      </c>
      <c r="CJ19" s="7">
        <f t="shared" si="67"/>
        <v>396</v>
      </c>
      <c r="CK19" s="46">
        <f>SUMIFS(SPEW_Pig_iron_production!$AB:$AB,SPEW_Pig_iron_production!$B:$B,$C19)</f>
        <v>420</v>
      </c>
      <c r="CL19" s="7">
        <f t="shared" si="68"/>
        <v>541.40000000000009</v>
      </c>
      <c r="CM19" s="7">
        <f t="shared" si="69"/>
        <v>662.80000000000007</v>
      </c>
      <c r="CN19" s="7">
        <f t="shared" si="70"/>
        <v>784.2</v>
      </c>
      <c r="CO19" s="7">
        <f t="shared" si="71"/>
        <v>905.6</v>
      </c>
      <c r="CP19" s="2">
        <f>[1]Data!B19</f>
        <v>1027</v>
      </c>
      <c r="CQ19" s="2">
        <f>[1]Data!C19</f>
        <v>965</v>
      </c>
      <c r="CR19" s="2">
        <f>[1]Data!D19</f>
        <v>1080</v>
      </c>
      <c r="CS19" s="2">
        <f>[1]Data!E19</f>
        <v>898</v>
      </c>
      <c r="CT19" s="2">
        <f>[1]Data!F19</f>
        <v>962</v>
      </c>
      <c r="CU19" s="2">
        <f>[1]Data!G19</f>
        <v>950</v>
      </c>
      <c r="CV19" s="2">
        <f>[1]Data!H19</f>
        <v>1066</v>
      </c>
      <c r="CW19" s="2">
        <f>[1]Data!I19</f>
        <v>1069</v>
      </c>
      <c r="CX19" s="2">
        <f>[1]Data!J19</f>
        <v>1112</v>
      </c>
      <c r="CY19" s="2">
        <f>[1]Data!K19</f>
        <v>1105</v>
      </c>
      <c r="CZ19" s="2">
        <f>[1]Data!L19</f>
        <v>1093</v>
      </c>
      <c r="DA19" s="2">
        <f>[1]Data!M19</f>
        <v>1204</v>
      </c>
      <c r="DB19" s="2">
        <f>[1]Data!N19</f>
        <v>1062</v>
      </c>
      <c r="DC19" s="2">
        <f>[1]Data!O19</f>
        <v>1326</v>
      </c>
      <c r="DD19" s="2">
        <f>[1]Data!P19</f>
        <v>1148</v>
      </c>
      <c r="DE19" s="2">
        <f>[1]Data!Q19</f>
        <v>1062</v>
      </c>
      <c r="DF19" s="2">
        <f>[1]Data!R19</f>
        <v>1235</v>
      </c>
      <c r="DG19" s="2">
        <f>[1]Data!S19</f>
        <v>1514</v>
      </c>
      <c r="DH19" s="2">
        <f>[1]Data!T19</f>
        <v>1357</v>
      </c>
      <c r="DI19" s="2">
        <f>[1]Data!U19</f>
        <v>1020</v>
      </c>
      <c r="DJ19" s="2">
        <f>[1]Data!V19</f>
        <v>990</v>
      </c>
      <c r="DK19" s="2">
        <f>[1]Data!W19</f>
        <v>1160</v>
      </c>
      <c r="DL19" s="2">
        <f>[1]Data!X19</f>
        <v>1100</v>
      </c>
      <c r="DM19" s="2">
        <f>[1]Data!Y19</f>
        <v>1080</v>
      </c>
      <c r="DN19" s="2">
        <f>[1]Data!Z19</f>
        <v>1000</v>
      </c>
      <c r="DO19" s="2">
        <f>[1]Data!AA19</f>
        <v>1100</v>
      </c>
      <c r="DP19" s="2">
        <f>[1]Data!AB19</f>
        <v>1100</v>
      </c>
      <c r="DQ19" s="2">
        <f>[1]Data!AC19</f>
        <v>1000</v>
      </c>
      <c r="DR19" s="2">
        <f>[1]Data!AD19</f>
        <v>900</v>
      </c>
      <c r="DS19" s="2">
        <f>[1]Data!AE19</f>
        <v>800</v>
      </c>
      <c r="DT19" s="2">
        <f>[1]Data!AF19</f>
        <v>600</v>
      </c>
      <c r="DU19" s="2">
        <f>[1]Data!AG19</f>
        <v>600</v>
      </c>
      <c r="DV19" s="2">
        <f>[1]Data!AH19</f>
        <v>550</v>
      </c>
      <c r="DW19" s="2">
        <f>[1]Data!AI19</f>
        <v>550</v>
      </c>
      <c r="DX19" s="2">
        <v>550</v>
      </c>
      <c r="DY19" s="2">
        <f>[4]Data!AK19</f>
        <v>500</v>
      </c>
      <c r="DZ19" s="2">
        <f>[4]Data!AL19</f>
        <v>500</v>
      </c>
      <c r="EA19" s="2">
        <f>[4]Data!AM19</f>
        <v>500</v>
      </c>
    </row>
    <row r="20" spans="1:131" ht="16" x14ac:dyDescent="0.2">
      <c r="A20" t="s">
        <v>18</v>
      </c>
      <c r="B20" s="15" t="s">
        <v>287</v>
      </c>
      <c r="C20" s="9" t="s">
        <v>84</v>
      </c>
      <c r="D20" s="46">
        <f>SUMIFS(Hyde_iron!$C$34:$C$48,Hyde_iron!$B$34:$B$48,$B20)*I20/SUMIFS(I$3:I$63,$B$3:$B$63,$B20)</f>
        <v>0</v>
      </c>
      <c r="E20" s="7">
        <f t="shared" si="0"/>
        <v>0</v>
      </c>
      <c r="F20" s="7">
        <f t="shared" si="1"/>
        <v>0</v>
      </c>
      <c r="G20" s="7">
        <f t="shared" si="2"/>
        <v>0</v>
      </c>
      <c r="H20" s="7">
        <f t="shared" si="3"/>
        <v>0</v>
      </c>
      <c r="I20" s="46">
        <f>SUMIFS(Hyde_iron!$D$34:$D$48,Hyde_iron!$B$34:$B$48,$B20)*N20/SUMIFS(N$3:N$63,$B$3:$B$63,$B20)</f>
        <v>0</v>
      </c>
      <c r="J20" s="7">
        <f t="shared" si="4"/>
        <v>0</v>
      </c>
      <c r="K20" s="7">
        <f t="shared" si="5"/>
        <v>0</v>
      </c>
      <c r="L20" s="7">
        <f t="shared" si="6"/>
        <v>0</v>
      </c>
      <c r="M20" s="7">
        <f t="shared" si="7"/>
        <v>0</v>
      </c>
      <c r="N20" s="46">
        <f>SUMIFS(Hyde_iron!$E$34:$E$48,Hyde_iron!$B$34:$B$48,$B20)*S20/SUMIFS(S$3:S$63,$B$3:$B$63,$B20)</f>
        <v>0</v>
      </c>
      <c r="O20" s="7">
        <f t="shared" si="8"/>
        <v>0</v>
      </c>
      <c r="P20" s="7">
        <f t="shared" si="9"/>
        <v>0</v>
      </c>
      <c r="Q20" s="7">
        <f t="shared" si="10"/>
        <v>0</v>
      </c>
      <c r="R20" s="7">
        <f t="shared" si="11"/>
        <v>0</v>
      </c>
      <c r="S20" s="46">
        <f>SUMIFS(Hyde_iron!$F$34:$F$48,Hyde_iron!$B$34:$B$48,$B20)*X20/SUMIFS(X$3:X$63,$B$3:$B$63,$B20)</f>
        <v>0</v>
      </c>
      <c r="T20" s="7">
        <f t="shared" si="12"/>
        <v>0</v>
      </c>
      <c r="U20" s="7">
        <f t="shared" si="13"/>
        <v>0</v>
      </c>
      <c r="V20" s="7">
        <f t="shared" si="14"/>
        <v>0</v>
      </c>
      <c r="W20" s="7">
        <f t="shared" si="15"/>
        <v>0</v>
      </c>
      <c r="X20" s="46">
        <f>SUMIFS(Hyde_iron!$G$34:$G$48,Hyde_iron!$B$34:$B$48,$B20)*AC20/SUMIFS(AC$3:AC$63,$B$3:$B$63,$B20)</f>
        <v>0</v>
      </c>
      <c r="Y20" s="7">
        <f t="shared" si="16"/>
        <v>0</v>
      </c>
      <c r="Z20" s="7">
        <f t="shared" si="17"/>
        <v>0</v>
      </c>
      <c r="AA20" s="7">
        <f t="shared" si="18"/>
        <v>0</v>
      </c>
      <c r="AB20" s="7">
        <f t="shared" si="19"/>
        <v>0</v>
      </c>
      <c r="AC20" s="46">
        <f>SUMIFS(Hyde_iron!$H$34:$H$48,Hyde_iron!$B$34:$B$48,$B20)*AH20/SUMIFS(AH$3:AH$63,$B$3:$B$63,$B20)</f>
        <v>0</v>
      </c>
      <c r="AD20" s="7">
        <f t="shared" si="20"/>
        <v>0</v>
      </c>
      <c r="AE20" s="7">
        <f t="shared" si="21"/>
        <v>0</v>
      </c>
      <c r="AF20" s="7">
        <f t="shared" si="22"/>
        <v>0</v>
      </c>
      <c r="AG20" s="7">
        <f t="shared" si="23"/>
        <v>0</v>
      </c>
      <c r="AH20" s="46">
        <f>SUMIFS(Hyde_iron!$I$34:$I$48,Hyde_iron!$B$34:$B$48,$B20)*AM20/SUMIFS(AM$3:AM$63,$B$3:$B$63,$B20)</f>
        <v>0</v>
      </c>
      <c r="AI20" s="7">
        <f t="shared" si="24"/>
        <v>0</v>
      </c>
      <c r="AJ20" s="7">
        <f t="shared" si="25"/>
        <v>0</v>
      </c>
      <c r="AK20" s="7">
        <f t="shared" si="26"/>
        <v>0</v>
      </c>
      <c r="AL20" s="7">
        <f t="shared" si="27"/>
        <v>0</v>
      </c>
      <c r="AM20" s="46">
        <f>SUMIFS(SPEW_Pig_iron_production!$R:$R,SPEW_Pig_iron_production!$B:$B,$C20)</f>
        <v>0</v>
      </c>
      <c r="AN20" s="7">
        <f t="shared" si="28"/>
        <v>0</v>
      </c>
      <c r="AO20" s="7">
        <f t="shared" si="29"/>
        <v>0</v>
      </c>
      <c r="AP20" s="7">
        <f t="shared" si="30"/>
        <v>0</v>
      </c>
      <c r="AQ20" s="7">
        <f t="shared" si="31"/>
        <v>0</v>
      </c>
      <c r="AR20" s="46">
        <f>SUMIFS(SPEW_Pig_iron_production!$S:$S,SPEW_Pig_iron_production!$B:$B,$C20)</f>
        <v>0</v>
      </c>
      <c r="AS20" s="7">
        <f t="shared" si="32"/>
        <v>0</v>
      </c>
      <c r="AT20" s="7">
        <f t="shared" si="33"/>
        <v>0</v>
      </c>
      <c r="AU20" s="7">
        <f t="shared" si="34"/>
        <v>0</v>
      </c>
      <c r="AV20" s="7">
        <f t="shared" si="35"/>
        <v>0</v>
      </c>
      <c r="AW20" s="46">
        <f>SUMIFS(SPEW_Pig_iron_production!$T:$T,SPEW_Pig_iron_production!$B:$B,$C20)</f>
        <v>0</v>
      </c>
      <c r="AX20" s="7">
        <f t="shared" si="36"/>
        <v>0</v>
      </c>
      <c r="AY20" s="7">
        <f t="shared" si="37"/>
        <v>0</v>
      </c>
      <c r="AZ20" s="7">
        <f t="shared" si="38"/>
        <v>0</v>
      </c>
      <c r="BA20" s="7">
        <f t="shared" si="39"/>
        <v>0</v>
      </c>
      <c r="BB20" s="46">
        <f>SUMIFS(SPEW_Pig_iron_production!$U:$U,SPEW_Pig_iron_production!$B:$B,$C20)</f>
        <v>0</v>
      </c>
      <c r="BC20" s="7">
        <f t="shared" si="40"/>
        <v>0</v>
      </c>
      <c r="BD20" s="7">
        <f t="shared" si="41"/>
        <v>0</v>
      </c>
      <c r="BE20" s="7">
        <f t="shared" si="42"/>
        <v>0</v>
      </c>
      <c r="BF20" s="7">
        <f t="shared" si="43"/>
        <v>0</v>
      </c>
      <c r="BG20" s="46">
        <f>SUMIFS(SPEW_Pig_iron_production!$V:$V,SPEW_Pig_iron_production!$B:$B,$C20)</f>
        <v>0</v>
      </c>
      <c r="BH20" s="7">
        <f t="shared" si="44"/>
        <v>0</v>
      </c>
      <c r="BI20" s="7">
        <f t="shared" si="45"/>
        <v>0</v>
      </c>
      <c r="BJ20" s="7">
        <f t="shared" si="46"/>
        <v>0</v>
      </c>
      <c r="BK20" s="7">
        <f t="shared" si="47"/>
        <v>0</v>
      </c>
      <c r="BL20" s="46">
        <f>SUMIFS(SPEW_Pig_iron_production!$W:$W,SPEW_Pig_iron_production!$B:$B,$C20)</f>
        <v>0</v>
      </c>
      <c r="BM20" s="7">
        <f t="shared" si="48"/>
        <v>0</v>
      </c>
      <c r="BN20" s="7">
        <f t="shared" si="49"/>
        <v>0</v>
      </c>
      <c r="BO20" s="7">
        <f t="shared" si="50"/>
        <v>0</v>
      </c>
      <c r="BP20" s="7">
        <f t="shared" si="51"/>
        <v>0</v>
      </c>
      <c r="BQ20" s="46">
        <f>SUMIFS(SPEW_Pig_iron_production!$X:$X,SPEW_Pig_iron_production!$B:$B,$C20)</f>
        <v>0</v>
      </c>
      <c r="BR20" s="7">
        <f t="shared" si="52"/>
        <v>0</v>
      </c>
      <c r="BS20" s="7">
        <f t="shared" si="53"/>
        <v>0</v>
      </c>
      <c r="BT20" s="7">
        <f t="shared" si="54"/>
        <v>0</v>
      </c>
      <c r="BU20" s="7">
        <f t="shared" si="55"/>
        <v>0</v>
      </c>
      <c r="BV20" s="46">
        <f>SUMIFS(SPEW_Pig_iron_production!$Y:$Y,SPEW_Pig_iron_production!$B:$B,$C20)</f>
        <v>0</v>
      </c>
      <c r="BW20" s="7">
        <f t="shared" si="56"/>
        <v>0</v>
      </c>
      <c r="BX20" s="7">
        <f t="shared" si="57"/>
        <v>0</v>
      </c>
      <c r="BY20" s="7">
        <f t="shared" si="58"/>
        <v>0</v>
      </c>
      <c r="BZ20" s="7">
        <f t="shared" si="59"/>
        <v>0</v>
      </c>
      <c r="CA20" s="46">
        <f>SUMIFS(SPEW_Pig_iron_production!$Z:$Z,SPEW_Pig_iron_production!$B:$B,$C20)</f>
        <v>0</v>
      </c>
      <c r="CB20" s="7">
        <f t="shared" si="60"/>
        <v>0</v>
      </c>
      <c r="CC20" s="7">
        <f t="shared" si="61"/>
        <v>0</v>
      </c>
      <c r="CD20" s="7">
        <f t="shared" si="62"/>
        <v>0</v>
      </c>
      <c r="CE20" s="7">
        <f t="shared" si="63"/>
        <v>0</v>
      </c>
      <c r="CF20" s="46">
        <f>SUMIFS(SPEW_Pig_iron_production!$AA:$AA,SPEW_Pig_iron_production!$B:$B,$C20)</f>
        <v>0</v>
      </c>
      <c r="CG20" s="7">
        <f t="shared" si="64"/>
        <v>0</v>
      </c>
      <c r="CH20" s="7">
        <f t="shared" si="65"/>
        <v>0</v>
      </c>
      <c r="CI20" s="7">
        <f t="shared" si="66"/>
        <v>0</v>
      </c>
      <c r="CJ20" s="7">
        <f t="shared" si="67"/>
        <v>0</v>
      </c>
      <c r="CK20" s="46">
        <f>SUMIFS(SPEW_Pig_iron_production!$AB:$AB,SPEW_Pig_iron_production!$B:$B,$C20)</f>
        <v>0</v>
      </c>
      <c r="CL20" s="7">
        <f t="shared" si="68"/>
        <v>0</v>
      </c>
      <c r="CM20" s="7">
        <f t="shared" si="69"/>
        <v>0</v>
      </c>
      <c r="CN20" s="7">
        <f t="shared" si="70"/>
        <v>0</v>
      </c>
      <c r="CO20" s="7">
        <f t="shared" si="71"/>
        <v>0</v>
      </c>
      <c r="CP20" s="2">
        <f>[1]Data!B20</f>
        <v>0</v>
      </c>
      <c r="CQ20" s="2">
        <f>[1]Data!C20</f>
        <v>0</v>
      </c>
      <c r="CR20" s="2">
        <f>[1]Data!D20</f>
        <v>0</v>
      </c>
      <c r="CS20" s="2">
        <f>[1]Data!E20</f>
        <v>0</v>
      </c>
      <c r="CT20" s="2">
        <f>[1]Data!F20</f>
        <v>0</v>
      </c>
      <c r="CU20" s="2">
        <f>[1]Data!G20</f>
        <v>0</v>
      </c>
      <c r="CV20" s="2">
        <f>[1]Data!H20</f>
        <v>0</v>
      </c>
      <c r="CW20" s="2">
        <f>[1]Data!I20</f>
        <v>0</v>
      </c>
      <c r="CX20" s="2">
        <f>[1]Data!J20</f>
        <v>0</v>
      </c>
      <c r="CY20" s="2">
        <f>[1]Data!K20</f>
        <v>0</v>
      </c>
      <c r="CZ20" s="2">
        <f>[1]Data!L20</f>
        <v>0</v>
      </c>
      <c r="DA20" s="2">
        <f>[1]Data!M20</f>
        <v>0</v>
      </c>
      <c r="DB20" s="2">
        <f>[1]Data!N20</f>
        <v>511</v>
      </c>
      <c r="DC20" s="2">
        <f>[1]Data!O20</f>
        <v>62</v>
      </c>
      <c r="DD20" s="2">
        <f>[1]Data!P20</f>
        <v>22</v>
      </c>
      <c r="DE20" s="2">
        <f>[1]Data!Q20</f>
        <v>108</v>
      </c>
      <c r="DF20" s="2">
        <f>[1]Data!R20</f>
        <v>565</v>
      </c>
      <c r="DG20" s="2">
        <f>[1]Data!S20</f>
        <v>907</v>
      </c>
      <c r="DH20" s="2">
        <f>[1]Data!T20</f>
        <v>850</v>
      </c>
      <c r="DI20" s="2">
        <f>[1]Data!U20</f>
        <v>139</v>
      </c>
      <c r="DJ20" s="2">
        <f>[1]Data!V20</f>
        <v>598</v>
      </c>
      <c r="DK20" s="2">
        <f>[1]Data!W20</f>
        <v>456</v>
      </c>
      <c r="DL20" s="2">
        <f>[1]Data!X20</f>
        <v>485</v>
      </c>
      <c r="DM20" s="2">
        <f>[1]Data!Y20</f>
        <v>635</v>
      </c>
      <c r="DN20" s="2">
        <f>[1]Data!Z20</f>
        <v>1003</v>
      </c>
      <c r="DO20" s="2">
        <f>[1]Data!AA20</f>
        <v>1208</v>
      </c>
      <c r="DP20" s="2">
        <f>[1]Data!AB20</f>
        <v>1762</v>
      </c>
      <c r="DQ20" s="2">
        <f>[1]Data!AC20</f>
        <v>1485</v>
      </c>
      <c r="DR20" s="2">
        <f>[1]Data!AD20</f>
        <v>0</v>
      </c>
      <c r="DS20" s="2">
        <f>[1]Data!AE20</f>
        <v>0</v>
      </c>
      <c r="DT20" s="2">
        <f>[1]Data!AF20</f>
        <v>0</v>
      </c>
      <c r="DU20" s="2">
        <f>[1]Data!AG20</f>
        <v>0</v>
      </c>
      <c r="DV20" s="2">
        <f>[1]Data!AH20</f>
        <v>0</v>
      </c>
      <c r="DW20" s="2">
        <f>[1]Data!AI20</f>
        <v>0</v>
      </c>
      <c r="DX20" s="2">
        <v>0</v>
      </c>
      <c r="DY20" s="2">
        <f>[4]Data!AK20</f>
        <v>0</v>
      </c>
      <c r="DZ20" s="2">
        <f>[4]Data!AL20</f>
        <v>0</v>
      </c>
      <c r="EA20" s="2">
        <f>[4]Data!AM20</f>
        <v>0</v>
      </c>
    </row>
    <row r="21" spans="1:131" ht="16" x14ac:dyDescent="0.2">
      <c r="A21" t="s">
        <v>19</v>
      </c>
      <c r="B21" s="15" t="s">
        <v>286</v>
      </c>
      <c r="C21" s="9" t="s">
        <v>101</v>
      </c>
      <c r="D21" s="46">
        <f>SUMIFS(Hyde_iron!$C$34:$C$48,Hyde_iron!$B$34:$B$48,$B21)*I21/SUMIFS(I$3:I$63,$B$3:$B$63,$B21)</f>
        <v>5.3810866704267708</v>
      </c>
      <c r="E21" s="7">
        <f t="shared" si="0"/>
        <v>5.5208184495832553</v>
      </c>
      <c r="F21" s="7">
        <f t="shared" si="1"/>
        <v>5.660550228739738</v>
      </c>
      <c r="G21" s="7">
        <f t="shared" si="2"/>
        <v>5.8002820078962207</v>
      </c>
      <c r="H21" s="7">
        <f t="shared" si="3"/>
        <v>5.9400137870527034</v>
      </c>
      <c r="I21" s="46">
        <f>SUMIFS(Hyde_iron!$D$34:$D$48,Hyde_iron!$B$34:$B$48,$B21)*N21/SUMIFS(N$3:N$63,$B$3:$B$63,$B21)</f>
        <v>6.0797455662091862</v>
      </c>
      <c r="J21" s="7">
        <f t="shared" si="4"/>
        <v>6.3274299680391044</v>
      </c>
      <c r="K21" s="7">
        <f t="shared" si="5"/>
        <v>6.5751143698690226</v>
      </c>
      <c r="L21" s="7">
        <f t="shared" si="6"/>
        <v>6.8227987716989409</v>
      </c>
      <c r="M21" s="7">
        <f t="shared" si="7"/>
        <v>7.0704831735288591</v>
      </c>
      <c r="N21" s="46">
        <f>SUMIFS(Hyde_iron!$E$34:$E$48,Hyde_iron!$B$34:$B$48,$B21)*S21/SUMIFS(S$3:S$63,$B$3:$B$63,$B21)</f>
        <v>7.3181675753587774</v>
      </c>
      <c r="O21" s="7">
        <f t="shared" si="8"/>
        <v>7.7271604938271601</v>
      </c>
      <c r="P21" s="7">
        <f t="shared" si="9"/>
        <v>8.1361534122955437</v>
      </c>
      <c r="Q21" s="7">
        <f t="shared" si="10"/>
        <v>8.5451463307639273</v>
      </c>
      <c r="R21" s="7">
        <f t="shared" si="11"/>
        <v>8.9541392492323109</v>
      </c>
      <c r="S21" s="46">
        <f>SUMIFS(Hyde_iron!$F$34:$F$48,Hyde_iron!$B$34:$B$48,$B21)*X21/SUMIFS(X$3:X$63,$B$3:$B$63,$B21)</f>
        <v>9.3631321677006945</v>
      </c>
      <c r="T21" s="7">
        <f t="shared" si="12"/>
        <v>9.59330701259635</v>
      </c>
      <c r="U21" s="7">
        <f t="shared" si="13"/>
        <v>9.8234818574920073</v>
      </c>
      <c r="V21" s="7">
        <f t="shared" si="14"/>
        <v>10.053656702387665</v>
      </c>
      <c r="W21" s="7">
        <f t="shared" si="15"/>
        <v>10.283831547283322</v>
      </c>
      <c r="X21" s="46">
        <f>SUMIFS(Hyde_iron!$G$34:$G$48,Hyde_iron!$B$34:$B$48,$B21)*AC21/SUMIFS(AC$3:AC$63,$B$3:$B$63,$B21)</f>
        <v>10.514006392178979</v>
      </c>
      <c r="Y21" s="7">
        <f t="shared" si="16"/>
        <v>10.088951557310267</v>
      </c>
      <c r="Z21" s="7">
        <f t="shared" si="17"/>
        <v>9.6638967224415584</v>
      </c>
      <c r="AA21" s="7">
        <f t="shared" si="18"/>
        <v>9.2388418875728497</v>
      </c>
      <c r="AB21" s="7">
        <f t="shared" si="19"/>
        <v>8.8137870527041411</v>
      </c>
      <c r="AC21" s="46">
        <f>SUMIFS(Hyde_iron!$H$34:$H$48,Hyde_iron!$B$34:$B$48,$B21)*AH21/SUMIFS(AH$3:AH$63,$B$3:$B$63,$B21)</f>
        <v>8.3887322178354324</v>
      </c>
      <c r="AD21" s="7">
        <f t="shared" si="20"/>
        <v>8.180892398320486</v>
      </c>
      <c r="AE21" s="7">
        <f t="shared" si="21"/>
        <v>7.9730525788055404</v>
      </c>
      <c r="AF21" s="7">
        <f t="shared" si="22"/>
        <v>7.765212759290594</v>
      </c>
      <c r="AG21" s="7">
        <f t="shared" si="23"/>
        <v>7.5573729397756475</v>
      </c>
      <c r="AH21" s="46">
        <f>SUMIFS(Hyde_iron!$I$34:$I$48,Hyde_iron!$B$34:$B$48,$B21)*AM21/SUMIFS(AM$3:AM$63,$B$3:$B$63,$B21)</f>
        <v>7.349533120260701</v>
      </c>
      <c r="AI21" s="7">
        <f t="shared" si="24"/>
        <v>8.0796264962085615</v>
      </c>
      <c r="AJ21" s="7">
        <f t="shared" si="25"/>
        <v>8.8097198721564212</v>
      </c>
      <c r="AK21" s="7">
        <f t="shared" si="26"/>
        <v>9.5398132481042808</v>
      </c>
      <c r="AL21" s="7">
        <f t="shared" si="27"/>
        <v>10.26990662405214</v>
      </c>
      <c r="AM21" s="46">
        <f>SUMIFS(SPEW_Pig_iron_production!$R:$R,SPEW_Pig_iron_production!$B:$B,$C21)</f>
        <v>11</v>
      </c>
      <c r="AN21" s="7">
        <f t="shared" si="28"/>
        <v>9.3999999999999986</v>
      </c>
      <c r="AO21" s="7">
        <f t="shared" si="29"/>
        <v>7.7999999999999989</v>
      </c>
      <c r="AP21" s="7">
        <f t="shared" si="30"/>
        <v>6.1999999999999993</v>
      </c>
      <c r="AQ21" s="7">
        <f t="shared" si="31"/>
        <v>4.5999999999999996</v>
      </c>
      <c r="AR21" s="46">
        <f>SUMIFS(SPEW_Pig_iron_production!$S:$S,SPEW_Pig_iron_production!$B:$B,$C21)</f>
        <v>3</v>
      </c>
      <c r="AS21" s="7">
        <f t="shared" si="32"/>
        <v>3.600000000000001</v>
      </c>
      <c r="AT21" s="7">
        <f t="shared" si="33"/>
        <v>4.2000000000000011</v>
      </c>
      <c r="AU21" s="7">
        <f t="shared" si="34"/>
        <v>4.8000000000000007</v>
      </c>
      <c r="AV21" s="7">
        <f t="shared" si="35"/>
        <v>5.4</v>
      </c>
      <c r="AW21" s="46">
        <f>SUMIFS(SPEW_Pig_iron_production!$T:$T,SPEW_Pig_iron_production!$B:$B,$C21)</f>
        <v>6</v>
      </c>
      <c r="AX21" s="7">
        <f t="shared" si="36"/>
        <v>9.7999999999999972</v>
      </c>
      <c r="AY21" s="7">
        <f t="shared" si="37"/>
        <v>13.599999999999998</v>
      </c>
      <c r="AZ21" s="7">
        <f t="shared" si="38"/>
        <v>17.399999999999999</v>
      </c>
      <c r="BA21" s="7">
        <f t="shared" si="39"/>
        <v>21.2</v>
      </c>
      <c r="BB21" s="46">
        <f>SUMIFS(SPEW_Pig_iron_production!$U:$U,SPEW_Pig_iron_production!$B:$B,$C21)</f>
        <v>25</v>
      </c>
      <c r="BC21" s="7">
        <f t="shared" si="40"/>
        <v>27</v>
      </c>
      <c r="BD21" s="7">
        <f t="shared" si="41"/>
        <v>29</v>
      </c>
      <c r="BE21" s="7">
        <f t="shared" si="42"/>
        <v>31</v>
      </c>
      <c r="BF21" s="7">
        <f t="shared" si="43"/>
        <v>33</v>
      </c>
      <c r="BG21" s="46">
        <f>SUMIFS(SPEW_Pig_iron_production!$V:$V,SPEW_Pig_iron_production!$B:$B,$C21)</f>
        <v>35</v>
      </c>
      <c r="BH21" s="7">
        <f t="shared" si="44"/>
        <v>40.800000000000011</v>
      </c>
      <c r="BI21" s="7">
        <f t="shared" si="45"/>
        <v>46.600000000000009</v>
      </c>
      <c r="BJ21" s="7">
        <f t="shared" si="46"/>
        <v>52.400000000000006</v>
      </c>
      <c r="BK21" s="7">
        <f t="shared" si="47"/>
        <v>58.2</v>
      </c>
      <c r="BL21" s="46">
        <f>SUMIFS(SPEW_Pig_iron_production!$W:$W,SPEW_Pig_iron_production!$B:$B,$C21)</f>
        <v>64</v>
      </c>
      <c r="BM21" s="7">
        <f t="shared" si="48"/>
        <v>74</v>
      </c>
      <c r="BN21" s="7">
        <f t="shared" si="49"/>
        <v>84</v>
      </c>
      <c r="BO21" s="7">
        <f t="shared" si="50"/>
        <v>94</v>
      </c>
      <c r="BP21" s="7">
        <f t="shared" si="51"/>
        <v>104</v>
      </c>
      <c r="BQ21" s="46">
        <f>SUMIFS(SPEW_Pig_iron_production!$X:$X,SPEW_Pig_iron_production!$B:$B,$C21)</f>
        <v>114</v>
      </c>
      <c r="BR21" s="7">
        <f t="shared" si="52"/>
        <v>118.60000000000002</v>
      </c>
      <c r="BS21" s="7">
        <f t="shared" si="53"/>
        <v>123.20000000000002</v>
      </c>
      <c r="BT21" s="7">
        <f t="shared" si="54"/>
        <v>127.80000000000001</v>
      </c>
      <c r="BU21" s="7">
        <f t="shared" si="55"/>
        <v>132.4</v>
      </c>
      <c r="BV21" s="46">
        <f>SUMIFS(SPEW_Pig_iron_production!$Y:$Y,SPEW_Pig_iron_production!$B:$B,$C21)</f>
        <v>137</v>
      </c>
      <c r="BW21" s="7">
        <f t="shared" si="56"/>
        <v>297.59999999999991</v>
      </c>
      <c r="BX21" s="7">
        <f t="shared" si="57"/>
        <v>458.19999999999993</v>
      </c>
      <c r="BY21" s="7">
        <f t="shared" si="58"/>
        <v>618.79999999999995</v>
      </c>
      <c r="BZ21" s="7">
        <f t="shared" si="59"/>
        <v>779.4</v>
      </c>
      <c r="CA21" s="46">
        <f>SUMIFS(SPEW_Pig_iron_production!$Z:$Z,SPEW_Pig_iron_production!$B:$B,$C21)</f>
        <v>940</v>
      </c>
      <c r="CB21" s="7">
        <f t="shared" si="60"/>
        <v>984.80000000000018</v>
      </c>
      <c r="CC21" s="7">
        <f t="shared" si="61"/>
        <v>1029.6000000000001</v>
      </c>
      <c r="CD21" s="7">
        <f t="shared" si="62"/>
        <v>1074.4000000000001</v>
      </c>
      <c r="CE21" s="7">
        <f t="shared" si="63"/>
        <v>1119.2</v>
      </c>
      <c r="CF21" s="46">
        <f>SUMIFS(SPEW_Pig_iron_production!$AA:$AA,SPEW_Pig_iron_production!$B:$B,$C21)</f>
        <v>1164</v>
      </c>
      <c r="CG21" s="7">
        <f t="shared" si="64"/>
        <v>1204.8000000000002</v>
      </c>
      <c r="CH21" s="7">
        <f t="shared" si="65"/>
        <v>1245.6000000000001</v>
      </c>
      <c r="CI21" s="7">
        <f t="shared" si="66"/>
        <v>1286.4000000000001</v>
      </c>
      <c r="CJ21" s="7">
        <f t="shared" si="67"/>
        <v>1327.2</v>
      </c>
      <c r="CK21" s="46">
        <f>SUMIFS(SPEW_Pig_iron_production!$AB:$AB,SPEW_Pig_iron_production!$B:$B,$C21)</f>
        <v>1368</v>
      </c>
      <c r="CL21" s="7">
        <f t="shared" si="68"/>
        <v>1498.1999999999998</v>
      </c>
      <c r="CM21" s="7">
        <f t="shared" si="69"/>
        <v>1628.3999999999999</v>
      </c>
      <c r="CN21" s="7">
        <f t="shared" si="70"/>
        <v>1758.6</v>
      </c>
      <c r="CO21" s="7">
        <f t="shared" si="71"/>
        <v>1888.8</v>
      </c>
      <c r="CP21" s="2">
        <f>[1]Data!B21</f>
        <v>2019</v>
      </c>
      <c r="CQ21" s="2">
        <f>[1]Data!C21</f>
        <v>1965</v>
      </c>
      <c r="CR21" s="2">
        <f>[1]Data!D21</f>
        <v>1944</v>
      </c>
      <c r="CS21" s="2">
        <f>[1]Data!E21</f>
        <v>1898</v>
      </c>
      <c r="CT21" s="2">
        <f>[1]Data!F21</f>
        <v>2034</v>
      </c>
      <c r="CU21" s="2">
        <f>[1]Data!G21</f>
        <v>1901</v>
      </c>
      <c r="CV21" s="2">
        <f>[1]Data!H21</f>
        <v>1978</v>
      </c>
      <c r="CW21" s="2">
        <f>[1]Data!I21</f>
        <v>2063</v>
      </c>
      <c r="CX21" s="2">
        <f>[1]Data!J21</f>
        <v>2173</v>
      </c>
      <c r="CY21" s="2">
        <f>[1]Data!K21</f>
        <v>2284</v>
      </c>
      <c r="CZ21" s="2">
        <f>[1]Data!L21</f>
        <v>2283</v>
      </c>
      <c r="DA21" s="2">
        <f>[1]Data!M21</f>
        <v>2331</v>
      </c>
      <c r="DB21" s="2">
        <f>[1]Data!N21</f>
        <v>2452</v>
      </c>
      <c r="DC21" s="2">
        <f>[1]Data!O21</f>
        <v>2535</v>
      </c>
      <c r="DD21" s="2">
        <f>[1]Data!P21</f>
        <v>2597</v>
      </c>
      <c r="DE21" s="2">
        <f>[1]Data!Q21</f>
        <v>2242</v>
      </c>
      <c r="DF21" s="2">
        <f>[1]Data!R21</f>
        <v>2457</v>
      </c>
      <c r="DG21" s="2">
        <f>[1]Data!S21</f>
        <v>2786</v>
      </c>
      <c r="DH21" s="2">
        <f>[1]Data!T21</f>
        <v>2920</v>
      </c>
      <c r="DI21" s="2">
        <f>[1]Data!U21</f>
        <v>2954</v>
      </c>
      <c r="DJ21" s="2">
        <f>[1]Data!V21</f>
        <v>2983</v>
      </c>
      <c r="DK21" s="2">
        <f>[1]Data!W21</f>
        <v>2852</v>
      </c>
      <c r="DL21" s="2">
        <f>[1]Data!X21</f>
        <v>2828</v>
      </c>
      <c r="DM21" s="2">
        <f>[1]Data!Y21</f>
        <v>3092</v>
      </c>
      <c r="DN21" s="2">
        <f>[1]Data!Z21</f>
        <v>3037</v>
      </c>
      <c r="DO21" s="2">
        <f>[1]Data!AA21</f>
        <v>3056</v>
      </c>
      <c r="DP21" s="2">
        <f>[1]Data!AB21</f>
        <v>3158</v>
      </c>
      <c r="DQ21" s="2">
        <f>[1]Data!AC21</f>
        <v>2915</v>
      </c>
      <c r="DR21" s="2">
        <f>[1]Data!AD21</f>
        <v>2943</v>
      </c>
      <c r="DS21" s="2">
        <f>[1]Data!AE21</f>
        <v>2042</v>
      </c>
      <c r="DT21" s="2">
        <f>[1]Data!AF21</f>
        <v>2564</v>
      </c>
      <c r="DU21" s="2">
        <f>[1]Data!AG21</f>
        <v>2500</v>
      </c>
      <c r="DV21" s="2">
        <f>[1]Data!AH21</f>
        <v>2130</v>
      </c>
      <c r="DW21" s="2">
        <f>[1]Data!AI21</f>
        <v>2050</v>
      </c>
      <c r="DX21" s="2">
        <v>2475</v>
      </c>
      <c r="DY21" s="2">
        <f>[4]Data!AK21</f>
        <v>2594</v>
      </c>
      <c r="DZ21" s="2">
        <f>[4]Data!AL21</f>
        <v>2670</v>
      </c>
      <c r="EA21" s="2">
        <f>[4]Data!AM21</f>
        <v>2604</v>
      </c>
    </row>
    <row r="22" spans="1:131" ht="16" x14ac:dyDescent="0.2">
      <c r="A22" t="s">
        <v>20</v>
      </c>
      <c r="B22" s="15" t="s">
        <v>286</v>
      </c>
      <c r="C22" s="9" t="s">
        <v>102</v>
      </c>
      <c r="D22" s="46">
        <f>SUMIFS(Hyde_iron!$C$34:$C$48,Hyde_iron!$B$34:$B$48,$B22)*I22/SUMIFS(I$3:I$63,$B$3:$B$63,$B22)</f>
        <v>4155.1772889640906</v>
      </c>
      <c r="E22" s="7">
        <f t="shared" si="0"/>
        <v>4263.0756282509255</v>
      </c>
      <c r="F22" s="7">
        <f t="shared" si="1"/>
        <v>4370.9739675377587</v>
      </c>
      <c r="G22" s="7">
        <f t="shared" si="2"/>
        <v>4478.8723068245918</v>
      </c>
      <c r="H22" s="7">
        <f t="shared" si="3"/>
        <v>4586.7706461114249</v>
      </c>
      <c r="I22" s="46">
        <f>SUMIFS(Hyde_iron!$D$34:$D$48,Hyde_iron!$B$34:$B$48,$B22)*N22/SUMIFS(N$3:N$63,$B$3:$B$63,$B22)</f>
        <v>4694.668985398258</v>
      </c>
      <c r="J22" s="7">
        <f t="shared" si="4"/>
        <v>4885.9263771385595</v>
      </c>
      <c r="K22" s="7">
        <f t="shared" si="5"/>
        <v>5077.1837688788619</v>
      </c>
      <c r="L22" s="7">
        <f t="shared" si="6"/>
        <v>5268.4411606191643</v>
      </c>
      <c r="M22" s="7">
        <f t="shared" si="7"/>
        <v>5459.6985523594667</v>
      </c>
      <c r="N22" s="46">
        <f>SUMIFS(Hyde_iron!$E$34:$E$48,Hyde_iron!$B$34:$B$48,$B22)*S22/SUMIFS(S$3:S$63,$B$3:$B$63,$B22)</f>
        <v>5650.9559440997691</v>
      </c>
      <c r="O22" s="7">
        <f t="shared" si="8"/>
        <v>5966.772839506174</v>
      </c>
      <c r="P22" s="7">
        <f t="shared" si="9"/>
        <v>6282.589734912578</v>
      </c>
      <c r="Q22" s="7">
        <f t="shared" si="10"/>
        <v>6598.406630318982</v>
      </c>
      <c r="R22" s="7">
        <f t="shared" si="11"/>
        <v>6914.223525725386</v>
      </c>
      <c r="S22" s="46">
        <f>SUMIFS(Hyde_iron!$F$34:$F$48,Hyde_iron!$B$34:$B$48,$B22)*X22/SUMIFS(X$3:X$63,$B$3:$B$63,$B22)</f>
        <v>7230.04042113179</v>
      </c>
      <c r="T22" s="7">
        <f t="shared" si="12"/>
        <v>7407.777251363038</v>
      </c>
      <c r="U22" s="7">
        <f t="shared" si="13"/>
        <v>7585.5140815942841</v>
      </c>
      <c r="V22" s="7">
        <f t="shared" si="14"/>
        <v>7763.2509118255302</v>
      </c>
      <c r="W22" s="7">
        <f t="shared" si="15"/>
        <v>7940.9877420567764</v>
      </c>
      <c r="X22" s="46">
        <f>SUMIFS(Hyde_iron!$G$34:$G$48,Hyde_iron!$B$34:$B$48,$B22)*AC22/SUMIFS(AC$3:AC$63,$B$3:$B$63,$B22)</f>
        <v>8118.7245722880225</v>
      </c>
      <c r="Y22" s="7">
        <f t="shared" si="16"/>
        <v>7790.5049570721294</v>
      </c>
      <c r="Z22" s="7">
        <f t="shared" si="17"/>
        <v>7462.2853418562372</v>
      </c>
      <c r="AA22" s="7">
        <f t="shared" si="18"/>
        <v>7134.065726640345</v>
      </c>
      <c r="AB22" s="7">
        <f t="shared" si="19"/>
        <v>6805.8461114244528</v>
      </c>
      <c r="AC22" s="46">
        <f>SUMIFS(Hyde_iron!$H$34:$H$48,Hyde_iron!$B$34:$B$48,$B22)*AH22/SUMIFS(AH$3:AH$63,$B$3:$B$63,$B22)</f>
        <v>6477.6264962085606</v>
      </c>
      <c r="AD22" s="7">
        <f t="shared" si="20"/>
        <v>6317.1363664849268</v>
      </c>
      <c r="AE22" s="7">
        <f t="shared" si="21"/>
        <v>6156.6462367612949</v>
      </c>
      <c r="AF22" s="7">
        <f t="shared" si="22"/>
        <v>5996.1561070376629</v>
      </c>
      <c r="AG22" s="7">
        <f t="shared" si="23"/>
        <v>5835.6659773140309</v>
      </c>
      <c r="AH22" s="46">
        <f>SUMIFS(Hyde_iron!$I$34:$I$48,Hyde_iron!$B$34:$B$48,$B22)*AM22/SUMIFS(AM$3:AM$63,$B$3:$B$63,$B22)</f>
        <v>5675.1758475903989</v>
      </c>
      <c r="AI22" s="7">
        <f t="shared" si="24"/>
        <v>6238.9406780723184</v>
      </c>
      <c r="AJ22" s="7">
        <f t="shared" si="25"/>
        <v>6802.7055085542388</v>
      </c>
      <c r="AK22" s="7">
        <f t="shared" si="26"/>
        <v>7366.4703390361592</v>
      </c>
      <c r="AL22" s="7">
        <f t="shared" si="27"/>
        <v>7930.2351695180796</v>
      </c>
      <c r="AM22" s="46">
        <f>SUMIFS(SPEW_Pig_iron_production!$R:$R,SPEW_Pig_iron_production!$B:$B,$C22)</f>
        <v>8494</v>
      </c>
      <c r="AN22" s="7">
        <f t="shared" si="28"/>
        <v>8802.1999999999971</v>
      </c>
      <c r="AO22" s="7">
        <f t="shared" si="29"/>
        <v>9110.3999999999978</v>
      </c>
      <c r="AP22" s="7">
        <f t="shared" si="30"/>
        <v>9418.5999999999985</v>
      </c>
      <c r="AQ22" s="7">
        <f t="shared" si="31"/>
        <v>9726.7999999999993</v>
      </c>
      <c r="AR22" s="46">
        <f>SUMIFS(SPEW_Pig_iron_production!$S:$S,SPEW_Pig_iron_production!$B:$B,$C22)</f>
        <v>10035</v>
      </c>
      <c r="AS22" s="7">
        <f t="shared" si="32"/>
        <v>9185.8000000000011</v>
      </c>
      <c r="AT22" s="7">
        <f t="shared" si="33"/>
        <v>8336.6</v>
      </c>
      <c r="AU22" s="7">
        <f t="shared" si="34"/>
        <v>7487.4</v>
      </c>
      <c r="AV22" s="7">
        <f t="shared" si="35"/>
        <v>6638.2</v>
      </c>
      <c r="AW22" s="46">
        <f>SUMIFS(SPEW_Pig_iron_production!$T:$T,SPEW_Pig_iron_production!$B:$B,$C22)</f>
        <v>5789</v>
      </c>
      <c r="AX22" s="7">
        <f t="shared" si="36"/>
        <v>5367.7999999999993</v>
      </c>
      <c r="AY22" s="7">
        <f t="shared" si="37"/>
        <v>4946.5999999999995</v>
      </c>
      <c r="AZ22" s="7">
        <f t="shared" si="38"/>
        <v>4525.3999999999996</v>
      </c>
      <c r="BA22" s="7">
        <f t="shared" si="39"/>
        <v>4104.2</v>
      </c>
      <c r="BB22" s="46">
        <f>SUMIFS(SPEW_Pig_iron_production!$U:$U,SPEW_Pig_iron_production!$B:$B,$C22)</f>
        <v>3683</v>
      </c>
      <c r="BC22" s="7">
        <f t="shared" si="40"/>
        <v>3181.7999999999997</v>
      </c>
      <c r="BD22" s="7">
        <f t="shared" si="41"/>
        <v>2680.6</v>
      </c>
      <c r="BE22" s="7">
        <f t="shared" si="42"/>
        <v>2179.4</v>
      </c>
      <c r="BF22" s="7">
        <f t="shared" si="43"/>
        <v>1678.2</v>
      </c>
      <c r="BG22" s="46">
        <f>SUMIFS(SPEW_Pig_iron_production!$V:$V,SPEW_Pig_iron_production!$B:$B,$C22)</f>
        <v>1177</v>
      </c>
      <c r="BH22" s="7">
        <f t="shared" si="44"/>
        <v>2493.7999999999993</v>
      </c>
      <c r="BI22" s="7">
        <f t="shared" si="45"/>
        <v>3810.5999999999995</v>
      </c>
      <c r="BJ22" s="7">
        <f t="shared" si="46"/>
        <v>5127.3999999999996</v>
      </c>
      <c r="BK22" s="7">
        <f t="shared" si="47"/>
        <v>6444.2</v>
      </c>
      <c r="BL22" s="46">
        <f>SUMIFS(SPEW_Pig_iron_production!$W:$W,SPEW_Pig_iron_production!$B:$B,$C22)</f>
        <v>7761</v>
      </c>
      <c r="BM22" s="7">
        <f t="shared" si="48"/>
        <v>8400.8000000000029</v>
      </c>
      <c r="BN22" s="7">
        <f t="shared" si="49"/>
        <v>9040.6000000000022</v>
      </c>
      <c r="BO22" s="7">
        <f t="shared" si="50"/>
        <v>9680.4000000000015</v>
      </c>
      <c r="BP22" s="7">
        <f t="shared" si="51"/>
        <v>10320.200000000001</v>
      </c>
      <c r="BQ22" s="46">
        <f>SUMIFS(SPEW_Pig_iron_production!$X:$X,SPEW_Pig_iron_production!$B:$B,$C22)</f>
        <v>10960</v>
      </c>
      <c r="BR22" s="7">
        <f t="shared" si="52"/>
        <v>11597</v>
      </c>
      <c r="BS22" s="7">
        <f t="shared" si="53"/>
        <v>12234</v>
      </c>
      <c r="BT22" s="7">
        <f t="shared" si="54"/>
        <v>12871</v>
      </c>
      <c r="BU22" s="7">
        <f t="shared" si="55"/>
        <v>13508</v>
      </c>
      <c r="BV22" s="46">
        <f>SUMIFS(SPEW_Pig_iron_production!$Y:$Y,SPEW_Pig_iron_production!$B:$B,$C22)</f>
        <v>14145</v>
      </c>
      <c r="BW22" s="7">
        <f t="shared" si="56"/>
        <v>14470</v>
      </c>
      <c r="BX22" s="7">
        <f t="shared" si="57"/>
        <v>14795</v>
      </c>
      <c r="BY22" s="7">
        <f t="shared" si="58"/>
        <v>15120</v>
      </c>
      <c r="BZ22" s="7">
        <f t="shared" si="59"/>
        <v>15445</v>
      </c>
      <c r="CA22" s="46">
        <f>SUMIFS(SPEW_Pig_iron_production!$Z:$Z,SPEW_Pig_iron_production!$B:$B,$C22)</f>
        <v>15770</v>
      </c>
      <c r="CB22" s="7">
        <f t="shared" si="60"/>
        <v>16461.600000000006</v>
      </c>
      <c r="CC22" s="7">
        <f t="shared" si="61"/>
        <v>17153.200000000004</v>
      </c>
      <c r="CD22" s="7">
        <f t="shared" si="62"/>
        <v>17844.800000000003</v>
      </c>
      <c r="CE22" s="7">
        <f t="shared" si="63"/>
        <v>18536.400000000001</v>
      </c>
      <c r="CF22" s="46">
        <f>SUMIFS(SPEW_Pig_iron_production!$AA:$AA,SPEW_Pig_iron_production!$B:$B,$C22)</f>
        <v>19228</v>
      </c>
      <c r="CG22" s="7">
        <f t="shared" si="64"/>
        <v>18966.600000000006</v>
      </c>
      <c r="CH22" s="7">
        <f t="shared" si="65"/>
        <v>18705.200000000004</v>
      </c>
      <c r="CI22" s="7">
        <f t="shared" si="66"/>
        <v>18443.800000000003</v>
      </c>
      <c r="CJ22" s="7">
        <f t="shared" si="67"/>
        <v>18182.400000000001</v>
      </c>
      <c r="CK22" s="46">
        <f>SUMIFS(SPEW_Pig_iron_production!$AB:$AB,SPEW_Pig_iron_production!$B:$B,$C22)</f>
        <v>17921</v>
      </c>
      <c r="CL22" s="7">
        <f t="shared" si="68"/>
        <v>18072.199999999997</v>
      </c>
      <c r="CM22" s="7">
        <f t="shared" si="69"/>
        <v>18223.399999999998</v>
      </c>
      <c r="CN22" s="7">
        <f t="shared" si="70"/>
        <v>18374.599999999999</v>
      </c>
      <c r="CO22" s="7">
        <f t="shared" si="71"/>
        <v>18525.8</v>
      </c>
      <c r="CP22" s="2">
        <f>[1]Data!B22</f>
        <v>18677</v>
      </c>
      <c r="CQ22" s="2">
        <f>[1]Data!C22</f>
        <v>16961</v>
      </c>
      <c r="CR22" s="2">
        <f>[1]Data!D22</f>
        <v>14715</v>
      </c>
      <c r="CS22" s="2">
        <f>[1]Data!E22</f>
        <v>13500</v>
      </c>
      <c r="CT22" s="2">
        <f>[1]Data!F22</f>
        <v>14706</v>
      </c>
      <c r="CU22" s="2">
        <f>[1]Data!G22</f>
        <v>15068</v>
      </c>
      <c r="CV22" s="2">
        <f>[1]Data!H22</f>
        <v>13706</v>
      </c>
      <c r="CW22" s="2">
        <f>[1]Data!I22</f>
        <v>13153</v>
      </c>
      <c r="CX22" s="2">
        <f>[1]Data!J22</f>
        <v>14463</v>
      </c>
      <c r="CY22" s="2">
        <f>[1]Data!K22</f>
        <v>14725</v>
      </c>
      <c r="CZ22" s="2">
        <f>[1]Data!L22</f>
        <v>14096</v>
      </c>
      <c r="DA22" s="2">
        <f>[1]Data!M22</f>
        <v>13408</v>
      </c>
      <c r="DB22" s="2">
        <f>[1]Data!N22</f>
        <v>12730</v>
      </c>
      <c r="DC22" s="2">
        <f>[1]Data!O22</f>
        <v>12335</v>
      </c>
      <c r="DD22" s="2">
        <f>[1]Data!P22</f>
        <v>12917</v>
      </c>
      <c r="DE22" s="2">
        <f>[1]Data!Q22</f>
        <v>12760</v>
      </c>
      <c r="DF22" s="2">
        <f>[1]Data!R22</f>
        <v>12000</v>
      </c>
      <c r="DG22" s="2">
        <f>[1]Data!S22</f>
        <v>13316</v>
      </c>
      <c r="DH22" s="2">
        <f>[1]Data!T22</f>
        <v>13458</v>
      </c>
      <c r="DI22" s="2">
        <f>[1]Data!U22</f>
        <v>13433</v>
      </c>
      <c r="DJ22" s="2">
        <f>[1]Data!V22</f>
        <v>13507</v>
      </c>
      <c r="DK22" s="2">
        <f>[1]Data!W22</f>
        <v>11885</v>
      </c>
      <c r="DL22" s="2">
        <f>[1]Data!X22</f>
        <v>13093</v>
      </c>
      <c r="DM22" s="2">
        <f>[1]Data!Y22</f>
        <v>12972</v>
      </c>
      <c r="DN22" s="2">
        <f>[1]Data!Z22</f>
        <v>13198</v>
      </c>
      <c r="DO22" s="2">
        <f>[1]Data!AA22</f>
        <v>12705</v>
      </c>
      <c r="DP22" s="2">
        <f>[1]Data!AB22</f>
        <v>13013</v>
      </c>
      <c r="DQ22" s="2">
        <f>[1]Data!AC22</f>
        <v>12426</v>
      </c>
      <c r="DR22" s="2">
        <f>[1]Data!AD22</f>
        <v>11372</v>
      </c>
      <c r="DS22" s="2">
        <f>[1]Data!AE22</f>
        <v>8104</v>
      </c>
      <c r="DT22" s="2">
        <f>[1]Data!AF22</f>
        <v>10137</v>
      </c>
      <c r="DU22" s="2">
        <f>[1]Data!AG22</f>
        <v>9698</v>
      </c>
      <c r="DV22" s="2">
        <f>[1]Data!AH22</f>
        <v>9532</v>
      </c>
      <c r="DW22" s="2">
        <f>[1]Data!AI22</f>
        <v>10276</v>
      </c>
      <c r="DX22" s="2">
        <v>10866</v>
      </c>
      <c r="DY22" s="2">
        <f>[4]Data!AK22</f>
        <v>10097</v>
      </c>
      <c r="DZ22" s="2">
        <f>[4]Data!AL22</f>
        <v>9724</v>
      </c>
      <c r="EA22" s="2">
        <f>[4]Data!AM22</f>
        <v>10678</v>
      </c>
    </row>
    <row r="23" spans="1:131" ht="16" x14ac:dyDescent="0.2">
      <c r="A23" t="s">
        <v>21</v>
      </c>
      <c r="B23" s="15" t="s">
        <v>286</v>
      </c>
      <c r="C23" s="9" t="s">
        <v>103</v>
      </c>
      <c r="D23" s="46">
        <f>Hyde_iron!$C$40*I23/SUMIFS(I$3:I$63,$B$3:$B$63,$B23)</f>
        <v>4978.4835495393872</v>
      </c>
      <c r="E23" s="7">
        <f t="shared" si="0"/>
        <v>5107.760851037161</v>
      </c>
      <c r="F23" s="7">
        <f t="shared" si="1"/>
        <v>5237.0381525349367</v>
      </c>
      <c r="G23" s="7">
        <f t="shared" si="2"/>
        <v>5366.3154540327123</v>
      </c>
      <c r="H23" s="7">
        <f t="shared" si="3"/>
        <v>5495.5927555304879</v>
      </c>
      <c r="I23" s="46">
        <f>Hyde_iron!$D$40*N23/SUMIFS(N$3:N$63,$B$3:$B$63,$B23)</f>
        <v>5624.8700570282635</v>
      </c>
      <c r="J23" s="7">
        <f t="shared" si="4"/>
        <v>5854.0231622485426</v>
      </c>
      <c r="K23" s="7">
        <f t="shared" si="5"/>
        <v>6083.1762674688225</v>
      </c>
      <c r="L23" s="7">
        <f t="shared" si="6"/>
        <v>6312.3293726891025</v>
      </c>
      <c r="M23" s="7">
        <f t="shared" si="7"/>
        <v>6541.4824779093824</v>
      </c>
      <c r="N23" s="46">
        <f>Hyde_iron!$E$40*S23/SUMIFS(S$3:S$63,$B$3:$B$63,$B23)</f>
        <v>6770.6355831296623</v>
      </c>
      <c r="O23" s="7">
        <f t="shared" si="8"/>
        <v>7149.0283950617295</v>
      </c>
      <c r="P23" s="7">
        <f t="shared" si="9"/>
        <v>7527.4212069937967</v>
      </c>
      <c r="Q23" s="7">
        <f t="shared" si="10"/>
        <v>7905.8140189258638</v>
      </c>
      <c r="R23" s="7">
        <f t="shared" si="11"/>
        <v>8284.206830857931</v>
      </c>
      <c r="S23" s="46">
        <f>Hyde_iron!$F$40*X23/SUMIFS(X$3:X$63,$B$3:$B$63,$B23)</f>
        <v>8662.5996427899972</v>
      </c>
      <c r="T23" s="7">
        <f t="shared" si="12"/>
        <v>8875.5532242902809</v>
      </c>
      <c r="U23" s="7">
        <f t="shared" si="13"/>
        <v>9088.5068057905628</v>
      </c>
      <c r="V23" s="7">
        <f t="shared" si="14"/>
        <v>9301.4603872908447</v>
      </c>
      <c r="W23" s="7">
        <f t="shared" si="15"/>
        <v>9514.4139687911265</v>
      </c>
      <c r="X23" s="46">
        <f>Hyde_iron!$G$40*AC23/SUMIFS(AC$3:AC$63,$B$3:$B$63,$B23)</f>
        <v>9727.3675502914084</v>
      </c>
      <c r="Y23" s="7">
        <f t="shared" si="16"/>
        <v>9334.1145453406043</v>
      </c>
      <c r="Z23" s="7">
        <f t="shared" si="17"/>
        <v>8940.8615403897984</v>
      </c>
      <c r="AA23" s="7">
        <f t="shared" si="18"/>
        <v>8547.6085354389925</v>
      </c>
      <c r="AB23" s="7">
        <f t="shared" si="19"/>
        <v>8154.3555304881875</v>
      </c>
      <c r="AC23" s="46">
        <f>Hyde_iron!$H$40*AH23/SUMIFS(AH$3:AH$63,$B$3:$B$63,$B23)</f>
        <v>7761.1025255373825</v>
      </c>
      <c r="AD23" s="7">
        <f t="shared" si="20"/>
        <v>7568.8129034279618</v>
      </c>
      <c r="AE23" s="7">
        <f t="shared" si="21"/>
        <v>7376.523281318543</v>
      </c>
      <c r="AF23" s="7">
        <f t="shared" si="22"/>
        <v>7184.2336592091242</v>
      </c>
      <c r="AG23" s="7">
        <f t="shared" si="23"/>
        <v>6991.9440370997054</v>
      </c>
      <c r="AH23" s="46">
        <f>Hyde_iron!$I$40*AM23/SUMIFS(AM$3:AM$63,$B$3:$B$63,$B23)</f>
        <v>6799.6544149902866</v>
      </c>
      <c r="AI23" s="7">
        <f t="shared" si="24"/>
        <v>7475.1235319922289</v>
      </c>
      <c r="AJ23" s="7">
        <f t="shared" si="25"/>
        <v>8150.5926489941712</v>
      </c>
      <c r="AK23" s="7">
        <f t="shared" si="26"/>
        <v>8826.0617659961135</v>
      </c>
      <c r="AL23" s="7">
        <f t="shared" si="27"/>
        <v>9501.5308829980568</v>
      </c>
      <c r="AM23" s="46">
        <f>SUMIFS(SPEW_Pig_iron_production!$R:$R,SPEW_Pig_iron_production!$B:$B,$C23)</f>
        <v>10177</v>
      </c>
      <c r="AN23" s="7">
        <f t="shared" si="28"/>
        <v>10080.599999999999</v>
      </c>
      <c r="AO23" s="7">
        <f t="shared" si="29"/>
        <v>9984.1999999999989</v>
      </c>
      <c r="AP23" s="7">
        <f t="shared" si="30"/>
        <v>9887.7999999999993</v>
      </c>
      <c r="AQ23" s="7">
        <f t="shared" si="31"/>
        <v>9791.4</v>
      </c>
      <c r="AR23" s="46">
        <f>SUMIFS(SPEW_Pig_iron_production!$S:$S,SPEW_Pig_iron_production!$B:$B,$C23)</f>
        <v>9695</v>
      </c>
      <c r="AS23" s="7">
        <f t="shared" si="32"/>
        <v>10325.199999999997</v>
      </c>
      <c r="AT23" s="7">
        <f t="shared" si="33"/>
        <v>10955.399999999998</v>
      </c>
      <c r="AU23" s="7">
        <f t="shared" si="34"/>
        <v>11585.599999999999</v>
      </c>
      <c r="AV23" s="7">
        <f t="shared" si="35"/>
        <v>12215.8</v>
      </c>
      <c r="AW23" s="46">
        <f>SUMIFS(SPEW_Pig_iron_production!$T:$T,SPEW_Pig_iron_production!$B:$B,$C23)</f>
        <v>12846</v>
      </c>
      <c r="AX23" s="7">
        <f t="shared" si="36"/>
        <v>13067.800000000003</v>
      </c>
      <c r="AY23" s="7">
        <f t="shared" si="37"/>
        <v>13289.600000000002</v>
      </c>
      <c r="AZ23" s="7">
        <f t="shared" si="38"/>
        <v>13511.400000000001</v>
      </c>
      <c r="BA23" s="7">
        <f t="shared" si="39"/>
        <v>13733.2</v>
      </c>
      <c r="BB23" s="46">
        <f>SUMIFS(SPEW_Pig_iron_production!$U:$U,SPEW_Pig_iron_production!$B:$B,$C23)</f>
        <v>13955</v>
      </c>
      <c r="BC23" s="7">
        <f t="shared" si="40"/>
        <v>12816.759999999998</v>
      </c>
      <c r="BD23" s="7">
        <f t="shared" si="41"/>
        <v>11678.519999999999</v>
      </c>
      <c r="BE23" s="7">
        <f t="shared" si="42"/>
        <v>10540.279999999999</v>
      </c>
      <c r="BF23" s="7">
        <f t="shared" si="43"/>
        <v>9402.0399999999991</v>
      </c>
      <c r="BG23" s="46">
        <f>SUMIFS(SPEW_Pig_iron_production!$V:$V,SPEW_Pig_iron_production!$B:$B,$C23)</f>
        <v>8263.7999999999993</v>
      </c>
      <c r="BH23" s="7">
        <f t="shared" si="44"/>
        <v>8573.0400000000009</v>
      </c>
      <c r="BI23" s="7">
        <f t="shared" si="45"/>
        <v>8882.2800000000007</v>
      </c>
      <c r="BJ23" s="7">
        <f t="shared" si="46"/>
        <v>9191.52</v>
      </c>
      <c r="BK23" s="7">
        <f t="shared" si="47"/>
        <v>9500.76</v>
      </c>
      <c r="BL23" s="46">
        <f>SUMIFS(SPEW_Pig_iron_production!$W:$W,SPEW_Pig_iron_production!$B:$B,$C23)</f>
        <v>9810</v>
      </c>
      <c r="BM23" s="7">
        <f t="shared" si="48"/>
        <v>11447.800000000003</v>
      </c>
      <c r="BN23" s="7">
        <f t="shared" si="49"/>
        <v>13085.600000000002</v>
      </c>
      <c r="BO23" s="7">
        <f t="shared" si="50"/>
        <v>14723.400000000001</v>
      </c>
      <c r="BP23" s="7">
        <f t="shared" si="51"/>
        <v>16361.2</v>
      </c>
      <c r="BQ23" s="46">
        <f>SUMIFS(SPEW_Pig_iron_production!$X:$X,SPEW_Pig_iron_production!$B:$B,$C23)</f>
        <v>17999</v>
      </c>
      <c r="BR23" s="7">
        <f t="shared" si="52"/>
        <v>19946</v>
      </c>
      <c r="BS23" s="7">
        <f t="shared" si="53"/>
        <v>21893</v>
      </c>
      <c r="BT23" s="7">
        <f t="shared" si="54"/>
        <v>23840</v>
      </c>
      <c r="BU23" s="7">
        <f t="shared" si="55"/>
        <v>25787</v>
      </c>
      <c r="BV23" s="46">
        <f>SUMIFS(SPEW_Pig_iron_production!$Y:$Y,SPEW_Pig_iron_production!$B:$B,$C23)</f>
        <v>27734</v>
      </c>
      <c r="BW23" s="7">
        <f t="shared" si="56"/>
        <v>28052.800000000003</v>
      </c>
      <c r="BX23" s="7">
        <f t="shared" si="57"/>
        <v>28371.600000000002</v>
      </c>
      <c r="BY23" s="7">
        <f t="shared" si="58"/>
        <v>28690.400000000001</v>
      </c>
      <c r="BZ23" s="7">
        <f t="shared" si="59"/>
        <v>29009.200000000001</v>
      </c>
      <c r="CA23" s="46">
        <f>SUMIFS(SPEW_Pig_iron_production!$Z:$Z,SPEW_Pig_iron_production!$B:$B,$C23)</f>
        <v>29328</v>
      </c>
      <c r="CB23" s="7">
        <f t="shared" si="60"/>
        <v>30586.600000000006</v>
      </c>
      <c r="CC23" s="7">
        <f t="shared" si="61"/>
        <v>31845.200000000004</v>
      </c>
      <c r="CD23" s="7">
        <f t="shared" si="62"/>
        <v>33103.800000000003</v>
      </c>
      <c r="CE23" s="7">
        <f t="shared" si="63"/>
        <v>34362.400000000001</v>
      </c>
      <c r="CF23" s="46">
        <f>SUMIFS(SPEW_Pig_iron_production!$AA:$AA,SPEW_Pig_iron_production!$B:$B,$C23)</f>
        <v>35621</v>
      </c>
      <c r="CG23" s="7">
        <f t="shared" si="64"/>
        <v>35002.799999999988</v>
      </c>
      <c r="CH23" s="7">
        <f t="shared" si="65"/>
        <v>34384.599999999991</v>
      </c>
      <c r="CI23" s="7">
        <f t="shared" si="66"/>
        <v>33766.399999999994</v>
      </c>
      <c r="CJ23" s="7">
        <f t="shared" si="67"/>
        <v>33148.199999999997</v>
      </c>
      <c r="CK23" s="46">
        <f>SUMIFS(SPEW_Pig_iron_production!$AB:$AB,SPEW_Pig_iron_production!$B:$B,$C23)</f>
        <v>32530</v>
      </c>
      <c r="CL23" s="7">
        <f t="shared" si="68"/>
        <v>32745.799999999992</v>
      </c>
      <c r="CM23" s="7">
        <f t="shared" si="69"/>
        <v>32961.599999999991</v>
      </c>
      <c r="CN23" s="7">
        <f t="shared" si="70"/>
        <v>33177.399999999994</v>
      </c>
      <c r="CO23" s="7">
        <f t="shared" si="71"/>
        <v>33393.199999999997</v>
      </c>
      <c r="CP23" s="2">
        <f>[1]Data!B23</f>
        <v>33609</v>
      </c>
      <c r="CQ23" s="2">
        <f>[1]Data!C23</f>
        <v>31612</v>
      </c>
      <c r="CR23" s="2">
        <f>[1]Data!D23</f>
        <v>27066</v>
      </c>
      <c r="CS23" s="2">
        <f>[1]Data!E23</f>
        <v>26352</v>
      </c>
      <c r="CT23" s="2">
        <f>[1]Data!F23</f>
        <v>29737</v>
      </c>
      <c r="CU23" s="2">
        <f>[1]Data!G23</f>
        <v>31143</v>
      </c>
      <c r="CV23" s="2">
        <f>[1]Data!H23</f>
        <v>28593</v>
      </c>
      <c r="CW23" s="2">
        <f>[1]Data!I23</f>
        <v>28116</v>
      </c>
      <c r="CX23" s="2">
        <f>[1]Data!J23</f>
        <v>31890</v>
      </c>
      <c r="CY23" s="2">
        <f>[1]Data!K23</f>
        <v>32113</v>
      </c>
      <c r="CZ23" s="2">
        <f>[1]Data!L23</f>
        <v>29585</v>
      </c>
      <c r="DA23" s="2">
        <f>[1]Data!M23</f>
        <v>30608</v>
      </c>
      <c r="DB23" s="2">
        <f>[1]Data!N23</f>
        <v>28201</v>
      </c>
      <c r="DC23" s="2">
        <f>[1]Data!O23</f>
        <v>26705</v>
      </c>
      <c r="DD23" s="2">
        <f>[1]Data!P23</f>
        <v>29632</v>
      </c>
      <c r="DE23" s="2">
        <f>[1]Data!Q23</f>
        <v>30038</v>
      </c>
      <c r="DF23" s="2">
        <f>[1]Data!R23</f>
        <v>27722</v>
      </c>
      <c r="DG23" s="2">
        <f>[1]Data!S23</f>
        <v>30940</v>
      </c>
      <c r="DH23" s="2">
        <f>[1]Data!T23</f>
        <v>30162</v>
      </c>
      <c r="DI23" s="2">
        <f>[1]Data!U23</f>
        <v>27934</v>
      </c>
      <c r="DJ23" s="2">
        <f>[1]Data!V23</f>
        <v>30845</v>
      </c>
      <c r="DK23" s="2">
        <f>[1]Data!W23</f>
        <v>29184</v>
      </c>
      <c r="DL23" s="2">
        <f>[1]Data!X23</f>
        <v>29427</v>
      </c>
      <c r="DM23" s="2">
        <f>[1]Data!Y23</f>
        <v>29481</v>
      </c>
      <c r="DN23" s="2">
        <f>[1]Data!Z23</f>
        <v>29411</v>
      </c>
      <c r="DO23" s="2">
        <f>[1]Data!AA23</f>
        <v>28424</v>
      </c>
      <c r="DP23" s="2">
        <f>[1]Data!AB23</f>
        <v>29777</v>
      </c>
      <c r="DQ23" s="2">
        <f>[1]Data!AC23</f>
        <v>30562</v>
      </c>
      <c r="DR23" s="2">
        <f>[1]Data!AD23</f>
        <v>28592</v>
      </c>
      <c r="DS23" s="2">
        <f>[1]Data!AE23</f>
        <v>19715</v>
      </c>
      <c r="DT23" s="2">
        <f>[1]Data!AF23</f>
        <v>28112</v>
      </c>
      <c r="DU23" s="2">
        <f>[1]Data!AG23</f>
        <v>27563</v>
      </c>
      <c r="DV23" s="2">
        <f>[1]Data!AH23</f>
        <v>26493</v>
      </c>
      <c r="DW23" s="2">
        <f>[1]Data!AI23</f>
        <v>26678</v>
      </c>
      <c r="DX23" s="2">
        <v>27379</v>
      </c>
      <c r="DY23" s="2">
        <f>[4]Data!AK23</f>
        <v>27842</v>
      </c>
      <c r="DZ23" s="2">
        <f>[4]Data!AL23</f>
        <v>27270</v>
      </c>
      <c r="EA23" s="2">
        <f>[4]Data!AM23</f>
        <v>27816</v>
      </c>
    </row>
    <row r="24" spans="1:131" ht="16" x14ac:dyDescent="0.2">
      <c r="A24" t="s">
        <v>22</v>
      </c>
      <c r="C24" s="9" t="s">
        <v>78</v>
      </c>
      <c r="D24" s="46"/>
      <c r="E24" s="7">
        <f t="shared" si="0"/>
        <v>0</v>
      </c>
      <c r="F24" s="7">
        <f t="shared" si="1"/>
        <v>0</v>
      </c>
      <c r="G24" s="7">
        <f t="shared" si="2"/>
        <v>0</v>
      </c>
      <c r="H24" s="7">
        <f t="shared" si="3"/>
        <v>0</v>
      </c>
      <c r="I24" s="46"/>
      <c r="J24" s="7">
        <f t="shared" si="4"/>
        <v>0</v>
      </c>
      <c r="K24" s="7">
        <f t="shared" si="5"/>
        <v>0</v>
      </c>
      <c r="L24" s="7">
        <f t="shared" si="6"/>
        <v>0</v>
      </c>
      <c r="M24" s="7">
        <f t="shared" si="7"/>
        <v>0</v>
      </c>
      <c r="N24" s="46"/>
      <c r="O24" s="7">
        <f t="shared" si="8"/>
        <v>0</v>
      </c>
      <c r="P24" s="7">
        <f t="shared" si="9"/>
        <v>0</v>
      </c>
      <c r="Q24" s="7">
        <f t="shared" si="10"/>
        <v>0</v>
      </c>
      <c r="R24" s="7">
        <f t="shared" si="11"/>
        <v>0</v>
      </c>
      <c r="S24" s="46"/>
      <c r="T24" s="7">
        <f t="shared" si="12"/>
        <v>0</v>
      </c>
      <c r="U24" s="7">
        <f t="shared" si="13"/>
        <v>0</v>
      </c>
      <c r="V24" s="7">
        <f t="shared" si="14"/>
        <v>0</v>
      </c>
      <c r="W24" s="7">
        <f t="shared" si="15"/>
        <v>0</v>
      </c>
      <c r="X24" s="46"/>
      <c r="Y24" s="7">
        <f t="shared" si="16"/>
        <v>0</v>
      </c>
      <c r="Z24" s="7">
        <f t="shared" si="17"/>
        <v>0</v>
      </c>
      <c r="AA24" s="7">
        <f t="shared" si="18"/>
        <v>0</v>
      </c>
      <c r="AB24" s="7">
        <f t="shared" si="19"/>
        <v>0</v>
      </c>
      <c r="AC24" s="46"/>
      <c r="AD24" s="7">
        <f t="shared" si="20"/>
        <v>0</v>
      </c>
      <c r="AE24" s="7">
        <f t="shared" si="21"/>
        <v>0</v>
      </c>
      <c r="AF24" s="7">
        <f t="shared" si="22"/>
        <v>0</v>
      </c>
      <c r="AG24" s="7">
        <f t="shared" si="23"/>
        <v>0</v>
      </c>
      <c r="AH24" s="46"/>
      <c r="AI24" s="7">
        <f t="shared" si="24"/>
        <v>0</v>
      </c>
      <c r="AJ24" s="7">
        <f t="shared" si="25"/>
        <v>0</v>
      </c>
      <c r="AK24" s="7">
        <f t="shared" si="26"/>
        <v>0</v>
      </c>
      <c r="AL24" s="7">
        <f t="shared" si="27"/>
        <v>0</v>
      </c>
      <c r="AM24" s="46">
        <f>SUMIFS(SPEW_Pig_iron_production!$R:$R,SPEW_Pig_iron_production!$B:$B,$C24)</f>
        <v>0</v>
      </c>
      <c r="AN24" s="7">
        <f t="shared" si="28"/>
        <v>0</v>
      </c>
      <c r="AO24" s="7">
        <f t="shared" si="29"/>
        <v>0</v>
      </c>
      <c r="AP24" s="7">
        <f t="shared" si="30"/>
        <v>0</v>
      </c>
      <c r="AQ24" s="7">
        <f t="shared" si="31"/>
        <v>0</v>
      </c>
      <c r="AR24" s="46">
        <f>SUMIFS(SPEW_Pig_iron_production!$S:$S,SPEW_Pig_iron_production!$B:$B,$C24)</f>
        <v>0</v>
      </c>
      <c r="AS24" s="7">
        <f t="shared" si="32"/>
        <v>0</v>
      </c>
      <c r="AT24" s="7">
        <f t="shared" si="33"/>
        <v>0</v>
      </c>
      <c r="AU24" s="7">
        <f t="shared" si="34"/>
        <v>0</v>
      </c>
      <c r="AV24" s="7">
        <f t="shared" si="35"/>
        <v>0</v>
      </c>
      <c r="AW24" s="46">
        <f>SUMIFS(SPEW_Pig_iron_production!$T:$T,SPEW_Pig_iron_production!$B:$B,$C24)</f>
        <v>0</v>
      </c>
      <c r="AX24" s="7">
        <f t="shared" si="36"/>
        <v>0</v>
      </c>
      <c r="AY24" s="7">
        <f t="shared" si="37"/>
        <v>0</v>
      </c>
      <c r="AZ24" s="7">
        <f t="shared" si="38"/>
        <v>0</v>
      </c>
      <c r="BA24" s="7">
        <f t="shared" si="39"/>
        <v>0</v>
      </c>
      <c r="BB24" s="46">
        <f>SUMIFS(SPEW_Pig_iron_production!$U:$U,SPEW_Pig_iron_production!$B:$B,$C24)</f>
        <v>0</v>
      </c>
      <c r="BC24" s="7">
        <f t="shared" si="40"/>
        <v>0</v>
      </c>
      <c r="BD24" s="7">
        <f t="shared" si="41"/>
        <v>0</v>
      </c>
      <c r="BE24" s="7">
        <f t="shared" si="42"/>
        <v>0</v>
      </c>
      <c r="BF24" s="7">
        <f t="shared" si="43"/>
        <v>0</v>
      </c>
      <c r="BG24" s="46">
        <f>SUMIFS(SPEW_Pig_iron_production!$V:$V,SPEW_Pig_iron_production!$B:$B,$C24)</f>
        <v>0</v>
      </c>
      <c r="BH24" s="7">
        <f t="shared" si="44"/>
        <v>0</v>
      </c>
      <c r="BI24" s="7">
        <f t="shared" si="45"/>
        <v>0</v>
      </c>
      <c r="BJ24" s="7">
        <f t="shared" si="46"/>
        <v>0</v>
      </c>
      <c r="BK24" s="7">
        <f t="shared" si="47"/>
        <v>0</v>
      </c>
      <c r="BL24" s="46">
        <f>SUMIFS(SPEW_Pig_iron_production!$W:$W,SPEW_Pig_iron_production!$B:$B,$C24)</f>
        <v>0</v>
      </c>
      <c r="BM24" s="7">
        <f t="shared" si="48"/>
        <v>0</v>
      </c>
      <c r="BN24" s="7">
        <f t="shared" si="49"/>
        <v>0</v>
      </c>
      <c r="BO24" s="7">
        <f t="shared" si="50"/>
        <v>0</v>
      </c>
      <c r="BP24" s="7">
        <f t="shared" si="51"/>
        <v>0</v>
      </c>
      <c r="BQ24" s="46">
        <f>SUMIFS(SPEW_Pig_iron_production!$X:$X,SPEW_Pig_iron_production!$B:$B,$C24)</f>
        <v>0</v>
      </c>
      <c r="BR24" s="7">
        <f t="shared" si="52"/>
        <v>0</v>
      </c>
      <c r="BS24" s="7">
        <f t="shared" si="53"/>
        <v>0</v>
      </c>
      <c r="BT24" s="7">
        <f t="shared" si="54"/>
        <v>0</v>
      </c>
      <c r="BU24" s="7">
        <f t="shared" si="55"/>
        <v>0</v>
      </c>
      <c r="BV24" s="46">
        <f>SUMIFS(SPEW_Pig_iron_production!$Y:$Y,SPEW_Pig_iron_production!$B:$B,$C24)</f>
        <v>0</v>
      </c>
      <c r="BW24" s="7">
        <f t="shared" si="56"/>
        <v>0</v>
      </c>
      <c r="BX24" s="7">
        <f t="shared" si="57"/>
        <v>0</v>
      </c>
      <c r="BY24" s="7">
        <f t="shared" si="58"/>
        <v>0</v>
      </c>
      <c r="BZ24" s="7">
        <f t="shared" si="59"/>
        <v>0</v>
      </c>
      <c r="CA24" s="46">
        <f>SUMIFS(SPEW_Pig_iron_production!$Z:$Z,SPEW_Pig_iron_production!$B:$B,$C24)</f>
        <v>0</v>
      </c>
      <c r="CB24" s="7">
        <f t="shared" si="60"/>
        <v>0</v>
      </c>
      <c r="CC24" s="7">
        <f t="shared" si="61"/>
        <v>0</v>
      </c>
      <c r="CD24" s="7">
        <f t="shared" si="62"/>
        <v>0</v>
      </c>
      <c r="CE24" s="7">
        <f t="shared" si="63"/>
        <v>0</v>
      </c>
      <c r="CF24" s="46">
        <f>SUMIFS(SPEW_Pig_iron_production!$AA:$AA,SPEW_Pig_iron_production!$B:$B,$C24)</f>
        <v>0</v>
      </c>
      <c r="CG24" s="7">
        <f t="shared" si="64"/>
        <v>0</v>
      </c>
      <c r="CH24" s="7">
        <f t="shared" si="65"/>
        <v>0</v>
      </c>
      <c r="CI24" s="7">
        <f t="shared" si="66"/>
        <v>0</v>
      </c>
      <c r="CJ24" s="7">
        <f t="shared" si="67"/>
        <v>0</v>
      </c>
      <c r="CK24" s="46">
        <f>SUMIFS(SPEW_Pig_iron_production!$AB:$AB,SPEW_Pig_iron_production!$B:$B,$C24)</f>
        <v>0</v>
      </c>
      <c r="CL24" s="7">
        <f t="shared" si="68"/>
        <v>491.60000000000014</v>
      </c>
      <c r="CM24" s="7">
        <f t="shared" si="69"/>
        <v>983.20000000000016</v>
      </c>
      <c r="CN24" s="7">
        <f t="shared" si="70"/>
        <v>1474.8000000000002</v>
      </c>
      <c r="CO24" s="7">
        <f t="shared" si="71"/>
        <v>1966.4</v>
      </c>
      <c r="CP24" s="2">
        <f>[1]Data!B24</f>
        <v>2458</v>
      </c>
      <c r="CQ24" s="2">
        <f>[1]Data!C24</f>
        <v>2430</v>
      </c>
      <c r="CR24" s="2">
        <f>[1]Data!D24</f>
        <v>2147</v>
      </c>
      <c r="CS24" s="2">
        <f>[1]Data!E24</f>
        <v>2207</v>
      </c>
      <c r="CT24" s="2">
        <f>[1]Data!F24</f>
        <v>2355</v>
      </c>
      <c r="CU24" s="2">
        <f>[1]Data!G24</f>
        <v>2578</v>
      </c>
      <c r="CV24" s="2">
        <f>[1]Data!H24</f>
        <v>2738</v>
      </c>
      <c r="CW24" s="2">
        <f>[1]Data!I24</f>
        <v>2755</v>
      </c>
      <c r="CX24" s="2">
        <f>[1]Data!J24</f>
        <v>2786</v>
      </c>
      <c r="CY24" s="2">
        <f>[1]Data!K24</f>
        <v>2722</v>
      </c>
      <c r="CZ24" s="2">
        <f>[1]Data!L24</f>
        <v>2128</v>
      </c>
      <c r="DA24" s="2">
        <f>[1]Data!M24</f>
        <v>0</v>
      </c>
      <c r="DB24" s="2">
        <f>[1]Data!N24</f>
        <v>0</v>
      </c>
      <c r="DC24" s="2">
        <f>[1]Data!O24</f>
        <v>0</v>
      </c>
      <c r="DD24" s="2">
        <f>[1]Data!P24</f>
        <v>0</v>
      </c>
      <c r="DE24" s="2">
        <f>[1]Data!Q24</f>
        <v>0</v>
      </c>
      <c r="DF24" s="2">
        <f>[1]Data!R24</f>
        <v>0</v>
      </c>
      <c r="DG24" s="2">
        <f>[1]Data!S24</f>
        <v>0</v>
      </c>
      <c r="DH24" s="2">
        <f>[1]Data!T24</f>
        <v>0</v>
      </c>
      <c r="DI24" s="2">
        <f>[1]Data!U24</f>
        <v>0</v>
      </c>
      <c r="DJ24" s="2">
        <f>[1]Data!V24</f>
        <v>0</v>
      </c>
      <c r="DK24" s="2">
        <f>[1]Data!W24</f>
        <v>0</v>
      </c>
      <c r="DL24" s="2">
        <f>[1]Data!X24</f>
        <v>0</v>
      </c>
      <c r="DM24" s="2">
        <f>[1]Data!Y24</f>
        <v>0</v>
      </c>
      <c r="DN24" s="2">
        <f>[1]Data!Z24</f>
        <v>0</v>
      </c>
      <c r="DO24" s="2">
        <f>[1]Data!AA24</f>
        <v>0</v>
      </c>
      <c r="DP24" s="2">
        <f>[1]Data!AB24</f>
        <v>0</v>
      </c>
      <c r="DQ24" s="2">
        <f>[1]Data!AC24</f>
        <v>0</v>
      </c>
      <c r="DR24" s="2">
        <f>[1]Data!AD24</f>
        <v>0</v>
      </c>
      <c r="DS24" s="2">
        <f>[1]Data!AE24</f>
        <v>0</v>
      </c>
      <c r="DT24" s="2">
        <f>[1]Data!AF24</f>
        <v>0</v>
      </c>
      <c r="DU24" s="2">
        <f>[1]Data!AG24</f>
        <v>0</v>
      </c>
      <c r="DV24" s="2">
        <f>[1]Data!AH24</f>
        <v>0</v>
      </c>
      <c r="DW24" s="2">
        <f>[1]Data!AI24</f>
        <v>0</v>
      </c>
      <c r="DX24" s="2">
        <v>0</v>
      </c>
      <c r="DY24" s="2">
        <f>[4]Data!AK24</f>
        <v>0</v>
      </c>
      <c r="DZ24" s="2">
        <f>[4]Data!AL24</f>
        <v>0</v>
      </c>
      <c r="EA24" s="2">
        <f>[4]Data!AM24</f>
        <v>0</v>
      </c>
    </row>
    <row r="25" spans="1:131" ht="16" x14ac:dyDescent="0.2">
      <c r="A25" t="s">
        <v>23</v>
      </c>
      <c r="B25" s="15" t="s">
        <v>287</v>
      </c>
      <c r="C25" s="9" t="s">
        <v>104</v>
      </c>
      <c r="D25" s="46">
        <f>SUMIFS(Hyde_iron!$C$34:$C$48,Hyde_iron!$B$34:$B$48,$B25)*I25/SUMIFS(I$3:I$63,$B$3:$B$63,$B25)</f>
        <v>16.945155393053021</v>
      </c>
      <c r="E25" s="7">
        <f t="shared" si="0"/>
        <v>17.511882998171846</v>
      </c>
      <c r="F25" s="7">
        <f t="shared" si="1"/>
        <v>18.078610603290677</v>
      </c>
      <c r="G25" s="7">
        <f t="shared" si="2"/>
        <v>18.645338208409509</v>
      </c>
      <c r="H25" s="7">
        <f t="shared" si="3"/>
        <v>19.212065813528341</v>
      </c>
      <c r="I25" s="46">
        <f>SUMIFS(Hyde_iron!$D$34:$D$48,Hyde_iron!$B$34:$B$48,$B25)*N25/SUMIFS(N$3:N$63,$B$3:$B$63,$B25)</f>
        <v>19.778793418647172</v>
      </c>
      <c r="J25" s="7">
        <f t="shared" si="4"/>
        <v>20.991590493601471</v>
      </c>
      <c r="K25" s="7">
        <f t="shared" si="5"/>
        <v>22.204387568555767</v>
      </c>
      <c r="L25" s="7">
        <f t="shared" si="6"/>
        <v>23.417184643510062</v>
      </c>
      <c r="M25" s="7">
        <f t="shared" si="7"/>
        <v>24.629981718464357</v>
      </c>
      <c r="N25" s="46">
        <f>SUMIFS(Hyde_iron!$E$34:$E$48,Hyde_iron!$B$34:$B$48,$B25)*S25/SUMIFS(S$3:S$63,$B$3:$B$63,$B25)</f>
        <v>25.842778793418653</v>
      </c>
      <c r="O25" s="7">
        <f t="shared" si="8"/>
        <v>25.446069469835464</v>
      </c>
      <c r="P25" s="7">
        <f t="shared" si="9"/>
        <v>25.049360146252283</v>
      </c>
      <c r="Q25" s="7">
        <f t="shared" si="10"/>
        <v>24.652650822669102</v>
      </c>
      <c r="R25" s="7">
        <f t="shared" si="11"/>
        <v>24.255941499085921</v>
      </c>
      <c r="S25" s="46">
        <f>SUMIFS(Hyde_iron!$F$34:$F$48,Hyde_iron!$B$34:$B$48,$B25)*X25/SUMIFS(X$3:X$63,$B$3:$B$63,$B25)</f>
        <v>23.85923217550274</v>
      </c>
      <c r="T25" s="7">
        <f t="shared" si="12"/>
        <v>24.777330895795245</v>
      </c>
      <c r="U25" s="7">
        <f t="shared" si="13"/>
        <v>25.69542961608775</v>
      </c>
      <c r="V25" s="7">
        <f t="shared" si="14"/>
        <v>26.613528336380256</v>
      </c>
      <c r="W25" s="7">
        <f t="shared" si="15"/>
        <v>27.531627056672761</v>
      </c>
      <c r="X25" s="46">
        <f>SUMIFS(Hyde_iron!$G$34:$G$48,Hyde_iron!$B$34:$B$48,$B25)*AC25/SUMIFS(AC$3:AC$63,$B$3:$B$63,$B25)</f>
        <v>28.449725776965266</v>
      </c>
      <c r="Y25" s="7">
        <f t="shared" si="16"/>
        <v>27.157586837294328</v>
      </c>
      <c r="Z25" s="7">
        <f t="shared" si="17"/>
        <v>25.865447897623397</v>
      </c>
      <c r="AA25" s="7">
        <f t="shared" si="18"/>
        <v>24.573308957952467</v>
      </c>
      <c r="AB25" s="7">
        <f t="shared" si="19"/>
        <v>23.281170018281536</v>
      </c>
      <c r="AC25" s="46">
        <f>SUMIFS(Hyde_iron!$H$34:$H$48,Hyde_iron!$B$34:$B$48,$B25)*AH25/SUMIFS(AH$3:AH$63,$B$3:$B$63,$B25)</f>
        <v>21.989031078610605</v>
      </c>
      <c r="AD25" s="7">
        <f t="shared" si="20"/>
        <v>30.897989031078609</v>
      </c>
      <c r="AE25" s="7">
        <f t="shared" si="21"/>
        <v>39.806946983546617</v>
      </c>
      <c r="AF25" s="7">
        <f t="shared" si="22"/>
        <v>48.715904936014624</v>
      </c>
      <c r="AG25" s="7">
        <f t="shared" si="23"/>
        <v>57.624862888482632</v>
      </c>
      <c r="AH25" s="46">
        <f>SUMIFS(Hyde_iron!$I$34:$I$48,Hyde_iron!$B$34:$B$48,$B25)*AM25/SUMIFS(AM$3:AM$63,$B$3:$B$63,$B25)</f>
        <v>66.533820840950639</v>
      </c>
      <c r="AI25" s="7">
        <f t="shared" si="24"/>
        <v>71.827056672760534</v>
      </c>
      <c r="AJ25" s="7">
        <f t="shared" si="25"/>
        <v>77.120292504570401</v>
      </c>
      <c r="AK25" s="7">
        <f t="shared" si="26"/>
        <v>82.413528336380267</v>
      </c>
      <c r="AL25" s="7">
        <f t="shared" si="27"/>
        <v>87.706764168190134</v>
      </c>
      <c r="AM25" s="46">
        <f>SUMIFS(SPEW_Pig_iron_production!$R:$R,SPEW_Pig_iron_production!$B:$B,$C25)</f>
        <v>93</v>
      </c>
      <c r="AN25" s="7">
        <f t="shared" si="28"/>
        <v>125.79999999999997</v>
      </c>
      <c r="AO25" s="7">
        <f t="shared" si="29"/>
        <v>158.59999999999997</v>
      </c>
      <c r="AP25" s="7">
        <f t="shared" si="30"/>
        <v>191.39999999999998</v>
      </c>
      <c r="AQ25" s="7">
        <f t="shared" si="31"/>
        <v>224.2</v>
      </c>
      <c r="AR25" s="46">
        <f>SUMIFS(SPEW_Pig_iron_production!$S:$S,SPEW_Pig_iron_production!$B:$B,$C25)</f>
        <v>257</v>
      </c>
      <c r="AS25" s="7">
        <f t="shared" si="32"/>
        <v>242.79999999999995</v>
      </c>
      <c r="AT25" s="7">
        <f t="shared" si="33"/>
        <v>228.59999999999997</v>
      </c>
      <c r="AU25" s="7">
        <f t="shared" si="34"/>
        <v>214.39999999999998</v>
      </c>
      <c r="AV25" s="7">
        <f t="shared" si="35"/>
        <v>200.2</v>
      </c>
      <c r="AW25" s="46">
        <f>SUMIFS(SPEW_Pig_iron_production!$T:$T,SPEW_Pig_iron_production!$B:$B,$C25)</f>
        <v>186</v>
      </c>
      <c r="AX25" s="7">
        <f t="shared" si="36"/>
        <v>234.20000000000005</v>
      </c>
      <c r="AY25" s="7">
        <f t="shared" si="37"/>
        <v>282.40000000000003</v>
      </c>
      <c r="AZ25" s="7">
        <f t="shared" si="38"/>
        <v>330.6</v>
      </c>
      <c r="BA25" s="7">
        <f t="shared" si="39"/>
        <v>378.8</v>
      </c>
      <c r="BB25" s="46">
        <f>SUMIFS(SPEW_Pig_iron_production!$U:$U,SPEW_Pig_iron_production!$B:$B,$C25)</f>
        <v>427</v>
      </c>
      <c r="BC25" s="7">
        <f t="shared" si="40"/>
        <v>350.4</v>
      </c>
      <c r="BD25" s="7">
        <f t="shared" si="41"/>
        <v>273.79999999999995</v>
      </c>
      <c r="BE25" s="7">
        <f t="shared" si="42"/>
        <v>197.2</v>
      </c>
      <c r="BF25" s="7">
        <f t="shared" si="43"/>
        <v>120.6</v>
      </c>
      <c r="BG25" s="46">
        <f>SUMIFS(SPEW_Pig_iron_production!$V:$V,SPEW_Pig_iron_production!$B:$B,$C25)</f>
        <v>44</v>
      </c>
      <c r="BH25" s="7">
        <f t="shared" si="44"/>
        <v>128.20000000000005</v>
      </c>
      <c r="BI25" s="7">
        <f t="shared" si="45"/>
        <v>212.40000000000003</v>
      </c>
      <c r="BJ25" s="7">
        <f t="shared" si="46"/>
        <v>296.60000000000002</v>
      </c>
      <c r="BK25" s="7">
        <f t="shared" si="47"/>
        <v>380.8</v>
      </c>
      <c r="BL25" s="46">
        <f>SUMIFS(SPEW_Pig_iron_production!$W:$W,SPEW_Pig_iron_production!$B:$B,$C25)</f>
        <v>465</v>
      </c>
      <c r="BM25" s="7">
        <f t="shared" si="48"/>
        <v>548.59999999999991</v>
      </c>
      <c r="BN25" s="7">
        <f t="shared" si="49"/>
        <v>632.19999999999993</v>
      </c>
      <c r="BO25" s="7">
        <f t="shared" si="50"/>
        <v>715.8</v>
      </c>
      <c r="BP25" s="7">
        <f t="shared" si="51"/>
        <v>799.4</v>
      </c>
      <c r="BQ25" s="46">
        <f>SUMIFS(SPEW_Pig_iron_production!$X:$X,SPEW_Pig_iron_production!$B:$B,$C25)</f>
        <v>883</v>
      </c>
      <c r="BR25" s="7">
        <f t="shared" si="52"/>
        <v>958.19999999999982</v>
      </c>
      <c r="BS25" s="7">
        <f t="shared" si="53"/>
        <v>1033.3999999999999</v>
      </c>
      <c r="BT25" s="7">
        <f t="shared" si="54"/>
        <v>1108.5999999999999</v>
      </c>
      <c r="BU25" s="7">
        <f t="shared" si="55"/>
        <v>1183.8</v>
      </c>
      <c r="BV25" s="46">
        <f>SUMIFS(SPEW_Pig_iron_production!$Y:$Y,SPEW_Pig_iron_production!$B:$B,$C25)</f>
        <v>1259</v>
      </c>
      <c r="BW25" s="7">
        <f t="shared" si="56"/>
        <v>1324</v>
      </c>
      <c r="BX25" s="7">
        <f t="shared" si="57"/>
        <v>1389</v>
      </c>
      <c r="BY25" s="7">
        <f t="shared" si="58"/>
        <v>1454</v>
      </c>
      <c r="BZ25" s="7">
        <f t="shared" si="59"/>
        <v>1519</v>
      </c>
      <c r="CA25" s="46">
        <f>SUMIFS(SPEW_Pig_iron_production!$Z:$Z,SPEW_Pig_iron_production!$B:$B,$C25)</f>
        <v>1584</v>
      </c>
      <c r="CB25" s="7">
        <f t="shared" si="60"/>
        <v>1634.1999999999998</v>
      </c>
      <c r="CC25" s="7">
        <f t="shared" si="61"/>
        <v>1684.3999999999999</v>
      </c>
      <c r="CD25" s="7">
        <f t="shared" si="62"/>
        <v>1734.6</v>
      </c>
      <c r="CE25" s="7">
        <f t="shared" si="63"/>
        <v>1784.8</v>
      </c>
      <c r="CF25" s="46">
        <f>SUMIFS(SPEW_Pig_iron_production!$AA:$AA,SPEW_Pig_iron_production!$B:$B,$C25)</f>
        <v>1835</v>
      </c>
      <c r="CG25" s="7">
        <f t="shared" si="64"/>
        <v>1913.7999999999997</v>
      </c>
      <c r="CH25" s="7">
        <f t="shared" si="65"/>
        <v>1992.5999999999997</v>
      </c>
      <c r="CI25" s="7">
        <f t="shared" si="66"/>
        <v>2071.3999999999996</v>
      </c>
      <c r="CJ25" s="7">
        <f t="shared" si="67"/>
        <v>2150.1999999999998</v>
      </c>
      <c r="CK25" s="46">
        <f>SUMIFS(SPEW_Pig_iron_production!$AB:$AB,SPEW_Pig_iron_production!$B:$B,$C25)</f>
        <v>2229</v>
      </c>
      <c r="CL25" s="7">
        <f t="shared" si="68"/>
        <v>2226</v>
      </c>
      <c r="CM25" s="7">
        <f t="shared" si="69"/>
        <v>2223</v>
      </c>
      <c r="CN25" s="7">
        <f t="shared" si="70"/>
        <v>2220</v>
      </c>
      <c r="CO25" s="7">
        <f t="shared" si="71"/>
        <v>2217</v>
      </c>
      <c r="CP25" s="2">
        <f>[1]Data!B25</f>
        <v>2214</v>
      </c>
      <c r="CQ25" s="2">
        <f>[1]Data!C25</f>
        <v>2212</v>
      </c>
      <c r="CR25" s="2">
        <f>[1]Data!D25</f>
        <v>2198</v>
      </c>
      <c r="CS25" s="2">
        <f>[1]Data!E25</f>
        <v>2047</v>
      </c>
      <c r="CT25" s="2">
        <f>[1]Data!F25</f>
        <v>2098</v>
      </c>
      <c r="CU25" s="2">
        <f>[1]Data!G25</f>
        <v>2100</v>
      </c>
      <c r="CV25" s="2">
        <f>[1]Data!H25</f>
        <v>2061</v>
      </c>
      <c r="CW25" s="2">
        <f>[1]Data!I25</f>
        <v>2109</v>
      </c>
      <c r="CX25" s="2">
        <f>[1]Data!J25</f>
        <v>2093</v>
      </c>
      <c r="CY25" s="2">
        <f>[1]Data!K25</f>
        <v>1957</v>
      </c>
      <c r="CZ25" s="2">
        <f>[1]Data!L25</f>
        <v>1711</v>
      </c>
      <c r="DA25" s="2">
        <f>[1]Data!M25</f>
        <v>1311</v>
      </c>
      <c r="DB25" s="2">
        <f>[1]Data!N25</f>
        <v>1176</v>
      </c>
      <c r="DC25" s="2">
        <f>[1]Data!O25</f>
        <v>1407</v>
      </c>
      <c r="DD25" s="2">
        <f>[1]Data!P25</f>
        <v>1595</v>
      </c>
      <c r="DE25" s="2">
        <f>[1]Data!Q25</f>
        <v>1515</v>
      </c>
      <c r="DF25" s="2">
        <f>[1]Data!R25</f>
        <v>1496</v>
      </c>
      <c r="DG25" s="2">
        <f>[1]Data!S25</f>
        <v>1140</v>
      </c>
      <c r="DH25" s="2">
        <f>[1]Data!T25</f>
        <v>1259</v>
      </c>
      <c r="DI25" s="2">
        <f>[1]Data!U25</f>
        <v>1310</v>
      </c>
      <c r="DJ25" s="2">
        <f>[1]Data!V25</f>
        <v>1340</v>
      </c>
      <c r="DK25" s="2">
        <f>[1]Data!W25</f>
        <v>1226</v>
      </c>
      <c r="DL25" s="2">
        <f>[1]Data!X25</f>
        <v>1335</v>
      </c>
      <c r="DM25" s="2">
        <f>[1]Data!Y25</f>
        <v>1333</v>
      </c>
      <c r="DN25" s="2">
        <f>[1]Data!Z25</f>
        <v>1351</v>
      </c>
      <c r="DO25" s="2">
        <f>[1]Data!AA25</f>
        <v>1338</v>
      </c>
      <c r="DP25" s="2">
        <f>[1]Data!AB25</f>
        <v>1340</v>
      </c>
      <c r="DQ25" s="2">
        <f>[1]Data!AC25</f>
        <v>1393</v>
      </c>
      <c r="DR25" s="2">
        <f>[1]Data!AD25</f>
        <v>1289</v>
      </c>
      <c r="DS25" s="2">
        <f>[1]Data!AE25</f>
        <v>1050</v>
      </c>
      <c r="DT25" s="2">
        <f>[1]Data!AF25</f>
        <v>1325</v>
      </c>
      <c r="DU25" s="2">
        <f>[1]Data!AG25</f>
        <v>1317</v>
      </c>
      <c r="DV25" s="2">
        <f>[1]Data!AH25</f>
        <v>1229</v>
      </c>
      <c r="DW25" s="2">
        <f>[1]Data!AI25</f>
        <v>628</v>
      </c>
      <c r="DX25" s="2">
        <v>801</v>
      </c>
      <c r="DY25" s="2">
        <f>[4]Data!AK25</f>
        <v>1247</v>
      </c>
      <c r="DZ25" s="2">
        <f>[4]Data!AL25</f>
        <v>864</v>
      </c>
      <c r="EA25" s="2">
        <f>[4]Data!AM25</f>
        <v>1311</v>
      </c>
    </row>
    <row r="26" spans="1:131" ht="16" x14ac:dyDescent="0.2">
      <c r="A26" t="s">
        <v>24</v>
      </c>
      <c r="B26" s="15" t="s">
        <v>288</v>
      </c>
      <c r="C26" s="9" t="s">
        <v>105</v>
      </c>
      <c r="D26" s="46">
        <v>0</v>
      </c>
      <c r="E26" s="7">
        <f t="shared" si="0"/>
        <v>0</v>
      </c>
      <c r="F26" s="7">
        <f t="shared" si="1"/>
        <v>0</v>
      </c>
      <c r="G26" s="7">
        <f t="shared" si="2"/>
        <v>0</v>
      </c>
      <c r="H26" s="7">
        <f t="shared" si="3"/>
        <v>0</v>
      </c>
      <c r="I26" s="46">
        <v>0</v>
      </c>
      <c r="J26" s="7">
        <f t="shared" si="4"/>
        <v>0</v>
      </c>
      <c r="K26" s="7">
        <f t="shared" si="5"/>
        <v>0</v>
      </c>
      <c r="L26" s="7">
        <f t="shared" si="6"/>
        <v>0</v>
      </c>
      <c r="M26" s="7">
        <f t="shared" si="7"/>
        <v>0</v>
      </c>
      <c r="N26" s="46">
        <v>0</v>
      </c>
      <c r="O26" s="7">
        <f t="shared" si="8"/>
        <v>0</v>
      </c>
      <c r="P26" s="7">
        <f t="shared" si="9"/>
        <v>0</v>
      </c>
      <c r="Q26" s="7">
        <f t="shared" si="10"/>
        <v>0</v>
      </c>
      <c r="R26" s="7">
        <f t="shared" si="11"/>
        <v>0</v>
      </c>
      <c r="S26" s="46">
        <v>0</v>
      </c>
      <c r="T26" s="7">
        <f t="shared" si="12"/>
        <v>0</v>
      </c>
      <c r="U26" s="7">
        <f t="shared" si="13"/>
        <v>0</v>
      </c>
      <c r="V26" s="7">
        <f t="shared" si="14"/>
        <v>0</v>
      </c>
      <c r="W26" s="7">
        <f t="shared" si="15"/>
        <v>0</v>
      </c>
      <c r="X26" s="46">
        <v>0</v>
      </c>
      <c r="Y26" s="7">
        <f t="shared" si="16"/>
        <v>0</v>
      </c>
      <c r="Z26" s="7">
        <f t="shared" si="17"/>
        <v>0</v>
      </c>
      <c r="AA26" s="7">
        <f t="shared" si="18"/>
        <v>0</v>
      </c>
      <c r="AB26" s="7">
        <f t="shared" si="19"/>
        <v>0</v>
      </c>
      <c r="AC26" s="46">
        <f>Hyde_iron!D44</f>
        <v>0</v>
      </c>
      <c r="AD26" s="7">
        <f t="shared" si="20"/>
        <v>63.399999999999984</v>
      </c>
      <c r="AE26" s="7">
        <f t="shared" si="21"/>
        <v>126.79999999999998</v>
      </c>
      <c r="AF26" s="7">
        <f t="shared" si="22"/>
        <v>190.2</v>
      </c>
      <c r="AG26" s="7">
        <f t="shared" si="23"/>
        <v>253.6</v>
      </c>
      <c r="AH26" s="46">
        <f>Hyde_iron!I44</f>
        <v>317</v>
      </c>
      <c r="AI26" s="7">
        <f t="shared" si="24"/>
        <v>434</v>
      </c>
      <c r="AJ26" s="7">
        <f t="shared" si="25"/>
        <v>551</v>
      </c>
      <c r="AK26" s="7">
        <f t="shared" si="26"/>
        <v>668</v>
      </c>
      <c r="AL26" s="7">
        <f t="shared" si="27"/>
        <v>785</v>
      </c>
      <c r="AM26" s="46">
        <f>SUMIFS(SPEW_Pig_iron_production!$R:$R,SPEW_Pig_iron_production!$B:$B,$C26)</f>
        <v>902</v>
      </c>
      <c r="AN26" s="7">
        <f t="shared" si="28"/>
        <v>961.39999999999986</v>
      </c>
      <c r="AO26" s="7">
        <f t="shared" si="29"/>
        <v>1020.7999999999998</v>
      </c>
      <c r="AP26" s="7">
        <f t="shared" si="30"/>
        <v>1080.1999999999998</v>
      </c>
      <c r="AQ26" s="7">
        <f t="shared" si="31"/>
        <v>1139.5999999999999</v>
      </c>
      <c r="AR26" s="46">
        <f>SUMIFS(SPEW_Pig_iron_production!$S:$S,SPEW_Pig_iron_production!$B:$B,$C26)</f>
        <v>1199</v>
      </c>
      <c r="AS26" s="7">
        <f t="shared" si="32"/>
        <v>1257.1999999999998</v>
      </c>
      <c r="AT26" s="7">
        <f t="shared" si="33"/>
        <v>1315.3999999999999</v>
      </c>
      <c r="AU26" s="7">
        <f t="shared" si="34"/>
        <v>1373.6</v>
      </c>
      <c r="AV26" s="7">
        <f t="shared" si="35"/>
        <v>1431.8</v>
      </c>
      <c r="AW26" s="46">
        <f>SUMIFS(SPEW_Pig_iron_production!$T:$T,SPEW_Pig_iron_production!$B:$B,$C26)</f>
        <v>1490</v>
      </c>
      <c r="AX26" s="7">
        <f t="shared" si="36"/>
        <v>1600.8000000000002</v>
      </c>
      <c r="AY26" s="7">
        <f t="shared" si="37"/>
        <v>1711.6000000000001</v>
      </c>
      <c r="AZ26" s="7">
        <f t="shared" si="38"/>
        <v>1822.4</v>
      </c>
      <c r="BA26" s="7">
        <f t="shared" si="39"/>
        <v>1933.2</v>
      </c>
      <c r="BB26" s="46">
        <f>SUMIFS(SPEW_Pig_iron_production!$U:$U,SPEW_Pig_iron_production!$B:$B,$C26)</f>
        <v>2044</v>
      </c>
      <c r="BC26" s="7">
        <f t="shared" si="40"/>
        <v>1920.8000000000002</v>
      </c>
      <c r="BD26" s="7">
        <f t="shared" si="41"/>
        <v>1797.6000000000001</v>
      </c>
      <c r="BE26" s="7">
        <f t="shared" si="42"/>
        <v>1674.4</v>
      </c>
      <c r="BF26" s="7">
        <f t="shared" si="43"/>
        <v>1551.2</v>
      </c>
      <c r="BG26" s="46">
        <f>SUMIFS(SPEW_Pig_iron_production!$V:$V,SPEW_Pig_iron_production!$B:$B,$C26)</f>
        <v>1428</v>
      </c>
      <c r="BH26" s="7">
        <f t="shared" si="44"/>
        <v>1484</v>
      </c>
      <c r="BI26" s="7">
        <f t="shared" si="45"/>
        <v>1540</v>
      </c>
      <c r="BJ26" s="7">
        <f t="shared" si="46"/>
        <v>1596</v>
      </c>
      <c r="BK26" s="7">
        <f t="shared" si="47"/>
        <v>1652</v>
      </c>
      <c r="BL26" s="46">
        <f>SUMIFS(SPEW_Pig_iron_production!$W:$W,SPEW_Pig_iron_production!$B:$B,$C26)</f>
        <v>1708</v>
      </c>
      <c r="BM26" s="7">
        <f t="shared" si="48"/>
        <v>1751.3999999999996</v>
      </c>
      <c r="BN26" s="7">
        <f t="shared" si="49"/>
        <v>1794.7999999999997</v>
      </c>
      <c r="BO26" s="7">
        <f t="shared" si="50"/>
        <v>1838.1999999999998</v>
      </c>
      <c r="BP26" s="7">
        <f t="shared" si="51"/>
        <v>1881.6</v>
      </c>
      <c r="BQ26" s="46">
        <f>SUMIFS(SPEW_Pig_iron_production!$X:$X,SPEW_Pig_iron_production!$B:$B,$C26)</f>
        <v>1925</v>
      </c>
      <c r="BR26" s="7">
        <f t="shared" si="52"/>
        <v>2395</v>
      </c>
      <c r="BS26" s="7">
        <f t="shared" si="53"/>
        <v>2865</v>
      </c>
      <c r="BT26" s="7">
        <f t="shared" si="54"/>
        <v>3335</v>
      </c>
      <c r="BU26" s="7">
        <f t="shared" si="55"/>
        <v>3805</v>
      </c>
      <c r="BV26" s="46">
        <f>SUMIFS(SPEW_Pig_iron_production!$Y:$Y,SPEW_Pig_iron_production!$B:$B,$C26)</f>
        <v>4275</v>
      </c>
      <c r="BW26" s="7">
        <f t="shared" si="56"/>
        <v>4844.7999999999993</v>
      </c>
      <c r="BX26" s="7">
        <f t="shared" si="57"/>
        <v>5414.5999999999995</v>
      </c>
      <c r="BY26" s="7">
        <f t="shared" si="58"/>
        <v>5984.4</v>
      </c>
      <c r="BZ26" s="7">
        <f t="shared" si="59"/>
        <v>6554.2</v>
      </c>
      <c r="CA26" s="46">
        <f>SUMIFS(SPEW_Pig_iron_production!$Z:$Z,SPEW_Pig_iron_production!$B:$B,$C26)</f>
        <v>7124</v>
      </c>
      <c r="CB26" s="7">
        <f t="shared" si="60"/>
        <v>7122.7999999999993</v>
      </c>
      <c r="CC26" s="7">
        <f t="shared" si="61"/>
        <v>7121.5999999999995</v>
      </c>
      <c r="CD26" s="7">
        <f t="shared" si="62"/>
        <v>7120.4</v>
      </c>
      <c r="CE26" s="7">
        <f t="shared" si="63"/>
        <v>7119.2</v>
      </c>
      <c r="CF26" s="46">
        <f>SUMIFS(SPEW_Pig_iron_production!$AA:$AA,SPEW_Pig_iron_production!$B:$B,$C26)</f>
        <v>7118</v>
      </c>
      <c r="CG26" s="7">
        <f t="shared" si="64"/>
        <v>7406</v>
      </c>
      <c r="CH26" s="7">
        <f t="shared" si="65"/>
        <v>7694</v>
      </c>
      <c r="CI26" s="7">
        <f t="shared" si="66"/>
        <v>7982</v>
      </c>
      <c r="CJ26" s="7">
        <f t="shared" si="67"/>
        <v>8270</v>
      </c>
      <c r="CK26" s="46">
        <f>SUMIFS(SPEW_Pig_iron_production!$AB:$AB,SPEW_Pig_iron_production!$B:$B,$C26)</f>
        <v>8558</v>
      </c>
      <c r="CL26" s="7">
        <f t="shared" si="68"/>
        <v>8542.4000000000015</v>
      </c>
      <c r="CM26" s="7">
        <f t="shared" si="69"/>
        <v>8526.8000000000011</v>
      </c>
      <c r="CN26" s="7">
        <f t="shared" si="70"/>
        <v>8511.2000000000007</v>
      </c>
      <c r="CO26" s="7">
        <f t="shared" si="71"/>
        <v>8495.6</v>
      </c>
      <c r="CP26" s="2">
        <f>[1]Data!B26</f>
        <v>8480</v>
      </c>
      <c r="CQ26" s="2">
        <f>[1]Data!C26</f>
        <v>9465</v>
      </c>
      <c r="CR26" s="2">
        <f>[1]Data!D26</f>
        <v>9613</v>
      </c>
      <c r="CS26" s="2">
        <f>[1]Data!E26</f>
        <v>9087</v>
      </c>
      <c r="CT26" s="2">
        <f>[1]Data!F26</f>
        <v>9382</v>
      </c>
      <c r="CU26" s="2">
        <f>[1]Data!G26</f>
        <v>9701</v>
      </c>
      <c r="CV26" s="2">
        <f>[1]Data!H26</f>
        <v>10460</v>
      </c>
      <c r="CW26" s="2">
        <f>[1]Data!I26</f>
        <v>10808</v>
      </c>
      <c r="CX26" s="2">
        <f>[1]Data!J26</f>
        <v>11602</v>
      </c>
      <c r="CY26" s="2">
        <f>[1]Data!K26</f>
        <v>11930</v>
      </c>
      <c r="CZ26" s="2">
        <f>[1]Data!L26</f>
        <v>12000</v>
      </c>
      <c r="DA26" s="2">
        <f>[1]Data!M26</f>
        <v>14176</v>
      </c>
      <c r="DB26" s="2">
        <f>[1]Data!N26</f>
        <v>15126</v>
      </c>
      <c r="DC26" s="2">
        <f>[1]Data!O26</f>
        <v>15674</v>
      </c>
      <c r="DD26" s="2">
        <f>[1]Data!P26</f>
        <v>17808</v>
      </c>
      <c r="DE26" s="2">
        <f>[1]Data!Q26</f>
        <v>19025</v>
      </c>
      <c r="DF26" s="2">
        <f>[1]Data!R26</f>
        <v>20453</v>
      </c>
      <c r="DG26" s="2">
        <f>[1]Data!S26</f>
        <v>21096</v>
      </c>
      <c r="DH26" s="2">
        <f>[1]Data!T26</f>
        <v>20194</v>
      </c>
      <c r="DI26" s="2">
        <f>[1]Data!U26</f>
        <v>20139</v>
      </c>
      <c r="DJ26" s="2">
        <f>[1]Data!V26</f>
        <v>21321</v>
      </c>
      <c r="DK26" s="2">
        <f>[1]Data!W26</f>
        <v>21875</v>
      </c>
      <c r="DL26" s="2">
        <f>[1]Data!X26</f>
        <v>24315</v>
      </c>
      <c r="DM26" s="2">
        <f>[1]Data!Y26</f>
        <v>26550</v>
      </c>
      <c r="DN26" s="2">
        <f>[1]Data!Z26</f>
        <v>25117</v>
      </c>
      <c r="DO26" s="2">
        <f>[1]Data!AA26</f>
        <v>27125</v>
      </c>
      <c r="DP26" s="2">
        <f>[1]Data!AB26</f>
        <v>28256</v>
      </c>
      <c r="DQ26" s="2">
        <f>[1]Data!AC26</f>
        <v>36488</v>
      </c>
      <c r="DR26" s="2">
        <f>[1]Data!AD26</f>
        <v>37313</v>
      </c>
      <c r="DS26" s="2">
        <f>[1]Data!AE26</f>
        <v>38233</v>
      </c>
      <c r="DT26" s="2">
        <f>[1]Data!AF26</f>
        <v>39560</v>
      </c>
      <c r="DU26" s="2">
        <f>[1]Data!AG26</f>
        <v>43624</v>
      </c>
      <c r="DV26" s="2">
        <f>[1]Data!AH26</f>
        <v>47987</v>
      </c>
      <c r="DW26" s="2">
        <f>[1]Data!AI26</f>
        <v>51359</v>
      </c>
      <c r="DX26" s="2">
        <v>55166</v>
      </c>
      <c r="DY26" s="2">
        <f>[4]Data!AK26</f>
        <v>58394</v>
      </c>
      <c r="DZ26" s="2">
        <f>[4]Data!AL26</f>
        <v>63714</v>
      </c>
      <c r="EA26" s="2">
        <f>[4]Data!AM26</f>
        <v>66808</v>
      </c>
    </row>
    <row r="27" spans="1:131" ht="16" x14ac:dyDescent="0.2">
      <c r="A27" t="s">
        <v>25</v>
      </c>
      <c r="C27" s="9" t="s">
        <v>77</v>
      </c>
      <c r="D27" s="46"/>
      <c r="E27" s="7">
        <f t="shared" si="0"/>
        <v>0</v>
      </c>
      <c r="F27" s="7">
        <f t="shared" si="1"/>
        <v>0</v>
      </c>
      <c r="G27" s="7">
        <f t="shared" si="2"/>
        <v>0</v>
      </c>
      <c r="H27" s="7">
        <f t="shared" si="3"/>
        <v>0</v>
      </c>
      <c r="I27" s="46"/>
      <c r="J27" s="7">
        <f t="shared" si="4"/>
        <v>0</v>
      </c>
      <c r="K27" s="7">
        <f t="shared" si="5"/>
        <v>0</v>
      </c>
      <c r="L27" s="7">
        <f t="shared" si="6"/>
        <v>0</v>
      </c>
      <c r="M27" s="7">
        <f t="shared" si="7"/>
        <v>0</v>
      </c>
      <c r="N27" s="46"/>
      <c r="O27" s="7">
        <f t="shared" si="8"/>
        <v>0</v>
      </c>
      <c r="P27" s="7">
        <f t="shared" si="9"/>
        <v>0</v>
      </c>
      <c r="Q27" s="7">
        <f t="shared" si="10"/>
        <v>0</v>
      </c>
      <c r="R27" s="7">
        <f t="shared" si="11"/>
        <v>0</v>
      </c>
      <c r="S27" s="46"/>
      <c r="T27" s="7">
        <f t="shared" si="12"/>
        <v>0</v>
      </c>
      <c r="U27" s="7">
        <f t="shared" si="13"/>
        <v>0</v>
      </c>
      <c r="V27" s="7">
        <f t="shared" si="14"/>
        <v>0</v>
      </c>
      <c r="W27" s="7">
        <f t="shared" si="15"/>
        <v>0</v>
      </c>
      <c r="X27" s="46"/>
      <c r="Y27" s="7">
        <f t="shared" si="16"/>
        <v>0</v>
      </c>
      <c r="Z27" s="7">
        <f t="shared" si="17"/>
        <v>0</v>
      </c>
      <c r="AA27" s="7">
        <f t="shared" si="18"/>
        <v>0</v>
      </c>
      <c r="AB27" s="7">
        <f t="shared" si="19"/>
        <v>0</v>
      </c>
      <c r="AC27" s="46"/>
      <c r="AD27" s="7">
        <f t="shared" si="20"/>
        <v>0</v>
      </c>
      <c r="AE27" s="7">
        <f t="shared" si="21"/>
        <v>0</v>
      </c>
      <c r="AF27" s="7">
        <f t="shared" si="22"/>
        <v>0</v>
      </c>
      <c r="AG27" s="7">
        <f t="shared" si="23"/>
        <v>0</v>
      </c>
      <c r="AH27" s="46"/>
      <c r="AI27" s="7">
        <f t="shared" si="24"/>
        <v>0</v>
      </c>
      <c r="AJ27" s="7">
        <f t="shared" si="25"/>
        <v>0</v>
      </c>
      <c r="AK27" s="7">
        <f t="shared" si="26"/>
        <v>0</v>
      </c>
      <c r="AL27" s="7">
        <f t="shared" si="27"/>
        <v>0</v>
      </c>
      <c r="AM27" s="46">
        <f>SUMIFS(SPEW_Pig_iron_production!$R:$R,SPEW_Pig_iron_production!$B:$B,$C27)</f>
        <v>0</v>
      </c>
      <c r="AN27" s="7">
        <f t="shared" si="28"/>
        <v>0</v>
      </c>
      <c r="AO27" s="7">
        <f t="shared" si="29"/>
        <v>0</v>
      </c>
      <c r="AP27" s="7">
        <f t="shared" si="30"/>
        <v>0</v>
      </c>
      <c r="AQ27" s="7">
        <f t="shared" si="31"/>
        <v>0</v>
      </c>
      <c r="AR27" s="46">
        <f>SUMIFS(SPEW_Pig_iron_production!$S:$S,SPEW_Pig_iron_production!$B:$B,$C27)</f>
        <v>0</v>
      </c>
      <c r="AS27" s="7">
        <f t="shared" si="32"/>
        <v>0</v>
      </c>
      <c r="AT27" s="7">
        <f t="shared" si="33"/>
        <v>0</v>
      </c>
      <c r="AU27" s="7">
        <f t="shared" si="34"/>
        <v>0</v>
      </c>
      <c r="AV27" s="7">
        <f t="shared" si="35"/>
        <v>0</v>
      </c>
      <c r="AW27" s="46">
        <f>SUMIFS(SPEW_Pig_iron_production!$T:$T,SPEW_Pig_iron_production!$B:$B,$C27)</f>
        <v>0</v>
      </c>
      <c r="AX27" s="7">
        <f t="shared" si="36"/>
        <v>0</v>
      </c>
      <c r="AY27" s="7">
        <f t="shared" si="37"/>
        <v>0</v>
      </c>
      <c r="AZ27" s="7">
        <f t="shared" si="38"/>
        <v>0</v>
      </c>
      <c r="BA27" s="7">
        <f t="shared" si="39"/>
        <v>0</v>
      </c>
      <c r="BB27" s="46">
        <f>SUMIFS(SPEW_Pig_iron_production!$U:$U,SPEW_Pig_iron_production!$B:$B,$C27)</f>
        <v>0</v>
      </c>
      <c r="BC27" s="7">
        <f t="shared" si="40"/>
        <v>0</v>
      </c>
      <c r="BD27" s="7">
        <f t="shared" si="41"/>
        <v>0</v>
      </c>
      <c r="BE27" s="7">
        <f t="shared" si="42"/>
        <v>0</v>
      </c>
      <c r="BF27" s="7">
        <f t="shared" si="43"/>
        <v>0</v>
      </c>
      <c r="BG27" s="46">
        <f>SUMIFS(SPEW_Pig_iron_production!$V:$V,SPEW_Pig_iron_production!$B:$B,$C27)</f>
        <v>0</v>
      </c>
      <c r="BH27" s="7">
        <f t="shared" si="44"/>
        <v>0</v>
      </c>
      <c r="BI27" s="7">
        <f t="shared" si="45"/>
        <v>0</v>
      </c>
      <c r="BJ27" s="7">
        <f t="shared" si="46"/>
        <v>0</v>
      </c>
      <c r="BK27" s="7">
        <f t="shared" si="47"/>
        <v>0</v>
      </c>
      <c r="BL27" s="46">
        <f>SUMIFS(SPEW_Pig_iron_production!$W:$W,SPEW_Pig_iron_production!$B:$B,$C27)</f>
        <v>0</v>
      </c>
      <c r="BM27" s="7">
        <f t="shared" si="48"/>
        <v>0</v>
      </c>
      <c r="BN27" s="7">
        <f t="shared" si="49"/>
        <v>0</v>
      </c>
      <c r="BO27" s="7">
        <f t="shared" si="50"/>
        <v>0</v>
      </c>
      <c r="BP27" s="7">
        <f t="shared" si="51"/>
        <v>0</v>
      </c>
      <c r="BQ27" s="46">
        <f>SUMIFS(SPEW_Pig_iron_production!$X:$X,SPEW_Pig_iron_production!$B:$B,$C27)</f>
        <v>0</v>
      </c>
      <c r="BR27" s="7">
        <f t="shared" si="52"/>
        <v>0</v>
      </c>
      <c r="BS27" s="7">
        <f t="shared" si="53"/>
        <v>0</v>
      </c>
      <c r="BT27" s="7">
        <f t="shared" si="54"/>
        <v>0</v>
      </c>
      <c r="BU27" s="7">
        <f t="shared" si="55"/>
        <v>0</v>
      </c>
      <c r="BV27" s="46">
        <f>SUMIFS(SPEW_Pig_iron_production!$Y:$Y,SPEW_Pig_iron_production!$B:$B,$C27)</f>
        <v>0</v>
      </c>
      <c r="BW27" s="7">
        <f t="shared" si="56"/>
        <v>0</v>
      </c>
      <c r="BX27" s="7">
        <f t="shared" si="57"/>
        <v>0</v>
      </c>
      <c r="BY27" s="7">
        <f t="shared" si="58"/>
        <v>0</v>
      </c>
      <c r="BZ27" s="7">
        <f t="shared" si="59"/>
        <v>0</v>
      </c>
      <c r="CA27" s="46">
        <f>SUMIFS(SPEW_Pig_iron_production!$Z:$Z,SPEW_Pig_iron_production!$B:$B,$C27)</f>
        <v>0</v>
      </c>
      <c r="CB27" s="7">
        <f t="shared" si="60"/>
        <v>0</v>
      </c>
      <c r="CC27" s="7">
        <f t="shared" si="61"/>
        <v>0</v>
      </c>
      <c r="CD27" s="7">
        <f t="shared" si="62"/>
        <v>0</v>
      </c>
      <c r="CE27" s="7">
        <f t="shared" si="63"/>
        <v>0</v>
      </c>
      <c r="CF27" s="46">
        <f>SUMIFS(SPEW_Pig_iron_production!$AA:$AA,SPEW_Pig_iron_production!$B:$B,$C27)</f>
        <v>0</v>
      </c>
      <c r="CG27" s="7">
        <f t="shared" si="64"/>
        <v>200</v>
      </c>
      <c r="CH27" s="7">
        <f t="shared" si="65"/>
        <v>400</v>
      </c>
      <c r="CI27" s="7">
        <f t="shared" si="66"/>
        <v>600</v>
      </c>
      <c r="CJ27" s="7">
        <f t="shared" si="67"/>
        <v>800</v>
      </c>
      <c r="CK27" s="46">
        <f>SUMIFS(SPEW_Pig_iron_production!$AB:$AB,SPEW_Pig_iron_production!$B:$B,$C27)</f>
        <v>1000</v>
      </c>
      <c r="CL27" s="7">
        <f t="shared" si="68"/>
        <v>960</v>
      </c>
      <c r="CM27" s="7">
        <f t="shared" si="69"/>
        <v>920</v>
      </c>
      <c r="CN27" s="7">
        <f t="shared" si="70"/>
        <v>880</v>
      </c>
      <c r="CO27" s="7">
        <f t="shared" si="71"/>
        <v>840</v>
      </c>
      <c r="CP27" s="2">
        <f>[1]Data!B27</f>
        <v>800</v>
      </c>
      <c r="CQ27" s="2">
        <f>[1]Data!C27</f>
        <v>500</v>
      </c>
      <c r="CR27" s="2">
        <f>[1]Data!D27</f>
        <v>675</v>
      </c>
      <c r="CS27" s="2">
        <f>[1]Data!E27</f>
        <v>838</v>
      </c>
      <c r="CT27" s="2">
        <f>[1]Data!F27</f>
        <v>1208</v>
      </c>
      <c r="CU27" s="2">
        <f>[1]Data!G27</f>
        <v>1122</v>
      </c>
      <c r="CV27" s="2">
        <f>[1]Data!H27</f>
        <v>850</v>
      </c>
      <c r="CW27" s="2">
        <f>[1]Data!I27</f>
        <v>976</v>
      </c>
      <c r="CX27" s="2">
        <f>[1]Data!J27</f>
        <v>1012</v>
      </c>
      <c r="CY27" s="2">
        <f>[1]Data!K27</f>
        <v>1100</v>
      </c>
      <c r="CZ27" s="2">
        <f>[1]Data!L27</f>
        <v>1267</v>
      </c>
      <c r="DA27" s="2">
        <f>[1]Data!M27</f>
        <v>1952</v>
      </c>
      <c r="DB27" s="2">
        <f>[1]Data!N27</f>
        <v>2053</v>
      </c>
      <c r="DC27" s="2">
        <f>[1]Data!O27</f>
        <v>1961</v>
      </c>
      <c r="DD27" s="2">
        <f>[1]Data!P27</f>
        <v>1883</v>
      </c>
      <c r="DE27" s="2">
        <f>[1]Data!Q27</f>
        <v>1532</v>
      </c>
      <c r="DF27" s="2">
        <f>[1]Data!R27</f>
        <v>1852</v>
      </c>
      <c r="DG27" s="2">
        <f>[1]Data!S27</f>
        <v>2150</v>
      </c>
      <c r="DH27" s="2">
        <f>[1]Data!T27</f>
        <v>2117</v>
      </c>
      <c r="DI27" s="2">
        <f>[1]Data!U27</f>
        <v>2112</v>
      </c>
      <c r="DJ27" s="2">
        <f>[1]Data!V27</f>
        <v>2202</v>
      </c>
      <c r="DK27" s="2">
        <f>[1]Data!W27</f>
        <v>2183</v>
      </c>
      <c r="DL27" s="2">
        <f>[1]Data!X27</f>
        <v>2182</v>
      </c>
      <c r="DM27" s="2">
        <f>[1]Data!Y27</f>
        <v>2231</v>
      </c>
      <c r="DN27" s="2">
        <f>[1]Data!Z27</f>
        <v>2096</v>
      </c>
      <c r="DO27" s="2">
        <f>[1]Data!AA27</f>
        <v>2305</v>
      </c>
      <c r="DP27" s="2">
        <f>[1]Data!AB27</f>
        <v>2041</v>
      </c>
      <c r="DQ27" s="2">
        <f>[1]Data!AC27</f>
        <v>2118</v>
      </c>
      <c r="DR27" s="2">
        <f>[1]Data!AD27</f>
        <v>2176</v>
      </c>
      <c r="DS27" s="2">
        <f>[1]Data!AE27</f>
        <v>2433</v>
      </c>
      <c r="DT27" s="2">
        <f>[1]Data!AF27</f>
        <v>2540</v>
      </c>
      <c r="DU27" s="2">
        <f>[1]Data!AG27</f>
        <v>2242</v>
      </c>
      <c r="DV27" s="2">
        <f>[1]Data!AH27</f>
        <v>2143</v>
      </c>
      <c r="DW27" s="2">
        <f>[1]Data!AI27</f>
        <v>2007</v>
      </c>
      <c r="DX27" s="2">
        <v>2782</v>
      </c>
      <c r="DY27" s="2">
        <f>[4]Data!AK27</f>
        <v>2459</v>
      </c>
      <c r="DZ27" s="2">
        <f>[4]Data!AL27</f>
        <v>2251</v>
      </c>
      <c r="EA27" s="2">
        <f>[4]Data!AM27</f>
        <v>2293</v>
      </c>
    </row>
    <row r="28" spans="1:131" ht="16" x14ac:dyDescent="0.2">
      <c r="A28" t="s">
        <v>26</v>
      </c>
      <c r="B28" s="15" t="s">
        <v>286</v>
      </c>
      <c r="C28" s="9" t="s">
        <v>106</v>
      </c>
      <c r="D28" s="46">
        <f>SUMIFS(Hyde_iron!$C$34:$C$48,Hyde_iron!$B$34:$B$48,$B28)*I28/SUMIFS(I$3:I$63,$B$3:$B$63,$B28)</f>
        <v>235.78943410415494</v>
      </c>
      <c r="E28" s="7">
        <f t="shared" si="0"/>
        <v>241.91222660901175</v>
      </c>
      <c r="F28" s="7">
        <f t="shared" si="1"/>
        <v>248.03501911386854</v>
      </c>
      <c r="G28" s="7">
        <f t="shared" si="2"/>
        <v>254.15781161872533</v>
      </c>
      <c r="H28" s="7">
        <f t="shared" si="3"/>
        <v>260.28060412358212</v>
      </c>
      <c r="I28" s="46">
        <f>SUMIFS(Hyde_iron!$D$34:$D$48,Hyde_iron!$B$34:$B$48,$B28)*N28/SUMIFS(N$3:N$63,$B$3:$B$63,$B28)</f>
        <v>266.40339662843894</v>
      </c>
      <c r="J28" s="7">
        <f t="shared" si="4"/>
        <v>277.25647678134999</v>
      </c>
      <c r="K28" s="7">
        <f t="shared" si="5"/>
        <v>288.10955693426092</v>
      </c>
      <c r="L28" s="7">
        <f t="shared" si="6"/>
        <v>298.96263708717186</v>
      </c>
      <c r="M28" s="7">
        <f t="shared" si="7"/>
        <v>309.81571724008279</v>
      </c>
      <c r="N28" s="46">
        <f>SUMIFS(Hyde_iron!$E$34:$E$48,Hyde_iron!$B$34:$B$48,$B28)*S28/SUMIFS(S$3:S$63,$B$3:$B$63,$B28)</f>
        <v>320.66879739299372</v>
      </c>
      <c r="O28" s="7">
        <f t="shared" si="8"/>
        <v>338.59012345679025</v>
      </c>
      <c r="P28" s="7">
        <f t="shared" si="9"/>
        <v>356.51144952058667</v>
      </c>
      <c r="Q28" s="7">
        <f t="shared" si="10"/>
        <v>374.43277558438308</v>
      </c>
      <c r="R28" s="7">
        <f t="shared" si="11"/>
        <v>392.35410164817949</v>
      </c>
      <c r="S28" s="46">
        <f>SUMIFS(Hyde_iron!$F$34:$F$48,Hyde_iron!$B$34:$B$48,$B28)*X28/SUMIFS(X$3:X$63,$B$3:$B$63,$B28)</f>
        <v>410.27542771197591</v>
      </c>
      <c r="T28" s="7">
        <f t="shared" si="12"/>
        <v>420.36127091558569</v>
      </c>
      <c r="U28" s="7">
        <f t="shared" si="13"/>
        <v>430.44711411919536</v>
      </c>
      <c r="V28" s="7">
        <f t="shared" si="14"/>
        <v>440.53295732280503</v>
      </c>
      <c r="W28" s="7">
        <f t="shared" si="15"/>
        <v>450.6188005264147</v>
      </c>
      <c r="X28" s="46">
        <f>SUMIFS(Hyde_iron!$G$34:$G$48,Hyde_iron!$B$34:$B$48,$B28)*AC28/SUMIFS(AC$3:AC$63,$B$3:$B$63,$B28)</f>
        <v>460.70464373002437</v>
      </c>
      <c r="Y28" s="7">
        <f t="shared" si="16"/>
        <v>442.0795136930501</v>
      </c>
      <c r="Z28" s="7">
        <f t="shared" si="17"/>
        <v>423.45438365607572</v>
      </c>
      <c r="AA28" s="7">
        <f t="shared" si="18"/>
        <v>404.82925361910134</v>
      </c>
      <c r="AB28" s="7">
        <f t="shared" si="19"/>
        <v>386.20412358212695</v>
      </c>
      <c r="AC28" s="46">
        <f>SUMIFS(Hyde_iron!$H$34:$H$48,Hyde_iron!$B$34:$B$48,$B28)*AH28/SUMIFS(AH$3:AH$63,$B$3:$B$63,$B28)</f>
        <v>367.57899354515257</v>
      </c>
      <c r="AD28" s="7">
        <f t="shared" si="20"/>
        <v>358.47183054458856</v>
      </c>
      <c r="AE28" s="7">
        <f t="shared" si="21"/>
        <v>349.36466754402454</v>
      </c>
      <c r="AF28" s="7">
        <f t="shared" si="22"/>
        <v>340.25750454346053</v>
      </c>
      <c r="AG28" s="7">
        <f t="shared" si="23"/>
        <v>331.15034154289651</v>
      </c>
      <c r="AH28" s="46">
        <f>SUMIFS(Hyde_iron!$I$34:$I$48,Hyde_iron!$B$34:$B$48,$B28)*AM28/SUMIFS(AM$3:AM$63,$B$3:$B$63,$B28)</f>
        <v>322.0431785423325</v>
      </c>
      <c r="AI28" s="7">
        <f t="shared" si="24"/>
        <v>354.034542833866</v>
      </c>
      <c r="AJ28" s="7">
        <f t="shared" si="25"/>
        <v>386.0259071253995</v>
      </c>
      <c r="AK28" s="7">
        <f t="shared" si="26"/>
        <v>418.017271416933</v>
      </c>
      <c r="AL28" s="7">
        <f t="shared" si="27"/>
        <v>450.0086357084665</v>
      </c>
      <c r="AM28" s="46">
        <f>SUMIFS(SPEW_Pig_iron_production!$R:$R,SPEW_Pig_iron_production!$B:$B,$C28)</f>
        <v>482</v>
      </c>
      <c r="AN28" s="7">
        <f t="shared" si="28"/>
        <v>493</v>
      </c>
      <c r="AO28" s="7">
        <f t="shared" si="29"/>
        <v>504</v>
      </c>
      <c r="AP28" s="7">
        <f t="shared" si="30"/>
        <v>515</v>
      </c>
      <c r="AQ28" s="7">
        <f t="shared" si="31"/>
        <v>526</v>
      </c>
      <c r="AR28" s="46">
        <f>SUMIFS(SPEW_Pig_iron_production!$S:$S,SPEW_Pig_iron_production!$B:$B,$C28)</f>
        <v>537</v>
      </c>
      <c r="AS28" s="7">
        <f t="shared" si="32"/>
        <v>556.19999999999982</v>
      </c>
      <c r="AT28" s="7">
        <f t="shared" si="33"/>
        <v>575.39999999999986</v>
      </c>
      <c r="AU28" s="7">
        <f t="shared" si="34"/>
        <v>594.59999999999991</v>
      </c>
      <c r="AV28" s="7">
        <f t="shared" si="35"/>
        <v>613.79999999999995</v>
      </c>
      <c r="AW28" s="46">
        <f>SUMIFS(SPEW_Pig_iron_production!$T:$T,SPEW_Pig_iron_production!$B:$B,$C28)</f>
        <v>633</v>
      </c>
      <c r="AX28" s="7">
        <f t="shared" si="36"/>
        <v>718.80000000000018</v>
      </c>
      <c r="AY28" s="7">
        <f t="shared" si="37"/>
        <v>804.60000000000014</v>
      </c>
      <c r="AZ28" s="7">
        <f t="shared" si="38"/>
        <v>890.40000000000009</v>
      </c>
      <c r="BA28" s="7">
        <f t="shared" si="39"/>
        <v>976.2</v>
      </c>
      <c r="BB28" s="46">
        <f>SUMIFS(SPEW_Pig_iron_production!$U:$U,SPEW_Pig_iron_production!$B:$B,$C28)</f>
        <v>1062</v>
      </c>
      <c r="BC28" s="7">
        <f t="shared" si="40"/>
        <v>862.59999999999991</v>
      </c>
      <c r="BD28" s="7">
        <f t="shared" si="41"/>
        <v>663.19999999999993</v>
      </c>
      <c r="BE28" s="7">
        <f t="shared" si="42"/>
        <v>463.79999999999995</v>
      </c>
      <c r="BF28" s="7">
        <f t="shared" si="43"/>
        <v>264.39999999999998</v>
      </c>
      <c r="BG28" s="46">
        <f>SUMIFS(SPEW_Pig_iron_production!$V:$V,SPEW_Pig_iron_production!$B:$B,$C28)</f>
        <v>65</v>
      </c>
      <c r="BH28" s="7">
        <f t="shared" si="44"/>
        <v>152.79999999999995</v>
      </c>
      <c r="BI28" s="7">
        <f t="shared" si="45"/>
        <v>240.59999999999997</v>
      </c>
      <c r="BJ28" s="7">
        <f t="shared" si="46"/>
        <v>328.4</v>
      </c>
      <c r="BK28" s="7">
        <f t="shared" si="47"/>
        <v>416.2</v>
      </c>
      <c r="BL28" s="46">
        <f>SUMIFS(SPEW_Pig_iron_production!$W:$W,SPEW_Pig_iron_production!$B:$B,$C28)</f>
        <v>504</v>
      </c>
      <c r="BM28" s="7">
        <f t="shared" si="48"/>
        <v>728.19999999999982</v>
      </c>
      <c r="BN28" s="7">
        <f t="shared" si="49"/>
        <v>952.39999999999986</v>
      </c>
      <c r="BO28" s="7">
        <f t="shared" si="50"/>
        <v>1176.5999999999999</v>
      </c>
      <c r="BP28" s="7">
        <f t="shared" si="51"/>
        <v>1400.8</v>
      </c>
      <c r="BQ28" s="46">
        <f>SUMIFS(SPEW_Pig_iron_production!$X:$X,SPEW_Pig_iron_production!$B:$B,$C28)</f>
        <v>1625</v>
      </c>
      <c r="BR28" s="7">
        <f t="shared" si="52"/>
        <v>1836.6000000000004</v>
      </c>
      <c r="BS28" s="7">
        <f t="shared" si="53"/>
        <v>2048.2000000000003</v>
      </c>
      <c r="BT28" s="7">
        <f t="shared" si="54"/>
        <v>2259.8000000000002</v>
      </c>
      <c r="BU28" s="7">
        <f t="shared" si="55"/>
        <v>2471.4</v>
      </c>
      <c r="BV28" s="46">
        <f>SUMIFS(SPEW_Pig_iron_production!$Y:$Y,SPEW_Pig_iron_production!$B:$B,$C28)</f>
        <v>2683</v>
      </c>
      <c r="BW28" s="7">
        <f t="shared" si="56"/>
        <v>3244</v>
      </c>
      <c r="BX28" s="7">
        <f t="shared" si="57"/>
        <v>3805</v>
      </c>
      <c r="BY28" s="7">
        <f t="shared" si="58"/>
        <v>4366</v>
      </c>
      <c r="BZ28" s="7">
        <f t="shared" si="59"/>
        <v>4927</v>
      </c>
      <c r="CA28" s="46">
        <f>SUMIFS(SPEW_Pig_iron_production!$Z:$Z,SPEW_Pig_iron_production!$B:$B,$C28)</f>
        <v>5488</v>
      </c>
      <c r="CB28" s="7">
        <f t="shared" si="60"/>
        <v>6056.7999999999993</v>
      </c>
      <c r="CC28" s="7">
        <f t="shared" si="61"/>
        <v>6625.5999999999995</v>
      </c>
      <c r="CD28" s="7">
        <f t="shared" si="62"/>
        <v>7194.4</v>
      </c>
      <c r="CE28" s="7">
        <f t="shared" si="63"/>
        <v>7763.2</v>
      </c>
      <c r="CF28" s="46">
        <f>SUMIFS(SPEW_Pig_iron_production!$AA:$AA,SPEW_Pig_iron_production!$B:$B,$C28)</f>
        <v>8332</v>
      </c>
      <c r="CG28" s="7">
        <f t="shared" si="64"/>
        <v>8935.5999999999985</v>
      </c>
      <c r="CH28" s="7">
        <f t="shared" si="65"/>
        <v>9539.1999999999989</v>
      </c>
      <c r="CI28" s="7">
        <f t="shared" si="66"/>
        <v>10142.799999999999</v>
      </c>
      <c r="CJ28" s="7">
        <f t="shared" si="67"/>
        <v>10746.4</v>
      </c>
      <c r="CK28" s="46">
        <f>SUMIFS(SPEW_Pig_iron_production!$AB:$AB,SPEW_Pig_iron_production!$B:$B,$C28)</f>
        <v>11350</v>
      </c>
      <c r="CL28" s="7">
        <f t="shared" si="68"/>
        <v>11509.800000000003</v>
      </c>
      <c r="CM28" s="7">
        <f t="shared" si="69"/>
        <v>11669.600000000002</v>
      </c>
      <c r="CN28" s="7">
        <f t="shared" si="70"/>
        <v>11829.400000000001</v>
      </c>
      <c r="CO28" s="7">
        <f t="shared" si="71"/>
        <v>11989.2</v>
      </c>
      <c r="CP28" s="2">
        <f>[1]Data!B28</f>
        <v>12149</v>
      </c>
      <c r="CQ28" s="2">
        <f>[1]Data!C28</f>
        <v>12260</v>
      </c>
      <c r="CR28" s="2">
        <f>[1]Data!D28</f>
        <v>11537</v>
      </c>
      <c r="CS28" s="2">
        <f>[1]Data!E28</f>
        <v>10313</v>
      </c>
      <c r="CT28" s="2">
        <f>[1]Data!F28</f>
        <v>11631</v>
      </c>
      <c r="CU28" s="2">
        <f>[1]Data!G28</f>
        <v>12063</v>
      </c>
      <c r="CV28" s="2">
        <f>[1]Data!H28</f>
        <v>11837</v>
      </c>
      <c r="CW28" s="2">
        <f>[1]Data!I28</f>
        <v>11335</v>
      </c>
      <c r="CX28" s="2">
        <f>[1]Data!J28</f>
        <v>11349</v>
      </c>
      <c r="CY28" s="2">
        <f>[1]Data!K28</f>
        <v>11761</v>
      </c>
      <c r="CZ28" s="2">
        <f>[1]Data!L28</f>
        <v>11852</v>
      </c>
      <c r="DA28" s="2">
        <f>[1]Data!M28</f>
        <v>10845</v>
      </c>
      <c r="DB28" s="2">
        <f>[1]Data!N28</f>
        <v>10451</v>
      </c>
      <c r="DC28" s="2">
        <f>[1]Data!O28</f>
        <v>11187</v>
      </c>
      <c r="DD28" s="2">
        <f>[1]Data!P28</f>
        <v>11159</v>
      </c>
      <c r="DE28" s="2">
        <f>[1]Data!Q28</f>
        <v>11663</v>
      </c>
      <c r="DF28" s="2">
        <f>[1]Data!R28</f>
        <v>10346</v>
      </c>
      <c r="DG28" s="2">
        <f>[1]Data!S28</f>
        <v>11329</v>
      </c>
      <c r="DH28" s="2">
        <f>[1]Data!T28</f>
        <v>10771</v>
      </c>
      <c r="DI28" s="2">
        <f>[1]Data!U28</f>
        <v>10621</v>
      </c>
      <c r="DJ28" s="2">
        <f>[1]Data!V28</f>
        <v>11220</v>
      </c>
      <c r="DK28" s="2">
        <f>[1]Data!W28</f>
        <v>10650</v>
      </c>
      <c r="DL28" s="2">
        <f>[1]Data!X28</f>
        <v>9775</v>
      </c>
      <c r="DM28" s="2">
        <f>[1]Data!Y28</f>
        <v>10148</v>
      </c>
      <c r="DN28" s="2">
        <f>[1]Data!Z28</f>
        <v>10604</v>
      </c>
      <c r="DO28" s="2">
        <f>[1]Data!AA28</f>
        <v>11423</v>
      </c>
      <c r="DP28" s="2">
        <f>[1]Data!AB28</f>
        <v>11497</v>
      </c>
      <c r="DQ28" s="2">
        <f>[1]Data!AC28</f>
        <v>11110</v>
      </c>
      <c r="DR28" s="2">
        <f>[1]Data!AD28</f>
        <v>10377</v>
      </c>
      <c r="DS28" s="2">
        <f>[1]Data!AE28</f>
        <v>5692</v>
      </c>
      <c r="DT28" s="2">
        <f>[1]Data!AF28</f>
        <v>8555</v>
      </c>
      <c r="DU28" s="2">
        <f>[1]Data!AG28</f>
        <v>9838</v>
      </c>
      <c r="DV28" s="2">
        <f>[1]Data!AH28</f>
        <v>9424</v>
      </c>
      <c r="DW28" s="2">
        <f>[1]Data!AI28</f>
        <v>6933</v>
      </c>
      <c r="DX28" s="2">
        <v>6371</v>
      </c>
      <c r="DY28" s="2">
        <f>[4]Data!AK28</f>
        <v>5051</v>
      </c>
      <c r="DZ28" s="2">
        <f>[4]Data!AL28</f>
        <v>6044</v>
      </c>
      <c r="EA28" s="2">
        <f>[4]Data!AM28</f>
        <v>5052</v>
      </c>
    </row>
    <row r="29" spans="1:131" ht="16" x14ac:dyDescent="0.2">
      <c r="A29" t="s">
        <v>27</v>
      </c>
      <c r="C29" s="9" t="s">
        <v>107</v>
      </c>
      <c r="D29" s="46">
        <f>Hyde_iron!$C$48</f>
        <v>0</v>
      </c>
      <c r="E29" s="7">
        <f t="shared" si="0"/>
        <v>0</v>
      </c>
      <c r="F29" s="7">
        <f t="shared" si="1"/>
        <v>0</v>
      </c>
      <c r="G29" s="7">
        <f t="shared" si="2"/>
        <v>0</v>
      </c>
      <c r="H29" s="7">
        <f t="shared" si="3"/>
        <v>0</v>
      </c>
      <c r="I29" s="46">
        <f>Hyde_iron!$D$48</f>
        <v>0</v>
      </c>
      <c r="J29" s="7">
        <f t="shared" si="4"/>
        <v>6</v>
      </c>
      <c r="K29" s="7">
        <f t="shared" si="5"/>
        <v>12</v>
      </c>
      <c r="L29" s="7">
        <f t="shared" si="6"/>
        <v>18</v>
      </c>
      <c r="M29" s="7">
        <f t="shared" si="7"/>
        <v>24</v>
      </c>
      <c r="N29" s="46">
        <f>Hyde_iron!$E$48</f>
        <v>30</v>
      </c>
      <c r="O29" s="7">
        <f t="shared" si="8"/>
        <v>35</v>
      </c>
      <c r="P29" s="7">
        <f t="shared" si="9"/>
        <v>40</v>
      </c>
      <c r="Q29" s="7">
        <f t="shared" si="10"/>
        <v>45</v>
      </c>
      <c r="R29" s="7">
        <f t="shared" si="11"/>
        <v>50</v>
      </c>
      <c r="S29" s="46">
        <f>Hyde_iron!$F$48</f>
        <v>55</v>
      </c>
      <c r="T29" s="7">
        <f t="shared" si="12"/>
        <v>58.399999999999991</v>
      </c>
      <c r="U29" s="7">
        <f t="shared" si="13"/>
        <v>61.79999999999999</v>
      </c>
      <c r="V29" s="7">
        <f t="shared" si="14"/>
        <v>65.199999999999989</v>
      </c>
      <c r="W29" s="7">
        <f t="shared" si="15"/>
        <v>68.599999999999994</v>
      </c>
      <c r="X29" s="46">
        <f>Hyde_iron!$G$48</f>
        <v>72</v>
      </c>
      <c r="Y29" s="7">
        <f t="shared" si="16"/>
        <v>121.79999999999997</v>
      </c>
      <c r="Z29" s="7">
        <f t="shared" si="17"/>
        <v>171.59999999999997</v>
      </c>
      <c r="AA29" s="7">
        <f t="shared" si="18"/>
        <v>221.39999999999998</v>
      </c>
      <c r="AB29" s="7">
        <f t="shared" si="19"/>
        <v>271.2</v>
      </c>
      <c r="AC29" s="46">
        <f>Hyde_iron!$H$48</f>
        <v>321</v>
      </c>
      <c r="AD29" s="7">
        <f t="shared" si="20"/>
        <v>362.79999999999995</v>
      </c>
      <c r="AE29" s="7">
        <f t="shared" si="21"/>
        <v>404.59999999999997</v>
      </c>
      <c r="AF29" s="7">
        <f t="shared" si="22"/>
        <v>446.4</v>
      </c>
      <c r="AG29" s="7">
        <f t="shared" si="23"/>
        <v>488.2</v>
      </c>
      <c r="AH29" s="46">
        <f>Hyde_iron!$I$48</f>
        <v>530</v>
      </c>
      <c r="AI29" s="7">
        <f t="shared" si="24"/>
        <v>563.40000000000009</v>
      </c>
      <c r="AJ29" s="7">
        <f t="shared" si="25"/>
        <v>596.80000000000007</v>
      </c>
      <c r="AK29" s="7">
        <f t="shared" si="26"/>
        <v>630.20000000000005</v>
      </c>
      <c r="AL29" s="7">
        <f t="shared" si="27"/>
        <v>663.6</v>
      </c>
      <c r="AM29" s="46">
        <f>SUMIFS(SPEW_Pig_iron_production!$R:$R,SPEW_Pig_iron_production!$B:$B,$C29)</f>
        <v>697</v>
      </c>
      <c r="AN29" s="7">
        <f t="shared" si="28"/>
        <v>795.19999999999982</v>
      </c>
      <c r="AO29" s="7">
        <f t="shared" si="29"/>
        <v>893.39999999999986</v>
      </c>
      <c r="AP29" s="7">
        <f t="shared" si="30"/>
        <v>991.59999999999991</v>
      </c>
      <c r="AQ29" s="7">
        <f t="shared" si="31"/>
        <v>1089.8</v>
      </c>
      <c r="AR29" s="46">
        <f>SUMIFS(SPEW_Pig_iron_production!$S:$S,SPEW_Pig_iron_production!$B:$B,$C29)</f>
        <v>1188</v>
      </c>
      <c r="AS29" s="7">
        <f t="shared" si="32"/>
        <v>1343.3999999999996</v>
      </c>
      <c r="AT29" s="7">
        <f t="shared" si="33"/>
        <v>1498.7999999999997</v>
      </c>
      <c r="AU29" s="7">
        <f t="shared" si="34"/>
        <v>1654.1999999999998</v>
      </c>
      <c r="AV29" s="7">
        <f t="shared" si="35"/>
        <v>1809.6</v>
      </c>
      <c r="AW29" s="46">
        <f>SUMIFS(SPEW_Pig_iron_production!$T:$T,SPEW_Pig_iron_production!$B:$B,$C29)</f>
        <v>1965</v>
      </c>
      <c r="AX29" s="7">
        <f t="shared" si="36"/>
        <v>2303.6000000000004</v>
      </c>
      <c r="AY29" s="7">
        <f t="shared" si="37"/>
        <v>2642.2000000000003</v>
      </c>
      <c r="AZ29" s="7">
        <f t="shared" si="38"/>
        <v>2980.8</v>
      </c>
      <c r="BA29" s="7">
        <f t="shared" si="39"/>
        <v>3319.4</v>
      </c>
      <c r="BB29" s="46">
        <f>SUMIFS(SPEW_Pig_iron_production!$U:$U,SPEW_Pig_iron_production!$B:$B,$C29)</f>
        <v>3658</v>
      </c>
      <c r="BC29" s="7">
        <f t="shared" si="40"/>
        <v>3123.2</v>
      </c>
      <c r="BD29" s="7">
        <f t="shared" si="41"/>
        <v>2588.3999999999996</v>
      </c>
      <c r="BE29" s="7">
        <f t="shared" si="42"/>
        <v>2053.6</v>
      </c>
      <c r="BF29" s="7">
        <f t="shared" si="43"/>
        <v>1518.8</v>
      </c>
      <c r="BG29" s="46">
        <f>SUMIFS(SPEW_Pig_iron_production!$V:$V,SPEW_Pig_iron_production!$B:$B,$C29)</f>
        <v>984</v>
      </c>
      <c r="BH29" s="7">
        <f t="shared" si="44"/>
        <v>1247</v>
      </c>
      <c r="BI29" s="7">
        <f t="shared" si="45"/>
        <v>1510</v>
      </c>
      <c r="BJ29" s="7">
        <f t="shared" si="46"/>
        <v>1773</v>
      </c>
      <c r="BK29" s="7">
        <f t="shared" si="47"/>
        <v>2036</v>
      </c>
      <c r="BL29" s="46">
        <f>SUMIFS(SPEW_Pig_iron_production!$W:$W,SPEW_Pig_iron_production!$B:$B,$C29)</f>
        <v>2299</v>
      </c>
      <c r="BM29" s="7">
        <f t="shared" si="48"/>
        <v>2924.4000000000005</v>
      </c>
      <c r="BN29" s="7">
        <f t="shared" si="49"/>
        <v>3549.8000000000006</v>
      </c>
      <c r="BO29" s="7">
        <f t="shared" si="50"/>
        <v>4175.2000000000007</v>
      </c>
      <c r="BP29" s="7">
        <f t="shared" si="51"/>
        <v>4800.6000000000004</v>
      </c>
      <c r="BQ29" s="46">
        <f>SUMIFS(SPEW_Pig_iron_production!$X:$X,SPEW_Pig_iron_production!$B:$B,$C29)</f>
        <v>5426</v>
      </c>
      <c r="BR29" s="7">
        <f t="shared" si="52"/>
        <v>6809</v>
      </c>
      <c r="BS29" s="7">
        <f t="shared" si="53"/>
        <v>8192</v>
      </c>
      <c r="BT29" s="7">
        <f t="shared" si="54"/>
        <v>9575</v>
      </c>
      <c r="BU29" s="7">
        <f t="shared" si="55"/>
        <v>10958</v>
      </c>
      <c r="BV29" s="46">
        <f>SUMIFS(SPEW_Pig_iron_production!$Y:$Y,SPEW_Pig_iron_production!$B:$B,$C29)</f>
        <v>12341</v>
      </c>
      <c r="BW29" s="7">
        <f t="shared" si="56"/>
        <v>15504.800000000003</v>
      </c>
      <c r="BX29" s="7">
        <f t="shared" si="57"/>
        <v>18668.600000000002</v>
      </c>
      <c r="BY29" s="7">
        <f t="shared" si="58"/>
        <v>21832.400000000001</v>
      </c>
      <c r="BZ29" s="7">
        <f t="shared" si="59"/>
        <v>24996.2</v>
      </c>
      <c r="CA29" s="46">
        <f>SUMIFS(SPEW_Pig_iron_production!$Z:$Z,SPEW_Pig_iron_production!$B:$B,$C29)</f>
        <v>28160</v>
      </c>
      <c r="CB29" s="7">
        <f t="shared" si="60"/>
        <v>36470.799999999988</v>
      </c>
      <c r="CC29" s="7">
        <f t="shared" si="61"/>
        <v>44781.599999999991</v>
      </c>
      <c r="CD29" s="7">
        <f t="shared" si="62"/>
        <v>53092.399999999994</v>
      </c>
      <c r="CE29" s="7">
        <f t="shared" si="63"/>
        <v>61403.199999999997</v>
      </c>
      <c r="CF29" s="46">
        <f>SUMIFS(SPEW_Pig_iron_production!$AA:$AA,SPEW_Pig_iron_production!$B:$B,$C29)</f>
        <v>69714</v>
      </c>
      <c r="CG29" s="7">
        <f t="shared" si="64"/>
        <v>73633.400000000023</v>
      </c>
      <c r="CH29" s="7">
        <f t="shared" si="65"/>
        <v>77552.800000000017</v>
      </c>
      <c r="CI29" s="7">
        <f t="shared" si="66"/>
        <v>81472.200000000012</v>
      </c>
      <c r="CJ29" s="7">
        <f t="shared" si="67"/>
        <v>85391.6</v>
      </c>
      <c r="CK29" s="46">
        <f>SUMIFS(SPEW_Pig_iron_production!$AB:$AB,SPEW_Pig_iron_production!$B:$B,$C29)</f>
        <v>89311</v>
      </c>
      <c r="CL29" s="7">
        <f t="shared" si="68"/>
        <v>88857</v>
      </c>
      <c r="CM29" s="7">
        <f t="shared" si="69"/>
        <v>88403</v>
      </c>
      <c r="CN29" s="7">
        <f t="shared" si="70"/>
        <v>87949</v>
      </c>
      <c r="CO29" s="7">
        <f t="shared" si="71"/>
        <v>87495</v>
      </c>
      <c r="CP29" s="2">
        <f>[1]Data!B29</f>
        <v>87041</v>
      </c>
      <c r="CQ29" s="2">
        <f>[1]Data!C29</f>
        <v>80048</v>
      </c>
      <c r="CR29" s="2">
        <f>[1]Data!D29</f>
        <v>77658</v>
      </c>
      <c r="CS29" s="2">
        <f>[1]Data!E29</f>
        <v>72936</v>
      </c>
      <c r="CT29" s="2">
        <f>[1]Data!F29</f>
        <v>80403</v>
      </c>
      <c r="CU29" s="2">
        <f>[1]Data!G29</f>
        <v>80569</v>
      </c>
      <c r="CV29" s="2">
        <f>[1]Data!H29</f>
        <v>74651</v>
      </c>
      <c r="CW29" s="2">
        <f>[1]Data!I29</f>
        <v>73418</v>
      </c>
      <c r="CX29" s="2">
        <f>[1]Data!J29</f>
        <v>79295</v>
      </c>
      <c r="CY29" s="2">
        <f>[1]Data!K29</f>
        <v>80196</v>
      </c>
      <c r="CZ29" s="2">
        <f>[1]Data!L29</f>
        <v>80229</v>
      </c>
      <c r="DA29" s="2">
        <f>[1]Data!M29</f>
        <v>79985</v>
      </c>
      <c r="DB29" s="2">
        <f>[1]Data!N29</f>
        <v>73144</v>
      </c>
      <c r="DC29" s="2">
        <f>[1]Data!O29</f>
        <v>73738</v>
      </c>
      <c r="DD29" s="2">
        <f>[1]Data!P29</f>
        <v>73776</v>
      </c>
      <c r="DE29" s="2">
        <f>[1]Data!Q29</f>
        <v>74905</v>
      </c>
      <c r="DF29" s="2">
        <f>[1]Data!R29</f>
        <v>74597</v>
      </c>
      <c r="DG29" s="2">
        <f>[1]Data!S29</f>
        <v>78519</v>
      </c>
      <c r="DH29" s="2">
        <f>[1]Data!T29</f>
        <v>74981</v>
      </c>
      <c r="DI29" s="2">
        <f>[1]Data!U29</f>
        <v>74520</v>
      </c>
      <c r="DJ29" s="2">
        <f>[1]Data!V29</f>
        <v>81071</v>
      </c>
      <c r="DK29" s="2">
        <f>[1]Data!W29</f>
        <v>78836</v>
      </c>
      <c r="DL29" s="2">
        <f>[1]Data!X29</f>
        <v>80979</v>
      </c>
      <c r="DM29" s="2">
        <f>[1]Data!Y29</f>
        <v>82091</v>
      </c>
      <c r="DN29" s="2">
        <f>[1]Data!Z29</f>
        <v>82974</v>
      </c>
      <c r="DO29" s="2">
        <f>[1]Data!AA29</f>
        <v>83058</v>
      </c>
      <c r="DP29" s="2">
        <f>[1]Data!AB29</f>
        <v>84270</v>
      </c>
      <c r="DQ29" s="2">
        <f>[1]Data!AC29</f>
        <v>86771</v>
      </c>
      <c r="DR29" s="2">
        <f>[1]Data!AD29</f>
        <v>86171</v>
      </c>
      <c r="DS29" s="2">
        <f>[1]Data!AE29</f>
        <v>66943</v>
      </c>
      <c r="DT29" s="2">
        <f>[1]Data!AF29</f>
        <v>82283</v>
      </c>
      <c r="DU29" s="2">
        <f>[1]Data!AG29</f>
        <v>81028</v>
      </c>
      <c r="DV29" s="2">
        <f>[1]Data!AH29</f>
        <v>81405</v>
      </c>
      <c r="DW29" s="2">
        <f>[1]Data!AI29</f>
        <v>83849</v>
      </c>
      <c r="DX29" s="2">
        <v>83872</v>
      </c>
      <c r="DY29" s="2">
        <f>[4]Data!AK29</f>
        <v>81011</v>
      </c>
      <c r="DZ29" s="2">
        <f>[4]Data!AL29</f>
        <v>80186</v>
      </c>
      <c r="EA29" s="2">
        <f>[4]Data!AM29</f>
        <v>78330</v>
      </c>
    </row>
    <row r="30" spans="1:131" ht="16" x14ac:dyDescent="0.2">
      <c r="A30" t="s">
        <v>28</v>
      </c>
      <c r="C30" s="9" t="s">
        <v>108</v>
      </c>
      <c r="D30" s="46"/>
      <c r="E30" s="7">
        <f t="shared" si="0"/>
        <v>0</v>
      </c>
      <c r="F30" s="7">
        <f t="shared" si="1"/>
        <v>0</v>
      </c>
      <c r="G30" s="7">
        <f t="shared" si="2"/>
        <v>0</v>
      </c>
      <c r="H30" s="7">
        <f t="shared" si="3"/>
        <v>0</v>
      </c>
      <c r="I30" s="46"/>
      <c r="J30" s="7">
        <f t="shared" si="4"/>
        <v>0</v>
      </c>
      <c r="K30" s="7">
        <f t="shared" si="5"/>
        <v>0</v>
      </c>
      <c r="L30" s="7">
        <f t="shared" si="6"/>
        <v>0</v>
      </c>
      <c r="M30" s="7">
        <f t="shared" si="7"/>
        <v>0</v>
      </c>
      <c r="N30" s="46"/>
      <c r="O30" s="7">
        <f t="shared" si="8"/>
        <v>0</v>
      </c>
      <c r="P30" s="7">
        <f t="shared" si="9"/>
        <v>0</v>
      </c>
      <c r="Q30" s="7">
        <f t="shared" si="10"/>
        <v>0</v>
      </c>
      <c r="R30" s="7">
        <f t="shared" si="11"/>
        <v>0</v>
      </c>
      <c r="S30" s="46"/>
      <c r="T30" s="7">
        <f t="shared" si="12"/>
        <v>0</v>
      </c>
      <c r="U30" s="7">
        <f t="shared" si="13"/>
        <v>0</v>
      </c>
      <c r="V30" s="7">
        <f t="shared" si="14"/>
        <v>0</v>
      </c>
      <c r="W30" s="7">
        <f t="shared" si="15"/>
        <v>0</v>
      </c>
      <c r="X30" s="46"/>
      <c r="Y30" s="7">
        <f t="shared" si="16"/>
        <v>0</v>
      </c>
      <c r="Z30" s="7">
        <f t="shared" si="17"/>
        <v>0</v>
      </c>
      <c r="AA30" s="7">
        <f t="shared" si="18"/>
        <v>0</v>
      </c>
      <c r="AB30" s="7">
        <f t="shared" si="19"/>
        <v>0</v>
      </c>
      <c r="AC30" s="46"/>
      <c r="AD30" s="7">
        <f t="shared" si="20"/>
        <v>0</v>
      </c>
      <c r="AE30" s="7">
        <f t="shared" si="21"/>
        <v>0</v>
      </c>
      <c r="AF30" s="7">
        <f t="shared" si="22"/>
        <v>0</v>
      </c>
      <c r="AG30" s="7">
        <f t="shared" si="23"/>
        <v>0</v>
      </c>
      <c r="AH30" s="46"/>
      <c r="AI30" s="7">
        <f t="shared" si="24"/>
        <v>0</v>
      </c>
      <c r="AJ30" s="7">
        <f t="shared" si="25"/>
        <v>0</v>
      </c>
      <c r="AK30" s="7">
        <f t="shared" si="26"/>
        <v>0</v>
      </c>
      <c r="AL30" s="7">
        <f t="shared" si="27"/>
        <v>0</v>
      </c>
      <c r="AM30" s="46">
        <f>SUMIFS(SPEW_Pig_iron_production!$R:$R,SPEW_Pig_iron_production!$B:$B,$C30)</f>
        <v>0</v>
      </c>
      <c r="AN30" s="7">
        <f t="shared" si="28"/>
        <v>0</v>
      </c>
      <c r="AO30" s="7">
        <f t="shared" si="29"/>
        <v>0</v>
      </c>
      <c r="AP30" s="7">
        <f t="shared" si="30"/>
        <v>0</v>
      </c>
      <c r="AQ30" s="7">
        <f t="shared" si="31"/>
        <v>0</v>
      </c>
      <c r="AR30" s="46">
        <f>SUMIFS(SPEW_Pig_iron_production!$S:$S,SPEW_Pig_iron_production!$B:$B,$C30)</f>
        <v>0</v>
      </c>
      <c r="AS30" s="7">
        <f t="shared" si="32"/>
        <v>0</v>
      </c>
      <c r="AT30" s="7">
        <f t="shared" si="33"/>
        <v>0</v>
      </c>
      <c r="AU30" s="7">
        <f t="shared" si="34"/>
        <v>0</v>
      </c>
      <c r="AV30" s="7">
        <f t="shared" si="35"/>
        <v>0</v>
      </c>
      <c r="AW30" s="46">
        <f>SUMIFS(SPEW_Pig_iron_production!$T:$T,SPEW_Pig_iron_production!$B:$B,$C30)</f>
        <v>0</v>
      </c>
      <c r="AX30" s="7">
        <f t="shared" si="36"/>
        <v>0</v>
      </c>
      <c r="AY30" s="7">
        <f t="shared" si="37"/>
        <v>0</v>
      </c>
      <c r="AZ30" s="7">
        <f t="shared" si="38"/>
        <v>0</v>
      </c>
      <c r="BA30" s="7">
        <f t="shared" si="39"/>
        <v>0</v>
      </c>
      <c r="BB30" s="46">
        <f>SUMIFS(SPEW_Pig_iron_production!$U:$U,SPEW_Pig_iron_production!$B:$B,$C30)</f>
        <v>0</v>
      </c>
      <c r="BC30" s="7">
        <f t="shared" si="40"/>
        <v>0</v>
      </c>
      <c r="BD30" s="7">
        <f t="shared" si="41"/>
        <v>0</v>
      </c>
      <c r="BE30" s="7">
        <f t="shared" si="42"/>
        <v>0</v>
      </c>
      <c r="BF30" s="7">
        <f t="shared" si="43"/>
        <v>0</v>
      </c>
      <c r="BG30" s="46">
        <f>SUMIFS(SPEW_Pig_iron_production!$V:$V,SPEW_Pig_iron_production!$B:$B,$C30)</f>
        <v>0</v>
      </c>
      <c r="BH30" s="7">
        <f t="shared" si="44"/>
        <v>0</v>
      </c>
      <c r="BI30" s="7">
        <f t="shared" si="45"/>
        <v>0</v>
      </c>
      <c r="BJ30" s="7">
        <f t="shared" si="46"/>
        <v>0</v>
      </c>
      <c r="BK30" s="7">
        <f t="shared" si="47"/>
        <v>0</v>
      </c>
      <c r="BL30" s="46">
        <f>SUMIFS(SPEW_Pig_iron_production!$W:$W,SPEW_Pig_iron_production!$B:$B,$C30)</f>
        <v>0</v>
      </c>
      <c r="BM30" s="7">
        <f t="shared" si="48"/>
        <v>0</v>
      </c>
      <c r="BN30" s="7">
        <f t="shared" si="49"/>
        <v>0</v>
      </c>
      <c r="BO30" s="7">
        <f t="shared" si="50"/>
        <v>0</v>
      </c>
      <c r="BP30" s="7">
        <f t="shared" si="51"/>
        <v>0</v>
      </c>
      <c r="BQ30" s="46">
        <f>SUMIFS(SPEW_Pig_iron_production!$X:$X,SPEW_Pig_iron_production!$B:$B,$C30)</f>
        <v>0</v>
      </c>
      <c r="BR30" s="7">
        <f t="shared" si="52"/>
        <v>0</v>
      </c>
      <c r="BS30" s="7">
        <f t="shared" si="53"/>
        <v>0</v>
      </c>
      <c r="BT30" s="7">
        <f t="shared" si="54"/>
        <v>0</v>
      </c>
      <c r="BU30" s="7">
        <f t="shared" si="55"/>
        <v>0</v>
      </c>
      <c r="BV30" s="46">
        <f>SUMIFS(SPEW_Pig_iron_production!$Y:$Y,SPEW_Pig_iron_production!$B:$B,$C30)</f>
        <v>0</v>
      </c>
      <c r="BW30" s="7">
        <f t="shared" si="56"/>
        <v>0</v>
      </c>
      <c r="BX30" s="7">
        <f t="shared" si="57"/>
        <v>0</v>
      </c>
      <c r="BY30" s="7">
        <f t="shared" si="58"/>
        <v>0</v>
      </c>
      <c r="BZ30" s="7">
        <f t="shared" si="59"/>
        <v>0</v>
      </c>
      <c r="CA30" s="46">
        <f>SUMIFS(SPEW_Pig_iron_production!$Z:$Z,SPEW_Pig_iron_production!$B:$B,$C30)</f>
        <v>0</v>
      </c>
      <c r="CB30" s="7">
        <f t="shared" si="60"/>
        <v>0</v>
      </c>
      <c r="CC30" s="7">
        <f t="shared" si="61"/>
        <v>0</v>
      </c>
      <c r="CD30" s="7">
        <f t="shared" si="62"/>
        <v>0</v>
      </c>
      <c r="CE30" s="7">
        <f t="shared" si="63"/>
        <v>0</v>
      </c>
      <c r="CF30" s="46">
        <f>SUMIFS(SPEW_Pig_iron_production!$AA:$AA,SPEW_Pig_iron_production!$B:$B,$C30)</f>
        <v>0</v>
      </c>
      <c r="CG30" s="7">
        <f t="shared" si="64"/>
        <v>0</v>
      </c>
      <c r="CH30" s="7">
        <f t="shared" si="65"/>
        <v>0</v>
      </c>
      <c r="CI30" s="7">
        <f t="shared" si="66"/>
        <v>0</v>
      </c>
      <c r="CJ30" s="7">
        <f t="shared" si="67"/>
        <v>0</v>
      </c>
      <c r="CK30" s="46">
        <f>SUMIFS(SPEW_Pig_iron_production!$AB:$AB,SPEW_Pig_iron_production!$B:$B,$C30)</f>
        <v>0</v>
      </c>
      <c r="CL30" s="7">
        <f t="shared" si="68"/>
        <v>0</v>
      </c>
      <c r="CM30" s="7">
        <f t="shared" si="69"/>
        <v>0</v>
      </c>
      <c r="CN30" s="7">
        <f t="shared" si="70"/>
        <v>0</v>
      </c>
      <c r="CO30" s="7">
        <f t="shared" si="71"/>
        <v>0</v>
      </c>
      <c r="CP30" s="2">
        <f>[1]Data!B30</f>
        <v>0</v>
      </c>
      <c r="CQ30" s="2">
        <f>[1]Data!C30</f>
        <v>0</v>
      </c>
      <c r="CR30" s="2">
        <f>[1]Data!D30</f>
        <v>0</v>
      </c>
      <c r="CS30" s="2">
        <f>[1]Data!E30</f>
        <v>0</v>
      </c>
      <c r="CT30" s="2">
        <f>[1]Data!F30</f>
        <v>0</v>
      </c>
      <c r="CU30" s="2">
        <f>[1]Data!G30</f>
        <v>0</v>
      </c>
      <c r="CV30" s="2">
        <f>[1]Data!H30</f>
        <v>0</v>
      </c>
      <c r="CW30" s="2">
        <f>[1]Data!I30</f>
        <v>0</v>
      </c>
      <c r="CX30" s="2">
        <f>[1]Data!J30</f>
        <v>0</v>
      </c>
      <c r="CY30" s="2">
        <f>[1]Data!K30</f>
        <v>0</v>
      </c>
      <c r="CZ30" s="2">
        <f>[1]Data!L30</f>
        <v>0</v>
      </c>
      <c r="DA30" s="2">
        <f>[1]Data!M30</f>
        <v>0</v>
      </c>
      <c r="DB30" s="2">
        <f>[1]Data!N30</f>
        <v>4659</v>
      </c>
      <c r="DC30" s="2">
        <f>[1]Data!O30</f>
        <v>3544</v>
      </c>
      <c r="DD30" s="2">
        <f>[1]Data!P30</f>
        <v>2435</v>
      </c>
      <c r="DE30" s="2">
        <f>[1]Data!Q30</f>
        <v>2592</v>
      </c>
      <c r="DF30" s="2">
        <f>[1]Data!R30</f>
        <v>2536</v>
      </c>
      <c r="DG30" s="2">
        <f>[1]Data!S30</f>
        <v>3089</v>
      </c>
      <c r="DH30" s="2">
        <f>[1]Data!T30</f>
        <v>2594</v>
      </c>
      <c r="DI30" s="2">
        <f>[1]Data!U30</f>
        <v>3468</v>
      </c>
      <c r="DJ30" s="2">
        <f>[1]Data!V30</f>
        <v>4010</v>
      </c>
      <c r="DK30" s="2">
        <f>[1]Data!W30</f>
        <v>3906</v>
      </c>
      <c r="DL30" s="2">
        <f>[1]Data!X30</f>
        <v>4008</v>
      </c>
      <c r="DM30" s="2">
        <f>[1]Data!Y30</f>
        <v>4123</v>
      </c>
      <c r="DN30" s="2">
        <f>[1]Data!Z30</f>
        <v>4312</v>
      </c>
      <c r="DO30" s="2">
        <f>[1]Data!AA30</f>
        <v>3624</v>
      </c>
      <c r="DP30" s="2">
        <f>[1]Data!AB30</f>
        <v>3393</v>
      </c>
      <c r="DQ30" s="2">
        <f>[1]Data!AC30</f>
        <v>3240</v>
      </c>
      <c r="DR30" s="2">
        <f>[1]Data!AD30</f>
        <v>2761</v>
      </c>
      <c r="DS30" s="2">
        <f>[1]Data!AE30</f>
        <v>2409</v>
      </c>
      <c r="DT30" s="2">
        <f>[1]Data!AF30</f>
        <v>2640</v>
      </c>
      <c r="DU30" s="2">
        <f>[1]Data!AG30</f>
        <v>3190</v>
      </c>
      <c r="DV30" s="2">
        <f>[1]Data!AH30</f>
        <v>2831</v>
      </c>
      <c r="DW30" s="2">
        <f>[1]Data!AI30</f>
        <v>2756</v>
      </c>
      <c r="DX30" s="2">
        <v>3185</v>
      </c>
      <c r="DY30" s="2">
        <f>[4]Data!AK30</f>
        <v>3235</v>
      </c>
      <c r="DZ30" s="2">
        <f>[4]Data!AL30</f>
        <v>6901</v>
      </c>
      <c r="EA30" s="2">
        <f>[4]Data!AM30</f>
        <v>3769</v>
      </c>
    </row>
    <row r="31" spans="1:131" ht="16" x14ac:dyDescent="0.2">
      <c r="A31" t="s">
        <v>29</v>
      </c>
      <c r="B31" s="15" t="s">
        <v>286</v>
      </c>
      <c r="C31" s="9" t="s">
        <v>109</v>
      </c>
      <c r="D31" s="46">
        <f>SUMIFS(Hyde_iron!$C$34:$C$48,Hyde_iron!$B$34:$B$48,$B31)*I31/SUMIFS(I$3:I$63,$B$3:$B$63,$B31)</f>
        <v>1155.955254747133</v>
      </c>
      <c r="E31" s="7">
        <f t="shared" si="0"/>
        <v>1185.9721814877485</v>
      </c>
      <c r="F31" s="7">
        <f t="shared" si="1"/>
        <v>1215.9891082283639</v>
      </c>
      <c r="G31" s="7">
        <f t="shared" si="2"/>
        <v>1246.0060349689793</v>
      </c>
      <c r="H31" s="7">
        <f t="shared" si="3"/>
        <v>1276.0229617095947</v>
      </c>
      <c r="I31" s="46">
        <f>SUMIFS(Hyde_iron!$D$34:$D$48,Hyde_iron!$B$34:$B$48,$B31)*N31/SUMIFS(N$3:N$63,$B$3:$B$63,$B31)</f>
        <v>1306.0398884502101</v>
      </c>
      <c r="J31" s="7">
        <f t="shared" si="4"/>
        <v>1359.2470013160371</v>
      </c>
      <c r="K31" s="7">
        <f t="shared" si="5"/>
        <v>1412.454114181864</v>
      </c>
      <c r="L31" s="7">
        <f t="shared" si="6"/>
        <v>1465.661227047691</v>
      </c>
      <c r="M31" s="7">
        <f t="shared" si="7"/>
        <v>1518.868339913518</v>
      </c>
      <c r="N31" s="46">
        <f>SUMIFS(Hyde_iron!$E$34:$E$48,Hyde_iron!$B$34:$B$48,$B31)*S31/SUMIFS(S$3:S$63,$B$3:$B$63,$B31)</f>
        <v>1572.0754527793449</v>
      </c>
      <c r="O31" s="7">
        <f t="shared" si="8"/>
        <v>1659.9345679012349</v>
      </c>
      <c r="P31" s="7">
        <f t="shared" si="9"/>
        <v>1747.7936830231249</v>
      </c>
      <c r="Q31" s="7">
        <f t="shared" si="10"/>
        <v>1835.6527981450149</v>
      </c>
      <c r="R31" s="7">
        <f t="shared" si="11"/>
        <v>1923.5119132669049</v>
      </c>
      <c r="S31" s="46">
        <f>SUMIFS(Hyde_iron!$F$34:$F$48,Hyde_iron!$B$34:$B$48,$B31)*X31/SUMIFS(X$3:X$63,$B$3:$B$63,$B31)</f>
        <v>2011.3710283887949</v>
      </c>
      <c r="T31" s="7">
        <f t="shared" si="12"/>
        <v>2060.8167700695612</v>
      </c>
      <c r="U31" s="7">
        <f t="shared" si="13"/>
        <v>2110.2625117503285</v>
      </c>
      <c r="V31" s="7">
        <f t="shared" si="14"/>
        <v>2159.7082534310957</v>
      </c>
      <c r="W31" s="7">
        <f t="shared" si="15"/>
        <v>2209.153995111863</v>
      </c>
      <c r="X31" s="46">
        <f>SUMIFS(Hyde_iron!$G$34:$G$48,Hyde_iron!$B$34:$B$48,$B31)*AC31/SUMIFS(AC$3:AC$63,$B$3:$B$63,$B31)</f>
        <v>2258.5997367926302</v>
      </c>
      <c r="Y31" s="7">
        <f t="shared" si="16"/>
        <v>2167.2902299931065</v>
      </c>
      <c r="Z31" s="7">
        <f t="shared" si="17"/>
        <v>2075.9807231935829</v>
      </c>
      <c r="AA31" s="7">
        <f t="shared" si="18"/>
        <v>1984.671216394059</v>
      </c>
      <c r="AB31" s="7">
        <f t="shared" si="19"/>
        <v>1893.3617095945353</v>
      </c>
      <c r="AC31" s="46">
        <f>SUMIFS(Hyde_iron!$H$34:$H$48,Hyde_iron!$B$34:$B$48,$B31)*AH31/SUMIFS(AH$3:AH$63,$B$3:$B$63,$B31)</f>
        <v>1802.0522027950117</v>
      </c>
      <c r="AD31" s="7">
        <f t="shared" si="20"/>
        <v>1757.4044306573915</v>
      </c>
      <c r="AE31" s="7">
        <f t="shared" si="21"/>
        <v>1712.7566585197717</v>
      </c>
      <c r="AF31" s="7">
        <f t="shared" si="22"/>
        <v>1668.1088863821519</v>
      </c>
      <c r="AG31" s="7">
        <f t="shared" si="23"/>
        <v>1623.4611142445322</v>
      </c>
      <c r="AH31" s="46">
        <f>SUMIFS(Hyde_iron!$I$34:$I$48,Hyde_iron!$B$34:$B$48,$B31)*AM31/SUMIFS(AM$3:AM$63,$B$3:$B$63,$B31)</f>
        <v>1578.8133421069124</v>
      </c>
      <c r="AI31" s="7">
        <f t="shared" si="24"/>
        <v>1735.6506736855299</v>
      </c>
      <c r="AJ31" s="7">
        <f t="shared" si="25"/>
        <v>1892.4880052641474</v>
      </c>
      <c r="AK31" s="7">
        <f t="shared" si="26"/>
        <v>2049.325336842765</v>
      </c>
      <c r="AL31" s="7">
        <f t="shared" si="27"/>
        <v>2206.1626684213825</v>
      </c>
      <c r="AM31" s="46">
        <f>SUMIFS(SPEW_Pig_iron_production!$R:$R,SPEW_Pig_iron_production!$B:$B,$C31)</f>
        <v>2363</v>
      </c>
      <c r="AN31" s="7">
        <f t="shared" si="28"/>
        <v>2385</v>
      </c>
      <c r="AO31" s="7">
        <f t="shared" si="29"/>
        <v>2407</v>
      </c>
      <c r="AP31" s="7">
        <f t="shared" si="30"/>
        <v>2429</v>
      </c>
      <c r="AQ31" s="7">
        <f t="shared" si="31"/>
        <v>2451</v>
      </c>
      <c r="AR31" s="46">
        <f>SUMIFS(SPEW_Pig_iron_production!$S:$S,SPEW_Pig_iron_production!$B:$B,$C31)</f>
        <v>2473</v>
      </c>
      <c r="AS31" s="7">
        <f t="shared" si="32"/>
        <v>2352.7999999999997</v>
      </c>
      <c r="AT31" s="7">
        <f t="shared" si="33"/>
        <v>2232.6</v>
      </c>
      <c r="AU31" s="7">
        <f t="shared" si="34"/>
        <v>2112.4</v>
      </c>
      <c r="AV31" s="7">
        <f t="shared" si="35"/>
        <v>1992.2</v>
      </c>
      <c r="AW31" s="46">
        <f>SUMIFS(SPEW_Pig_iron_production!$T:$T,SPEW_Pig_iron_production!$B:$B,$C31)</f>
        <v>1872</v>
      </c>
      <c r="AX31" s="7">
        <f t="shared" si="36"/>
        <v>1709.3999999999996</v>
      </c>
      <c r="AY31" s="7">
        <f t="shared" si="37"/>
        <v>1546.7999999999997</v>
      </c>
      <c r="AZ31" s="7">
        <f t="shared" si="38"/>
        <v>1384.1999999999998</v>
      </c>
      <c r="BA31" s="7">
        <f t="shared" si="39"/>
        <v>1221.5999999999999</v>
      </c>
      <c r="BB31" s="46">
        <f>SUMIFS(SPEW_Pig_iron_production!$U:$U,SPEW_Pig_iron_production!$B:$B,$C31)</f>
        <v>1059</v>
      </c>
      <c r="BC31" s="7">
        <f t="shared" si="40"/>
        <v>910.59999999999991</v>
      </c>
      <c r="BD31" s="7">
        <f t="shared" si="41"/>
        <v>762.19999999999993</v>
      </c>
      <c r="BE31" s="7">
        <f t="shared" si="42"/>
        <v>613.79999999999995</v>
      </c>
      <c r="BF31" s="7">
        <f t="shared" si="43"/>
        <v>465.4</v>
      </c>
      <c r="BG31" s="46">
        <f>SUMIFS(SPEW_Pig_iron_production!$V:$V,SPEW_Pig_iron_production!$B:$B,$C31)</f>
        <v>317</v>
      </c>
      <c r="BH31" s="7">
        <f t="shared" si="44"/>
        <v>753.39999999999975</v>
      </c>
      <c r="BI31" s="7">
        <f t="shared" si="45"/>
        <v>1189.7999999999997</v>
      </c>
      <c r="BJ31" s="7">
        <f t="shared" si="46"/>
        <v>1626.1999999999998</v>
      </c>
      <c r="BK31" s="7">
        <f t="shared" si="47"/>
        <v>2062.6</v>
      </c>
      <c r="BL31" s="46">
        <f>SUMIFS(SPEW_Pig_iron_production!$W:$W,SPEW_Pig_iron_production!$B:$B,$C31)</f>
        <v>2499</v>
      </c>
      <c r="BM31" s="7">
        <f t="shared" si="48"/>
        <v>2616.2000000000007</v>
      </c>
      <c r="BN31" s="7">
        <f t="shared" si="49"/>
        <v>2733.4000000000005</v>
      </c>
      <c r="BO31" s="7">
        <f t="shared" si="50"/>
        <v>2850.6000000000004</v>
      </c>
      <c r="BP31" s="7">
        <f t="shared" si="51"/>
        <v>2967.8</v>
      </c>
      <c r="BQ31" s="46">
        <f>SUMIFS(SPEW_Pig_iron_production!$X:$X,SPEW_Pig_iron_production!$B:$B,$C31)</f>
        <v>3085</v>
      </c>
      <c r="BR31" s="7">
        <f t="shared" si="52"/>
        <v>3225.2000000000007</v>
      </c>
      <c r="BS31" s="7">
        <f t="shared" si="53"/>
        <v>3365.4000000000005</v>
      </c>
      <c r="BT31" s="7">
        <f t="shared" si="54"/>
        <v>3505.6000000000004</v>
      </c>
      <c r="BU31" s="7">
        <f t="shared" si="55"/>
        <v>3645.8</v>
      </c>
      <c r="BV31" s="46">
        <f>SUMIFS(SPEW_Pig_iron_production!$Y:$Y,SPEW_Pig_iron_production!$B:$B,$C31)</f>
        <v>3786</v>
      </c>
      <c r="BW31" s="7">
        <f t="shared" si="56"/>
        <v>3857.7999999999993</v>
      </c>
      <c r="BX31" s="7">
        <f t="shared" si="57"/>
        <v>3929.5999999999995</v>
      </c>
      <c r="BY31" s="7">
        <f t="shared" si="58"/>
        <v>4001.3999999999996</v>
      </c>
      <c r="BZ31" s="7">
        <f t="shared" si="59"/>
        <v>4073.2</v>
      </c>
      <c r="CA31" s="46">
        <f>SUMIFS(SPEW_Pig_iron_production!$Z:$Z,SPEW_Pig_iron_production!$B:$B,$C31)</f>
        <v>4145</v>
      </c>
      <c r="CB31" s="7">
        <f t="shared" si="60"/>
        <v>4278.7999999999993</v>
      </c>
      <c r="CC31" s="7">
        <f t="shared" si="61"/>
        <v>4412.5999999999995</v>
      </c>
      <c r="CD31" s="7">
        <f t="shared" si="62"/>
        <v>4546.3999999999996</v>
      </c>
      <c r="CE31" s="7">
        <f t="shared" si="63"/>
        <v>4680.2</v>
      </c>
      <c r="CF31" s="46">
        <f>SUMIFS(SPEW_Pig_iron_production!$AA:$AA,SPEW_Pig_iron_production!$B:$B,$C31)</f>
        <v>4814</v>
      </c>
      <c r="CG31" s="7">
        <f t="shared" si="64"/>
        <v>4629</v>
      </c>
      <c r="CH31" s="7">
        <f t="shared" si="65"/>
        <v>4444</v>
      </c>
      <c r="CI31" s="7">
        <f t="shared" si="66"/>
        <v>4259</v>
      </c>
      <c r="CJ31" s="7">
        <f t="shared" si="67"/>
        <v>4074</v>
      </c>
      <c r="CK31" s="46">
        <f>SUMIFS(SPEW_Pig_iron_production!$AB:$AB,SPEW_Pig_iron_production!$B:$B,$C31)</f>
        <v>3889</v>
      </c>
      <c r="CL31" s="7">
        <f t="shared" si="68"/>
        <v>3824.7999999999993</v>
      </c>
      <c r="CM31" s="7">
        <f t="shared" si="69"/>
        <v>3760.5999999999995</v>
      </c>
      <c r="CN31" s="7">
        <f t="shared" si="70"/>
        <v>3696.3999999999996</v>
      </c>
      <c r="CO31" s="7">
        <f t="shared" si="71"/>
        <v>3632.2</v>
      </c>
      <c r="CP31" s="2">
        <f>[1]Data!B31</f>
        <v>3568</v>
      </c>
      <c r="CQ31" s="2">
        <f>[1]Data!C31</f>
        <v>2889</v>
      </c>
      <c r="CR31" s="2">
        <f>[1]Data!D31</f>
        <v>2587</v>
      </c>
      <c r="CS31" s="2">
        <f>[1]Data!E31</f>
        <v>2316</v>
      </c>
      <c r="CT31" s="2">
        <f>[1]Data!F31</f>
        <v>2768</v>
      </c>
      <c r="CU31" s="2">
        <f>[1]Data!G31</f>
        <v>2754</v>
      </c>
      <c r="CV31" s="2">
        <f>[1]Data!H31</f>
        <v>2650</v>
      </c>
      <c r="CW31" s="2">
        <f>[1]Data!I31</f>
        <v>2305</v>
      </c>
      <c r="CX31" s="2">
        <f>[1]Data!J31</f>
        <v>2519</v>
      </c>
      <c r="CY31" s="2">
        <f>[1]Data!K31</f>
        <v>2684</v>
      </c>
      <c r="CZ31" s="2">
        <f>[1]Data!L31</f>
        <v>2645</v>
      </c>
      <c r="DA31" s="2">
        <f>[1]Data!M31</f>
        <v>2463</v>
      </c>
      <c r="DB31" s="2">
        <f>[1]Data!N31</f>
        <v>2255</v>
      </c>
      <c r="DC31" s="2">
        <f>[1]Data!O31</f>
        <v>2412</v>
      </c>
      <c r="DD31" s="2">
        <f>[1]Data!P31</f>
        <v>1927</v>
      </c>
      <c r="DE31" s="2">
        <f>[1]Data!Q31</f>
        <v>1028</v>
      </c>
      <c r="DF31" s="2">
        <f>[1]Data!R31</f>
        <v>829</v>
      </c>
      <c r="DG31" s="2">
        <f>[1]Data!S31</f>
        <v>438</v>
      </c>
      <c r="DH31" s="2">
        <f>[1]Data!T31</f>
        <v>0</v>
      </c>
      <c r="DI31" s="2">
        <f>[1]Data!U31</f>
        <v>0</v>
      </c>
      <c r="DJ31" s="2">
        <f>[1]Data!V31</f>
        <v>0</v>
      </c>
      <c r="DK31" s="2">
        <f>[1]Data!W31</f>
        <v>0</v>
      </c>
      <c r="DL31" s="2">
        <f>[1]Data!X31</f>
        <v>0</v>
      </c>
      <c r="DM31" s="2">
        <f>[1]Data!Y31</f>
        <v>0</v>
      </c>
      <c r="DN31" s="2">
        <f>[1]Data!Z31</f>
        <v>0</v>
      </c>
      <c r="DO31" s="2">
        <f>[1]Data!AA31</f>
        <v>0</v>
      </c>
      <c r="DP31" s="2">
        <f>[1]Data!AB31</f>
        <v>0</v>
      </c>
      <c r="DQ31" s="2">
        <f>[1]Data!AC31</f>
        <v>0</v>
      </c>
      <c r="DR31" s="2">
        <f>[1]Data!AD31</f>
        <v>0</v>
      </c>
      <c r="DS31" s="2">
        <f>[1]Data!AE31</f>
        <v>0</v>
      </c>
      <c r="DT31" s="2">
        <f>[1]Data!AF31</f>
        <v>0</v>
      </c>
      <c r="DU31" s="2">
        <f>[1]Data!AG31</f>
        <v>0</v>
      </c>
      <c r="DV31" s="2">
        <f>[1]Data!AH31</f>
        <v>0</v>
      </c>
      <c r="DW31" s="2">
        <f>[1]Data!AI31</f>
        <v>0</v>
      </c>
      <c r="DX31" s="2">
        <v>0</v>
      </c>
      <c r="DY31" s="2">
        <f>[4]Data!AK31</f>
        <v>0</v>
      </c>
      <c r="DZ31" s="2">
        <f>[4]Data!AL31</f>
        <v>0</v>
      </c>
      <c r="EA31" s="2">
        <f>[4]Data!AM31</f>
        <v>0</v>
      </c>
    </row>
    <row r="32" spans="1:131" ht="16" x14ac:dyDescent="0.2">
      <c r="A32" t="s">
        <v>30</v>
      </c>
      <c r="C32" s="9" t="s">
        <v>110</v>
      </c>
      <c r="D32" s="46"/>
      <c r="E32" s="7">
        <f t="shared" si="0"/>
        <v>0</v>
      </c>
      <c r="F32" s="7">
        <f t="shared" si="1"/>
        <v>0</v>
      </c>
      <c r="G32" s="7">
        <f t="shared" si="2"/>
        <v>0</v>
      </c>
      <c r="H32" s="7">
        <f t="shared" si="3"/>
        <v>0</v>
      </c>
      <c r="I32" s="46"/>
      <c r="J32" s="7">
        <f t="shared" si="4"/>
        <v>0</v>
      </c>
      <c r="K32" s="7">
        <f t="shared" si="5"/>
        <v>0</v>
      </c>
      <c r="L32" s="7">
        <f t="shared" si="6"/>
        <v>0</v>
      </c>
      <c r="M32" s="7">
        <f t="shared" si="7"/>
        <v>0</v>
      </c>
      <c r="N32" s="46"/>
      <c r="O32" s="7">
        <f t="shared" si="8"/>
        <v>0</v>
      </c>
      <c r="P32" s="7">
        <f t="shared" si="9"/>
        <v>0</v>
      </c>
      <c r="Q32" s="7">
        <f t="shared" si="10"/>
        <v>0</v>
      </c>
      <c r="R32" s="7">
        <f t="shared" si="11"/>
        <v>0</v>
      </c>
      <c r="S32" s="46"/>
      <c r="T32" s="7">
        <f t="shared" si="12"/>
        <v>0</v>
      </c>
      <c r="U32" s="7">
        <f t="shared" si="13"/>
        <v>0</v>
      </c>
      <c r="V32" s="7">
        <f t="shared" si="14"/>
        <v>0</v>
      </c>
      <c r="W32" s="7">
        <f t="shared" si="15"/>
        <v>0</v>
      </c>
      <c r="X32" s="46"/>
      <c r="Y32" s="7">
        <f t="shared" si="16"/>
        <v>0</v>
      </c>
      <c r="Z32" s="7">
        <f t="shared" si="17"/>
        <v>0</v>
      </c>
      <c r="AA32" s="7">
        <f t="shared" si="18"/>
        <v>0</v>
      </c>
      <c r="AB32" s="7">
        <f t="shared" si="19"/>
        <v>0</v>
      </c>
      <c r="AC32" s="46"/>
      <c r="AD32" s="7">
        <f t="shared" si="20"/>
        <v>0</v>
      </c>
      <c r="AE32" s="7">
        <f t="shared" si="21"/>
        <v>0</v>
      </c>
      <c r="AF32" s="7">
        <f t="shared" si="22"/>
        <v>0</v>
      </c>
      <c r="AG32" s="7">
        <f t="shared" si="23"/>
        <v>0</v>
      </c>
      <c r="AH32" s="46"/>
      <c r="AI32" s="7">
        <f t="shared" si="24"/>
        <v>0</v>
      </c>
      <c r="AJ32" s="7">
        <f t="shared" si="25"/>
        <v>0</v>
      </c>
      <c r="AK32" s="7">
        <f t="shared" si="26"/>
        <v>0</v>
      </c>
      <c r="AL32" s="7">
        <f t="shared" si="27"/>
        <v>0</v>
      </c>
      <c r="AM32" s="46">
        <f>SUMIFS(SPEW_Pig_iron_production!$R:$R,SPEW_Pig_iron_production!$B:$B,$C32)</f>
        <v>0</v>
      </c>
      <c r="AN32" s="7">
        <f t="shared" si="28"/>
        <v>0</v>
      </c>
      <c r="AO32" s="7">
        <f t="shared" si="29"/>
        <v>0</v>
      </c>
      <c r="AP32" s="7">
        <f t="shared" si="30"/>
        <v>0</v>
      </c>
      <c r="AQ32" s="7">
        <f t="shared" si="31"/>
        <v>0</v>
      </c>
      <c r="AR32" s="46">
        <f>SUMIFS(SPEW_Pig_iron_production!$S:$S,SPEW_Pig_iron_production!$B:$B,$C32)</f>
        <v>0</v>
      </c>
      <c r="AS32" s="7">
        <f t="shared" si="32"/>
        <v>0</v>
      </c>
      <c r="AT32" s="7">
        <f t="shared" si="33"/>
        <v>0</v>
      </c>
      <c r="AU32" s="7">
        <f t="shared" si="34"/>
        <v>0</v>
      </c>
      <c r="AV32" s="7">
        <f t="shared" si="35"/>
        <v>0</v>
      </c>
      <c r="AW32" s="46">
        <f>SUMIFS(SPEW_Pig_iron_production!$T:$T,SPEW_Pig_iron_production!$B:$B,$C32)</f>
        <v>0</v>
      </c>
      <c r="AX32" s="7">
        <f t="shared" si="36"/>
        <v>0</v>
      </c>
      <c r="AY32" s="7">
        <f t="shared" si="37"/>
        <v>0</v>
      </c>
      <c r="AZ32" s="7">
        <f t="shared" si="38"/>
        <v>0</v>
      </c>
      <c r="BA32" s="7">
        <f t="shared" si="39"/>
        <v>0</v>
      </c>
      <c r="BB32" s="46">
        <f>SUMIFS(SPEW_Pig_iron_production!$U:$U,SPEW_Pig_iron_production!$B:$B,$C32)</f>
        <v>0</v>
      </c>
      <c r="BC32" s="7">
        <f t="shared" si="40"/>
        <v>0</v>
      </c>
      <c r="BD32" s="7">
        <f t="shared" si="41"/>
        <v>0</v>
      </c>
      <c r="BE32" s="7">
        <f t="shared" si="42"/>
        <v>0</v>
      </c>
      <c r="BF32" s="7">
        <f t="shared" si="43"/>
        <v>0</v>
      </c>
      <c r="BG32" s="46">
        <f>SUMIFS(SPEW_Pig_iron_production!$V:$V,SPEW_Pig_iron_production!$B:$B,$C32)</f>
        <v>0</v>
      </c>
      <c r="BH32" s="7">
        <f t="shared" si="44"/>
        <v>0</v>
      </c>
      <c r="BI32" s="7">
        <f t="shared" si="45"/>
        <v>0</v>
      </c>
      <c r="BJ32" s="7">
        <f t="shared" si="46"/>
        <v>0</v>
      </c>
      <c r="BK32" s="7">
        <f t="shared" si="47"/>
        <v>0</v>
      </c>
      <c r="BL32" s="46">
        <f>SUMIFS(SPEW_Pig_iron_production!$W:$W,SPEW_Pig_iron_production!$B:$B,$C32)</f>
        <v>0</v>
      </c>
      <c r="BM32" s="7">
        <f t="shared" si="48"/>
        <v>0</v>
      </c>
      <c r="BN32" s="7">
        <f t="shared" si="49"/>
        <v>0</v>
      </c>
      <c r="BO32" s="7">
        <f t="shared" si="50"/>
        <v>0</v>
      </c>
      <c r="BP32" s="7">
        <f t="shared" si="51"/>
        <v>0</v>
      </c>
      <c r="BQ32" s="46">
        <f>SUMIFS(SPEW_Pig_iron_production!$X:$X,SPEW_Pig_iron_production!$B:$B,$C32)</f>
        <v>0</v>
      </c>
      <c r="BR32" s="7">
        <f t="shared" si="52"/>
        <v>0</v>
      </c>
      <c r="BS32" s="7">
        <f t="shared" si="53"/>
        <v>0</v>
      </c>
      <c r="BT32" s="7">
        <f t="shared" si="54"/>
        <v>0</v>
      </c>
      <c r="BU32" s="7">
        <f t="shared" si="55"/>
        <v>0</v>
      </c>
      <c r="BV32" s="46">
        <f>SUMIFS(SPEW_Pig_iron_production!$Y:$Y,SPEW_Pig_iron_production!$B:$B,$C32)</f>
        <v>0</v>
      </c>
      <c r="BW32" s="7">
        <f t="shared" si="56"/>
        <v>0</v>
      </c>
      <c r="BX32" s="7">
        <f t="shared" si="57"/>
        <v>0</v>
      </c>
      <c r="BY32" s="7">
        <f t="shared" si="58"/>
        <v>0</v>
      </c>
      <c r="BZ32" s="7">
        <f t="shared" si="59"/>
        <v>0</v>
      </c>
      <c r="CA32" s="46">
        <f>SUMIFS(SPEW_Pig_iron_production!$Z:$Z,SPEW_Pig_iron_production!$B:$B,$C32)</f>
        <v>0</v>
      </c>
      <c r="CB32" s="7">
        <f t="shared" si="60"/>
        <v>0</v>
      </c>
      <c r="CC32" s="7">
        <f t="shared" si="61"/>
        <v>0</v>
      </c>
      <c r="CD32" s="7">
        <f t="shared" si="62"/>
        <v>0</v>
      </c>
      <c r="CE32" s="7">
        <f t="shared" si="63"/>
        <v>0</v>
      </c>
      <c r="CF32" s="46">
        <f>SUMIFS(SPEW_Pig_iron_production!$AA:$AA,SPEW_Pig_iron_production!$B:$B,$C32)</f>
        <v>0</v>
      </c>
      <c r="CG32" s="7">
        <f t="shared" si="64"/>
        <v>0</v>
      </c>
      <c r="CH32" s="7">
        <f t="shared" si="65"/>
        <v>0</v>
      </c>
      <c r="CI32" s="7">
        <f t="shared" si="66"/>
        <v>0</v>
      </c>
      <c r="CJ32" s="7">
        <f t="shared" si="67"/>
        <v>0</v>
      </c>
      <c r="CK32" s="46">
        <f>SUMIFS(SPEW_Pig_iron_production!$AB:$AB,SPEW_Pig_iron_production!$B:$B,$C32)</f>
        <v>0</v>
      </c>
      <c r="CL32" s="7">
        <f t="shared" si="68"/>
        <v>12</v>
      </c>
      <c r="CM32" s="7">
        <f t="shared" si="69"/>
        <v>24</v>
      </c>
      <c r="CN32" s="7">
        <f t="shared" si="70"/>
        <v>36</v>
      </c>
      <c r="CO32" s="7">
        <f t="shared" si="71"/>
        <v>48</v>
      </c>
      <c r="CP32" s="2">
        <f>[1]Data!B32</f>
        <v>60</v>
      </c>
      <c r="CQ32" s="2">
        <f>[1]Data!C32</f>
        <v>70</v>
      </c>
      <c r="CR32" s="2">
        <f>[1]Data!D32</f>
        <v>90</v>
      </c>
      <c r="CS32" s="2">
        <f>[1]Data!E32</f>
        <v>110</v>
      </c>
      <c r="CT32" s="2">
        <f>[1]Data!F32</f>
        <v>110</v>
      </c>
      <c r="CU32" s="2">
        <f>[1]Data!G32</f>
        <v>120</v>
      </c>
      <c r="CV32" s="2">
        <f>[1]Data!H32</f>
        <v>120</v>
      </c>
      <c r="CW32" s="2">
        <f>[1]Data!I32</f>
        <v>130</v>
      </c>
      <c r="CX32" s="2">
        <f>[1]Data!J32</f>
        <v>130</v>
      </c>
      <c r="CY32" s="2">
        <f>[1]Data!K32</f>
        <v>140</v>
      </c>
      <c r="CZ32" s="2">
        <f>[1]Data!L32</f>
        <v>140</v>
      </c>
      <c r="DA32" s="2">
        <f>[1]Data!M32</f>
        <v>150</v>
      </c>
      <c r="DB32" s="2">
        <f>[1]Data!N32</f>
        <v>150</v>
      </c>
      <c r="DC32" s="2">
        <f>[1]Data!O32</f>
        <v>160</v>
      </c>
      <c r="DD32" s="2">
        <f>[1]Data!P32</f>
        <v>160</v>
      </c>
      <c r="DE32" s="2">
        <f>[1]Data!Q32</f>
        <v>50</v>
      </c>
      <c r="DF32" s="2">
        <f>[1]Data!R32</f>
        <v>0</v>
      </c>
      <c r="DG32" s="2">
        <f>[1]Data!S32</f>
        <v>0</v>
      </c>
      <c r="DH32" s="2">
        <f>[1]Data!T32</f>
        <v>0</v>
      </c>
      <c r="DI32" s="2">
        <f>[1]Data!U32</f>
        <v>0</v>
      </c>
      <c r="DJ32" s="2">
        <f>[1]Data!V32</f>
        <v>0</v>
      </c>
      <c r="DK32" s="2">
        <f>[1]Data!W32</f>
        <v>0</v>
      </c>
      <c r="DL32" s="2">
        <f>[1]Data!X32</f>
        <v>0</v>
      </c>
      <c r="DM32" s="2">
        <f>[1]Data!Y32</f>
        <v>0</v>
      </c>
      <c r="DN32" s="2">
        <f>[1]Data!Z32</f>
        <v>0</v>
      </c>
      <c r="DO32" s="2">
        <f>[1]Data!AA32</f>
        <v>0</v>
      </c>
      <c r="DP32" s="2">
        <f>[1]Data!AB32</f>
        <v>0</v>
      </c>
      <c r="DQ32" s="2">
        <f>[1]Data!AC32</f>
        <v>0</v>
      </c>
      <c r="DR32" s="2">
        <f>[1]Data!AD32</f>
        <v>0</v>
      </c>
      <c r="DS32" s="2">
        <f>[1]Data!AE32</f>
        <v>0</v>
      </c>
      <c r="DT32" s="2">
        <f>[1]Data!AF32</f>
        <v>0</v>
      </c>
      <c r="DU32" s="2">
        <f>[1]Data!AG32</f>
        <v>0</v>
      </c>
      <c r="DV32" s="2">
        <f>[1]Data!AH32</f>
        <v>0</v>
      </c>
      <c r="DW32" s="2">
        <f>[1]Data!AI32</f>
        <v>0</v>
      </c>
      <c r="DX32" s="2">
        <v>0</v>
      </c>
      <c r="DY32" s="2">
        <f>[4]Data!AK32</f>
        <v>477</v>
      </c>
      <c r="DZ32" s="2">
        <f>[4]Data!AL32</f>
        <v>522</v>
      </c>
      <c r="EA32" s="2">
        <f>[4]Data!AM32</f>
        <v>382</v>
      </c>
    </row>
    <row r="33" spans="1:131" ht="16" x14ac:dyDescent="0.2">
      <c r="A33" t="s">
        <v>31</v>
      </c>
      <c r="C33" s="9" t="s">
        <v>111</v>
      </c>
      <c r="D33" s="46">
        <v>0</v>
      </c>
      <c r="E33" s="7">
        <f t="shared" si="0"/>
        <v>0</v>
      </c>
      <c r="F33" s="7">
        <f t="shared" si="1"/>
        <v>0</v>
      </c>
      <c r="G33" s="7">
        <f t="shared" si="2"/>
        <v>0</v>
      </c>
      <c r="H33" s="7">
        <f t="shared" si="3"/>
        <v>0</v>
      </c>
      <c r="I33" s="46">
        <v>0</v>
      </c>
      <c r="J33" s="7">
        <f t="shared" si="4"/>
        <v>0</v>
      </c>
      <c r="K33" s="7">
        <f t="shared" si="5"/>
        <v>0</v>
      </c>
      <c r="L33" s="7">
        <f t="shared" si="6"/>
        <v>0</v>
      </c>
      <c r="M33" s="7">
        <f t="shared" si="7"/>
        <v>0</v>
      </c>
      <c r="N33" s="46">
        <v>0</v>
      </c>
      <c r="O33" s="7">
        <f t="shared" si="8"/>
        <v>0</v>
      </c>
      <c r="P33" s="7">
        <f t="shared" si="9"/>
        <v>0</v>
      </c>
      <c r="Q33" s="7">
        <f t="shared" si="10"/>
        <v>0</v>
      </c>
      <c r="R33" s="7">
        <f t="shared" si="11"/>
        <v>0</v>
      </c>
      <c r="S33" s="46">
        <v>0</v>
      </c>
      <c r="T33" s="7">
        <f t="shared" si="12"/>
        <v>0</v>
      </c>
      <c r="U33" s="7">
        <f t="shared" si="13"/>
        <v>0</v>
      </c>
      <c r="V33" s="7">
        <f t="shared" si="14"/>
        <v>0</v>
      </c>
      <c r="W33" s="7">
        <f t="shared" si="15"/>
        <v>0</v>
      </c>
      <c r="X33" s="46">
        <v>0</v>
      </c>
      <c r="Y33" s="7">
        <f t="shared" si="16"/>
        <v>0</v>
      </c>
      <c r="Z33" s="7">
        <f t="shared" si="17"/>
        <v>0</v>
      </c>
      <c r="AA33" s="7">
        <f t="shared" si="18"/>
        <v>0</v>
      </c>
      <c r="AB33" s="7">
        <f t="shared" si="19"/>
        <v>0</v>
      </c>
      <c r="AC33" s="46">
        <f>Hyde_iron!$H$38*AH33/(AH$11+AH$33)</f>
        <v>0</v>
      </c>
      <c r="AD33" s="7">
        <f t="shared" si="20"/>
        <v>5.210126582278483</v>
      </c>
      <c r="AE33" s="7">
        <f t="shared" si="21"/>
        <v>10.420253164556964</v>
      </c>
      <c r="AF33" s="7">
        <f t="shared" si="22"/>
        <v>15.630379746835445</v>
      </c>
      <c r="AG33" s="7">
        <f t="shared" si="23"/>
        <v>20.840506329113925</v>
      </c>
      <c r="AH33" s="46">
        <f>Hyde_iron!$I$38*AM33/(AM$11+AM$33)</f>
        <v>26.050632911392405</v>
      </c>
      <c r="AI33" s="7">
        <f t="shared" si="24"/>
        <v>30.640506329113919</v>
      </c>
      <c r="AJ33" s="7">
        <f t="shared" si="25"/>
        <v>35.230379746835439</v>
      </c>
      <c r="AK33" s="7">
        <f t="shared" si="26"/>
        <v>39.820253164556959</v>
      </c>
      <c r="AL33" s="7">
        <f t="shared" si="27"/>
        <v>44.41012658227848</v>
      </c>
      <c r="AM33" s="46">
        <f>SUMIFS(SPEW_Pig_iron_production!$R:$R,SPEW_Pig_iron_production!$B:$B,$C33)</f>
        <v>49</v>
      </c>
      <c r="AN33" s="7">
        <f t="shared" si="28"/>
        <v>50.800000000000011</v>
      </c>
      <c r="AO33" s="7">
        <f t="shared" si="29"/>
        <v>52.600000000000009</v>
      </c>
      <c r="AP33" s="7">
        <f t="shared" si="30"/>
        <v>54.400000000000006</v>
      </c>
      <c r="AQ33" s="7">
        <f t="shared" si="31"/>
        <v>56.2</v>
      </c>
      <c r="AR33" s="46">
        <f>SUMIFS(SPEW_Pig_iron_production!$S:$S,SPEW_Pig_iron_production!$B:$B,$C33)</f>
        <v>58</v>
      </c>
      <c r="AS33" s="7">
        <f t="shared" si="32"/>
        <v>59</v>
      </c>
      <c r="AT33" s="7">
        <f t="shared" si="33"/>
        <v>60</v>
      </c>
      <c r="AU33" s="7">
        <f t="shared" si="34"/>
        <v>61</v>
      </c>
      <c r="AV33" s="7">
        <f t="shared" si="35"/>
        <v>62</v>
      </c>
      <c r="AW33" s="46">
        <f>SUMIFS(SPEW_Pig_iron_production!$T:$T,SPEW_Pig_iron_production!$B:$B,$C33)</f>
        <v>63</v>
      </c>
      <c r="AX33" s="7">
        <f t="shared" si="36"/>
        <v>68.800000000000011</v>
      </c>
      <c r="AY33" s="7">
        <f t="shared" si="37"/>
        <v>74.600000000000009</v>
      </c>
      <c r="AZ33" s="7">
        <f t="shared" si="38"/>
        <v>80.400000000000006</v>
      </c>
      <c r="BA33" s="7">
        <f t="shared" si="39"/>
        <v>86.2</v>
      </c>
      <c r="BB33" s="46">
        <f>SUMIFS(SPEW_Pig_iron_production!$U:$U,SPEW_Pig_iron_production!$B:$B,$C33)</f>
        <v>92</v>
      </c>
      <c r="BC33" s="7">
        <f t="shared" si="40"/>
        <v>115.60000000000002</v>
      </c>
      <c r="BD33" s="7">
        <f t="shared" si="41"/>
        <v>139.20000000000002</v>
      </c>
      <c r="BE33" s="7">
        <f t="shared" si="42"/>
        <v>162.80000000000001</v>
      </c>
      <c r="BF33" s="7">
        <f t="shared" si="43"/>
        <v>186.4</v>
      </c>
      <c r="BG33" s="46">
        <f>SUMIFS(SPEW_Pig_iron_production!$V:$V,SPEW_Pig_iron_production!$B:$B,$C33)</f>
        <v>210</v>
      </c>
      <c r="BH33" s="7">
        <f t="shared" si="44"/>
        <v>213.39999999999998</v>
      </c>
      <c r="BI33" s="7">
        <f t="shared" si="45"/>
        <v>216.79999999999998</v>
      </c>
      <c r="BJ33" s="7">
        <f t="shared" si="46"/>
        <v>220.2</v>
      </c>
      <c r="BK33" s="7">
        <f t="shared" si="47"/>
        <v>223.6</v>
      </c>
      <c r="BL33" s="46">
        <f>SUMIFS(SPEW_Pig_iron_production!$W:$W,SPEW_Pig_iron_production!$B:$B,$C33)</f>
        <v>227</v>
      </c>
      <c r="BM33" s="7">
        <f t="shared" si="48"/>
        <v>244</v>
      </c>
      <c r="BN33" s="7">
        <f t="shared" si="49"/>
        <v>261</v>
      </c>
      <c r="BO33" s="7">
        <f t="shared" si="50"/>
        <v>278</v>
      </c>
      <c r="BP33" s="7">
        <f t="shared" si="51"/>
        <v>295</v>
      </c>
      <c r="BQ33" s="46">
        <f>SUMIFS(SPEW_Pig_iron_production!$X:$X,SPEW_Pig_iron_production!$B:$B,$C33)</f>
        <v>312</v>
      </c>
      <c r="BR33" s="7">
        <f t="shared" si="52"/>
        <v>386.19999999999993</v>
      </c>
      <c r="BS33" s="7">
        <f t="shared" si="53"/>
        <v>460.39999999999992</v>
      </c>
      <c r="BT33" s="7">
        <f t="shared" si="54"/>
        <v>534.59999999999991</v>
      </c>
      <c r="BU33" s="7">
        <f t="shared" si="55"/>
        <v>608.79999999999995</v>
      </c>
      <c r="BV33" s="46">
        <f>SUMIFS(SPEW_Pig_iron_production!$Y:$Y,SPEW_Pig_iron_production!$B:$B,$C33)</f>
        <v>683</v>
      </c>
      <c r="BW33" s="7">
        <f t="shared" si="56"/>
        <v>743.40000000000009</v>
      </c>
      <c r="BX33" s="7">
        <f t="shared" si="57"/>
        <v>803.80000000000007</v>
      </c>
      <c r="BY33" s="7">
        <f t="shared" si="58"/>
        <v>864.2</v>
      </c>
      <c r="BZ33" s="7">
        <f t="shared" si="59"/>
        <v>924.6</v>
      </c>
      <c r="CA33" s="46">
        <f>SUMIFS(SPEW_Pig_iron_production!$Z:$Z,SPEW_Pig_iron_production!$B:$B,$C33)</f>
        <v>985</v>
      </c>
      <c r="CB33" s="7">
        <f t="shared" si="60"/>
        <v>1258.6000000000004</v>
      </c>
      <c r="CC33" s="7">
        <f t="shared" si="61"/>
        <v>1532.2000000000003</v>
      </c>
      <c r="CD33" s="7">
        <f t="shared" si="62"/>
        <v>1805.8000000000002</v>
      </c>
      <c r="CE33" s="7">
        <f t="shared" si="63"/>
        <v>2079.4</v>
      </c>
      <c r="CF33" s="46">
        <f>SUMIFS(SPEW_Pig_iron_production!$AA:$AA,SPEW_Pig_iron_production!$B:$B,$C33)</f>
        <v>2353</v>
      </c>
      <c r="CG33" s="7">
        <f t="shared" si="64"/>
        <v>2498.7999999999993</v>
      </c>
      <c r="CH33" s="7">
        <f t="shared" si="65"/>
        <v>2644.5999999999995</v>
      </c>
      <c r="CI33" s="7">
        <f t="shared" si="66"/>
        <v>2790.3999999999996</v>
      </c>
      <c r="CJ33" s="7">
        <f t="shared" si="67"/>
        <v>2936.2</v>
      </c>
      <c r="CK33" s="46">
        <f>SUMIFS(SPEW_Pig_iron_production!$AB:$AB,SPEW_Pig_iron_production!$B:$B,$C33)</f>
        <v>3082</v>
      </c>
      <c r="CL33" s="7">
        <f t="shared" si="68"/>
        <v>3193.3999999999996</v>
      </c>
      <c r="CM33" s="7">
        <f t="shared" si="69"/>
        <v>3304.7999999999997</v>
      </c>
      <c r="CN33" s="7">
        <f t="shared" si="70"/>
        <v>3416.2</v>
      </c>
      <c r="CO33" s="7">
        <f t="shared" si="71"/>
        <v>3527.6</v>
      </c>
      <c r="CP33" s="2">
        <f>[1]Data!B33</f>
        <v>3639</v>
      </c>
      <c r="CQ33" s="2">
        <f>[1]Data!C33</f>
        <v>3767</v>
      </c>
      <c r="CR33" s="2">
        <f>[1]Data!D33</f>
        <v>3598</v>
      </c>
      <c r="CS33" s="2">
        <f>[1]Data!E33</f>
        <v>3537</v>
      </c>
      <c r="CT33" s="2">
        <f>[1]Data!F33</f>
        <v>3926</v>
      </c>
      <c r="CU33" s="2">
        <f>[1]Data!G33</f>
        <v>3595</v>
      </c>
      <c r="CV33" s="2">
        <f>[1]Data!H33</f>
        <v>3738</v>
      </c>
      <c r="CW33" s="2">
        <f>[1]Data!I33</f>
        <v>3712</v>
      </c>
      <c r="CX33" s="2">
        <f>[1]Data!J33</f>
        <v>3678</v>
      </c>
      <c r="CY33" s="2">
        <f>[1]Data!K33</f>
        <v>3230</v>
      </c>
      <c r="CZ33" s="2">
        <f>[1]Data!L33</f>
        <v>3665</v>
      </c>
      <c r="DA33" s="2">
        <f>[1]Data!M33</f>
        <v>2962</v>
      </c>
      <c r="DB33" s="2">
        <f>[1]Data!N33</f>
        <v>3404</v>
      </c>
      <c r="DC33" s="2">
        <f>[1]Data!O33</f>
        <v>3423</v>
      </c>
      <c r="DD33" s="2">
        <f>[1]Data!P33</f>
        <v>3501</v>
      </c>
      <c r="DE33" s="2">
        <f>[1]Data!Q33</f>
        <v>4142</v>
      </c>
      <c r="DF33" s="2">
        <f>[1]Data!R33</f>
        <v>4229</v>
      </c>
      <c r="DG33" s="2">
        <f>[1]Data!S33</f>
        <v>4450</v>
      </c>
      <c r="DH33" s="2">
        <f>[1]Data!T33</f>
        <v>4532</v>
      </c>
      <c r="DI33" s="2">
        <f>[1]Data!U33</f>
        <v>4822</v>
      </c>
      <c r="DJ33" s="2">
        <f>[1]Data!V33</f>
        <v>4856</v>
      </c>
      <c r="DK33" s="2">
        <f>[1]Data!W33</f>
        <v>4373</v>
      </c>
      <c r="DL33" s="2">
        <f>[1]Data!X33</f>
        <v>3996</v>
      </c>
      <c r="DM33" s="2">
        <f>[1]Data!Y33</f>
        <v>4183</v>
      </c>
      <c r="DN33" s="2">
        <f>[1]Data!Z33</f>
        <v>4278</v>
      </c>
      <c r="DO33" s="2">
        <f>[1]Data!AA33</f>
        <v>4047</v>
      </c>
      <c r="DP33" s="2">
        <f>[1]Data!AB33</f>
        <v>3790</v>
      </c>
      <c r="DQ33" s="2">
        <f>[1]Data!AC33</f>
        <v>4078</v>
      </c>
      <c r="DR33" s="2">
        <f>[1]Data!AD33</f>
        <v>4450</v>
      </c>
      <c r="DS33" s="2">
        <f>[1]Data!AE33</f>
        <v>3919</v>
      </c>
      <c r="DT33" s="2">
        <f>[1]Data!AF33</f>
        <v>4707</v>
      </c>
      <c r="DU33" s="2">
        <f>[1]Data!AG33</f>
        <v>4609</v>
      </c>
      <c r="DV33" s="2">
        <f>[1]Data!AH33</f>
        <v>4611</v>
      </c>
      <c r="DW33" s="2">
        <f>[1]Data!AI33</f>
        <v>4911</v>
      </c>
      <c r="DX33" s="2">
        <v>5116</v>
      </c>
      <c r="DY33" s="2">
        <f>[4]Data!AK33</f>
        <v>4573</v>
      </c>
      <c r="DZ33" s="2">
        <f>[4]Data!AL33</f>
        <v>4476</v>
      </c>
      <c r="EA33" s="2">
        <f>[4]Data!AM33</f>
        <v>4245</v>
      </c>
    </row>
    <row r="34" spans="1:131" ht="16" x14ac:dyDescent="0.2">
      <c r="A34" t="s">
        <v>32</v>
      </c>
      <c r="C34" s="9" t="s">
        <v>112</v>
      </c>
      <c r="D34" s="46"/>
      <c r="E34" s="7">
        <f t="shared" si="0"/>
        <v>0</v>
      </c>
      <c r="F34" s="7">
        <f t="shared" si="1"/>
        <v>0</v>
      </c>
      <c r="G34" s="7">
        <f t="shared" si="2"/>
        <v>0</v>
      </c>
      <c r="H34" s="7">
        <f t="shared" si="3"/>
        <v>0</v>
      </c>
      <c r="I34" s="46"/>
      <c r="J34" s="7">
        <f t="shared" si="4"/>
        <v>0</v>
      </c>
      <c r="K34" s="7">
        <f t="shared" si="5"/>
        <v>0</v>
      </c>
      <c r="L34" s="7">
        <f t="shared" si="6"/>
        <v>0</v>
      </c>
      <c r="M34" s="7">
        <f t="shared" si="7"/>
        <v>0</v>
      </c>
      <c r="N34" s="46"/>
      <c r="O34" s="7">
        <f t="shared" si="8"/>
        <v>0</v>
      </c>
      <c r="P34" s="7">
        <f t="shared" si="9"/>
        <v>0</v>
      </c>
      <c r="Q34" s="7">
        <f t="shared" si="10"/>
        <v>0</v>
      </c>
      <c r="R34" s="7">
        <f t="shared" si="11"/>
        <v>0</v>
      </c>
      <c r="S34" s="46"/>
      <c r="T34" s="7">
        <f t="shared" si="12"/>
        <v>0</v>
      </c>
      <c r="U34" s="7">
        <f t="shared" si="13"/>
        <v>0</v>
      </c>
      <c r="V34" s="7">
        <f t="shared" si="14"/>
        <v>0</v>
      </c>
      <c r="W34" s="7">
        <f t="shared" si="15"/>
        <v>0</v>
      </c>
      <c r="X34" s="46"/>
      <c r="Y34" s="7">
        <f t="shared" si="16"/>
        <v>0</v>
      </c>
      <c r="Z34" s="7">
        <f t="shared" si="17"/>
        <v>0</v>
      </c>
      <c r="AA34" s="7">
        <f t="shared" si="18"/>
        <v>0</v>
      </c>
      <c r="AB34" s="7">
        <f t="shared" si="19"/>
        <v>0</v>
      </c>
      <c r="AC34" s="46"/>
      <c r="AD34" s="7">
        <f t="shared" si="20"/>
        <v>0</v>
      </c>
      <c r="AE34" s="7">
        <f t="shared" si="21"/>
        <v>0</v>
      </c>
      <c r="AF34" s="7">
        <f t="shared" si="22"/>
        <v>0</v>
      </c>
      <c r="AG34" s="7">
        <f t="shared" si="23"/>
        <v>0</v>
      </c>
      <c r="AH34" s="46"/>
      <c r="AI34" s="7">
        <f t="shared" si="24"/>
        <v>0</v>
      </c>
      <c r="AJ34" s="7">
        <f t="shared" si="25"/>
        <v>0</v>
      </c>
      <c r="AK34" s="7">
        <f t="shared" si="26"/>
        <v>0</v>
      </c>
      <c r="AL34" s="7">
        <f t="shared" si="27"/>
        <v>0</v>
      </c>
      <c r="AM34" s="46">
        <f>SUMIFS(SPEW_Pig_iron_production!$R:$R,SPEW_Pig_iron_production!$B:$B,$C34)</f>
        <v>0</v>
      </c>
      <c r="AN34" s="7">
        <f t="shared" si="28"/>
        <v>0</v>
      </c>
      <c r="AO34" s="7">
        <f t="shared" si="29"/>
        <v>0</v>
      </c>
      <c r="AP34" s="7">
        <f t="shared" si="30"/>
        <v>0</v>
      </c>
      <c r="AQ34" s="7">
        <f t="shared" si="31"/>
        <v>0</v>
      </c>
      <c r="AR34" s="46">
        <f>SUMIFS(SPEW_Pig_iron_production!$S:$S,SPEW_Pig_iron_production!$B:$B,$C34)</f>
        <v>0</v>
      </c>
      <c r="AS34" s="7">
        <f t="shared" si="32"/>
        <v>0</v>
      </c>
      <c r="AT34" s="7">
        <f t="shared" si="33"/>
        <v>0</v>
      </c>
      <c r="AU34" s="7">
        <f t="shared" si="34"/>
        <v>0</v>
      </c>
      <c r="AV34" s="7">
        <f t="shared" si="35"/>
        <v>0</v>
      </c>
      <c r="AW34" s="46">
        <f>SUMIFS(SPEW_Pig_iron_production!$T:$T,SPEW_Pig_iron_production!$B:$B,$C34)</f>
        <v>0</v>
      </c>
      <c r="AX34" s="7">
        <f t="shared" si="36"/>
        <v>0</v>
      </c>
      <c r="AY34" s="7">
        <f t="shared" si="37"/>
        <v>0</v>
      </c>
      <c r="AZ34" s="7">
        <f t="shared" si="38"/>
        <v>0</v>
      </c>
      <c r="BA34" s="7">
        <f t="shared" si="39"/>
        <v>0</v>
      </c>
      <c r="BB34" s="46">
        <f>SUMIFS(SPEW_Pig_iron_production!$U:$U,SPEW_Pig_iron_production!$B:$B,$C34)</f>
        <v>0</v>
      </c>
      <c r="BC34" s="7">
        <f t="shared" si="40"/>
        <v>0</v>
      </c>
      <c r="BD34" s="7">
        <f t="shared" si="41"/>
        <v>0</v>
      </c>
      <c r="BE34" s="7">
        <f t="shared" si="42"/>
        <v>0</v>
      </c>
      <c r="BF34" s="7">
        <f t="shared" si="43"/>
        <v>0</v>
      </c>
      <c r="BG34" s="46">
        <f>SUMIFS(SPEW_Pig_iron_production!$V:$V,SPEW_Pig_iron_production!$B:$B,$C34)</f>
        <v>0</v>
      </c>
      <c r="BH34" s="7">
        <f t="shared" si="44"/>
        <v>0</v>
      </c>
      <c r="BI34" s="7">
        <f t="shared" si="45"/>
        <v>0</v>
      </c>
      <c r="BJ34" s="7">
        <f t="shared" si="46"/>
        <v>0</v>
      </c>
      <c r="BK34" s="7">
        <f t="shared" si="47"/>
        <v>0</v>
      </c>
      <c r="BL34" s="46">
        <f>SUMIFS(SPEW_Pig_iron_production!$W:$W,SPEW_Pig_iron_production!$B:$B,$C34)</f>
        <v>0</v>
      </c>
      <c r="BM34" s="7">
        <f t="shared" si="48"/>
        <v>0</v>
      </c>
      <c r="BN34" s="7">
        <f t="shared" si="49"/>
        <v>0</v>
      </c>
      <c r="BO34" s="7">
        <f t="shared" si="50"/>
        <v>0</v>
      </c>
      <c r="BP34" s="7">
        <f t="shared" si="51"/>
        <v>0</v>
      </c>
      <c r="BQ34" s="46">
        <f>SUMIFS(SPEW_Pig_iron_production!$X:$X,SPEW_Pig_iron_production!$B:$B,$C34)</f>
        <v>0</v>
      </c>
      <c r="BR34" s="7">
        <f t="shared" si="52"/>
        <v>0</v>
      </c>
      <c r="BS34" s="7">
        <f t="shared" si="53"/>
        <v>0</v>
      </c>
      <c r="BT34" s="7">
        <f t="shared" si="54"/>
        <v>0</v>
      </c>
      <c r="BU34" s="7">
        <f t="shared" si="55"/>
        <v>0</v>
      </c>
      <c r="BV34" s="46">
        <f>SUMIFS(SPEW_Pig_iron_production!$Y:$Y,SPEW_Pig_iron_production!$B:$B,$C34)</f>
        <v>0</v>
      </c>
      <c r="BW34" s="7">
        <f t="shared" si="56"/>
        <v>0</v>
      </c>
      <c r="BX34" s="7">
        <f t="shared" si="57"/>
        <v>0</v>
      </c>
      <c r="BY34" s="7">
        <f t="shared" si="58"/>
        <v>0</v>
      </c>
      <c r="BZ34" s="7">
        <f t="shared" si="59"/>
        <v>0</v>
      </c>
      <c r="CA34" s="46">
        <f>SUMIFS(SPEW_Pig_iron_production!$Z:$Z,SPEW_Pig_iron_production!$B:$B,$C34)</f>
        <v>0</v>
      </c>
      <c r="CB34" s="7">
        <f t="shared" si="60"/>
        <v>0</v>
      </c>
      <c r="CC34" s="7">
        <f t="shared" si="61"/>
        <v>0</v>
      </c>
      <c r="CD34" s="7">
        <f t="shared" si="62"/>
        <v>0</v>
      </c>
      <c r="CE34" s="7">
        <f t="shared" si="63"/>
        <v>0</v>
      </c>
      <c r="CF34" s="46">
        <f>SUMIFS(SPEW_Pig_iron_production!$AA:$AA,SPEW_Pig_iron_production!$B:$B,$C34)</f>
        <v>0</v>
      </c>
      <c r="CG34" s="7">
        <f t="shared" si="64"/>
        <v>0</v>
      </c>
      <c r="CH34" s="7">
        <f t="shared" si="65"/>
        <v>0</v>
      </c>
      <c r="CI34" s="7">
        <f t="shared" si="66"/>
        <v>0</v>
      </c>
      <c r="CJ34" s="7">
        <f t="shared" si="67"/>
        <v>0</v>
      </c>
      <c r="CK34" s="46">
        <f>SUMIFS(SPEW_Pig_iron_production!$AB:$AB,SPEW_Pig_iron_production!$B:$B,$C34)</f>
        <v>0</v>
      </c>
      <c r="CL34" s="7">
        <f t="shared" si="68"/>
        <v>2.2000000000000002</v>
      </c>
      <c r="CM34" s="7">
        <f t="shared" si="69"/>
        <v>4.4000000000000004</v>
      </c>
      <c r="CN34" s="7">
        <f t="shared" si="70"/>
        <v>6.6000000000000005</v>
      </c>
      <c r="CO34" s="7">
        <f t="shared" si="71"/>
        <v>8.8000000000000007</v>
      </c>
      <c r="CP34" s="2">
        <f>[1]Data!B34</f>
        <v>11</v>
      </c>
      <c r="CQ34" s="2">
        <f>[1]Data!C34</f>
        <v>12</v>
      </c>
      <c r="CR34" s="2">
        <f>[1]Data!D34</f>
        <v>12</v>
      </c>
      <c r="CS34" s="2">
        <f>[1]Data!E34</f>
        <v>15</v>
      </c>
      <c r="CT34" s="2">
        <f>[1]Data!F34</f>
        <v>15</v>
      </c>
      <c r="CU34" s="2">
        <f>[1]Data!G34</f>
        <v>15</v>
      </c>
      <c r="CV34" s="2">
        <f>[1]Data!H34</f>
        <v>15</v>
      </c>
      <c r="CW34" s="2">
        <f>[1]Data!I34</f>
        <v>15</v>
      </c>
      <c r="CX34" s="2">
        <f>[1]Data!J34</f>
        <v>15</v>
      </c>
      <c r="CY34" s="2">
        <f>[1]Data!K34</f>
        <v>15</v>
      </c>
      <c r="CZ34" s="2">
        <f>[1]Data!L34</f>
        <v>15</v>
      </c>
      <c r="DA34" s="2">
        <f>[1]Data!M34</f>
        <v>15</v>
      </c>
      <c r="DB34" s="2">
        <f>[1]Data!N34</f>
        <v>15</v>
      </c>
      <c r="DC34" s="2">
        <f>[1]Data!O34</f>
        <v>15</v>
      </c>
      <c r="DD34" s="2">
        <f>[1]Data!P34</f>
        <v>15</v>
      </c>
      <c r="DE34" s="2">
        <f>[1]Data!Q34</f>
        <v>15</v>
      </c>
      <c r="DF34" s="2">
        <f>[1]Data!R34</f>
        <v>15</v>
      </c>
      <c r="DG34" s="2">
        <f>[1]Data!S34</f>
        <v>15</v>
      </c>
      <c r="DH34" s="2">
        <f>[1]Data!T34</f>
        <v>15</v>
      </c>
      <c r="DI34" s="2">
        <f>[1]Data!U34</f>
        <v>15</v>
      </c>
      <c r="DJ34" s="2">
        <f>[1]Data!V34</f>
        <v>15</v>
      </c>
      <c r="DK34" s="2">
        <f>[1]Data!W34</f>
        <v>15</v>
      </c>
      <c r="DL34" s="2">
        <f>[1]Data!X34</f>
        <v>15</v>
      </c>
      <c r="DM34" s="2">
        <f>[1]Data!Y34</f>
        <v>0</v>
      </c>
      <c r="DN34" s="2">
        <f>[1]Data!Z34</f>
        <v>0</v>
      </c>
      <c r="DO34" s="2">
        <f>[1]Data!AA34</f>
        <v>0</v>
      </c>
      <c r="DP34" s="2">
        <f>[1]Data!AB34</f>
        <v>0</v>
      </c>
      <c r="DQ34" s="2">
        <f>[1]Data!AC34</f>
        <v>0</v>
      </c>
      <c r="DR34" s="2">
        <f>[1]Data!AD34</f>
        <v>0</v>
      </c>
      <c r="DS34" s="2">
        <f>[1]Data!AE34</f>
        <v>0</v>
      </c>
      <c r="DT34" s="2">
        <f>[1]Data!AF34</f>
        <v>0</v>
      </c>
      <c r="DU34" s="2">
        <f>[1]Data!AG34</f>
        <v>0</v>
      </c>
      <c r="DV34" s="2">
        <f>[1]Data!AH34</f>
        <v>0</v>
      </c>
      <c r="DW34" s="2">
        <f>[1]Data!AI34</f>
        <v>0</v>
      </c>
      <c r="DX34" s="2">
        <v>0</v>
      </c>
      <c r="DY34" s="2">
        <f>[4]Data!AK34</f>
        <v>0</v>
      </c>
      <c r="DZ34" s="2">
        <f>[4]Data!AL34</f>
        <v>0</v>
      </c>
      <c r="EA34" s="2">
        <f>[4]Data!AM34</f>
        <v>0</v>
      </c>
    </row>
    <row r="35" spans="1:131" ht="16" x14ac:dyDescent="0.2">
      <c r="A35" t="s">
        <v>33</v>
      </c>
      <c r="B35" s="15" t="s">
        <v>286</v>
      </c>
      <c r="C35" s="9" t="s">
        <v>113</v>
      </c>
      <c r="D35" s="46">
        <f>SUMIFS(Hyde_iron!$C$34:$C$48,Hyde_iron!$B$34:$B$48,$B35)*I35/SUMIFS(I$3:I$63,$B$3:$B$63,$B35)</f>
        <v>57.7243842827599</v>
      </c>
      <c r="E35" s="7">
        <f t="shared" si="0"/>
        <v>59.223325186438529</v>
      </c>
      <c r="F35" s="7">
        <f t="shared" si="1"/>
        <v>60.722266090117166</v>
      </c>
      <c r="G35" s="7">
        <f t="shared" si="2"/>
        <v>62.221206993795803</v>
      </c>
      <c r="H35" s="7">
        <f t="shared" si="3"/>
        <v>63.72014789747444</v>
      </c>
      <c r="I35" s="46">
        <f>SUMIFS(Hyde_iron!$D$34:$D$48,Hyde_iron!$B$34:$B$48,$B35)*N35/SUMIFS(N$3:N$63,$B$3:$B$63,$B35)</f>
        <v>65.219088801153077</v>
      </c>
      <c r="J35" s="7">
        <f t="shared" si="4"/>
        <v>67.876066929874028</v>
      </c>
      <c r="K35" s="7">
        <f t="shared" si="5"/>
        <v>70.533045058594965</v>
      </c>
      <c r="L35" s="7">
        <f t="shared" si="6"/>
        <v>73.190023187315902</v>
      </c>
      <c r="M35" s="7">
        <f t="shared" si="7"/>
        <v>75.847001316036838</v>
      </c>
      <c r="N35" s="46">
        <f>SUMIFS(Hyde_iron!$E$34:$E$48,Hyde_iron!$B$34:$B$48,$B35)*S35/SUMIFS(S$3:S$63,$B$3:$B$63,$B35)</f>
        <v>78.503979444757775</v>
      </c>
      <c r="O35" s="7">
        <f t="shared" si="8"/>
        <v>82.891358024691343</v>
      </c>
      <c r="P35" s="7">
        <f t="shared" si="9"/>
        <v>87.27873660462491</v>
      </c>
      <c r="Q35" s="7">
        <f t="shared" si="10"/>
        <v>91.666115184558478</v>
      </c>
      <c r="R35" s="7">
        <f t="shared" si="11"/>
        <v>96.053493764492046</v>
      </c>
      <c r="S35" s="46">
        <f>SUMIFS(Hyde_iron!$F$34:$F$48,Hyde_iron!$B$34:$B$48,$B35)*X35/SUMIFS(X$3:X$63,$B$3:$B$63,$B35)</f>
        <v>100.44087234442561</v>
      </c>
      <c r="T35" s="7">
        <f t="shared" si="12"/>
        <v>102.91002068057904</v>
      </c>
      <c r="U35" s="7">
        <f t="shared" si="13"/>
        <v>105.37916901673245</v>
      </c>
      <c r="V35" s="7">
        <f t="shared" si="14"/>
        <v>107.84831735288586</v>
      </c>
      <c r="W35" s="7">
        <f t="shared" si="15"/>
        <v>110.31746568903927</v>
      </c>
      <c r="X35" s="46">
        <f>SUMIFS(Hyde_iron!$G$34:$G$48,Hyde_iron!$B$34:$B$48,$B35)*AC35/SUMIFS(AC$3:AC$63,$B$3:$B$63,$B35)</f>
        <v>112.78661402519268</v>
      </c>
      <c r="Y35" s="7">
        <f t="shared" si="16"/>
        <v>108.22693488751018</v>
      </c>
      <c r="Z35" s="7">
        <f t="shared" si="17"/>
        <v>103.66725574982766</v>
      </c>
      <c r="AA35" s="7">
        <f t="shared" si="18"/>
        <v>99.107576612145138</v>
      </c>
      <c r="AB35" s="7">
        <f t="shared" si="19"/>
        <v>94.547897474462616</v>
      </c>
      <c r="AC35" s="46">
        <f>SUMIFS(Hyde_iron!$H$34:$H$48,Hyde_iron!$B$34:$B$48,$B35)*AH35/SUMIFS(AH$3:AH$63,$B$3:$B$63,$B35)</f>
        <v>89.988218336780093</v>
      </c>
      <c r="AD35" s="7">
        <f t="shared" si="20"/>
        <v>87.7586639092561</v>
      </c>
      <c r="AE35" s="7">
        <f t="shared" si="21"/>
        <v>85.529109481732135</v>
      </c>
      <c r="AF35" s="7">
        <f t="shared" si="22"/>
        <v>83.29955505420817</v>
      </c>
      <c r="AG35" s="7">
        <f t="shared" si="23"/>
        <v>81.070000626684205</v>
      </c>
      <c r="AH35" s="46">
        <f>SUMIFS(Hyde_iron!$I$34:$I$48,Hyde_iron!$B$34:$B$48,$B35)*AM35/SUMIFS(AM$3:AM$63,$B$3:$B$63,$B35)</f>
        <v>78.84044619916024</v>
      </c>
      <c r="AI35" s="7">
        <f t="shared" si="24"/>
        <v>86.67235695932817</v>
      </c>
      <c r="AJ35" s="7">
        <f t="shared" si="25"/>
        <v>94.504267719496127</v>
      </c>
      <c r="AK35" s="7">
        <f t="shared" si="26"/>
        <v>102.33617847966408</v>
      </c>
      <c r="AL35" s="7">
        <f t="shared" si="27"/>
        <v>110.16808923983204</v>
      </c>
      <c r="AM35" s="46">
        <f>SUMIFS(SPEW_Pig_iron_production!$R:$R,SPEW_Pig_iron_production!$B:$B,$C35)</f>
        <v>118</v>
      </c>
      <c r="AN35" s="7">
        <f t="shared" si="28"/>
        <v>149</v>
      </c>
      <c r="AO35" s="7">
        <f t="shared" si="29"/>
        <v>180</v>
      </c>
      <c r="AP35" s="7">
        <f t="shared" si="30"/>
        <v>211</v>
      </c>
      <c r="AQ35" s="7">
        <f t="shared" si="31"/>
        <v>242</v>
      </c>
      <c r="AR35" s="46">
        <f>SUMIFS(SPEW_Pig_iron_production!$S:$S,SPEW_Pig_iron_production!$B:$B,$C35)</f>
        <v>273</v>
      </c>
      <c r="AS35" s="7">
        <f t="shared" si="32"/>
        <v>269.20000000000005</v>
      </c>
      <c r="AT35" s="7">
        <f t="shared" si="33"/>
        <v>265.40000000000003</v>
      </c>
      <c r="AU35" s="7">
        <f t="shared" si="34"/>
        <v>261.60000000000002</v>
      </c>
      <c r="AV35" s="7">
        <f t="shared" si="35"/>
        <v>257.8</v>
      </c>
      <c r="AW35" s="46">
        <f>SUMIFS(SPEW_Pig_iron_production!$T:$T,SPEW_Pig_iron_production!$B:$B,$C35)</f>
        <v>254</v>
      </c>
      <c r="AX35" s="7">
        <f t="shared" si="36"/>
        <v>237</v>
      </c>
      <c r="AY35" s="7">
        <f t="shared" si="37"/>
        <v>220</v>
      </c>
      <c r="AZ35" s="7">
        <f t="shared" si="38"/>
        <v>203</v>
      </c>
      <c r="BA35" s="7">
        <f t="shared" si="39"/>
        <v>186</v>
      </c>
      <c r="BB35" s="46">
        <f>SUMIFS(SPEW_Pig_iron_production!$U:$U,SPEW_Pig_iron_production!$B:$B,$C35)</f>
        <v>169</v>
      </c>
      <c r="BC35" s="7">
        <f t="shared" si="40"/>
        <v>140.19999999999999</v>
      </c>
      <c r="BD35" s="7">
        <f t="shared" si="41"/>
        <v>111.39999999999999</v>
      </c>
      <c r="BE35" s="7">
        <f t="shared" si="42"/>
        <v>82.6</v>
      </c>
      <c r="BF35" s="7">
        <f t="shared" si="43"/>
        <v>53.8</v>
      </c>
      <c r="BG35" s="46">
        <f>SUMIFS(SPEW_Pig_iron_production!$V:$V,SPEW_Pig_iron_production!$B:$B,$C35)</f>
        <v>25</v>
      </c>
      <c r="BH35" s="7">
        <f t="shared" si="44"/>
        <v>110.79999999999997</v>
      </c>
      <c r="BI35" s="7">
        <f t="shared" si="45"/>
        <v>196.59999999999997</v>
      </c>
      <c r="BJ35" s="7">
        <f t="shared" si="46"/>
        <v>282.39999999999998</v>
      </c>
      <c r="BK35" s="7">
        <f t="shared" si="47"/>
        <v>368.2</v>
      </c>
      <c r="BL35" s="46">
        <f>SUMIFS(SPEW_Pig_iron_production!$W:$W,SPEW_Pig_iron_production!$B:$B,$C35)</f>
        <v>454</v>
      </c>
      <c r="BM35" s="7">
        <f t="shared" si="48"/>
        <v>497.19999999999987</v>
      </c>
      <c r="BN35" s="7">
        <f t="shared" si="49"/>
        <v>540.39999999999986</v>
      </c>
      <c r="BO35" s="7">
        <f t="shared" si="50"/>
        <v>583.59999999999991</v>
      </c>
      <c r="BP35" s="7">
        <f t="shared" si="51"/>
        <v>626.79999999999995</v>
      </c>
      <c r="BQ35" s="46">
        <f>SUMIFS(SPEW_Pig_iron_production!$X:$X,SPEW_Pig_iron_production!$B:$B,$C35)</f>
        <v>670</v>
      </c>
      <c r="BR35" s="7">
        <f t="shared" si="52"/>
        <v>805.19999999999982</v>
      </c>
      <c r="BS35" s="7">
        <f t="shared" si="53"/>
        <v>940.39999999999986</v>
      </c>
      <c r="BT35" s="7">
        <f t="shared" si="54"/>
        <v>1075.5999999999999</v>
      </c>
      <c r="BU35" s="7">
        <f t="shared" si="55"/>
        <v>1210.8</v>
      </c>
      <c r="BV35" s="46">
        <f>SUMIFS(SPEW_Pig_iron_production!$Y:$Y,SPEW_Pig_iron_production!$B:$B,$C35)</f>
        <v>1346</v>
      </c>
      <c r="BW35" s="7">
        <f t="shared" si="56"/>
        <v>1549.6000000000004</v>
      </c>
      <c r="BX35" s="7">
        <f t="shared" si="57"/>
        <v>1753.2000000000003</v>
      </c>
      <c r="BY35" s="7">
        <f t="shared" si="58"/>
        <v>1956.8000000000002</v>
      </c>
      <c r="BZ35" s="7">
        <f t="shared" si="59"/>
        <v>2160.4</v>
      </c>
      <c r="CA35" s="46">
        <f>SUMIFS(SPEW_Pig_iron_production!$Z:$Z,SPEW_Pig_iron_production!$B:$B,$C35)</f>
        <v>2364</v>
      </c>
      <c r="CB35" s="7">
        <f t="shared" si="60"/>
        <v>2610</v>
      </c>
      <c r="CC35" s="7">
        <f t="shared" si="61"/>
        <v>2856</v>
      </c>
      <c r="CD35" s="7">
        <f t="shared" si="62"/>
        <v>3102</v>
      </c>
      <c r="CE35" s="7">
        <f t="shared" si="63"/>
        <v>3348</v>
      </c>
      <c r="CF35" s="46">
        <f>SUMIFS(SPEW_Pig_iron_production!$AA:$AA,SPEW_Pig_iron_production!$B:$B,$C35)</f>
        <v>3594</v>
      </c>
      <c r="CG35" s="7">
        <f t="shared" si="64"/>
        <v>3669.2000000000007</v>
      </c>
      <c r="CH35" s="7">
        <f t="shared" si="65"/>
        <v>3744.4000000000005</v>
      </c>
      <c r="CI35" s="7">
        <f t="shared" si="66"/>
        <v>3819.6000000000004</v>
      </c>
      <c r="CJ35" s="7">
        <f t="shared" si="67"/>
        <v>3894.8</v>
      </c>
      <c r="CK35" s="46">
        <f>SUMIFS(SPEW_Pig_iron_production!$AB:$AB,SPEW_Pig_iron_production!$B:$B,$C35)</f>
        <v>3970</v>
      </c>
      <c r="CL35" s="7">
        <f t="shared" si="68"/>
        <v>4041.599999999999</v>
      </c>
      <c r="CM35" s="7">
        <f t="shared" si="69"/>
        <v>4113.1999999999989</v>
      </c>
      <c r="CN35" s="7">
        <f t="shared" si="70"/>
        <v>4184.7999999999993</v>
      </c>
      <c r="CO35" s="7">
        <f t="shared" si="71"/>
        <v>4256.3999999999996</v>
      </c>
      <c r="CP35" s="2">
        <f>[1]Data!B35</f>
        <v>4328</v>
      </c>
      <c r="CQ35" s="2">
        <f>[1]Data!C35</f>
        <v>4600</v>
      </c>
      <c r="CR35" s="2">
        <f>[1]Data!D35</f>
        <v>3618</v>
      </c>
      <c r="CS35" s="2">
        <f>[1]Data!E35</f>
        <v>3747</v>
      </c>
      <c r="CT35" s="2">
        <f>[1]Data!F35</f>
        <v>4926</v>
      </c>
      <c r="CU35" s="2">
        <f>[1]Data!G35</f>
        <v>4819</v>
      </c>
      <c r="CV35" s="2">
        <f>[1]Data!H35</f>
        <v>4628</v>
      </c>
      <c r="CW35" s="2">
        <f>[1]Data!I35</f>
        <v>4575</v>
      </c>
      <c r="CX35" s="2">
        <f>[1]Data!J35</f>
        <v>4994</v>
      </c>
      <c r="CY35" s="2">
        <f>[1]Data!K35</f>
        <v>5163</v>
      </c>
      <c r="CZ35" s="2">
        <f>[1]Data!L35</f>
        <v>4960</v>
      </c>
      <c r="DA35" s="2">
        <f>[1]Data!M35</f>
        <v>4696</v>
      </c>
      <c r="DB35" s="2">
        <f>[1]Data!N35</f>
        <v>4849</v>
      </c>
      <c r="DC35" s="2">
        <f>[1]Data!O35</f>
        <v>5404</v>
      </c>
      <c r="DD35" s="2">
        <f>[1]Data!P35</f>
        <v>5443</v>
      </c>
      <c r="DE35" s="2">
        <f>[1]Data!Q35</f>
        <v>5530</v>
      </c>
      <c r="DF35" s="2">
        <f>[1]Data!R35</f>
        <v>5544</v>
      </c>
      <c r="DG35" s="2">
        <f>[1]Data!S35</f>
        <v>5805</v>
      </c>
      <c r="DH35" s="2">
        <f>[1]Data!T35</f>
        <v>5562</v>
      </c>
      <c r="DI35" s="2">
        <f>[1]Data!U35</f>
        <v>5307</v>
      </c>
      <c r="DJ35" s="2">
        <f>[1]Data!V35</f>
        <v>4970</v>
      </c>
      <c r="DK35" s="2">
        <f>[1]Data!W35</f>
        <v>5305</v>
      </c>
      <c r="DL35" s="2">
        <f>[1]Data!X35</f>
        <v>5367</v>
      </c>
      <c r="DM35" s="2">
        <f>[1]Data!Y35</f>
        <v>5846</v>
      </c>
      <c r="DN35" s="2">
        <f>[1]Data!Z35</f>
        <v>6011</v>
      </c>
      <c r="DO35" s="2">
        <f>[1]Data!AA35</f>
        <v>6031</v>
      </c>
      <c r="DP35" s="2">
        <f>[1]Data!AB35</f>
        <v>5417</v>
      </c>
      <c r="DQ35" s="2">
        <f>[1]Data!AC35</f>
        <v>6412</v>
      </c>
      <c r="DR35" s="2">
        <f>[1]Data!AD35</f>
        <v>5998</v>
      </c>
      <c r="DS35" s="2">
        <f>[1]Data!AE35</f>
        <v>4601</v>
      </c>
      <c r="DT35" s="2">
        <f>[1]Data!AF35</f>
        <v>5799</v>
      </c>
      <c r="DU35" s="2">
        <f>[1]Data!AG35</f>
        <v>5943</v>
      </c>
      <c r="DV35" s="2">
        <f>[1]Data!AH35</f>
        <v>5917</v>
      </c>
      <c r="DW35" s="2">
        <f>[1]Data!AI35</f>
        <v>5681</v>
      </c>
      <c r="DX35" s="2">
        <v>5868</v>
      </c>
      <c r="DY35" s="2">
        <f>[4]Data!AK35</f>
        <v>6050</v>
      </c>
      <c r="DZ35" s="2">
        <f>[4]Data!AL35</f>
        <v>6092</v>
      </c>
      <c r="EA35" s="2">
        <f>[4]Data!AM35</f>
        <v>6145</v>
      </c>
    </row>
    <row r="36" spans="1:131" ht="16" x14ac:dyDescent="0.2">
      <c r="A36" t="s">
        <v>34</v>
      </c>
      <c r="C36" s="9" t="s">
        <v>114</v>
      </c>
      <c r="D36" s="46"/>
      <c r="E36" s="7">
        <f t="shared" si="0"/>
        <v>0</v>
      </c>
      <c r="F36" s="7">
        <f t="shared" si="1"/>
        <v>0</v>
      </c>
      <c r="G36" s="7">
        <f t="shared" si="2"/>
        <v>0</v>
      </c>
      <c r="H36" s="7">
        <f t="shared" si="3"/>
        <v>0</v>
      </c>
      <c r="I36" s="46"/>
      <c r="J36" s="7">
        <f t="shared" si="4"/>
        <v>0</v>
      </c>
      <c r="K36" s="7">
        <f t="shared" si="5"/>
        <v>0</v>
      </c>
      <c r="L36" s="7">
        <f t="shared" si="6"/>
        <v>0</v>
      </c>
      <c r="M36" s="7">
        <f t="shared" si="7"/>
        <v>0</v>
      </c>
      <c r="N36" s="46"/>
      <c r="O36" s="7">
        <f t="shared" si="8"/>
        <v>0</v>
      </c>
      <c r="P36" s="7">
        <f t="shared" si="9"/>
        <v>0</v>
      </c>
      <c r="Q36" s="7">
        <f t="shared" si="10"/>
        <v>0</v>
      </c>
      <c r="R36" s="7">
        <f t="shared" si="11"/>
        <v>0</v>
      </c>
      <c r="S36" s="46"/>
      <c r="T36" s="7">
        <f t="shared" si="12"/>
        <v>0</v>
      </c>
      <c r="U36" s="7">
        <f t="shared" si="13"/>
        <v>0</v>
      </c>
      <c r="V36" s="7">
        <f t="shared" si="14"/>
        <v>0</v>
      </c>
      <c r="W36" s="7">
        <f t="shared" si="15"/>
        <v>0</v>
      </c>
      <c r="X36" s="46"/>
      <c r="Y36" s="7">
        <f t="shared" si="16"/>
        <v>0</v>
      </c>
      <c r="Z36" s="7">
        <f t="shared" si="17"/>
        <v>0</v>
      </c>
      <c r="AA36" s="7">
        <f t="shared" si="18"/>
        <v>0</v>
      </c>
      <c r="AB36" s="7">
        <f t="shared" si="19"/>
        <v>0</v>
      </c>
      <c r="AC36" s="46"/>
      <c r="AD36" s="7">
        <f t="shared" si="20"/>
        <v>0</v>
      </c>
      <c r="AE36" s="7">
        <f t="shared" si="21"/>
        <v>0</v>
      </c>
      <c r="AF36" s="7">
        <f t="shared" si="22"/>
        <v>0</v>
      </c>
      <c r="AG36" s="7">
        <f t="shared" si="23"/>
        <v>0</v>
      </c>
      <c r="AH36" s="46"/>
      <c r="AI36" s="7">
        <f t="shared" si="24"/>
        <v>0</v>
      </c>
      <c r="AJ36" s="7">
        <f t="shared" si="25"/>
        <v>0</v>
      </c>
      <c r="AK36" s="7">
        <f t="shared" si="26"/>
        <v>0</v>
      </c>
      <c r="AL36" s="7">
        <f t="shared" si="27"/>
        <v>0</v>
      </c>
      <c r="AM36" s="46">
        <f>SUMIFS(SPEW_Pig_iron_production!$R:$R,SPEW_Pig_iron_production!$B:$B,$C36)</f>
        <v>0</v>
      </c>
      <c r="AN36" s="7">
        <f t="shared" si="28"/>
        <v>0</v>
      </c>
      <c r="AO36" s="7">
        <f t="shared" si="29"/>
        <v>0</v>
      </c>
      <c r="AP36" s="7">
        <f t="shared" si="30"/>
        <v>0</v>
      </c>
      <c r="AQ36" s="7">
        <f t="shared" si="31"/>
        <v>0</v>
      </c>
      <c r="AR36" s="46">
        <f>SUMIFS(SPEW_Pig_iron_production!$S:$S,SPEW_Pig_iron_production!$B:$B,$C36)</f>
        <v>0</v>
      </c>
      <c r="AS36" s="7">
        <f t="shared" si="32"/>
        <v>0</v>
      </c>
      <c r="AT36" s="7">
        <f t="shared" si="33"/>
        <v>0</v>
      </c>
      <c r="AU36" s="7">
        <f t="shared" si="34"/>
        <v>0</v>
      </c>
      <c r="AV36" s="7">
        <f t="shared" si="35"/>
        <v>0</v>
      </c>
      <c r="AW36" s="46">
        <f>SUMIFS(SPEW_Pig_iron_production!$T:$T,SPEW_Pig_iron_production!$B:$B,$C36)</f>
        <v>0</v>
      </c>
      <c r="AX36" s="7">
        <f t="shared" si="36"/>
        <v>0</v>
      </c>
      <c r="AY36" s="7">
        <f t="shared" si="37"/>
        <v>0</v>
      </c>
      <c r="AZ36" s="7">
        <f t="shared" si="38"/>
        <v>0</v>
      </c>
      <c r="BA36" s="7">
        <f t="shared" si="39"/>
        <v>0</v>
      </c>
      <c r="BB36" s="46">
        <f>SUMIFS(SPEW_Pig_iron_production!$U:$U,SPEW_Pig_iron_production!$B:$B,$C36)</f>
        <v>0</v>
      </c>
      <c r="BC36" s="7">
        <f t="shared" si="40"/>
        <v>0</v>
      </c>
      <c r="BD36" s="7">
        <f t="shared" si="41"/>
        <v>0</v>
      </c>
      <c r="BE36" s="7">
        <f t="shared" si="42"/>
        <v>0</v>
      </c>
      <c r="BF36" s="7">
        <f t="shared" si="43"/>
        <v>0</v>
      </c>
      <c r="BG36" s="46">
        <f>SUMIFS(SPEW_Pig_iron_production!$V:$V,SPEW_Pig_iron_production!$B:$B,$C36)</f>
        <v>0</v>
      </c>
      <c r="BH36" s="7">
        <f t="shared" si="44"/>
        <v>0</v>
      </c>
      <c r="BI36" s="7">
        <f t="shared" si="45"/>
        <v>0</v>
      </c>
      <c r="BJ36" s="7">
        <f t="shared" si="46"/>
        <v>0</v>
      </c>
      <c r="BK36" s="7">
        <f t="shared" si="47"/>
        <v>0</v>
      </c>
      <c r="BL36" s="46">
        <f>SUMIFS(SPEW_Pig_iron_production!$W:$W,SPEW_Pig_iron_production!$B:$B,$C36)</f>
        <v>0</v>
      </c>
      <c r="BM36" s="7">
        <f t="shared" si="48"/>
        <v>0</v>
      </c>
      <c r="BN36" s="7">
        <f t="shared" si="49"/>
        <v>0</v>
      </c>
      <c r="BO36" s="7">
        <f t="shared" si="50"/>
        <v>0</v>
      </c>
      <c r="BP36" s="7">
        <f t="shared" si="51"/>
        <v>0</v>
      </c>
      <c r="BQ36" s="46">
        <f>SUMIFS(SPEW_Pig_iron_production!$X:$X,SPEW_Pig_iron_production!$B:$B,$C36)</f>
        <v>0</v>
      </c>
      <c r="BR36" s="7">
        <f t="shared" si="52"/>
        <v>0</v>
      </c>
      <c r="BS36" s="7">
        <f t="shared" si="53"/>
        <v>0</v>
      </c>
      <c r="BT36" s="7">
        <f t="shared" si="54"/>
        <v>0</v>
      </c>
      <c r="BU36" s="7">
        <f t="shared" si="55"/>
        <v>0</v>
      </c>
      <c r="BV36" s="46">
        <f>SUMIFS(SPEW_Pig_iron_production!$Y:$Y,SPEW_Pig_iron_production!$B:$B,$C36)</f>
        <v>0</v>
      </c>
      <c r="BW36" s="7">
        <f t="shared" si="56"/>
        <v>0</v>
      </c>
      <c r="BX36" s="7">
        <f t="shared" si="57"/>
        <v>0</v>
      </c>
      <c r="BY36" s="7">
        <f t="shared" si="58"/>
        <v>0</v>
      </c>
      <c r="BZ36" s="7">
        <f t="shared" si="59"/>
        <v>0</v>
      </c>
      <c r="CA36" s="46">
        <f>SUMIFS(SPEW_Pig_iron_production!$Z:$Z,SPEW_Pig_iron_production!$B:$B,$C36)</f>
        <v>0</v>
      </c>
      <c r="CB36" s="7">
        <f t="shared" si="60"/>
        <v>0</v>
      </c>
      <c r="CC36" s="7">
        <f t="shared" si="61"/>
        <v>0</v>
      </c>
      <c r="CD36" s="7">
        <f t="shared" si="62"/>
        <v>0</v>
      </c>
      <c r="CE36" s="7">
        <f t="shared" si="63"/>
        <v>0</v>
      </c>
      <c r="CF36" s="46">
        <f>SUMIFS(SPEW_Pig_iron_production!$AA:$AA,SPEW_Pig_iron_production!$B:$B,$C36)</f>
        <v>0</v>
      </c>
      <c r="CG36" s="7">
        <f t="shared" si="64"/>
        <v>0</v>
      </c>
      <c r="CH36" s="7">
        <f t="shared" si="65"/>
        <v>0</v>
      </c>
      <c r="CI36" s="7">
        <f t="shared" si="66"/>
        <v>0</v>
      </c>
      <c r="CJ36" s="7">
        <f t="shared" si="67"/>
        <v>0</v>
      </c>
      <c r="CK36" s="46">
        <f>SUMIFS(SPEW_Pig_iron_production!$AB:$AB,SPEW_Pig_iron_production!$B:$B,$C36)</f>
        <v>0</v>
      </c>
      <c r="CL36" s="7">
        <f t="shared" si="68"/>
        <v>0</v>
      </c>
      <c r="CM36" s="7">
        <f t="shared" si="69"/>
        <v>0</v>
      </c>
      <c r="CN36" s="7">
        <f t="shared" si="70"/>
        <v>0</v>
      </c>
      <c r="CO36" s="7">
        <f t="shared" si="71"/>
        <v>0</v>
      </c>
      <c r="CP36" s="2">
        <f>[1]Data!B36</f>
        <v>0</v>
      </c>
      <c r="CQ36" s="2">
        <f>[1]Data!C36</f>
        <v>0</v>
      </c>
      <c r="CR36" s="2">
        <f>[1]Data!D36</f>
        <v>0</v>
      </c>
      <c r="CS36" s="2">
        <f>[1]Data!E36</f>
        <v>0</v>
      </c>
      <c r="CT36" s="2">
        <f>[1]Data!F36</f>
        <v>0</v>
      </c>
      <c r="CU36" s="2">
        <f>[1]Data!G36</f>
        <v>0</v>
      </c>
      <c r="CV36" s="2">
        <f>[1]Data!H36</f>
        <v>0</v>
      </c>
      <c r="CW36" s="2">
        <f>[1]Data!I36</f>
        <v>0</v>
      </c>
      <c r="CX36" s="2">
        <f>[1]Data!J36</f>
        <v>418</v>
      </c>
      <c r="CY36" s="2">
        <f>[1]Data!K36</f>
        <v>493</v>
      </c>
      <c r="CZ36" s="2">
        <f>[1]Data!L36</f>
        <v>555</v>
      </c>
      <c r="DA36" s="2">
        <f>[1]Data!M36</f>
        <v>594</v>
      </c>
      <c r="DB36" s="2">
        <f>[1]Data!N36</f>
        <v>625</v>
      </c>
      <c r="DC36" s="2">
        <f>[1]Data!O36</f>
        <v>653</v>
      </c>
      <c r="DD36" s="2">
        <f>[1]Data!P36</f>
        <v>563</v>
      </c>
      <c r="DE36" s="2">
        <f>[1]Data!Q36</f>
        <v>626</v>
      </c>
      <c r="DF36" s="2">
        <f>[1]Data!R36</f>
        <v>619</v>
      </c>
      <c r="DG36" s="2">
        <f>[1]Data!S36</f>
        <v>534</v>
      </c>
      <c r="DH36" s="2">
        <f>[1]Data!T36</f>
        <v>609</v>
      </c>
      <c r="DI36" s="2">
        <f>[1]Data!U36</f>
        <v>620</v>
      </c>
      <c r="DJ36" s="2">
        <f>[1]Data!V36</f>
        <v>603</v>
      </c>
      <c r="DK36" s="2">
        <f>[1]Data!W36</f>
        <v>646</v>
      </c>
      <c r="DL36" s="2">
        <f>[1]Data!X36</f>
        <v>617</v>
      </c>
      <c r="DM36" s="2">
        <f>[1]Data!Y36</f>
        <v>700</v>
      </c>
      <c r="DN36" s="2">
        <f>[1]Data!Z36</f>
        <v>719</v>
      </c>
      <c r="DO36" s="2">
        <f>[1]Data!AA36</f>
        <v>652</v>
      </c>
      <c r="DP36" s="2">
        <f>[1]Data!AB36</f>
        <v>664</v>
      </c>
      <c r="DQ36" s="2">
        <f>[1]Data!AC36</f>
        <v>679</v>
      </c>
      <c r="DR36" s="2">
        <f>[1]Data!AD36</f>
        <v>622</v>
      </c>
      <c r="DS36" s="2">
        <f>[1]Data!AE36</f>
        <v>608</v>
      </c>
      <c r="DT36" s="2">
        <f>[1]Data!AF36</f>
        <v>667</v>
      </c>
      <c r="DU36" s="2">
        <f>[1]Data!AG36</f>
        <v>659</v>
      </c>
      <c r="DV36" s="2">
        <f>[1]Data!AH36</f>
        <v>670</v>
      </c>
      <c r="DW36" s="2">
        <f>[1]Data!AI36</f>
        <v>682</v>
      </c>
      <c r="DX36" s="2">
        <v>680</v>
      </c>
      <c r="DY36" s="2">
        <f>[4]Data!AK36</f>
        <v>678</v>
      </c>
      <c r="DZ36" s="2">
        <f>[4]Data!AL36</f>
        <v>670</v>
      </c>
      <c r="EA36" s="2">
        <f>[4]Data!AM36</f>
        <v>683</v>
      </c>
    </row>
    <row r="37" spans="1:131" ht="16" x14ac:dyDescent="0.2">
      <c r="A37" t="s">
        <v>35</v>
      </c>
      <c r="C37" s="9" t="s">
        <v>83</v>
      </c>
      <c r="D37" s="46"/>
      <c r="E37" s="7">
        <f t="shared" si="0"/>
        <v>0</v>
      </c>
      <c r="F37" s="7">
        <f t="shared" si="1"/>
        <v>0</v>
      </c>
      <c r="G37" s="7">
        <f t="shared" si="2"/>
        <v>0</v>
      </c>
      <c r="H37" s="7">
        <f t="shared" si="3"/>
        <v>0</v>
      </c>
      <c r="I37" s="46"/>
      <c r="J37" s="7">
        <f t="shared" si="4"/>
        <v>0</v>
      </c>
      <c r="K37" s="7">
        <f t="shared" si="5"/>
        <v>0</v>
      </c>
      <c r="L37" s="7">
        <f t="shared" si="6"/>
        <v>0</v>
      </c>
      <c r="M37" s="7">
        <f t="shared" si="7"/>
        <v>0</v>
      </c>
      <c r="N37" s="46"/>
      <c r="O37" s="7">
        <f t="shared" si="8"/>
        <v>0</v>
      </c>
      <c r="P37" s="7">
        <f t="shared" si="9"/>
        <v>0</v>
      </c>
      <c r="Q37" s="7">
        <f t="shared" si="10"/>
        <v>0</v>
      </c>
      <c r="R37" s="7">
        <f t="shared" si="11"/>
        <v>0</v>
      </c>
      <c r="S37" s="46"/>
      <c r="T37" s="7">
        <f t="shared" si="12"/>
        <v>0</v>
      </c>
      <c r="U37" s="7">
        <f t="shared" si="13"/>
        <v>0</v>
      </c>
      <c r="V37" s="7">
        <f t="shared" si="14"/>
        <v>0</v>
      </c>
      <c r="W37" s="7">
        <f t="shared" si="15"/>
        <v>0</v>
      </c>
      <c r="X37" s="46"/>
      <c r="Y37" s="7">
        <f t="shared" si="16"/>
        <v>0</v>
      </c>
      <c r="Z37" s="7">
        <f t="shared" si="17"/>
        <v>0</v>
      </c>
      <c r="AA37" s="7">
        <f t="shared" si="18"/>
        <v>0</v>
      </c>
      <c r="AB37" s="7">
        <f t="shared" si="19"/>
        <v>0</v>
      </c>
      <c r="AC37" s="46"/>
      <c r="AD37" s="7">
        <f t="shared" si="20"/>
        <v>0</v>
      </c>
      <c r="AE37" s="7">
        <f t="shared" si="21"/>
        <v>0</v>
      </c>
      <c r="AF37" s="7">
        <f t="shared" si="22"/>
        <v>0</v>
      </c>
      <c r="AG37" s="7">
        <f t="shared" si="23"/>
        <v>0</v>
      </c>
      <c r="AH37" s="46"/>
      <c r="AI37" s="7">
        <f t="shared" si="24"/>
        <v>0</v>
      </c>
      <c r="AJ37" s="7">
        <f t="shared" si="25"/>
        <v>0</v>
      </c>
      <c r="AK37" s="7">
        <f t="shared" si="26"/>
        <v>0</v>
      </c>
      <c r="AL37" s="7">
        <f t="shared" si="27"/>
        <v>0</v>
      </c>
      <c r="AM37" s="46">
        <f>SUMIFS(SPEW_Pig_iron_production!$R:$R,SPEW_Pig_iron_production!$B:$B,$C37)</f>
        <v>0</v>
      </c>
      <c r="AN37" s="7">
        <f t="shared" si="28"/>
        <v>0</v>
      </c>
      <c r="AO37" s="7">
        <f t="shared" si="29"/>
        <v>0</v>
      </c>
      <c r="AP37" s="7">
        <f t="shared" si="30"/>
        <v>0</v>
      </c>
      <c r="AQ37" s="7">
        <f t="shared" si="31"/>
        <v>0</v>
      </c>
      <c r="AR37" s="46">
        <f>SUMIFS(SPEW_Pig_iron_production!$S:$S,SPEW_Pig_iron_production!$B:$B,$C37)</f>
        <v>0</v>
      </c>
      <c r="AS37" s="7">
        <f t="shared" si="32"/>
        <v>0</v>
      </c>
      <c r="AT37" s="7">
        <f t="shared" si="33"/>
        <v>0</v>
      </c>
      <c r="AU37" s="7">
        <f t="shared" si="34"/>
        <v>0</v>
      </c>
      <c r="AV37" s="7">
        <f t="shared" si="35"/>
        <v>0</v>
      </c>
      <c r="AW37" s="46">
        <f>SUMIFS(SPEW_Pig_iron_production!$T:$T,SPEW_Pig_iron_production!$B:$B,$C37)</f>
        <v>0</v>
      </c>
      <c r="AX37" s="7">
        <f t="shared" si="36"/>
        <v>0</v>
      </c>
      <c r="AY37" s="7">
        <f t="shared" si="37"/>
        <v>0</v>
      </c>
      <c r="AZ37" s="7">
        <f t="shared" si="38"/>
        <v>0</v>
      </c>
      <c r="BA37" s="7">
        <f t="shared" si="39"/>
        <v>0</v>
      </c>
      <c r="BB37" s="46">
        <f>SUMIFS(SPEW_Pig_iron_production!$U:$U,SPEW_Pig_iron_production!$B:$B,$C37)</f>
        <v>0</v>
      </c>
      <c r="BC37" s="7">
        <f t="shared" si="40"/>
        <v>0</v>
      </c>
      <c r="BD37" s="7">
        <f t="shared" si="41"/>
        <v>0</v>
      </c>
      <c r="BE37" s="7">
        <f t="shared" si="42"/>
        <v>0</v>
      </c>
      <c r="BF37" s="7">
        <f t="shared" si="43"/>
        <v>0</v>
      </c>
      <c r="BG37" s="46">
        <f>SUMIFS(SPEW_Pig_iron_production!$V:$V,SPEW_Pig_iron_production!$B:$B,$C37)</f>
        <v>0</v>
      </c>
      <c r="BH37" s="7">
        <f t="shared" si="44"/>
        <v>39.44</v>
      </c>
      <c r="BI37" s="7">
        <f t="shared" si="45"/>
        <v>78.88</v>
      </c>
      <c r="BJ37" s="7">
        <f t="shared" si="46"/>
        <v>118.32</v>
      </c>
      <c r="BK37" s="7">
        <f t="shared" si="47"/>
        <v>157.76</v>
      </c>
      <c r="BL37" s="46">
        <f>SUMIFS(SPEW_Pig_iron_production!$W:$W,SPEW_Pig_iron_production!$B:$B,$C37)</f>
        <v>197.2</v>
      </c>
      <c r="BM37" s="7">
        <f t="shared" si="48"/>
        <v>181.36</v>
      </c>
      <c r="BN37" s="7">
        <f t="shared" si="49"/>
        <v>165.52</v>
      </c>
      <c r="BO37" s="7">
        <f t="shared" si="50"/>
        <v>149.68</v>
      </c>
      <c r="BP37" s="7">
        <f t="shared" si="51"/>
        <v>133.84</v>
      </c>
      <c r="BQ37" s="46">
        <f>SUMIFS(SPEW_Pig_iron_production!$X:$X,SPEW_Pig_iron_production!$B:$B,$C37)</f>
        <v>118</v>
      </c>
      <c r="BR37" s="7">
        <f t="shared" si="52"/>
        <v>268.80000000000007</v>
      </c>
      <c r="BS37" s="7">
        <f t="shared" si="53"/>
        <v>419.60000000000008</v>
      </c>
      <c r="BT37" s="7">
        <f t="shared" si="54"/>
        <v>570.40000000000009</v>
      </c>
      <c r="BU37" s="7">
        <f t="shared" si="55"/>
        <v>721.2</v>
      </c>
      <c r="BV37" s="46">
        <f>SUMIFS(SPEW_Pig_iron_production!$Y:$Y,SPEW_Pig_iron_production!$B:$B,$C37)</f>
        <v>872</v>
      </c>
      <c r="BW37" s="7">
        <f t="shared" si="56"/>
        <v>994.60000000000025</v>
      </c>
      <c r="BX37" s="7">
        <f t="shared" si="57"/>
        <v>1117.2000000000003</v>
      </c>
      <c r="BY37" s="7">
        <f t="shared" si="58"/>
        <v>1239.8000000000002</v>
      </c>
      <c r="BZ37" s="7">
        <f t="shared" si="59"/>
        <v>1362.4</v>
      </c>
      <c r="CA37" s="46">
        <f>SUMIFS(SPEW_Pig_iron_production!$Z:$Z,SPEW_Pig_iron_production!$B:$B,$C37)</f>
        <v>1485</v>
      </c>
      <c r="CB37" s="7">
        <f t="shared" si="60"/>
        <v>1668</v>
      </c>
      <c r="CC37" s="7">
        <f t="shared" si="61"/>
        <v>1851</v>
      </c>
      <c r="CD37" s="7">
        <f t="shared" si="62"/>
        <v>2034</v>
      </c>
      <c r="CE37" s="7">
        <f t="shared" si="63"/>
        <v>2217</v>
      </c>
      <c r="CF37" s="46">
        <f>SUMIFS(SPEW_Pig_iron_production!$AA:$AA,SPEW_Pig_iron_production!$B:$B,$C37)</f>
        <v>2400</v>
      </c>
      <c r="CG37" s="7">
        <f t="shared" si="64"/>
        <v>2768</v>
      </c>
      <c r="CH37" s="7">
        <f t="shared" si="65"/>
        <v>3136</v>
      </c>
      <c r="CI37" s="7">
        <f t="shared" si="66"/>
        <v>3504</v>
      </c>
      <c r="CJ37" s="7">
        <f t="shared" si="67"/>
        <v>3872</v>
      </c>
      <c r="CK37" s="46">
        <f>SUMIFS(SPEW_Pig_iron_production!$AB:$AB,SPEW_Pig_iron_production!$B:$B,$C37)</f>
        <v>4240</v>
      </c>
      <c r="CL37" s="7">
        <f t="shared" si="68"/>
        <v>3992</v>
      </c>
      <c r="CM37" s="7">
        <f t="shared" si="69"/>
        <v>3744</v>
      </c>
      <c r="CN37" s="7">
        <f t="shared" si="70"/>
        <v>3496</v>
      </c>
      <c r="CO37" s="7">
        <f t="shared" si="71"/>
        <v>3248</v>
      </c>
      <c r="CP37" s="2">
        <f>[1]Data!B37</f>
        <v>3000</v>
      </c>
      <c r="CQ37" s="2">
        <f>[1]Data!C37</f>
        <v>3000</v>
      </c>
      <c r="CR37" s="2">
        <f>[1]Data!D37</f>
        <v>3000</v>
      </c>
      <c r="CS37" s="2">
        <f>[1]Data!E37</f>
        <v>3000</v>
      </c>
      <c r="CT37" s="2">
        <f>[1]Data!F37</f>
        <v>3000</v>
      </c>
      <c r="CU37" s="2">
        <f>[1]Data!G37</f>
        <v>3000</v>
      </c>
      <c r="CV37" s="2">
        <f>[1]Data!H37</f>
        <v>3000</v>
      </c>
      <c r="CW37" s="2">
        <f>[1]Data!I37</f>
        <v>3000</v>
      </c>
      <c r="CX37" s="2">
        <f>[1]Data!J37</f>
        <v>3000</v>
      </c>
      <c r="CY37" s="2">
        <f>[1]Data!K37</f>
        <v>3164</v>
      </c>
      <c r="CZ37" s="2">
        <f>[1]Data!L37</f>
        <v>3120</v>
      </c>
      <c r="DA37" s="2">
        <f>[1]Data!M37</f>
        <v>3100</v>
      </c>
      <c r="DB37" s="2">
        <f>[1]Data!N37</f>
        <v>2500</v>
      </c>
      <c r="DC37" s="2">
        <f>[1]Data!O37</f>
        <v>2000</v>
      </c>
      <c r="DD37" s="2">
        <f>[1]Data!P37</f>
        <v>1500</v>
      </c>
      <c r="DE37" s="2">
        <f>[1]Data!Q37</f>
        <v>500</v>
      </c>
      <c r="DF37" s="2">
        <f>[1]Data!R37</f>
        <v>500</v>
      </c>
      <c r="DG37" s="2">
        <f>[1]Data!S37</f>
        <v>500</v>
      </c>
      <c r="DH37" s="2">
        <f>[1]Data!T37</f>
        <v>250</v>
      </c>
      <c r="DI37" s="2">
        <f>[1]Data!U37</f>
        <v>250</v>
      </c>
      <c r="DJ37" s="2">
        <f>[1]Data!V37</f>
        <v>250</v>
      </c>
      <c r="DK37" s="2">
        <f>[1]Data!W37</f>
        <v>250</v>
      </c>
      <c r="DL37" s="2">
        <f>[1]Data!X37</f>
        <v>250</v>
      </c>
      <c r="DM37" s="2">
        <f>[1]Data!Y37</f>
        <v>250</v>
      </c>
      <c r="DN37" s="2">
        <f>[1]Data!Z37</f>
        <v>250</v>
      </c>
      <c r="DO37" s="2">
        <f>[1]Data!AA37</f>
        <v>250</v>
      </c>
      <c r="DP37" s="2">
        <f>[1]Data!AB37</f>
        <v>250</v>
      </c>
      <c r="DQ37" s="2">
        <f>[1]Data!AC37</f>
        <v>250</v>
      </c>
      <c r="DR37" s="2">
        <f>[1]Data!AD37</f>
        <v>250</v>
      </c>
      <c r="DS37" s="2">
        <f>[1]Data!AE37</f>
        <v>250</v>
      </c>
      <c r="DT37" s="2">
        <f>[1]Data!AF37</f>
        <v>250</v>
      </c>
      <c r="DU37" s="2">
        <f>[1]Data!AG37</f>
        <v>250</v>
      </c>
      <c r="DV37" s="2">
        <f>[1]Data!AH37</f>
        <v>250</v>
      </c>
      <c r="DW37" s="2">
        <f>[1]Data!AI37</f>
        <v>250</v>
      </c>
      <c r="DX37" s="2">
        <v>250</v>
      </c>
      <c r="DY37" s="2">
        <f>[4]Data!AK37</f>
        <v>250</v>
      </c>
      <c r="DZ37" s="2">
        <f>[4]Data!AL37</f>
        <v>250</v>
      </c>
      <c r="EA37" s="2">
        <f>[4]Data!AM37</f>
        <v>250</v>
      </c>
    </row>
    <row r="38" spans="1:131" ht="16" x14ac:dyDescent="0.2">
      <c r="A38" t="s">
        <v>36</v>
      </c>
      <c r="C38" s="9" t="s">
        <v>115</v>
      </c>
      <c r="D38" s="46"/>
      <c r="E38" s="7">
        <f t="shared" si="0"/>
        <v>0</v>
      </c>
      <c r="F38" s="7">
        <f t="shared" si="1"/>
        <v>0</v>
      </c>
      <c r="G38" s="7">
        <f t="shared" si="2"/>
        <v>0</v>
      </c>
      <c r="H38" s="7">
        <f t="shared" si="3"/>
        <v>0</v>
      </c>
      <c r="I38" s="46"/>
      <c r="J38" s="7">
        <f t="shared" si="4"/>
        <v>0</v>
      </c>
      <c r="K38" s="7">
        <f t="shared" si="5"/>
        <v>0</v>
      </c>
      <c r="L38" s="7">
        <f t="shared" si="6"/>
        <v>0</v>
      </c>
      <c r="M38" s="7">
        <f t="shared" si="7"/>
        <v>0</v>
      </c>
      <c r="N38" s="46"/>
      <c r="O38" s="7">
        <f t="shared" si="8"/>
        <v>0</v>
      </c>
      <c r="P38" s="7">
        <f t="shared" si="9"/>
        <v>0</v>
      </c>
      <c r="Q38" s="7">
        <f t="shared" si="10"/>
        <v>0</v>
      </c>
      <c r="R38" s="7">
        <f t="shared" si="11"/>
        <v>0</v>
      </c>
      <c r="S38" s="46"/>
      <c r="T38" s="7">
        <f t="shared" si="12"/>
        <v>0</v>
      </c>
      <c r="U38" s="7">
        <f t="shared" si="13"/>
        <v>0</v>
      </c>
      <c r="V38" s="7">
        <f t="shared" si="14"/>
        <v>0</v>
      </c>
      <c r="W38" s="7">
        <f t="shared" si="15"/>
        <v>0</v>
      </c>
      <c r="X38" s="46"/>
      <c r="Y38" s="7">
        <f t="shared" si="16"/>
        <v>0</v>
      </c>
      <c r="Z38" s="7">
        <f t="shared" si="17"/>
        <v>0</v>
      </c>
      <c r="AA38" s="7">
        <f t="shared" si="18"/>
        <v>0</v>
      </c>
      <c r="AB38" s="7">
        <f t="shared" si="19"/>
        <v>0</v>
      </c>
      <c r="AC38" s="46"/>
      <c r="AD38" s="7">
        <f t="shared" si="20"/>
        <v>0</v>
      </c>
      <c r="AE38" s="7">
        <f t="shared" si="21"/>
        <v>0</v>
      </c>
      <c r="AF38" s="7">
        <f t="shared" si="22"/>
        <v>0</v>
      </c>
      <c r="AG38" s="7">
        <f t="shared" si="23"/>
        <v>0</v>
      </c>
      <c r="AH38" s="46"/>
      <c r="AI38" s="7">
        <f t="shared" si="24"/>
        <v>0</v>
      </c>
      <c r="AJ38" s="7">
        <f t="shared" si="25"/>
        <v>0</v>
      </c>
      <c r="AK38" s="7">
        <f t="shared" si="26"/>
        <v>0</v>
      </c>
      <c r="AL38" s="7">
        <f t="shared" si="27"/>
        <v>0</v>
      </c>
      <c r="AM38" s="46">
        <f>SUMIFS(SPEW_Pig_iron_production!$R:$R,SPEW_Pig_iron_production!$B:$B,$C38)</f>
        <v>0</v>
      </c>
      <c r="AN38" s="7">
        <f t="shared" si="28"/>
        <v>0</v>
      </c>
      <c r="AO38" s="7">
        <f t="shared" si="29"/>
        <v>0</v>
      </c>
      <c r="AP38" s="7">
        <f t="shared" si="30"/>
        <v>0</v>
      </c>
      <c r="AQ38" s="7">
        <f t="shared" si="31"/>
        <v>0</v>
      </c>
      <c r="AR38" s="46">
        <f>SUMIFS(SPEW_Pig_iron_production!$S:$S,SPEW_Pig_iron_production!$B:$B,$C38)</f>
        <v>0</v>
      </c>
      <c r="AS38" s="7">
        <f t="shared" si="32"/>
        <v>0</v>
      </c>
      <c r="AT38" s="7">
        <f t="shared" si="33"/>
        <v>0</v>
      </c>
      <c r="AU38" s="7">
        <f t="shared" si="34"/>
        <v>0</v>
      </c>
      <c r="AV38" s="7">
        <f t="shared" si="35"/>
        <v>0</v>
      </c>
      <c r="AW38" s="46">
        <f>SUMIFS(SPEW_Pig_iron_production!$T:$T,SPEW_Pig_iron_production!$B:$B,$C38)</f>
        <v>0</v>
      </c>
      <c r="AX38" s="7">
        <f t="shared" si="36"/>
        <v>0</v>
      </c>
      <c r="AY38" s="7">
        <f t="shared" si="37"/>
        <v>0</v>
      </c>
      <c r="AZ38" s="7">
        <f t="shared" si="38"/>
        <v>0</v>
      </c>
      <c r="BA38" s="7">
        <f t="shared" si="39"/>
        <v>0</v>
      </c>
      <c r="BB38" s="46">
        <f>SUMIFS(SPEW_Pig_iron_production!$U:$U,SPEW_Pig_iron_production!$B:$B,$C38)</f>
        <v>0</v>
      </c>
      <c r="BC38" s="7">
        <f t="shared" si="40"/>
        <v>0</v>
      </c>
      <c r="BD38" s="7">
        <f t="shared" si="41"/>
        <v>0</v>
      </c>
      <c r="BE38" s="7">
        <f t="shared" si="42"/>
        <v>0</v>
      </c>
      <c r="BF38" s="7">
        <f t="shared" si="43"/>
        <v>0</v>
      </c>
      <c r="BG38" s="46">
        <f>SUMIFS(SPEW_Pig_iron_production!$V:$V,SPEW_Pig_iron_production!$B:$B,$C38)</f>
        <v>0</v>
      </c>
      <c r="BH38" s="7">
        <f t="shared" si="44"/>
        <v>0</v>
      </c>
      <c r="BI38" s="7">
        <f t="shared" si="45"/>
        <v>0</v>
      </c>
      <c r="BJ38" s="7">
        <f t="shared" si="46"/>
        <v>0</v>
      </c>
      <c r="BK38" s="7">
        <f t="shared" si="47"/>
        <v>0</v>
      </c>
      <c r="BL38" s="46">
        <f>SUMIFS(SPEW_Pig_iron_production!$W:$W,SPEW_Pig_iron_production!$B:$B,$C38)</f>
        <v>0</v>
      </c>
      <c r="BM38" s="7">
        <f t="shared" si="48"/>
        <v>0</v>
      </c>
      <c r="BN38" s="7">
        <f t="shared" si="49"/>
        <v>0</v>
      </c>
      <c r="BO38" s="7">
        <f t="shared" si="50"/>
        <v>0</v>
      </c>
      <c r="BP38" s="7">
        <f t="shared" si="51"/>
        <v>0</v>
      </c>
      <c r="BQ38" s="46">
        <f>SUMIFS(SPEW_Pig_iron_production!$X:$X,SPEW_Pig_iron_production!$B:$B,$C38)</f>
        <v>0</v>
      </c>
      <c r="BR38" s="7">
        <f t="shared" si="52"/>
        <v>0</v>
      </c>
      <c r="BS38" s="7">
        <f t="shared" si="53"/>
        <v>0</v>
      </c>
      <c r="BT38" s="7">
        <f t="shared" si="54"/>
        <v>0</v>
      </c>
      <c r="BU38" s="7">
        <f t="shared" si="55"/>
        <v>0</v>
      </c>
      <c r="BV38" s="46">
        <f>SUMIFS(SPEW_Pig_iron_production!$Y:$Y,SPEW_Pig_iron_production!$B:$B,$C38)</f>
        <v>0</v>
      </c>
      <c r="BW38" s="7">
        <f t="shared" si="56"/>
        <v>0</v>
      </c>
      <c r="BX38" s="7">
        <f t="shared" si="57"/>
        <v>0</v>
      </c>
      <c r="BY38" s="7">
        <f t="shared" si="58"/>
        <v>0</v>
      </c>
      <c r="BZ38" s="7">
        <f t="shared" si="59"/>
        <v>0</v>
      </c>
      <c r="CA38" s="46">
        <f>SUMIFS(SPEW_Pig_iron_production!$Z:$Z,SPEW_Pig_iron_production!$B:$B,$C38)</f>
        <v>0</v>
      </c>
      <c r="CB38" s="7">
        <f t="shared" si="60"/>
        <v>0</v>
      </c>
      <c r="CC38" s="7">
        <f t="shared" si="61"/>
        <v>0</v>
      </c>
      <c r="CD38" s="7">
        <f t="shared" si="62"/>
        <v>0</v>
      </c>
      <c r="CE38" s="7">
        <f t="shared" si="63"/>
        <v>0</v>
      </c>
      <c r="CF38" s="46">
        <f>SUMIFS(SPEW_Pig_iron_production!$AA:$AA,SPEW_Pig_iron_production!$B:$B,$C38)</f>
        <v>0</v>
      </c>
      <c r="CG38" s="7">
        <f t="shared" si="64"/>
        <v>0</v>
      </c>
      <c r="CH38" s="7">
        <f t="shared" si="65"/>
        <v>0</v>
      </c>
      <c r="CI38" s="7">
        <f t="shared" si="66"/>
        <v>0</v>
      </c>
      <c r="CJ38" s="7">
        <f t="shared" si="67"/>
        <v>0</v>
      </c>
      <c r="CK38" s="46">
        <f>SUMIFS(SPEW_Pig_iron_production!$AB:$AB,SPEW_Pig_iron_production!$B:$B,$C38)</f>
        <v>0</v>
      </c>
      <c r="CL38" s="7">
        <f t="shared" si="68"/>
        <v>123.59999999999997</v>
      </c>
      <c r="CM38" s="7">
        <f t="shared" si="69"/>
        <v>247.19999999999996</v>
      </c>
      <c r="CN38" s="7">
        <f t="shared" si="70"/>
        <v>370.79999999999995</v>
      </c>
      <c r="CO38" s="7">
        <f t="shared" si="71"/>
        <v>494.4</v>
      </c>
      <c r="CP38" s="2">
        <f>[1]Data!B38</f>
        <v>618</v>
      </c>
      <c r="CQ38" s="2">
        <f>[1]Data!C38</f>
        <v>570</v>
      </c>
      <c r="CR38" s="2">
        <f>[1]Data!D38</f>
        <v>483</v>
      </c>
      <c r="CS38" s="2">
        <f>[1]Data!E38</f>
        <v>565</v>
      </c>
      <c r="CT38" s="2">
        <f>[1]Data!F38</f>
        <v>572</v>
      </c>
      <c r="CU38" s="2">
        <f>[1]Data!G38</f>
        <v>610</v>
      </c>
      <c r="CV38" s="2">
        <f>[1]Data!H38</f>
        <v>564</v>
      </c>
      <c r="CW38" s="2">
        <f>[1]Data!I38</f>
        <v>385</v>
      </c>
      <c r="CX38" s="2">
        <f>[1]Data!J38</f>
        <v>367</v>
      </c>
      <c r="CY38" s="2">
        <f>[1]Data!K38</f>
        <v>240</v>
      </c>
      <c r="CZ38" s="2">
        <f>[1]Data!L38</f>
        <v>54</v>
      </c>
      <c r="DA38" s="2">
        <f>[1]Data!M38</f>
        <v>61</v>
      </c>
      <c r="DB38" s="2">
        <f>[1]Data!N38</f>
        <v>70</v>
      </c>
      <c r="DC38" s="2">
        <f>[1]Data!O38</f>
        <v>73</v>
      </c>
      <c r="DD38" s="2">
        <f>[1]Data!P38</f>
        <v>70</v>
      </c>
      <c r="DE38" s="2">
        <f>[1]Data!Q38</f>
        <v>70</v>
      </c>
      <c r="DF38" s="2">
        <f>[1]Data!R38</f>
        <v>70</v>
      </c>
      <c r="DG38" s="2">
        <f>[1]Data!S38</f>
        <v>70</v>
      </c>
      <c r="DH38" s="2">
        <f>[1]Data!T38</f>
        <v>70</v>
      </c>
      <c r="DI38" s="2">
        <f>[1]Data!U38</f>
        <v>80</v>
      </c>
      <c r="DJ38" s="2">
        <f>[1]Data!V38</f>
        <v>90</v>
      </c>
      <c r="DK38" s="2">
        <f>[1]Data!W38</f>
        <v>100</v>
      </c>
      <c r="DL38" s="2">
        <f>[1]Data!X38</f>
        <v>108</v>
      </c>
      <c r="DM38" s="2">
        <f>[1]Data!Y38</f>
        <v>111</v>
      </c>
      <c r="DN38" s="2">
        <f>[1]Data!Z38</f>
        <v>113</v>
      </c>
      <c r="DO38" s="2">
        <f>[1]Data!AA38</f>
        <v>85</v>
      </c>
      <c r="DP38" s="2">
        <f>[1]Data!AB38</f>
        <v>114</v>
      </c>
      <c r="DQ38" s="2">
        <f>[1]Data!AC38</f>
        <v>111</v>
      </c>
      <c r="DR38" s="2">
        <f>[1]Data!AD38</f>
        <v>108</v>
      </c>
      <c r="DS38" s="2">
        <f>[1]Data!AE38</f>
        <v>83</v>
      </c>
      <c r="DT38" s="2">
        <f>[1]Data!AF38</f>
        <v>108</v>
      </c>
      <c r="DU38" s="2">
        <f>[1]Data!AG38</f>
        <v>101</v>
      </c>
      <c r="DV38" s="2">
        <f>[1]Data!AH38</f>
        <v>100</v>
      </c>
      <c r="DW38" s="2">
        <f>[1]Data!AI38</f>
        <v>106</v>
      </c>
      <c r="DX38" s="2">
        <v>102</v>
      </c>
      <c r="DY38" s="2">
        <f>[4]Data!AK38</f>
        <v>100</v>
      </c>
      <c r="DZ38" s="2">
        <f>[4]Data!AL38</f>
        <v>100</v>
      </c>
      <c r="EA38" s="2">
        <f>[4]Data!AM38</f>
        <v>100</v>
      </c>
    </row>
    <row r="39" spans="1:131" ht="16" x14ac:dyDescent="0.2">
      <c r="A39" t="s">
        <v>37</v>
      </c>
      <c r="C39" s="9" t="s">
        <v>116</v>
      </c>
      <c r="D39" s="46"/>
      <c r="E39" s="7">
        <f t="shared" si="0"/>
        <v>0</v>
      </c>
      <c r="F39" s="7">
        <f t="shared" si="1"/>
        <v>0</v>
      </c>
      <c r="G39" s="7">
        <f t="shared" si="2"/>
        <v>0</v>
      </c>
      <c r="H39" s="7">
        <f t="shared" si="3"/>
        <v>0</v>
      </c>
      <c r="I39" s="46"/>
      <c r="J39" s="7">
        <f t="shared" si="4"/>
        <v>0</v>
      </c>
      <c r="K39" s="7">
        <f t="shared" si="5"/>
        <v>0</v>
      </c>
      <c r="L39" s="7">
        <f t="shared" si="6"/>
        <v>0</v>
      </c>
      <c r="M39" s="7">
        <f t="shared" si="7"/>
        <v>0</v>
      </c>
      <c r="N39" s="46"/>
      <c r="O39" s="7">
        <f t="shared" si="8"/>
        <v>0</v>
      </c>
      <c r="P39" s="7">
        <f t="shared" si="9"/>
        <v>0</v>
      </c>
      <c r="Q39" s="7">
        <f t="shared" si="10"/>
        <v>0</v>
      </c>
      <c r="R39" s="7">
        <f t="shared" si="11"/>
        <v>0</v>
      </c>
      <c r="S39" s="46"/>
      <c r="T39" s="7">
        <f t="shared" si="12"/>
        <v>0</v>
      </c>
      <c r="U39" s="7">
        <f t="shared" si="13"/>
        <v>0</v>
      </c>
      <c r="V39" s="7">
        <f t="shared" si="14"/>
        <v>0</v>
      </c>
      <c r="W39" s="7">
        <f t="shared" si="15"/>
        <v>0</v>
      </c>
      <c r="X39" s="46"/>
      <c r="Y39" s="7">
        <f t="shared" si="16"/>
        <v>0</v>
      </c>
      <c r="Z39" s="7">
        <f t="shared" si="17"/>
        <v>0</v>
      </c>
      <c r="AA39" s="7">
        <f t="shared" si="18"/>
        <v>0</v>
      </c>
      <c r="AB39" s="7">
        <f t="shared" si="19"/>
        <v>0</v>
      </c>
      <c r="AC39" s="46"/>
      <c r="AD39" s="7">
        <f t="shared" si="20"/>
        <v>0</v>
      </c>
      <c r="AE39" s="7">
        <f t="shared" si="21"/>
        <v>0</v>
      </c>
      <c r="AF39" s="7">
        <f t="shared" si="22"/>
        <v>0</v>
      </c>
      <c r="AG39" s="7">
        <f t="shared" si="23"/>
        <v>0</v>
      </c>
      <c r="AH39" s="46"/>
      <c r="AI39" s="7">
        <f t="shared" si="24"/>
        <v>0</v>
      </c>
      <c r="AJ39" s="7">
        <f t="shared" si="25"/>
        <v>0</v>
      </c>
      <c r="AK39" s="7">
        <f t="shared" si="26"/>
        <v>0</v>
      </c>
      <c r="AL39" s="7">
        <f t="shared" si="27"/>
        <v>0</v>
      </c>
      <c r="AM39" s="46">
        <f>SUMIFS(SPEW_Pig_iron_production!$R:$R,SPEW_Pig_iron_production!$B:$B,$C39)</f>
        <v>0</v>
      </c>
      <c r="AN39" s="7">
        <f t="shared" si="28"/>
        <v>0</v>
      </c>
      <c r="AO39" s="7">
        <f t="shared" si="29"/>
        <v>0</v>
      </c>
      <c r="AP39" s="7">
        <f t="shared" si="30"/>
        <v>0</v>
      </c>
      <c r="AQ39" s="7">
        <f t="shared" si="31"/>
        <v>0</v>
      </c>
      <c r="AR39" s="46">
        <f>SUMIFS(SPEW_Pig_iron_production!$S:$S,SPEW_Pig_iron_production!$B:$B,$C39)</f>
        <v>0</v>
      </c>
      <c r="AS39" s="7">
        <f t="shared" si="32"/>
        <v>0</v>
      </c>
      <c r="AT39" s="7">
        <f t="shared" si="33"/>
        <v>0</v>
      </c>
      <c r="AU39" s="7">
        <f t="shared" si="34"/>
        <v>0</v>
      </c>
      <c r="AV39" s="7">
        <f t="shared" si="35"/>
        <v>0</v>
      </c>
      <c r="AW39" s="46">
        <f>SUMIFS(SPEW_Pig_iron_production!$T:$T,SPEW_Pig_iron_production!$B:$B,$C39)</f>
        <v>0</v>
      </c>
      <c r="AX39" s="7">
        <f t="shared" si="36"/>
        <v>0</v>
      </c>
      <c r="AY39" s="7">
        <f t="shared" si="37"/>
        <v>0</v>
      </c>
      <c r="AZ39" s="7">
        <f t="shared" si="38"/>
        <v>0</v>
      </c>
      <c r="BA39" s="7">
        <f t="shared" si="39"/>
        <v>0</v>
      </c>
      <c r="BB39" s="46">
        <f>SUMIFS(SPEW_Pig_iron_production!$U:$U,SPEW_Pig_iron_production!$B:$B,$C39)</f>
        <v>0</v>
      </c>
      <c r="BC39" s="7">
        <f t="shared" si="40"/>
        <v>0</v>
      </c>
      <c r="BD39" s="7">
        <f t="shared" si="41"/>
        <v>0</v>
      </c>
      <c r="BE39" s="7">
        <f t="shared" si="42"/>
        <v>0</v>
      </c>
      <c r="BF39" s="7">
        <f t="shared" si="43"/>
        <v>0</v>
      </c>
      <c r="BG39" s="46">
        <f>SUMIFS(SPEW_Pig_iron_production!$V:$V,SPEW_Pig_iron_production!$B:$B,$C39)</f>
        <v>0</v>
      </c>
      <c r="BH39" s="7">
        <f t="shared" si="44"/>
        <v>0</v>
      </c>
      <c r="BI39" s="7">
        <f t="shared" si="45"/>
        <v>0</v>
      </c>
      <c r="BJ39" s="7">
        <f t="shared" si="46"/>
        <v>0</v>
      </c>
      <c r="BK39" s="7">
        <f t="shared" si="47"/>
        <v>0</v>
      </c>
      <c r="BL39" s="46">
        <f>SUMIFS(SPEW_Pig_iron_production!$W:$W,SPEW_Pig_iron_production!$B:$B,$C39)</f>
        <v>0</v>
      </c>
      <c r="BM39" s="7">
        <f t="shared" si="48"/>
        <v>0</v>
      </c>
      <c r="BN39" s="7">
        <f t="shared" si="49"/>
        <v>0</v>
      </c>
      <c r="BO39" s="7">
        <f t="shared" si="50"/>
        <v>0</v>
      </c>
      <c r="BP39" s="7">
        <f t="shared" si="51"/>
        <v>0</v>
      </c>
      <c r="BQ39" s="46">
        <f>SUMIFS(SPEW_Pig_iron_production!$X:$X,SPEW_Pig_iron_production!$B:$B,$C39)</f>
        <v>0</v>
      </c>
      <c r="BR39" s="7">
        <f t="shared" si="52"/>
        <v>0</v>
      </c>
      <c r="BS39" s="7">
        <f t="shared" si="53"/>
        <v>0</v>
      </c>
      <c r="BT39" s="7">
        <f t="shared" si="54"/>
        <v>0</v>
      </c>
      <c r="BU39" s="7">
        <f t="shared" si="55"/>
        <v>0</v>
      </c>
      <c r="BV39" s="46">
        <f>SUMIFS(SPEW_Pig_iron_production!$Y:$Y,SPEW_Pig_iron_production!$B:$B,$C39)</f>
        <v>0</v>
      </c>
      <c r="BW39" s="7">
        <f t="shared" si="56"/>
        <v>0</v>
      </c>
      <c r="BX39" s="7">
        <f t="shared" si="57"/>
        <v>0</v>
      </c>
      <c r="BY39" s="7">
        <f t="shared" si="58"/>
        <v>0</v>
      </c>
      <c r="BZ39" s="7">
        <f t="shared" si="59"/>
        <v>0</v>
      </c>
      <c r="CA39" s="46">
        <f>SUMIFS(SPEW_Pig_iron_production!$Z:$Z,SPEW_Pig_iron_production!$B:$B,$C39)</f>
        <v>0</v>
      </c>
      <c r="CB39" s="7">
        <f t="shared" si="60"/>
        <v>0</v>
      </c>
      <c r="CC39" s="7">
        <f t="shared" si="61"/>
        <v>0</v>
      </c>
      <c r="CD39" s="7">
        <f t="shared" si="62"/>
        <v>0</v>
      </c>
      <c r="CE39" s="7">
        <f t="shared" si="63"/>
        <v>0</v>
      </c>
      <c r="CF39" s="46">
        <f>SUMIFS(SPEW_Pig_iron_production!$AA:$AA,SPEW_Pig_iron_production!$B:$B,$C39)</f>
        <v>0</v>
      </c>
      <c r="CG39" s="7">
        <f t="shared" si="64"/>
        <v>0</v>
      </c>
      <c r="CH39" s="7">
        <f t="shared" si="65"/>
        <v>0</v>
      </c>
      <c r="CI39" s="7">
        <f t="shared" si="66"/>
        <v>0</v>
      </c>
      <c r="CJ39" s="7">
        <f t="shared" si="67"/>
        <v>0</v>
      </c>
      <c r="CK39" s="46">
        <f>SUMIFS(SPEW_Pig_iron_production!$AB:$AB,SPEW_Pig_iron_production!$B:$B,$C39)</f>
        <v>0</v>
      </c>
      <c r="CL39" s="7">
        <f t="shared" si="68"/>
        <v>0</v>
      </c>
      <c r="CM39" s="7">
        <f t="shared" si="69"/>
        <v>0</v>
      </c>
      <c r="CN39" s="7">
        <f t="shared" si="70"/>
        <v>0</v>
      </c>
      <c r="CO39" s="7">
        <f t="shared" si="71"/>
        <v>0</v>
      </c>
      <c r="CP39" s="2">
        <f>[1]Data!B39</f>
        <v>0</v>
      </c>
      <c r="CQ39" s="2">
        <f>[1]Data!C39</f>
        <v>130</v>
      </c>
      <c r="CR39" s="2">
        <f>[1]Data!D39</f>
        <v>450</v>
      </c>
      <c r="CS39" s="2">
        <f>[1]Data!E39</f>
        <v>490</v>
      </c>
      <c r="CT39" s="2">
        <f>[1]Data!F39</f>
        <v>550</v>
      </c>
      <c r="CU39" s="2">
        <f>[1]Data!G39</f>
        <v>803</v>
      </c>
      <c r="CV39" s="2">
        <f>[1]Data!H39</f>
        <v>895</v>
      </c>
      <c r="CW39" s="2">
        <f>[1]Data!I39</f>
        <v>793</v>
      </c>
      <c r="CX39" s="2">
        <f>[1]Data!J39</f>
        <v>905</v>
      </c>
      <c r="CY39" s="2">
        <f>[1]Data!K39</f>
        <v>850</v>
      </c>
      <c r="CZ39" s="2">
        <f>[1]Data!L39</f>
        <v>650</v>
      </c>
      <c r="DA39" s="2">
        <f>[1]Data!M39</f>
        <v>700</v>
      </c>
      <c r="DB39" s="2">
        <f>[1]Data!N39</f>
        <v>800</v>
      </c>
      <c r="DC39" s="2">
        <f>[1]Data!O39</f>
        <v>900</v>
      </c>
      <c r="DD39" s="2">
        <f>[1]Data!P39</f>
        <v>900</v>
      </c>
      <c r="DE39" s="2">
        <f>[1]Data!Q39</f>
        <v>1044</v>
      </c>
      <c r="DF39" s="2">
        <f>[1]Data!R39</f>
        <v>1002</v>
      </c>
      <c r="DG39" s="2">
        <f>[1]Data!S39</f>
        <v>1068</v>
      </c>
      <c r="DH39" s="2">
        <f>[1]Data!T39</f>
        <v>1000</v>
      </c>
      <c r="DI39" s="2">
        <f>[1]Data!U39</f>
        <v>1000</v>
      </c>
      <c r="DJ39" s="2">
        <f>[1]Data!V39</f>
        <v>1000</v>
      </c>
      <c r="DK39" s="2">
        <f>[1]Data!W39</f>
        <v>1067</v>
      </c>
      <c r="DL39" s="2">
        <f>[1]Data!X39</f>
        <v>1000</v>
      </c>
      <c r="DM39" s="2">
        <f>[1]Data!Y39</f>
        <v>1000</v>
      </c>
      <c r="DN39" s="2">
        <f>[1]Data!Z39</f>
        <v>1187</v>
      </c>
      <c r="DO39" s="2">
        <f>[1]Data!AA39</f>
        <v>818</v>
      </c>
      <c r="DP39" s="2">
        <f>[1]Data!AB39</f>
        <v>1015</v>
      </c>
      <c r="DQ39" s="2">
        <f>[1]Data!AC39</f>
        <v>1002</v>
      </c>
      <c r="DR39" s="2">
        <f>[1]Data!AD39</f>
        <v>915</v>
      </c>
      <c r="DS39" s="2">
        <f>[1]Data!AE39</f>
        <v>629</v>
      </c>
      <c r="DT39" s="2">
        <f>[1]Data!AF39</f>
        <v>415</v>
      </c>
      <c r="DU39" s="2">
        <f>[1]Data!AG39</f>
        <v>358</v>
      </c>
      <c r="DV39" s="2">
        <f>[1]Data!AH39</f>
        <v>198</v>
      </c>
      <c r="DW39" s="2">
        <f>[1]Data!AI39</f>
        <v>165</v>
      </c>
      <c r="DX39" s="2">
        <v>142</v>
      </c>
      <c r="DY39" s="2">
        <f>[4]Data!AK39</f>
        <v>163</v>
      </c>
      <c r="DZ39" s="2">
        <f>[4]Data!AL39</f>
        <v>0</v>
      </c>
      <c r="EA39" s="2">
        <f>[4]Data!AM39</f>
        <v>0</v>
      </c>
    </row>
    <row r="40" spans="1:131" ht="16" x14ac:dyDescent="0.2">
      <c r="A40" t="s">
        <v>38</v>
      </c>
      <c r="C40" s="9" t="s">
        <v>117</v>
      </c>
      <c r="D40" s="46"/>
      <c r="E40" s="7">
        <f t="shared" si="0"/>
        <v>0</v>
      </c>
      <c r="F40" s="7">
        <f t="shared" si="1"/>
        <v>0</v>
      </c>
      <c r="G40" s="7">
        <f t="shared" si="2"/>
        <v>0</v>
      </c>
      <c r="H40" s="7">
        <f t="shared" si="3"/>
        <v>0</v>
      </c>
      <c r="I40" s="46"/>
      <c r="J40" s="7">
        <f t="shared" si="4"/>
        <v>0</v>
      </c>
      <c r="K40" s="7">
        <f t="shared" si="5"/>
        <v>0</v>
      </c>
      <c r="L40" s="7">
        <f t="shared" si="6"/>
        <v>0</v>
      </c>
      <c r="M40" s="7">
        <f t="shared" si="7"/>
        <v>0</v>
      </c>
      <c r="N40" s="46"/>
      <c r="O40" s="7">
        <f t="shared" si="8"/>
        <v>0</v>
      </c>
      <c r="P40" s="7">
        <f t="shared" si="9"/>
        <v>0</v>
      </c>
      <c r="Q40" s="7">
        <f t="shared" si="10"/>
        <v>0</v>
      </c>
      <c r="R40" s="7">
        <f t="shared" si="11"/>
        <v>0</v>
      </c>
      <c r="S40" s="46"/>
      <c r="T40" s="7">
        <f t="shared" si="12"/>
        <v>0</v>
      </c>
      <c r="U40" s="7">
        <f t="shared" si="13"/>
        <v>0</v>
      </c>
      <c r="V40" s="7">
        <f t="shared" si="14"/>
        <v>0</v>
      </c>
      <c r="W40" s="7">
        <f t="shared" si="15"/>
        <v>0</v>
      </c>
      <c r="X40" s="46"/>
      <c r="Y40" s="7">
        <f t="shared" si="16"/>
        <v>0</v>
      </c>
      <c r="Z40" s="7">
        <f t="shared" si="17"/>
        <v>0</v>
      </c>
      <c r="AA40" s="7">
        <f t="shared" si="18"/>
        <v>0</v>
      </c>
      <c r="AB40" s="7">
        <f t="shared" si="19"/>
        <v>0</v>
      </c>
      <c r="AC40" s="46"/>
      <c r="AD40" s="7">
        <f t="shared" si="20"/>
        <v>0</v>
      </c>
      <c r="AE40" s="7">
        <f t="shared" si="21"/>
        <v>0</v>
      </c>
      <c r="AF40" s="7">
        <f t="shared" si="22"/>
        <v>0</v>
      </c>
      <c r="AG40" s="7">
        <f t="shared" si="23"/>
        <v>0</v>
      </c>
      <c r="AH40" s="46"/>
      <c r="AI40" s="7">
        <f t="shared" si="24"/>
        <v>0</v>
      </c>
      <c r="AJ40" s="7">
        <f t="shared" si="25"/>
        <v>0</v>
      </c>
      <c r="AK40" s="7">
        <f t="shared" si="26"/>
        <v>0</v>
      </c>
      <c r="AL40" s="7">
        <f t="shared" si="27"/>
        <v>0</v>
      </c>
      <c r="AM40" s="46">
        <f>SUMIFS(SPEW_Pig_iron_production!$R:$R,SPEW_Pig_iron_production!$B:$B,$C40)</f>
        <v>0</v>
      </c>
      <c r="AN40" s="7">
        <f t="shared" si="28"/>
        <v>0</v>
      </c>
      <c r="AO40" s="7">
        <f t="shared" si="29"/>
        <v>0</v>
      </c>
      <c r="AP40" s="7">
        <f t="shared" si="30"/>
        <v>0</v>
      </c>
      <c r="AQ40" s="7">
        <f t="shared" si="31"/>
        <v>0</v>
      </c>
      <c r="AR40" s="46">
        <f>SUMIFS(SPEW_Pig_iron_production!$S:$S,SPEW_Pig_iron_production!$B:$B,$C40)</f>
        <v>0</v>
      </c>
      <c r="AS40" s="7">
        <f t="shared" si="32"/>
        <v>0</v>
      </c>
      <c r="AT40" s="7">
        <f t="shared" si="33"/>
        <v>0</v>
      </c>
      <c r="AU40" s="7">
        <f t="shared" si="34"/>
        <v>0</v>
      </c>
      <c r="AV40" s="7">
        <f t="shared" si="35"/>
        <v>0</v>
      </c>
      <c r="AW40" s="46">
        <f>SUMIFS(SPEW_Pig_iron_production!$T:$T,SPEW_Pig_iron_production!$B:$B,$C40)</f>
        <v>0</v>
      </c>
      <c r="AX40" s="7">
        <f t="shared" si="36"/>
        <v>0</v>
      </c>
      <c r="AY40" s="7">
        <f t="shared" si="37"/>
        <v>0</v>
      </c>
      <c r="AZ40" s="7">
        <f t="shared" si="38"/>
        <v>0</v>
      </c>
      <c r="BA40" s="7">
        <f t="shared" si="39"/>
        <v>0</v>
      </c>
      <c r="BB40" s="46">
        <f>SUMIFS(SPEW_Pig_iron_production!$U:$U,SPEW_Pig_iron_production!$B:$B,$C40)</f>
        <v>0</v>
      </c>
      <c r="BC40" s="7">
        <f t="shared" si="40"/>
        <v>0</v>
      </c>
      <c r="BD40" s="7">
        <f t="shared" si="41"/>
        <v>0</v>
      </c>
      <c r="BE40" s="7">
        <f t="shared" si="42"/>
        <v>0</v>
      </c>
      <c r="BF40" s="7">
        <f t="shared" si="43"/>
        <v>0</v>
      </c>
      <c r="BG40" s="46">
        <f>SUMIFS(SPEW_Pig_iron_production!$V:$V,SPEW_Pig_iron_production!$B:$B,$C40)</f>
        <v>0</v>
      </c>
      <c r="BH40" s="7">
        <f t="shared" si="44"/>
        <v>0</v>
      </c>
      <c r="BI40" s="7">
        <f t="shared" si="45"/>
        <v>0</v>
      </c>
      <c r="BJ40" s="7">
        <f t="shared" si="46"/>
        <v>0</v>
      </c>
      <c r="BK40" s="7">
        <f t="shared" si="47"/>
        <v>0</v>
      </c>
      <c r="BL40" s="46">
        <f>SUMIFS(SPEW_Pig_iron_production!$W:$W,SPEW_Pig_iron_production!$B:$B,$C40)</f>
        <v>0</v>
      </c>
      <c r="BM40" s="7">
        <f t="shared" si="48"/>
        <v>0</v>
      </c>
      <c r="BN40" s="7">
        <f t="shared" si="49"/>
        <v>0</v>
      </c>
      <c r="BO40" s="7">
        <f t="shared" si="50"/>
        <v>0</v>
      </c>
      <c r="BP40" s="7">
        <f t="shared" si="51"/>
        <v>0</v>
      </c>
      <c r="BQ40" s="46">
        <f>SUMIFS(SPEW_Pig_iron_production!$X:$X,SPEW_Pig_iron_production!$B:$B,$C40)</f>
        <v>0</v>
      </c>
      <c r="BR40" s="7">
        <f t="shared" si="52"/>
        <v>0</v>
      </c>
      <c r="BS40" s="7">
        <f t="shared" si="53"/>
        <v>0</v>
      </c>
      <c r="BT40" s="7">
        <f t="shared" si="54"/>
        <v>0</v>
      </c>
      <c r="BU40" s="7">
        <f t="shared" si="55"/>
        <v>0</v>
      </c>
      <c r="BV40" s="46">
        <f>SUMIFS(SPEW_Pig_iron_production!$Y:$Y,SPEW_Pig_iron_production!$B:$B,$C40)</f>
        <v>0</v>
      </c>
      <c r="BW40" s="7">
        <f t="shared" si="56"/>
        <v>0</v>
      </c>
      <c r="BX40" s="7">
        <f t="shared" si="57"/>
        <v>0</v>
      </c>
      <c r="BY40" s="7">
        <f t="shared" si="58"/>
        <v>0</v>
      </c>
      <c r="BZ40" s="7">
        <f t="shared" si="59"/>
        <v>0</v>
      </c>
      <c r="CA40" s="46">
        <f>SUMIFS(SPEW_Pig_iron_production!$Z:$Z,SPEW_Pig_iron_production!$B:$B,$C40)</f>
        <v>0</v>
      </c>
      <c r="CB40" s="7">
        <f t="shared" si="60"/>
        <v>0</v>
      </c>
      <c r="CC40" s="7">
        <f t="shared" si="61"/>
        <v>0</v>
      </c>
      <c r="CD40" s="7">
        <f t="shared" si="62"/>
        <v>0</v>
      </c>
      <c r="CE40" s="7">
        <f t="shared" si="63"/>
        <v>0</v>
      </c>
      <c r="CF40" s="46">
        <f>SUMIFS(SPEW_Pig_iron_production!$AA:$AA,SPEW_Pig_iron_production!$B:$B,$C40)</f>
        <v>0</v>
      </c>
      <c r="CG40" s="7">
        <f t="shared" si="64"/>
        <v>0</v>
      </c>
      <c r="CH40" s="7">
        <f t="shared" si="65"/>
        <v>0</v>
      </c>
      <c r="CI40" s="7">
        <f t="shared" si="66"/>
        <v>0</v>
      </c>
      <c r="CJ40" s="7">
        <f t="shared" si="67"/>
        <v>0</v>
      </c>
      <c r="CK40" s="46">
        <f>SUMIFS(SPEW_Pig_iron_production!$AB:$AB,SPEW_Pig_iron_production!$B:$B,$C40)</f>
        <v>0</v>
      </c>
      <c r="CL40" s="7">
        <f t="shared" si="68"/>
        <v>0</v>
      </c>
      <c r="CM40" s="7">
        <f t="shared" si="69"/>
        <v>0</v>
      </c>
      <c r="CN40" s="7">
        <f t="shared" si="70"/>
        <v>0</v>
      </c>
      <c r="CO40" s="7">
        <f t="shared" si="71"/>
        <v>0</v>
      </c>
      <c r="CP40" s="2">
        <f>[1]Data!B40</f>
        <v>0</v>
      </c>
      <c r="CQ40" s="2">
        <f>[1]Data!C40</f>
        <v>0</v>
      </c>
      <c r="CR40" s="2">
        <f>[1]Data!D40</f>
        <v>0</v>
      </c>
      <c r="CS40" s="2">
        <f>[1]Data!E40</f>
        <v>0</v>
      </c>
      <c r="CT40" s="2">
        <f>[1]Data!F40</f>
        <v>0</v>
      </c>
      <c r="CU40" s="2">
        <f>[1]Data!G40</f>
        <v>0</v>
      </c>
      <c r="CV40" s="2">
        <f>[1]Data!H40</f>
        <v>0</v>
      </c>
      <c r="CW40" s="2">
        <f>[1]Data!I40</f>
        <v>50</v>
      </c>
      <c r="CX40" s="2">
        <f>[1]Data!J40</f>
        <v>63</v>
      </c>
      <c r="CY40" s="2">
        <f>[1]Data!K40</f>
        <v>61</v>
      </c>
      <c r="CZ40" s="2">
        <f>[1]Data!L40</f>
        <v>54</v>
      </c>
      <c r="DA40" s="2">
        <f>[1]Data!M40</f>
        <v>68</v>
      </c>
      <c r="DB40" s="2">
        <f>[1]Data!N40</f>
        <v>92</v>
      </c>
      <c r="DC40" s="2">
        <f>[1]Data!O40</f>
        <v>81</v>
      </c>
      <c r="DD40" s="2">
        <f>[1]Data!P40</f>
        <v>90</v>
      </c>
      <c r="DE40" s="2">
        <f>[1]Data!Q40</f>
        <v>103</v>
      </c>
      <c r="DF40" s="2">
        <f>[1]Data!R40</f>
        <v>104</v>
      </c>
      <c r="DG40" s="2">
        <f>[1]Data!S40</f>
        <v>79</v>
      </c>
      <c r="DH40" s="2">
        <f>[1]Data!T40</f>
        <v>66</v>
      </c>
      <c r="DI40" s="2">
        <f>[1]Data!U40</f>
        <v>61</v>
      </c>
      <c r="DJ40" s="2">
        <f>[1]Data!V40</f>
        <v>82</v>
      </c>
      <c r="DK40" s="2">
        <f>[1]Data!W40</f>
        <v>72</v>
      </c>
      <c r="DL40" s="2">
        <f>[1]Data!X40</f>
        <v>87</v>
      </c>
      <c r="DM40" s="2">
        <f>[1]Data!Y40</f>
        <v>98</v>
      </c>
      <c r="DN40" s="2">
        <f>[1]Data!Z40</f>
        <v>119</v>
      </c>
      <c r="DO40" s="2">
        <f>[1]Data!AA40</f>
        <v>123</v>
      </c>
      <c r="DP40" s="2">
        <f>[1]Data!AB40</f>
        <v>128</v>
      </c>
      <c r="DQ40" s="2">
        <f>[1]Data!AC40</f>
        <v>110</v>
      </c>
      <c r="DR40" s="2">
        <f>[1]Data!AD40</f>
        <v>94</v>
      </c>
      <c r="DS40" s="2">
        <f>[1]Data!AE40</f>
        <v>71</v>
      </c>
      <c r="DT40" s="2">
        <f>[1]Data!AF40</f>
        <v>81</v>
      </c>
      <c r="DU40" s="2">
        <f>[1]Data!AG40</f>
        <v>42</v>
      </c>
      <c r="DV40" s="2">
        <f>[1]Data!AH40</f>
        <v>67</v>
      </c>
      <c r="DW40" s="2">
        <f>[1]Data!AI40</f>
        <v>69</v>
      </c>
      <c r="DX40" s="2">
        <v>71</v>
      </c>
      <c r="DY40" s="2">
        <f>[4]Data!AK40</f>
        <v>73</v>
      </c>
      <c r="DZ40" s="2">
        <f>[4]Data!AL40</f>
        <v>50</v>
      </c>
      <c r="EA40" s="2">
        <f>[4]Data!AM40</f>
        <v>38</v>
      </c>
    </row>
    <row r="41" spans="1:131" ht="16" x14ac:dyDescent="0.2">
      <c r="A41" t="s">
        <v>39</v>
      </c>
      <c r="C41" s="9" t="s">
        <v>118</v>
      </c>
      <c r="D41" s="46"/>
      <c r="E41" s="7">
        <f t="shared" si="0"/>
        <v>0</v>
      </c>
      <c r="F41" s="7">
        <f t="shared" si="1"/>
        <v>0</v>
      </c>
      <c r="G41" s="7">
        <f t="shared" si="2"/>
        <v>0</v>
      </c>
      <c r="H41" s="7">
        <f t="shared" si="3"/>
        <v>0</v>
      </c>
      <c r="I41" s="46"/>
      <c r="J41" s="7">
        <f t="shared" si="4"/>
        <v>0</v>
      </c>
      <c r="K41" s="7">
        <f t="shared" si="5"/>
        <v>0</v>
      </c>
      <c r="L41" s="7">
        <f t="shared" si="6"/>
        <v>0</v>
      </c>
      <c r="M41" s="7">
        <f t="shared" si="7"/>
        <v>0</v>
      </c>
      <c r="N41" s="46"/>
      <c r="O41" s="7">
        <f t="shared" si="8"/>
        <v>0</v>
      </c>
      <c r="P41" s="7">
        <f t="shared" si="9"/>
        <v>0</v>
      </c>
      <c r="Q41" s="7">
        <f t="shared" si="10"/>
        <v>0</v>
      </c>
      <c r="R41" s="7">
        <f t="shared" si="11"/>
        <v>0</v>
      </c>
      <c r="S41" s="46"/>
      <c r="T41" s="7">
        <f t="shared" si="12"/>
        <v>0</v>
      </c>
      <c r="U41" s="7">
        <f t="shared" si="13"/>
        <v>0</v>
      </c>
      <c r="V41" s="7">
        <f t="shared" si="14"/>
        <v>0</v>
      </c>
      <c r="W41" s="7">
        <f t="shared" si="15"/>
        <v>0</v>
      </c>
      <c r="X41" s="46"/>
      <c r="Y41" s="7">
        <f t="shared" si="16"/>
        <v>0</v>
      </c>
      <c r="Z41" s="7">
        <f t="shared" si="17"/>
        <v>0</v>
      </c>
      <c r="AA41" s="7">
        <f t="shared" si="18"/>
        <v>0</v>
      </c>
      <c r="AB41" s="7">
        <f t="shared" si="19"/>
        <v>0</v>
      </c>
      <c r="AC41" s="46"/>
      <c r="AD41" s="7">
        <f t="shared" si="20"/>
        <v>0</v>
      </c>
      <c r="AE41" s="7">
        <f t="shared" si="21"/>
        <v>0</v>
      </c>
      <c r="AF41" s="7">
        <f t="shared" si="22"/>
        <v>0</v>
      </c>
      <c r="AG41" s="7">
        <f t="shared" si="23"/>
        <v>0</v>
      </c>
      <c r="AH41" s="46"/>
      <c r="AI41" s="7">
        <f t="shared" si="24"/>
        <v>0</v>
      </c>
      <c r="AJ41" s="7">
        <f t="shared" si="25"/>
        <v>0</v>
      </c>
      <c r="AK41" s="7">
        <f t="shared" si="26"/>
        <v>0</v>
      </c>
      <c r="AL41" s="7">
        <f t="shared" si="27"/>
        <v>0</v>
      </c>
      <c r="AM41" s="46">
        <f>SUMIFS(SPEW_Pig_iron_production!$R:$R,SPEW_Pig_iron_production!$B:$B,$C41)</f>
        <v>0</v>
      </c>
      <c r="AN41" s="7">
        <f t="shared" si="28"/>
        <v>0</v>
      </c>
      <c r="AO41" s="7">
        <f t="shared" si="29"/>
        <v>0</v>
      </c>
      <c r="AP41" s="7">
        <f t="shared" si="30"/>
        <v>0</v>
      </c>
      <c r="AQ41" s="7">
        <f t="shared" si="31"/>
        <v>0</v>
      </c>
      <c r="AR41" s="46">
        <f>SUMIFS(SPEW_Pig_iron_production!$S:$S,SPEW_Pig_iron_production!$B:$B,$C41)</f>
        <v>0</v>
      </c>
      <c r="AS41" s="7">
        <f t="shared" si="32"/>
        <v>0</v>
      </c>
      <c r="AT41" s="7">
        <f t="shared" si="33"/>
        <v>0</v>
      </c>
      <c r="AU41" s="7">
        <f t="shared" si="34"/>
        <v>0</v>
      </c>
      <c r="AV41" s="7">
        <f t="shared" si="35"/>
        <v>0</v>
      </c>
      <c r="AW41" s="46">
        <f>SUMIFS(SPEW_Pig_iron_production!$T:$T,SPEW_Pig_iron_production!$B:$B,$C41)</f>
        <v>0</v>
      </c>
      <c r="AX41" s="7">
        <f t="shared" si="36"/>
        <v>0</v>
      </c>
      <c r="AY41" s="7">
        <f t="shared" si="37"/>
        <v>0</v>
      </c>
      <c r="AZ41" s="7">
        <f t="shared" si="38"/>
        <v>0</v>
      </c>
      <c r="BA41" s="7">
        <f t="shared" si="39"/>
        <v>0</v>
      </c>
      <c r="BB41" s="46">
        <f>SUMIFS(SPEW_Pig_iron_production!$U:$U,SPEW_Pig_iron_production!$B:$B,$C41)</f>
        <v>0</v>
      </c>
      <c r="BC41" s="7">
        <f t="shared" si="40"/>
        <v>0</v>
      </c>
      <c r="BD41" s="7">
        <f t="shared" si="41"/>
        <v>0</v>
      </c>
      <c r="BE41" s="7">
        <f t="shared" si="42"/>
        <v>0</v>
      </c>
      <c r="BF41" s="7">
        <f t="shared" si="43"/>
        <v>0</v>
      </c>
      <c r="BG41" s="46">
        <f>SUMIFS(SPEW_Pig_iron_production!$V:$V,SPEW_Pig_iron_production!$B:$B,$C41)</f>
        <v>0</v>
      </c>
      <c r="BH41" s="7">
        <f t="shared" si="44"/>
        <v>0</v>
      </c>
      <c r="BI41" s="7">
        <f t="shared" si="45"/>
        <v>0</v>
      </c>
      <c r="BJ41" s="7">
        <f t="shared" si="46"/>
        <v>0</v>
      </c>
      <c r="BK41" s="7">
        <f t="shared" si="47"/>
        <v>0</v>
      </c>
      <c r="BL41" s="46">
        <f>SUMIFS(SPEW_Pig_iron_production!$W:$W,SPEW_Pig_iron_production!$B:$B,$C41)</f>
        <v>0</v>
      </c>
      <c r="BM41" s="7">
        <f t="shared" si="48"/>
        <v>0</v>
      </c>
      <c r="BN41" s="7">
        <f t="shared" si="49"/>
        <v>0</v>
      </c>
      <c r="BO41" s="7">
        <f t="shared" si="50"/>
        <v>0</v>
      </c>
      <c r="BP41" s="7">
        <f t="shared" si="51"/>
        <v>0</v>
      </c>
      <c r="BQ41" s="46">
        <f>SUMIFS(SPEW_Pig_iron_production!$X:$X,SPEW_Pig_iron_production!$B:$B,$C41)</f>
        <v>0</v>
      </c>
      <c r="BR41" s="7">
        <f t="shared" si="52"/>
        <v>7.799999999999998</v>
      </c>
      <c r="BS41" s="7">
        <f t="shared" si="53"/>
        <v>15.599999999999998</v>
      </c>
      <c r="BT41" s="7">
        <f t="shared" si="54"/>
        <v>23.4</v>
      </c>
      <c r="BU41" s="7">
        <f t="shared" si="55"/>
        <v>31.2</v>
      </c>
      <c r="BV41" s="46">
        <f>SUMIFS(SPEW_Pig_iron_production!$Y:$Y,SPEW_Pig_iron_production!$B:$B,$C41)</f>
        <v>39</v>
      </c>
      <c r="BW41" s="7">
        <f t="shared" si="56"/>
        <v>35.200000000000003</v>
      </c>
      <c r="BX41" s="7">
        <f t="shared" si="57"/>
        <v>31.400000000000002</v>
      </c>
      <c r="BY41" s="7">
        <f t="shared" si="58"/>
        <v>27.6</v>
      </c>
      <c r="BZ41" s="7">
        <f t="shared" si="59"/>
        <v>23.8</v>
      </c>
      <c r="CA41" s="46">
        <f>SUMIFS(SPEW_Pig_iron_production!$Z:$Z,SPEW_Pig_iron_production!$B:$B,$C41)</f>
        <v>20</v>
      </c>
      <c r="CB41" s="7">
        <f t="shared" si="60"/>
        <v>31.4</v>
      </c>
      <c r="CC41" s="7">
        <f t="shared" si="61"/>
        <v>42.8</v>
      </c>
      <c r="CD41" s="7">
        <f t="shared" si="62"/>
        <v>54.199999999999996</v>
      </c>
      <c r="CE41" s="7">
        <f t="shared" si="63"/>
        <v>65.599999999999994</v>
      </c>
      <c r="CF41" s="46">
        <f>SUMIFS(SPEW_Pig_iron_production!$AA:$AA,SPEW_Pig_iron_production!$B:$B,$C41)</f>
        <v>77</v>
      </c>
      <c r="CG41" s="7">
        <f t="shared" si="64"/>
        <v>123.20000000000003</v>
      </c>
      <c r="CH41" s="7">
        <f t="shared" si="65"/>
        <v>169.40000000000003</v>
      </c>
      <c r="CI41" s="7">
        <f t="shared" si="66"/>
        <v>215.60000000000002</v>
      </c>
      <c r="CJ41" s="7">
        <f t="shared" si="67"/>
        <v>261.8</v>
      </c>
      <c r="CK41" s="46">
        <f>SUMIFS(SPEW_Pig_iron_production!$AB:$AB,SPEW_Pig_iron_production!$B:$B,$C41)</f>
        <v>308</v>
      </c>
      <c r="CL41" s="7">
        <f t="shared" si="68"/>
        <v>298.79999999999995</v>
      </c>
      <c r="CM41" s="7">
        <f t="shared" si="69"/>
        <v>289.59999999999997</v>
      </c>
      <c r="CN41" s="7">
        <f t="shared" si="70"/>
        <v>280.39999999999998</v>
      </c>
      <c r="CO41" s="7">
        <f t="shared" si="71"/>
        <v>271.2</v>
      </c>
      <c r="CP41" s="2">
        <f>[1]Data!B41</f>
        <v>262</v>
      </c>
      <c r="CQ41" s="2">
        <f>[1]Data!C41</f>
        <v>193</v>
      </c>
      <c r="CR41" s="2">
        <f>[1]Data!D41</f>
        <v>161</v>
      </c>
      <c r="CS41" s="2">
        <f>[1]Data!E41</f>
        <v>113</v>
      </c>
      <c r="CT41" s="2">
        <f>[1]Data!F41</f>
        <v>4</v>
      </c>
      <c r="CU41" s="2">
        <f>[1]Data!G41</f>
        <v>163</v>
      </c>
      <c r="CV41" s="2">
        <f>[1]Data!H41</f>
        <v>216</v>
      </c>
      <c r="CW41" s="2">
        <f>[1]Data!I41</f>
        <v>185</v>
      </c>
      <c r="CX41" s="2">
        <f>[1]Data!J41</f>
        <v>166</v>
      </c>
      <c r="CY41" s="2">
        <f>[1]Data!K41</f>
        <v>209</v>
      </c>
      <c r="CZ41" s="2">
        <f>[1]Data!L41</f>
        <v>93</v>
      </c>
      <c r="DA41" s="2">
        <f>[1]Data!M41</f>
        <v>207</v>
      </c>
      <c r="DB41" s="2">
        <f>[1]Data!N41</f>
        <v>145</v>
      </c>
      <c r="DC41" s="2">
        <f>[1]Data!O41</f>
        <v>201</v>
      </c>
      <c r="DD41" s="2">
        <f>[1]Data!P41</f>
        <v>200</v>
      </c>
      <c r="DE41" s="2">
        <f>[1]Data!Q41</f>
        <v>247</v>
      </c>
      <c r="DF41" s="2">
        <f>[1]Data!R41</f>
        <v>273</v>
      </c>
      <c r="DG41" s="2">
        <f>[1]Data!S41</f>
        <v>264</v>
      </c>
      <c r="DH41" s="2">
        <f>[1]Data!T41</f>
        <v>283</v>
      </c>
      <c r="DI41" s="2">
        <f>[1]Data!U41</f>
        <v>197</v>
      </c>
      <c r="DJ41" s="2">
        <f>[1]Data!V41</f>
        <v>327</v>
      </c>
      <c r="DK41" s="2">
        <f>[1]Data!W41</f>
        <v>316</v>
      </c>
      <c r="DL41" s="2">
        <f>[1]Data!X41</f>
        <v>240</v>
      </c>
      <c r="DM41" s="2">
        <f>[1]Data!Y41</f>
        <v>226</v>
      </c>
      <c r="DN41" s="2">
        <f>[1]Data!Z41</f>
        <v>272</v>
      </c>
      <c r="DO41" s="2">
        <f>[1]Data!AA41</f>
        <v>263</v>
      </c>
      <c r="DP41" s="2">
        <f>[1]Data!AB41</f>
        <v>306</v>
      </c>
      <c r="DQ41" s="2">
        <f>[1]Data!AC41</f>
        <v>351</v>
      </c>
      <c r="DR41" s="2">
        <f>[1]Data!AD41</f>
        <v>412</v>
      </c>
      <c r="DS41" s="2">
        <f>[1]Data!AE41</f>
        <v>0</v>
      </c>
      <c r="DT41" s="2">
        <f>[1]Data!AF41</f>
        <v>0</v>
      </c>
      <c r="DU41" s="2">
        <f>[1]Data!AG41</f>
        <v>0</v>
      </c>
      <c r="DV41" s="2">
        <f>[1]Data!AH41</f>
        <v>0</v>
      </c>
      <c r="DW41" s="2">
        <f>[1]Data!AI41</f>
        <v>0</v>
      </c>
      <c r="DX41" s="2">
        <v>0</v>
      </c>
      <c r="DY41" s="2">
        <f>[4]Data!AK41</f>
        <v>0</v>
      </c>
      <c r="DZ41" s="2">
        <f>[4]Data!AL41</f>
        <v>0</v>
      </c>
      <c r="EA41" s="2">
        <f>[4]Data!AM41</f>
        <v>0</v>
      </c>
    </row>
    <row r="42" spans="1:131" ht="16" x14ac:dyDescent="0.2">
      <c r="A42" t="s">
        <v>40</v>
      </c>
      <c r="B42" s="15" t="s">
        <v>287</v>
      </c>
      <c r="C42" s="9" t="s">
        <v>119</v>
      </c>
      <c r="D42" s="46">
        <f>SUMIFS(Hyde_iron!$C$34:$C$48,Hyde_iron!$B$34:$B$48,$B42)*I42/SUMIFS(I$3:I$63,$B$3:$B$63,$B42)</f>
        <v>57.394881170018294</v>
      </c>
      <c r="E42" s="7">
        <f t="shared" si="0"/>
        <v>59.314442413162716</v>
      </c>
      <c r="F42" s="7">
        <f t="shared" si="1"/>
        <v>61.234003656307138</v>
      </c>
      <c r="G42" s="7">
        <f t="shared" si="2"/>
        <v>63.15356489945156</v>
      </c>
      <c r="H42" s="7">
        <f t="shared" si="3"/>
        <v>65.073126142595981</v>
      </c>
      <c r="I42" s="46">
        <f>SUMIFS(Hyde_iron!$D$34:$D$48,Hyde_iron!$B$34:$B$48,$B42)*N42/SUMIFS(N$3:N$63,$B$3:$B$63,$B42)</f>
        <v>66.99268738574041</v>
      </c>
      <c r="J42" s="7">
        <f t="shared" si="4"/>
        <v>71.100548446069467</v>
      </c>
      <c r="K42" s="7">
        <f t="shared" si="5"/>
        <v>75.208409506398539</v>
      </c>
      <c r="L42" s="7">
        <f t="shared" si="6"/>
        <v>79.31627056672761</v>
      </c>
      <c r="M42" s="7">
        <f t="shared" si="7"/>
        <v>83.424131627056681</v>
      </c>
      <c r="N42" s="46">
        <f>SUMIFS(Hyde_iron!$E$34:$E$48,Hyde_iron!$B$34:$B$48,$B42)*S42/SUMIFS(S$3:S$63,$B$3:$B$63,$B42)</f>
        <v>87.531992687385753</v>
      </c>
      <c r="O42" s="7">
        <f t="shared" si="8"/>
        <v>86.188299817184642</v>
      </c>
      <c r="P42" s="7">
        <f t="shared" si="9"/>
        <v>84.844606946983546</v>
      </c>
      <c r="Q42" s="7">
        <f t="shared" si="10"/>
        <v>83.50091407678245</v>
      </c>
      <c r="R42" s="7">
        <f t="shared" si="11"/>
        <v>82.157221206581355</v>
      </c>
      <c r="S42" s="46">
        <f>SUMIFS(Hyde_iron!$F$34:$F$48,Hyde_iron!$B$34:$B$48,$B42)*X42/SUMIFS(X$3:X$63,$B$3:$B$63,$B42)</f>
        <v>80.813528336380259</v>
      </c>
      <c r="T42" s="7">
        <f t="shared" si="12"/>
        <v>83.923217550274202</v>
      </c>
      <c r="U42" s="7">
        <f t="shared" si="13"/>
        <v>87.032906764168175</v>
      </c>
      <c r="V42" s="7">
        <f t="shared" si="14"/>
        <v>90.142595978062147</v>
      </c>
      <c r="W42" s="7">
        <f t="shared" si="15"/>
        <v>93.252285191956119</v>
      </c>
      <c r="X42" s="46">
        <f>SUMIFS(Hyde_iron!$G$34:$G$48,Hyde_iron!$B$34:$B$48,$B42)*AC42/SUMIFS(AC$3:AC$63,$B$3:$B$63,$B42)</f>
        <v>96.361974405850091</v>
      </c>
      <c r="Y42" s="7">
        <f t="shared" si="16"/>
        <v>91.985374771480792</v>
      </c>
      <c r="Z42" s="7">
        <f t="shared" si="17"/>
        <v>87.608775137111508</v>
      </c>
      <c r="AA42" s="7">
        <f t="shared" si="18"/>
        <v>83.232175502742223</v>
      </c>
      <c r="AB42" s="7">
        <f t="shared" si="19"/>
        <v>78.855575868372938</v>
      </c>
      <c r="AC42" s="46">
        <f>SUMIFS(Hyde_iron!$H$34:$H$48,Hyde_iron!$B$34:$B$48,$B42)*AH42/SUMIFS(AH$3:AH$63,$B$3:$B$63,$B42)</f>
        <v>74.478976234003653</v>
      </c>
      <c r="AD42" s="7">
        <f t="shared" si="20"/>
        <v>104.654478976234</v>
      </c>
      <c r="AE42" s="7">
        <f t="shared" si="21"/>
        <v>134.82998171846435</v>
      </c>
      <c r="AF42" s="7">
        <f t="shared" si="22"/>
        <v>165.0054844606947</v>
      </c>
      <c r="AG42" s="7">
        <f t="shared" si="23"/>
        <v>195.18098720292505</v>
      </c>
      <c r="AH42" s="46">
        <f>SUMIFS(Hyde_iron!$I$34:$I$48,Hyde_iron!$B$34:$B$48,$B42)*AM42/SUMIFS(AM$3:AM$63,$B$3:$B$63,$B42)</f>
        <v>225.3564899451554</v>
      </c>
      <c r="AI42" s="7">
        <f t="shared" si="24"/>
        <v>243.28519195612441</v>
      </c>
      <c r="AJ42" s="7">
        <f t="shared" si="25"/>
        <v>261.21389396709333</v>
      </c>
      <c r="AK42" s="7">
        <f t="shared" si="26"/>
        <v>279.14259597806222</v>
      </c>
      <c r="AL42" s="7">
        <f t="shared" si="27"/>
        <v>297.07129798903111</v>
      </c>
      <c r="AM42" s="46">
        <f>SUMIFS(SPEW_Pig_iron_production!$R:$R,SPEW_Pig_iron_production!$B:$B,$C42)</f>
        <v>315</v>
      </c>
      <c r="AN42" s="7">
        <f t="shared" si="28"/>
        <v>347.59999999999991</v>
      </c>
      <c r="AO42" s="7">
        <f t="shared" si="29"/>
        <v>380.19999999999993</v>
      </c>
      <c r="AP42" s="7">
        <f t="shared" si="30"/>
        <v>412.79999999999995</v>
      </c>
      <c r="AQ42" s="7">
        <f t="shared" si="31"/>
        <v>445.4</v>
      </c>
      <c r="AR42" s="46">
        <f>SUMIFS(SPEW_Pig_iron_production!$S:$S,SPEW_Pig_iron_production!$B:$B,$C42)</f>
        <v>478</v>
      </c>
      <c r="AS42" s="7">
        <f t="shared" si="32"/>
        <v>461.59999999999991</v>
      </c>
      <c r="AT42" s="7">
        <f t="shared" si="33"/>
        <v>445.19999999999993</v>
      </c>
      <c r="AU42" s="7">
        <f t="shared" si="34"/>
        <v>428.79999999999995</v>
      </c>
      <c r="AV42" s="7">
        <f t="shared" si="35"/>
        <v>412.4</v>
      </c>
      <c r="AW42" s="46">
        <f>SUMIFS(SPEW_Pig_iron_production!$T:$T,SPEW_Pig_iron_production!$B:$B,$C42)</f>
        <v>396</v>
      </c>
      <c r="AX42" s="7">
        <f t="shared" si="36"/>
        <v>499.80000000000013</v>
      </c>
      <c r="AY42" s="7">
        <f t="shared" si="37"/>
        <v>603.60000000000014</v>
      </c>
      <c r="AZ42" s="7">
        <f t="shared" si="38"/>
        <v>707.40000000000009</v>
      </c>
      <c r="BA42" s="7">
        <f t="shared" si="39"/>
        <v>811.2</v>
      </c>
      <c r="BB42" s="46">
        <f>SUMIFS(SPEW_Pig_iron_production!$U:$U,SPEW_Pig_iron_production!$B:$B,$C42)</f>
        <v>915</v>
      </c>
      <c r="BC42" s="7">
        <f t="shared" si="40"/>
        <v>775.8</v>
      </c>
      <c r="BD42" s="7">
        <f t="shared" si="41"/>
        <v>636.59999999999991</v>
      </c>
      <c r="BE42" s="7">
        <f t="shared" si="42"/>
        <v>497.4</v>
      </c>
      <c r="BF42" s="7">
        <f t="shared" si="43"/>
        <v>358.2</v>
      </c>
      <c r="BG42" s="46">
        <f>SUMIFS(SPEW_Pig_iron_production!$V:$V,SPEW_Pig_iron_production!$B:$B,$C42)</f>
        <v>219</v>
      </c>
      <c r="BH42" s="7">
        <f t="shared" si="44"/>
        <v>481.80000000000013</v>
      </c>
      <c r="BI42" s="7">
        <f t="shared" si="45"/>
        <v>744.60000000000014</v>
      </c>
      <c r="BJ42" s="7">
        <f t="shared" si="46"/>
        <v>1007.4000000000001</v>
      </c>
      <c r="BK42" s="7">
        <f t="shared" si="47"/>
        <v>1270.2</v>
      </c>
      <c r="BL42" s="46">
        <f>SUMIFS(SPEW_Pig_iron_production!$W:$W,SPEW_Pig_iron_production!$B:$B,$C42)</f>
        <v>1533</v>
      </c>
      <c r="BM42" s="7">
        <f t="shared" si="48"/>
        <v>1848.7999999999995</v>
      </c>
      <c r="BN42" s="7">
        <f t="shared" si="49"/>
        <v>2164.5999999999995</v>
      </c>
      <c r="BO42" s="7">
        <f t="shared" si="50"/>
        <v>2480.3999999999996</v>
      </c>
      <c r="BP42" s="7">
        <f t="shared" si="51"/>
        <v>2796.2</v>
      </c>
      <c r="BQ42" s="46">
        <f>SUMIFS(SPEW_Pig_iron_production!$X:$X,SPEW_Pig_iron_production!$B:$B,$C42)</f>
        <v>3112</v>
      </c>
      <c r="BR42" s="7">
        <f t="shared" si="52"/>
        <v>3402.2000000000007</v>
      </c>
      <c r="BS42" s="7">
        <f t="shared" si="53"/>
        <v>3692.4000000000005</v>
      </c>
      <c r="BT42" s="7">
        <f t="shared" si="54"/>
        <v>3982.6000000000004</v>
      </c>
      <c r="BU42" s="7">
        <f t="shared" si="55"/>
        <v>4272.8</v>
      </c>
      <c r="BV42" s="46">
        <f>SUMIFS(SPEW_Pig_iron_production!$Y:$Y,SPEW_Pig_iron_production!$B:$B,$C42)</f>
        <v>4563</v>
      </c>
      <c r="BW42" s="7">
        <f t="shared" si="56"/>
        <v>4802.4000000000015</v>
      </c>
      <c r="BX42" s="7">
        <f t="shared" si="57"/>
        <v>5041.8000000000011</v>
      </c>
      <c r="BY42" s="7">
        <f t="shared" si="58"/>
        <v>5281.2000000000007</v>
      </c>
      <c r="BZ42" s="7">
        <f t="shared" si="59"/>
        <v>5520.6</v>
      </c>
      <c r="CA42" s="46">
        <f>SUMIFS(SPEW_Pig_iron_production!$Z:$Z,SPEW_Pig_iron_production!$B:$B,$C42)</f>
        <v>5760</v>
      </c>
      <c r="CB42" s="7">
        <f t="shared" si="60"/>
        <v>6030.2000000000007</v>
      </c>
      <c r="CC42" s="7">
        <f t="shared" si="61"/>
        <v>6300.4000000000005</v>
      </c>
      <c r="CD42" s="7">
        <f t="shared" si="62"/>
        <v>6570.6</v>
      </c>
      <c r="CE42" s="7">
        <f t="shared" si="63"/>
        <v>6840.8</v>
      </c>
      <c r="CF42" s="46">
        <f>SUMIFS(SPEW_Pig_iron_production!$AA:$AA,SPEW_Pig_iron_production!$B:$B,$C42)</f>
        <v>7111</v>
      </c>
      <c r="CG42" s="7">
        <f t="shared" si="64"/>
        <v>7274</v>
      </c>
      <c r="CH42" s="7">
        <f t="shared" si="65"/>
        <v>7437</v>
      </c>
      <c r="CI42" s="7">
        <f t="shared" si="66"/>
        <v>7600</v>
      </c>
      <c r="CJ42" s="7">
        <f t="shared" si="67"/>
        <v>7763</v>
      </c>
      <c r="CK42" s="46">
        <f>SUMIFS(SPEW_Pig_iron_production!$AB:$AB,SPEW_Pig_iron_production!$B:$B,$C42)</f>
        <v>7926</v>
      </c>
      <c r="CL42" s="7">
        <f t="shared" si="68"/>
        <v>8616.4000000000015</v>
      </c>
      <c r="CM42" s="7">
        <f t="shared" si="69"/>
        <v>9306.8000000000011</v>
      </c>
      <c r="CN42" s="7">
        <f t="shared" si="70"/>
        <v>9997.2000000000007</v>
      </c>
      <c r="CO42" s="7">
        <f t="shared" si="71"/>
        <v>10687.6</v>
      </c>
      <c r="CP42" s="2">
        <f>[1]Data!B42</f>
        <v>11378</v>
      </c>
      <c r="CQ42" s="2">
        <f>[1]Data!C42</f>
        <v>8870</v>
      </c>
      <c r="CR42" s="2">
        <f>[1]Data!D42</f>
        <v>8098</v>
      </c>
      <c r="CS42" s="2">
        <f>[1]Data!E42</f>
        <v>9286</v>
      </c>
      <c r="CT42" s="2">
        <f>[1]Data!F42</f>
        <v>9533</v>
      </c>
      <c r="CU42" s="2">
        <f>[1]Data!G42</f>
        <v>9335</v>
      </c>
      <c r="CV42" s="2">
        <f>[1]Data!H42</f>
        <v>10096</v>
      </c>
      <c r="CW42" s="2">
        <f>[1]Data!I42</f>
        <v>10024</v>
      </c>
      <c r="CX42" s="2">
        <f>[1]Data!J42</f>
        <v>9837</v>
      </c>
      <c r="CY42" s="2">
        <f>[1]Data!K42</f>
        <v>9075</v>
      </c>
      <c r="CZ42" s="2">
        <f>[1]Data!L42</f>
        <v>8352</v>
      </c>
      <c r="DA42" s="2">
        <f>[1]Data!M42</f>
        <v>6297</v>
      </c>
      <c r="DB42" s="2">
        <f>[1]Data!N42</f>
        <v>6316</v>
      </c>
      <c r="DC42" s="2">
        <f>[1]Data!O42</f>
        <v>6105</v>
      </c>
      <c r="DD42" s="2">
        <f>[1]Data!P42</f>
        <v>6735</v>
      </c>
      <c r="DE42" s="2">
        <f>[1]Data!Q42</f>
        <v>7373</v>
      </c>
      <c r="DF42" s="2">
        <f>[1]Data!R42</f>
        <v>6540</v>
      </c>
      <c r="DG42" s="2">
        <f>[1]Data!S42</f>
        <v>7295</v>
      </c>
      <c r="DH42" s="2">
        <f>[1]Data!T42</f>
        <v>6179</v>
      </c>
      <c r="DI42" s="2">
        <f>[1]Data!U42</f>
        <v>5233</v>
      </c>
      <c r="DJ42" s="2">
        <f>[1]Data!V42</f>
        <v>6492</v>
      </c>
      <c r="DK42" s="2">
        <f>[1]Data!W42</f>
        <v>5440</v>
      </c>
      <c r="DL42" s="2">
        <f>[1]Data!X42</f>
        <v>5294</v>
      </c>
      <c r="DM42" s="2">
        <f>[1]Data!Y42</f>
        <v>5632</v>
      </c>
      <c r="DN42" s="2">
        <f>[1]Data!Z42</f>
        <v>6400</v>
      </c>
      <c r="DO42" s="2">
        <f>[1]Data!AA42</f>
        <v>4477</v>
      </c>
      <c r="DP42" s="2">
        <f>[1]Data!AB42</f>
        <v>5333</v>
      </c>
      <c r="DQ42" s="2">
        <f>[1]Data!AC42</f>
        <v>5804</v>
      </c>
      <c r="DR42" s="2">
        <f>[1]Data!AD42</f>
        <v>4934</v>
      </c>
      <c r="DS42" s="2">
        <f>[1]Data!AE42</f>
        <v>2984</v>
      </c>
      <c r="DT42" s="2">
        <f>[1]Data!AF42</f>
        <v>3638</v>
      </c>
      <c r="DU42" s="2">
        <f>[1]Data!AG42</f>
        <v>3975</v>
      </c>
      <c r="DV42" s="2">
        <f>[1]Data!AH42</f>
        <v>3952</v>
      </c>
      <c r="DW42" s="2">
        <f>[1]Data!AI42</f>
        <v>4011</v>
      </c>
      <c r="DX42" s="2">
        <v>4637</v>
      </c>
      <c r="DY42" s="2">
        <f>[4]Data!AK42</f>
        <v>4821</v>
      </c>
      <c r="DZ42" s="2">
        <f>[4]Data!AL42</f>
        <v>4674</v>
      </c>
      <c r="EA42" s="2">
        <f>[4]Data!AM42</f>
        <v>5151</v>
      </c>
    </row>
    <row r="43" spans="1:131" ht="16" x14ac:dyDescent="0.2">
      <c r="A43" t="s">
        <v>41</v>
      </c>
      <c r="C43" s="9" t="s">
        <v>120</v>
      </c>
      <c r="D43" s="46"/>
      <c r="E43" s="7">
        <f t="shared" si="0"/>
        <v>0</v>
      </c>
      <c r="F43" s="7">
        <f t="shared" si="1"/>
        <v>0</v>
      </c>
      <c r="G43" s="7">
        <f t="shared" si="2"/>
        <v>0</v>
      </c>
      <c r="H43" s="7">
        <f t="shared" si="3"/>
        <v>0</v>
      </c>
      <c r="I43" s="46"/>
      <c r="J43" s="7">
        <f t="shared" si="4"/>
        <v>0</v>
      </c>
      <c r="K43" s="7">
        <f t="shared" si="5"/>
        <v>0</v>
      </c>
      <c r="L43" s="7">
        <f t="shared" si="6"/>
        <v>0</v>
      </c>
      <c r="M43" s="7">
        <f t="shared" si="7"/>
        <v>0</v>
      </c>
      <c r="N43" s="46"/>
      <c r="O43" s="7">
        <f t="shared" si="8"/>
        <v>0</v>
      </c>
      <c r="P43" s="7">
        <f t="shared" si="9"/>
        <v>0</v>
      </c>
      <c r="Q43" s="7">
        <f t="shared" si="10"/>
        <v>0</v>
      </c>
      <c r="R43" s="7">
        <f t="shared" si="11"/>
        <v>0</v>
      </c>
      <c r="S43" s="46"/>
      <c r="T43" s="7">
        <f t="shared" si="12"/>
        <v>0</v>
      </c>
      <c r="U43" s="7">
        <f t="shared" si="13"/>
        <v>0</v>
      </c>
      <c r="V43" s="7">
        <f t="shared" si="14"/>
        <v>0</v>
      </c>
      <c r="W43" s="7">
        <f t="shared" si="15"/>
        <v>0</v>
      </c>
      <c r="X43" s="46"/>
      <c r="Y43" s="7">
        <f t="shared" si="16"/>
        <v>0</v>
      </c>
      <c r="Z43" s="7">
        <f t="shared" si="17"/>
        <v>0</v>
      </c>
      <c r="AA43" s="7">
        <f t="shared" si="18"/>
        <v>0</v>
      </c>
      <c r="AB43" s="7">
        <f t="shared" si="19"/>
        <v>0</v>
      </c>
      <c r="AC43" s="46"/>
      <c r="AD43" s="7">
        <f t="shared" si="20"/>
        <v>0</v>
      </c>
      <c r="AE43" s="7">
        <f t="shared" si="21"/>
        <v>0</v>
      </c>
      <c r="AF43" s="7">
        <f t="shared" si="22"/>
        <v>0</v>
      </c>
      <c r="AG43" s="7">
        <f t="shared" si="23"/>
        <v>0</v>
      </c>
      <c r="AH43" s="46"/>
      <c r="AI43" s="7">
        <f t="shared" si="24"/>
        <v>0</v>
      </c>
      <c r="AJ43" s="7">
        <f t="shared" si="25"/>
        <v>0</v>
      </c>
      <c r="AK43" s="7">
        <f t="shared" si="26"/>
        <v>0</v>
      </c>
      <c r="AL43" s="7">
        <f t="shared" si="27"/>
        <v>0</v>
      </c>
      <c r="AM43" s="46">
        <f>SUMIFS(SPEW_Pig_iron_production!$R:$R,SPEW_Pig_iron_production!$B:$B,$C43)</f>
        <v>0</v>
      </c>
      <c r="AN43" s="7">
        <f t="shared" si="28"/>
        <v>0</v>
      </c>
      <c r="AO43" s="7">
        <f t="shared" si="29"/>
        <v>0</v>
      </c>
      <c r="AP43" s="7">
        <f t="shared" si="30"/>
        <v>0</v>
      </c>
      <c r="AQ43" s="7">
        <f t="shared" si="31"/>
        <v>0</v>
      </c>
      <c r="AR43" s="46">
        <f>SUMIFS(SPEW_Pig_iron_production!$S:$S,SPEW_Pig_iron_production!$B:$B,$C43)</f>
        <v>0</v>
      </c>
      <c r="AS43" s="7">
        <f t="shared" si="32"/>
        <v>0</v>
      </c>
      <c r="AT43" s="7">
        <f t="shared" si="33"/>
        <v>0</v>
      </c>
      <c r="AU43" s="7">
        <f t="shared" si="34"/>
        <v>0</v>
      </c>
      <c r="AV43" s="7">
        <f t="shared" si="35"/>
        <v>0</v>
      </c>
      <c r="AW43" s="46">
        <f>SUMIFS(SPEW_Pig_iron_production!$T:$T,SPEW_Pig_iron_production!$B:$B,$C43)</f>
        <v>0</v>
      </c>
      <c r="AX43" s="7">
        <f t="shared" si="36"/>
        <v>0</v>
      </c>
      <c r="AY43" s="7">
        <f t="shared" si="37"/>
        <v>0</v>
      </c>
      <c r="AZ43" s="7">
        <f t="shared" si="38"/>
        <v>0</v>
      </c>
      <c r="BA43" s="7">
        <f t="shared" si="39"/>
        <v>0</v>
      </c>
      <c r="BB43" s="46">
        <f>SUMIFS(SPEW_Pig_iron_production!$U:$U,SPEW_Pig_iron_production!$B:$B,$C43)</f>
        <v>0</v>
      </c>
      <c r="BC43" s="7">
        <f t="shared" si="40"/>
        <v>0</v>
      </c>
      <c r="BD43" s="7">
        <f t="shared" si="41"/>
        <v>0</v>
      </c>
      <c r="BE43" s="7">
        <f t="shared" si="42"/>
        <v>0</v>
      </c>
      <c r="BF43" s="7">
        <f t="shared" si="43"/>
        <v>0</v>
      </c>
      <c r="BG43" s="46">
        <f>SUMIFS(SPEW_Pig_iron_production!$V:$V,SPEW_Pig_iron_production!$B:$B,$C43)</f>
        <v>0</v>
      </c>
      <c r="BH43" s="7">
        <f t="shared" si="44"/>
        <v>0</v>
      </c>
      <c r="BI43" s="7">
        <f t="shared" si="45"/>
        <v>0</v>
      </c>
      <c r="BJ43" s="7">
        <f t="shared" si="46"/>
        <v>0</v>
      </c>
      <c r="BK43" s="7">
        <f t="shared" si="47"/>
        <v>0</v>
      </c>
      <c r="BL43" s="46">
        <f>SUMIFS(SPEW_Pig_iron_production!$W:$W,SPEW_Pig_iron_production!$B:$B,$C43)</f>
        <v>0</v>
      </c>
      <c r="BM43" s="7">
        <f t="shared" si="48"/>
        <v>0</v>
      </c>
      <c r="BN43" s="7">
        <f t="shared" si="49"/>
        <v>0</v>
      </c>
      <c r="BO43" s="7">
        <f t="shared" si="50"/>
        <v>0</v>
      </c>
      <c r="BP43" s="7">
        <f t="shared" si="51"/>
        <v>0</v>
      </c>
      <c r="BQ43" s="46">
        <f>SUMIFS(SPEW_Pig_iron_production!$X:$X,SPEW_Pig_iron_production!$B:$B,$C43)</f>
        <v>0</v>
      </c>
      <c r="BR43" s="7">
        <f t="shared" si="52"/>
        <v>0</v>
      </c>
      <c r="BS43" s="7">
        <f t="shared" si="53"/>
        <v>0</v>
      </c>
      <c r="BT43" s="7">
        <f t="shared" si="54"/>
        <v>0</v>
      </c>
      <c r="BU43" s="7">
        <f t="shared" si="55"/>
        <v>0</v>
      </c>
      <c r="BV43" s="46">
        <f>SUMIFS(SPEW_Pig_iron_production!$Y:$Y,SPEW_Pig_iron_production!$B:$B,$C43)</f>
        <v>0</v>
      </c>
      <c r="BW43" s="7">
        <f t="shared" si="56"/>
        <v>0</v>
      </c>
      <c r="BX43" s="7">
        <f t="shared" si="57"/>
        <v>0</v>
      </c>
      <c r="BY43" s="7">
        <f t="shared" si="58"/>
        <v>0</v>
      </c>
      <c r="BZ43" s="7">
        <f t="shared" si="59"/>
        <v>0</v>
      </c>
      <c r="CA43" s="46">
        <f>SUMIFS(SPEW_Pig_iron_production!$Z:$Z,SPEW_Pig_iron_production!$B:$B,$C43)</f>
        <v>0</v>
      </c>
      <c r="CB43" s="7">
        <f t="shared" si="60"/>
        <v>0</v>
      </c>
      <c r="CC43" s="7">
        <f t="shared" si="61"/>
        <v>0</v>
      </c>
      <c r="CD43" s="7">
        <f t="shared" si="62"/>
        <v>0</v>
      </c>
      <c r="CE43" s="7">
        <f t="shared" si="63"/>
        <v>0</v>
      </c>
      <c r="CF43" s="46">
        <f>SUMIFS(SPEW_Pig_iron_production!$AA:$AA,SPEW_Pig_iron_production!$B:$B,$C43)</f>
        <v>0</v>
      </c>
      <c r="CG43" s="7">
        <f t="shared" si="64"/>
        <v>0</v>
      </c>
      <c r="CH43" s="7">
        <f t="shared" si="65"/>
        <v>0</v>
      </c>
      <c r="CI43" s="7">
        <f t="shared" si="66"/>
        <v>0</v>
      </c>
      <c r="CJ43" s="7">
        <f t="shared" si="67"/>
        <v>0</v>
      </c>
      <c r="CK43" s="46">
        <f>SUMIFS(SPEW_Pig_iron_production!$AB:$AB,SPEW_Pig_iron_production!$B:$B,$C43)</f>
        <v>0</v>
      </c>
      <c r="CL43" s="7">
        <f t="shared" si="68"/>
        <v>74</v>
      </c>
      <c r="CM43" s="7">
        <f t="shared" si="69"/>
        <v>148</v>
      </c>
      <c r="CN43" s="7">
        <f t="shared" si="70"/>
        <v>222</v>
      </c>
      <c r="CO43" s="7">
        <f t="shared" si="71"/>
        <v>296</v>
      </c>
      <c r="CP43" s="2">
        <f>[1]Data!B43</f>
        <v>370</v>
      </c>
      <c r="CQ43" s="2">
        <f>[1]Data!C43</f>
        <v>314</v>
      </c>
      <c r="CR43" s="2">
        <f>[1]Data!D43</f>
        <v>222</v>
      </c>
      <c r="CS43" s="2">
        <f>[1]Data!E43</f>
        <v>364</v>
      </c>
      <c r="CT43" s="2">
        <f>[1]Data!F43</f>
        <v>382</v>
      </c>
      <c r="CU43" s="2">
        <f>[1]Data!G43</f>
        <v>424</v>
      </c>
      <c r="CV43" s="2">
        <f>[1]Data!H43</f>
        <v>463</v>
      </c>
      <c r="CW43" s="2">
        <f>[1]Data!I43</f>
        <v>431</v>
      </c>
      <c r="CX43" s="2">
        <f>[1]Data!J43</f>
        <v>445</v>
      </c>
      <c r="CY43" s="2">
        <f>[1]Data!K43</f>
        <v>377</v>
      </c>
      <c r="CZ43" s="2">
        <f>[1]Data!L43</f>
        <v>339</v>
      </c>
      <c r="DA43" s="2">
        <f>[1]Data!M43</f>
        <v>251</v>
      </c>
      <c r="DB43" s="2">
        <f>[1]Data!N43</f>
        <v>402</v>
      </c>
      <c r="DC43" s="2">
        <f>[1]Data!O43</f>
        <v>398</v>
      </c>
      <c r="DD43" s="2">
        <f>[1]Data!P43</f>
        <v>415</v>
      </c>
      <c r="DE43" s="2">
        <f>[1]Data!Q43</f>
        <v>415</v>
      </c>
      <c r="DF43" s="2">
        <f>[1]Data!R43</f>
        <v>421</v>
      </c>
      <c r="DG43" s="2">
        <f>[1]Data!S43</f>
        <v>431</v>
      </c>
      <c r="DH43" s="2">
        <f>[1]Data!T43</f>
        <v>387</v>
      </c>
      <c r="DI43" s="2">
        <f>[1]Data!U43</f>
        <v>389</v>
      </c>
      <c r="DJ43" s="2">
        <f>[1]Data!V43</f>
        <v>379</v>
      </c>
      <c r="DK43" s="2">
        <f>[1]Data!W43</f>
        <v>82</v>
      </c>
      <c r="DL43" s="2">
        <f>[1]Data!X43</f>
        <v>0</v>
      </c>
      <c r="DM43" s="2">
        <f>[1]Data!Y43</f>
        <v>0</v>
      </c>
      <c r="DN43" s="2">
        <f>[1]Data!Z43</f>
        <v>0</v>
      </c>
      <c r="DO43" s="2">
        <f>[1]Data!AA43</f>
        <v>0</v>
      </c>
      <c r="DP43" s="2">
        <f>[1]Data!AB43</f>
        <v>0</v>
      </c>
      <c r="DQ43" s="2">
        <f>[1]Data!AC43</f>
        <v>0</v>
      </c>
      <c r="DR43" s="2">
        <f>[1]Data!AD43</f>
        <v>0</v>
      </c>
      <c r="DS43" s="2">
        <f>[1]Data!AE43</f>
        <v>0</v>
      </c>
      <c r="DT43" s="2">
        <f>[1]Data!AF43</f>
        <v>0</v>
      </c>
      <c r="DU43" s="2">
        <f>[1]Data!AG43</f>
        <v>0</v>
      </c>
      <c r="DV43" s="2">
        <f>[1]Data!AH43</f>
        <v>0</v>
      </c>
      <c r="DW43" s="2">
        <f>[1]Data!AI43</f>
        <v>0</v>
      </c>
      <c r="DX43" s="2">
        <v>0</v>
      </c>
      <c r="DY43" s="2">
        <f>[4]Data!AK43</f>
        <v>0</v>
      </c>
      <c r="DZ43" s="2">
        <f>[4]Data!AL43</f>
        <v>0</v>
      </c>
      <c r="EA43" s="2">
        <f>[4]Data!AM43</f>
        <v>0</v>
      </c>
    </row>
    <row r="44" spans="1:131" ht="16" x14ac:dyDescent="0.2">
      <c r="A44" t="s">
        <v>42</v>
      </c>
      <c r="B44" s="15" t="s">
        <v>287</v>
      </c>
      <c r="C44" s="9" t="s">
        <v>121</v>
      </c>
      <c r="D44" s="46">
        <f>SUMIFS(Hyde_iron!$C$34:$C$48,Hyde_iron!$B$34:$B$48,$B44)*I44/SUMIFS(I$3:I$63,$B$3:$B$63,$B44)</f>
        <v>11.661182205971969</v>
      </c>
      <c r="E44" s="7">
        <f t="shared" si="0"/>
        <v>12.051188299817188</v>
      </c>
      <c r="F44" s="7">
        <f t="shared" si="1"/>
        <v>12.441194393662403</v>
      </c>
      <c r="G44" s="7">
        <f t="shared" si="2"/>
        <v>12.831200487507619</v>
      </c>
      <c r="H44" s="7">
        <f t="shared" si="3"/>
        <v>13.221206581352835</v>
      </c>
      <c r="I44" s="46">
        <f>SUMIFS(Hyde_iron!$D$34:$D$48,Hyde_iron!$B$34:$B$48,$B44)*N44/SUMIFS(N$3:N$63,$B$3:$B$63,$B44)</f>
        <v>13.61121267519805</v>
      </c>
      <c r="J44" s="7">
        <f t="shared" si="4"/>
        <v>14.44582571602681</v>
      </c>
      <c r="K44" s="7">
        <f t="shared" si="5"/>
        <v>15.280438756855574</v>
      </c>
      <c r="L44" s="7">
        <f t="shared" si="6"/>
        <v>16.115051797684337</v>
      </c>
      <c r="M44" s="7">
        <f t="shared" si="7"/>
        <v>16.949664838513101</v>
      </c>
      <c r="N44" s="46">
        <f>SUMIFS(Hyde_iron!$E$34:$E$48,Hyde_iron!$B$34:$B$48,$B44)*S44/SUMIFS(S$3:S$63,$B$3:$B$63,$B44)</f>
        <v>17.784277879341865</v>
      </c>
      <c r="O44" s="7">
        <f t="shared" si="8"/>
        <v>17.511273613650218</v>
      </c>
      <c r="P44" s="7">
        <f t="shared" si="9"/>
        <v>17.238269347958564</v>
      </c>
      <c r="Q44" s="7">
        <f t="shared" si="10"/>
        <v>16.96526508226691</v>
      </c>
      <c r="R44" s="7">
        <f t="shared" si="11"/>
        <v>16.692260816575256</v>
      </c>
      <c r="S44" s="46">
        <f>SUMIFS(Hyde_iron!$F$34:$F$48,Hyde_iron!$B$34:$B$48,$B44)*X44/SUMIFS(X$3:X$63,$B$3:$B$63,$B44)</f>
        <v>16.419256550883603</v>
      </c>
      <c r="T44" s="7">
        <f t="shared" si="12"/>
        <v>17.051066422912854</v>
      </c>
      <c r="U44" s="7">
        <f t="shared" si="13"/>
        <v>17.682876294942105</v>
      </c>
      <c r="V44" s="7">
        <f t="shared" si="14"/>
        <v>18.314686166971356</v>
      </c>
      <c r="W44" s="7">
        <f t="shared" si="15"/>
        <v>18.946496039000607</v>
      </c>
      <c r="X44" s="46">
        <f>SUMIFS(Hyde_iron!$G$34:$G$48,Hyde_iron!$B$34:$B$48,$B44)*AC44/SUMIFS(AC$3:AC$63,$B$3:$B$63,$B44)</f>
        <v>19.578305911029858</v>
      </c>
      <c r="Y44" s="7">
        <f t="shared" si="16"/>
        <v>18.689092017062762</v>
      </c>
      <c r="Z44" s="7">
        <f t="shared" si="17"/>
        <v>17.79987812309567</v>
      </c>
      <c r="AA44" s="7">
        <f t="shared" si="18"/>
        <v>16.910664229128578</v>
      </c>
      <c r="AB44" s="7">
        <f t="shared" si="19"/>
        <v>16.021450335161486</v>
      </c>
      <c r="AC44" s="46">
        <f>SUMIFS(Hyde_iron!$H$34:$H$48,Hyde_iron!$B$34:$B$48,$B44)*AH44/SUMIFS(AH$3:AH$63,$B$3:$B$63,$B44)</f>
        <v>15.132236441194394</v>
      </c>
      <c r="AD44" s="7">
        <f t="shared" si="20"/>
        <v>21.263132236441194</v>
      </c>
      <c r="AE44" s="7">
        <f t="shared" si="21"/>
        <v>27.394028031687995</v>
      </c>
      <c r="AF44" s="7">
        <f t="shared" si="22"/>
        <v>33.524923826934796</v>
      </c>
      <c r="AG44" s="7">
        <f t="shared" si="23"/>
        <v>39.655819622181596</v>
      </c>
      <c r="AH44" s="46">
        <f>SUMIFS(Hyde_iron!$I$34:$I$48,Hyde_iron!$B$34:$B$48,$B44)*AM44/SUMIFS(AM$3:AM$63,$B$3:$B$63,$B44)</f>
        <v>45.786715417428397</v>
      </c>
      <c r="AI44" s="7">
        <f t="shared" si="24"/>
        <v>49.429372333942723</v>
      </c>
      <c r="AJ44" s="7">
        <f t="shared" si="25"/>
        <v>53.072029250457042</v>
      </c>
      <c r="AK44" s="7">
        <f t="shared" si="26"/>
        <v>56.714686166971362</v>
      </c>
      <c r="AL44" s="7">
        <f t="shared" si="27"/>
        <v>60.357343083485681</v>
      </c>
      <c r="AM44" s="46">
        <f>SUMIFS(SPEW_Pig_iron_production!$R:$R,SPEW_Pig_iron_production!$B:$B,$C44)</f>
        <v>64</v>
      </c>
      <c r="AN44" s="7">
        <f t="shared" si="28"/>
        <v>65</v>
      </c>
      <c r="AO44" s="7">
        <f t="shared" si="29"/>
        <v>66</v>
      </c>
      <c r="AP44" s="7">
        <f t="shared" si="30"/>
        <v>67</v>
      </c>
      <c r="AQ44" s="7">
        <f t="shared" si="31"/>
        <v>68</v>
      </c>
      <c r="AR44" s="46">
        <f>SUMIFS(SPEW_Pig_iron_production!$S:$S,SPEW_Pig_iron_production!$B:$B,$C44)</f>
        <v>69</v>
      </c>
      <c r="AS44" s="7">
        <f t="shared" si="32"/>
        <v>71.600000000000023</v>
      </c>
      <c r="AT44" s="7">
        <f t="shared" si="33"/>
        <v>74.200000000000017</v>
      </c>
      <c r="AU44" s="7">
        <f t="shared" si="34"/>
        <v>76.800000000000011</v>
      </c>
      <c r="AV44" s="7">
        <f t="shared" si="35"/>
        <v>79.400000000000006</v>
      </c>
      <c r="AW44" s="46">
        <f>SUMIFS(SPEW_Pig_iron_production!$T:$T,SPEW_Pig_iron_production!$B:$B,$C44)</f>
        <v>82</v>
      </c>
      <c r="AX44" s="7">
        <f t="shared" si="36"/>
        <v>90</v>
      </c>
      <c r="AY44" s="7">
        <f t="shared" si="37"/>
        <v>98</v>
      </c>
      <c r="AZ44" s="7">
        <f t="shared" si="38"/>
        <v>106</v>
      </c>
      <c r="BA44" s="7">
        <f t="shared" si="39"/>
        <v>114</v>
      </c>
      <c r="BB44" s="46">
        <f>SUMIFS(SPEW_Pig_iron_production!$U:$U,SPEW_Pig_iron_production!$B:$B,$C44)</f>
        <v>122</v>
      </c>
      <c r="BC44" s="7">
        <f t="shared" si="40"/>
        <v>108.39999999999998</v>
      </c>
      <c r="BD44" s="7">
        <f t="shared" si="41"/>
        <v>94.799999999999983</v>
      </c>
      <c r="BE44" s="7">
        <f t="shared" si="42"/>
        <v>81.199999999999989</v>
      </c>
      <c r="BF44" s="7">
        <f t="shared" si="43"/>
        <v>67.599999999999994</v>
      </c>
      <c r="BG44" s="46">
        <f>SUMIFS(SPEW_Pig_iron_production!$V:$V,SPEW_Pig_iron_production!$B:$B,$C44)</f>
        <v>54</v>
      </c>
      <c r="BH44" s="7">
        <f t="shared" si="44"/>
        <v>107.20000000000003</v>
      </c>
      <c r="BI44" s="7">
        <f t="shared" si="45"/>
        <v>160.40000000000003</v>
      </c>
      <c r="BJ44" s="7">
        <f t="shared" si="46"/>
        <v>213.60000000000002</v>
      </c>
      <c r="BK44" s="7">
        <f t="shared" si="47"/>
        <v>266.8</v>
      </c>
      <c r="BL44" s="46">
        <f>SUMIFS(SPEW_Pig_iron_production!$W:$W,SPEW_Pig_iron_production!$B:$B,$C44)</f>
        <v>320</v>
      </c>
      <c r="BM44" s="7">
        <f t="shared" si="48"/>
        <v>370</v>
      </c>
      <c r="BN44" s="7">
        <f t="shared" si="49"/>
        <v>420</v>
      </c>
      <c r="BO44" s="7">
        <f t="shared" si="50"/>
        <v>470</v>
      </c>
      <c r="BP44" s="7">
        <f t="shared" si="51"/>
        <v>520</v>
      </c>
      <c r="BQ44" s="46">
        <f>SUMIFS(SPEW_Pig_iron_production!$X:$X,SPEW_Pig_iron_production!$B:$B,$C44)</f>
        <v>570</v>
      </c>
      <c r="BR44" s="7">
        <f t="shared" si="52"/>
        <v>658.80000000000018</v>
      </c>
      <c r="BS44" s="7">
        <f t="shared" si="53"/>
        <v>747.60000000000014</v>
      </c>
      <c r="BT44" s="7">
        <f t="shared" si="54"/>
        <v>836.40000000000009</v>
      </c>
      <c r="BU44" s="7">
        <f t="shared" si="55"/>
        <v>925.2</v>
      </c>
      <c r="BV44" s="46">
        <f>SUMIFS(SPEW_Pig_iron_production!$Y:$Y,SPEW_Pig_iron_production!$B:$B,$C44)</f>
        <v>1014</v>
      </c>
      <c r="BW44" s="7">
        <f t="shared" si="56"/>
        <v>1215</v>
      </c>
      <c r="BX44" s="7">
        <f t="shared" si="57"/>
        <v>1416</v>
      </c>
      <c r="BY44" s="7">
        <f t="shared" si="58"/>
        <v>1617</v>
      </c>
      <c r="BZ44" s="7">
        <f t="shared" si="59"/>
        <v>1818</v>
      </c>
      <c r="CA44" s="46">
        <f>SUMIFS(SPEW_Pig_iron_production!$Z:$Z,SPEW_Pig_iron_production!$B:$B,$C44)</f>
        <v>2019</v>
      </c>
      <c r="CB44" s="7">
        <f t="shared" si="60"/>
        <v>2457.2000000000007</v>
      </c>
      <c r="CC44" s="7">
        <f t="shared" si="61"/>
        <v>2895.4000000000005</v>
      </c>
      <c r="CD44" s="7">
        <f t="shared" si="62"/>
        <v>3333.6000000000004</v>
      </c>
      <c r="CE44" s="7">
        <f t="shared" si="63"/>
        <v>3771.8</v>
      </c>
      <c r="CF44" s="46">
        <f>SUMIFS(SPEW_Pig_iron_production!$AA:$AA,SPEW_Pig_iron_production!$B:$B,$C44)</f>
        <v>4210</v>
      </c>
      <c r="CG44" s="7">
        <f t="shared" si="64"/>
        <v>4688.4000000000015</v>
      </c>
      <c r="CH44" s="7">
        <f t="shared" si="65"/>
        <v>5166.8000000000011</v>
      </c>
      <c r="CI44" s="7">
        <f t="shared" si="66"/>
        <v>5645.2000000000007</v>
      </c>
      <c r="CJ44" s="7">
        <f t="shared" si="67"/>
        <v>6123.6</v>
      </c>
      <c r="CK44" s="46">
        <f>SUMIFS(SPEW_Pig_iron_production!$AB:$AB,SPEW_Pig_iron_production!$B:$B,$C44)</f>
        <v>6602</v>
      </c>
      <c r="CL44" s="7">
        <f t="shared" si="68"/>
        <v>7084</v>
      </c>
      <c r="CM44" s="7">
        <f t="shared" si="69"/>
        <v>7566</v>
      </c>
      <c r="CN44" s="7">
        <f t="shared" si="70"/>
        <v>8048</v>
      </c>
      <c r="CO44" s="7">
        <f t="shared" si="71"/>
        <v>8530</v>
      </c>
      <c r="CP44" s="2">
        <f>[1]Data!B44</f>
        <v>9012</v>
      </c>
      <c r="CQ44" s="2">
        <f>[1]Data!C44</f>
        <v>8857</v>
      </c>
      <c r="CR44" s="2">
        <f>[1]Data!D44</f>
        <v>8637</v>
      </c>
      <c r="CS44" s="2">
        <f>[1]Data!E44</f>
        <v>8190</v>
      </c>
      <c r="CT44" s="2">
        <f>[1]Data!F44</f>
        <v>9557</v>
      </c>
      <c r="CU44" s="2">
        <f>[1]Data!G44</f>
        <v>9212</v>
      </c>
      <c r="CV44" s="2">
        <f>[1]Data!H44</f>
        <v>9329</v>
      </c>
      <c r="CW44" s="2">
        <f>[1]Data!I44</f>
        <v>8673</v>
      </c>
      <c r="CX44" s="2">
        <f>[1]Data!J44</f>
        <v>8941</v>
      </c>
      <c r="CY44" s="2">
        <f>[1]Data!K44</f>
        <v>9052</v>
      </c>
      <c r="CZ44" s="2">
        <f>[1]Data!L44</f>
        <v>6355</v>
      </c>
      <c r="DA44" s="2">
        <f>[1]Data!M44</f>
        <v>4525</v>
      </c>
      <c r="DB44" s="2">
        <f>[1]Data!N44</f>
        <v>3111</v>
      </c>
      <c r="DC44" s="2">
        <f>[1]Data!O44</f>
        <v>3189</v>
      </c>
      <c r="DD44" s="2">
        <f>[1]Data!P44</f>
        <v>3495</v>
      </c>
      <c r="DE44" s="2">
        <f>[1]Data!Q44</f>
        <v>4203</v>
      </c>
      <c r="DF44" s="2">
        <f>[1]Data!R44</f>
        <v>4058</v>
      </c>
      <c r="DG44" s="2">
        <f>[1]Data!S44</f>
        <v>4538</v>
      </c>
      <c r="DH44" s="2">
        <f>[1]Data!T44</f>
        <v>4525</v>
      </c>
      <c r="DI44" s="2">
        <f>[1]Data!U44</f>
        <v>3006</v>
      </c>
      <c r="DJ44" s="2">
        <f>[1]Data!V44</f>
        <v>2985</v>
      </c>
      <c r="DK44" s="2">
        <f>[1]Data!W44</f>
        <v>3085</v>
      </c>
      <c r="DL44" s="2">
        <f>[1]Data!X44</f>
        <v>3976</v>
      </c>
      <c r="DM44" s="2">
        <f>[1]Data!Y44</f>
        <v>4101</v>
      </c>
      <c r="DN44" s="2">
        <f>[1]Data!Z44</f>
        <v>4244</v>
      </c>
      <c r="DO44" s="2">
        <f>[1]Data!AA44</f>
        <v>4098</v>
      </c>
      <c r="DP44" s="2">
        <f>[1]Data!AB44</f>
        <v>3946</v>
      </c>
      <c r="DQ44" s="2">
        <f>[1]Data!AC44</f>
        <v>3923</v>
      </c>
      <c r="DR44" s="2">
        <f>[1]Data!AD44</f>
        <v>2958</v>
      </c>
      <c r="DS44" s="2">
        <f>[1]Data!AE44</f>
        <v>1575</v>
      </c>
      <c r="DT44" s="2">
        <f>[1]Data!AF44</f>
        <v>1726</v>
      </c>
      <c r="DU44" s="2">
        <f>[1]Data!AG44</f>
        <v>1593</v>
      </c>
      <c r="DV44" s="2">
        <f>[1]Data!AH44</f>
        <v>1467</v>
      </c>
      <c r="DW44" s="2">
        <f>[1]Data!AI44</f>
        <v>1604</v>
      </c>
      <c r="DX44" s="2">
        <v>1631</v>
      </c>
      <c r="DY44" s="2">
        <f>[4]Data!AK44</f>
        <v>1983</v>
      </c>
      <c r="DZ44" s="2">
        <f>[4]Data!AL44</f>
        <v>1972</v>
      </c>
      <c r="EA44" s="2">
        <f>[4]Data!AM44</f>
        <v>1927</v>
      </c>
    </row>
    <row r="45" spans="1:131" ht="16" x14ac:dyDescent="0.2">
      <c r="A45" t="s">
        <v>43</v>
      </c>
      <c r="C45" s="9" t="s">
        <v>122</v>
      </c>
      <c r="D45" s="46"/>
      <c r="E45" s="7">
        <f t="shared" si="0"/>
        <v>0</v>
      </c>
      <c r="F45" s="7">
        <f t="shared" si="1"/>
        <v>0</v>
      </c>
      <c r="G45" s="7">
        <f t="shared" si="2"/>
        <v>0</v>
      </c>
      <c r="H45" s="7">
        <f t="shared" si="3"/>
        <v>0</v>
      </c>
      <c r="I45" s="46"/>
      <c r="J45" s="7">
        <f t="shared" si="4"/>
        <v>0</v>
      </c>
      <c r="K45" s="7">
        <f t="shared" si="5"/>
        <v>0</v>
      </c>
      <c r="L45" s="7">
        <f t="shared" si="6"/>
        <v>0</v>
      </c>
      <c r="M45" s="7">
        <f t="shared" si="7"/>
        <v>0</v>
      </c>
      <c r="N45" s="46"/>
      <c r="O45" s="7">
        <f t="shared" si="8"/>
        <v>0</v>
      </c>
      <c r="P45" s="7">
        <f t="shared" si="9"/>
        <v>0</v>
      </c>
      <c r="Q45" s="7">
        <f t="shared" si="10"/>
        <v>0</v>
      </c>
      <c r="R45" s="7">
        <f t="shared" si="11"/>
        <v>0</v>
      </c>
      <c r="S45" s="46"/>
      <c r="T45" s="7">
        <f t="shared" si="12"/>
        <v>0</v>
      </c>
      <c r="U45" s="7">
        <f t="shared" si="13"/>
        <v>0</v>
      </c>
      <c r="V45" s="7">
        <f t="shared" si="14"/>
        <v>0</v>
      </c>
      <c r="W45" s="7">
        <f t="shared" si="15"/>
        <v>0</v>
      </c>
      <c r="X45" s="46"/>
      <c r="Y45" s="7">
        <f t="shared" si="16"/>
        <v>0</v>
      </c>
      <c r="Z45" s="7">
        <f t="shared" si="17"/>
        <v>0</v>
      </c>
      <c r="AA45" s="7">
        <f t="shared" si="18"/>
        <v>0</v>
      </c>
      <c r="AB45" s="7">
        <f t="shared" si="19"/>
        <v>0</v>
      </c>
      <c r="AC45" s="46"/>
      <c r="AD45" s="7">
        <f t="shared" si="20"/>
        <v>0</v>
      </c>
      <c r="AE45" s="7">
        <f t="shared" si="21"/>
        <v>0</v>
      </c>
      <c r="AF45" s="7">
        <f t="shared" si="22"/>
        <v>0</v>
      </c>
      <c r="AG45" s="7">
        <f t="shared" si="23"/>
        <v>0</v>
      </c>
      <c r="AH45" s="46"/>
      <c r="AI45" s="7">
        <f t="shared" si="24"/>
        <v>0</v>
      </c>
      <c r="AJ45" s="7">
        <f t="shared" si="25"/>
        <v>0</v>
      </c>
      <c r="AK45" s="7">
        <f t="shared" si="26"/>
        <v>0</v>
      </c>
      <c r="AL45" s="7">
        <f t="shared" si="27"/>
        <v>0</v>
      </c>
      <c r="AM45" s="46">
        <f>SUMIFS(SPEW_Pig_iron_production!$R:$R,SPEW_Pig_iron_production!$B:$B,$C45)</f>
        <v>0</v>
      </c>
      <c r="AN45" s="7">
        <f t="shared" si="28"/>
        <v>0</v>
      </c>
      <c r="AO45" s="7">
        <f t="shared" si="29"/>
        <v>0</v>
      </c>
      <c r="AP45" s="7">
        <f t="shared" si="30"/>
        <v>0</v>
      </c>
      <c r="AQ45" s="7">
        <f t="shared" si="31"/>
        <v>0</v>
      </c>
      <c r="AR45" s="46">
        <f>SUMIFS(SPEW_Pig_iron_production!$S:$S,SPEW_Pig_iron_production!$B:$B,$C45)</f>
        <v>0</v>
      </c>
      <c r="AS45" s="7">
        <f t="shared" si="32"/>
        <v>0</v>
      </c>
      <c r="AT45" s="7">
        <f t="shared" si="33"/>
        <v>0</v>
      </c>
      <c r="AU45" s="7">
        <f t="shared" si="34"/>
        <v>0</v>
      </c>
      <c r="AV45" s="7">
        <f t="shared" si="35"/>
        <v>0</v>
      </c>
      <c r="AW45" s="46">
        <f>SUMIFS(SPEW_Pig_iron_production!$T:$T,SPEW_Pig_iron_production!$B:$B,$C45)</f>
        <v>0</v>
      </c>
      <c r="AX45" s="7">
        <f t="shared" si="36"/>
        <v>0</v>
      </c>
      <c r="AY45" s="7">
        <f t="shared" si="37"/>
        <v>0</v>
      </c>
      <c r="AZ45" s="7">
        <f t="shared" si="38"/>
        <v>0</v>
      </c>
      <c r="BA45" s="7">
        <f t="shared" si="39"/>
        <v>0</v>
      </c>
      <c r="BB45" s="46">
        <f>SUMIFS(SPEW_Pig_iron_production!$U:$U,SPEW_Pig_iron_production!$B:$B,$C45)</f>
        <v>0</v>
      </c>
      <c r="BC45" s="7">
        <f t="shared" si="40"/>
        <v>0</v>
      </c>
      <c r="BD45" s="7">
        <f t="shared" si="41"/>
        <v>0</v>
      </c>
      <c r="BE45" s="7">
        <f t="shared" si="42"/>
        <v>0</v>
      </c>
      <c r="BF45" s="7">
        <f t="shared" si="43"/>
        <v>0</v>
      </c>
      <c r="BG45" s="46">
        <f>SUMIFS(SPEW_Pig_iron_production!$V:$V,SPEW_Pig_iron_production!$B:$B,$C45)</f>
        <v>0</v>
      </c>
      <c r="BH45" s="7">
        <f t="shared" si="44"/>
        <v>0</v>
      </c>
      <c r="BI45" s="7">
        <f t="shared" si="45"/>
        <v>0</v>
      </c>
      <c r="BJ45" s="7">
        <f t="shared" si="46"/>
        <v>0</v>
      </c>
      <c r="BK45" s="7">
        <f t="shared" si="47"/>
        <v>0</v>
      </c>
      <c r="BL45" s="46">
        <f>SUMIFS(SPEW_Pig_iron_production!$W:$W,SPEW_Pig_iron_production!$B:$B,$C45)</f>
        <v>0</v>
      </c>
      <c r="BM45" s="7">
        <f t="shared" si="48"/>
        <v>0</v>
      </c>
      <c r="BN45" s="7">
        <f t="shared" si="49"/>
        <v>0</v>
      </c>
      <c r="BO45" s="7">
        <f t="shared" si="50"/>
        <v>0</v>
      </c>
      <c r="BP45" s="7">
        <f t="shared" si="51"/>
        <v>0</v>
      </c>
      <c r="BQ45" s="46">
        <f>SUMIFS(SPEW_Pig_iron_production!$X:$X,SPEW_Pig_iron_production!$B:$B,$C45)</f>
        <v>0</v>
      </c>
      <c r="BR45" s="7">
        <f t="shared" si="52"/>
        <v>0</v>
      </c>
      <c r="BS45" s="7">
        <f t="shared" si="53"/>
        <v>0</v>
      </c>
      <c r="BT45" s="7">
        <f t="shared" si="54"/>
        <v>0</v>
      </c>
      <c r="BU45" s="7">
        <f t="shared" si="55"/>
        <v>0</v>
      </c>
      <c r="BV45" s="46">
        <f>SUMIFS(SPEW_Pig_iron_production!$Y:$Y,SPEW_Pig_iron_production!$B:$B,$C45)</f>
        <v>0</v>
      </c>
      <c r="BW45" s="7">
        <f t="shared" si="56"/>
        <v>0</v>
      </c>
      <c r="BX45" s="7">
        <f t="shared" si="57"/>
        <v>0</v>
      </c>
      <c r="BY45" s="7">
        <f t="shared" si="58"/>
        <v>0</v>
      </c>
      <c r="BZ45" s="7">
        <f t="shared" si="59"/>
        <v>0</v>
      </c>
      <c r="CA45" s="46">
        <f>SUMIFS(SPEW_Pig_iron_production!$Z:$Z,SPEW_Pig_iron_production!$B:$B,$C45)</f>
        <v>0</v>
      </c>
      <c r="CB45" s="7">
        <f t="shared" si="60"/>
        <v>0</v>
      </c>
      <c r="CC45" s="7">
        <f t="shared" si="61"/>
        <v>0</v>
      </c>
      <c r="CD45" s="7">
        <f t="shared" si="62"/>
        <v>0</v>
      </c>
      <c r="CE45" s="7">
        <f t="shared" si="63"/>
        <v>0</v>
      </c>
      <c r="CF45" s="46">
        <f>SUMIFS(SPEW_Pig_iron_production!$AA:$AA,SPEW_Pig_iron_production!$B:$B,$C45)</f>
        <v>0</v>
      </c>
      <c r="CG45" s="7">
        <f t="shared" si="64"/>
        <v>0</v>
      </c>
      <c r="CH45" s="7">
        <f t="shared" si="65"/>
        <v>0</v>
      </c>
      <c r="CI45" s="7">
        <f t="shared" si="66"/>
        <v>0</v>
      </c>
      <c r="CJ45" s="7">
        <f t="shared" si="67"/>
        <v>0</v>
      </c>
      <c r="CK45" s="46">
        <f>SUMIFS(SPEW_Pig_iron_production!$AB:$AB,SPEW_Pig_iron_production!$B:$B,$C45)</f>
        <v>0</v>
      </c>
      <c r="CL45" s="7">
        <f t="shared" si="68"/>
        <v>0</v>
      </c>
      <c r="CM45" s="7">
        <f t="shared" si="69"/>
        <v>0</v>
      </c>
      <c r="CN45" s="7">
        <f t="shared" si="70"/>
        <v>0</v>
      </c>
      <c r="CO45" s="7">
        <f t="shared" si="71"/>
        <v>0</v>
      </c>
      <c r="CP45" s="2">
        <f>[1]Data!B45</f>
        <v>0</v>
      </c>
      <c r="CQ45" s="2">
        <f>[1]Data!C45</f>
        <v>0</v>
      </c>
      <c r="CR45" s="2">
        <f>[1]Data!D45</f>
        <v>0</v>
      </c>
      <c r="CS45" s="2">
        <f>[1]Data!E45</f>
        <v>0</v>
      </c>
      <c r="CT45" s="2">
        <f>[1]Data!F45</f>
        <v>0</v>
      </c>
      <c r="CU45" s="2">
        <f>[1]Data!G45</f>
        <v>0</v>
      </c>
      <c r="CV45" s="2">
        <f>[1]Data!H45</f>
        <v>0</v>
      </c>
      <c r="CW45" s="2">
        <f>[1]Data!I45</f>
        <v>0</v>
      </c>
      <c r="CX45" s="2">
        <f>[1]Data!J45</f>
        <v>0</v>
      </c>
      <c r="CY45" s="2">
        <f>[1]Data!K45</f>
        <v>0</v>
      </c>
      <c r="CZ45" s="2">
        <f>[1]Data!L45</f>
        <v>0</v>
      </c>
      <c r="DA45" s="2">
        <f>[1]Data!M45</f>
        <v>0</v>
      </c>
      <c r="DB45" s="2">
        <f>[1]Data!N45</f>
        <v>45990</v>
      </c>
      <c r="DC45" s="2">
        <f>[1]Data!O45</f>
        <v>40766</v>
      </c>
      <c r="DD45" s="2">
        <f>[1]Data!P45</f>
        <v>36480</v>
      </c>
      <c r="DE45" s="2">
        <f>[1]Data!Q45</f>
        <v>39675</v>
      </c>
      <c r="DF45" s="2">
        <f>[1]Data!R45</f>
        <v>37079</v>
      </c>
      <c r="DG45" s="2">
        <f>[1]Data!S45</f>
        <v>37207</v>
      </c>
      <c r="DH45" s="2">
        <f>[1]Data!T45</f>
        <v>34736</v>
      </c>
      <c r="DI45" s="2">
        <f>[1]Data!U45</f>
        <v>40033</v>
      </c>
      <c r="DJ45" s="2">
        <f>[1]Data!V45</f>
        <v>44536</v>
      </c>
      <c r="DK45" s="2">
        <f>[1]Data!W45</f>
        <v>44947</v>
      </c>
      <c r="DL45" s="2">
        <f>[1]Data!X45</f>
        <v>46251</v>
      </c>
      <c r="DM45" s="2">
        <f>[1]Data!Y45</f>
        <v>48325</v>
      </c>
      <c r="DN45" s="2">
        <f>[1]Data!Z45</f>
        <v>50321</v>
      </c>
      <c r="DO45" s="2">
        <f>[1]Data!AA45</f>
        <v>48410</v>
      </c>
      <c r="DP45" s="2">
        <f>[1]Data!AB45</f>
        <v>51742</v>
      </c>
      <c r="DQ45" s="2">
        <f>[1]Data!AC45</f>
        <v>51043</v>
      </c>
      <c r="DR45" s="2">
        <f>[1]Data!AD45</f>
        <v>48295</v>
      </c>
      <c r="DS45" s="2">
        <f>[1]Data!AE45</f>
        <v>43945</v>
      </c>
      <c r="DT45" s="2">
        <f>[1]Data!AF45</f>
        <v>47934</v>
      </c>
      <c r="DU45" s="2">
        <f>[1]Data!AG45</f>
        <v>48117</v>
      </c>
      <c r="DV45" s="2">
        <f>[1]Data!AH45</f>
        <v>50529</v>
      </c>
      <c r="DW45" s="2">
        <f>[1]Data!AI45</f>
        <v>50111</v>
      </c>
      <c r="DX45" s="2">
        <v>51479</v>
      </c>
      <c r="DY45" s="2">
        <f>[4]Data!AK45</f>
        <v>52553</v>
      </c>
      <c r="DZ45" s="2">
        <f>[4]Data!AL45</f>
        <v>51877</v>
      </c>
      <c r="EA45" s="2">
        <f>[4]Data!AM45</f>
        <v>52036</v>
      </c>
    </row>
    <row r="46" spans="1:131" ht="16" x14ac:dyDescent="0.2">
      <c r="A46" t="s">
        <v>44</v>
      </c>
      <c r="C46" s="9" t="s">
        <v>79</v>
      </c>
      <c r="D46" s="46">
        <f>Hyde_iron!$C$42</f>
        <v>928</v>
      </c>
      <c r="E46" s="7">
        <f t="shared" si="0"/>
        <v>1033.3999999999996</v>
      </c>
      <c r="F46" s="7">
        <f t="shared" si="1"/>
        <v>1138.7999999999997</v>
      </c>
      <c r="G46" s="7">
        <f t="shared" si="2"/>
        <v>1244.1999999999998</v>
      </c>
      <c r="H46" s="7">
        <f t="shared" si="3"/>
        <v>1349.6</v>
      </c>
      <c r="I46" s="46">
        <f>Hyde_iron!$D$42</f>
        <v>1455</v>
      </c>
      <c r="J46" s="7">
        <f t="shared" si="4"/>
        <v>1751.3999999999996</v>
      </c>
      <c r="K46" s="7">
        <f t="shared" si="5"/>
        <v>2047.7999999999997</v>
      </c>
      <c r="L46" s="7">
        <f t="shared" si="6"/>
        <v>2344.1999999999998</v>
      </c>
      <c r="M46" s="7">
        <f t="shared" si="7"/>
        <v>2640.6</v>
      </c>
      <c r="N46" s="46">
        <f>Hyde_iron!$E$42</f>
        <v>2937</v>
      </c>
      <c r="O46" s="7">
        <f t="shared" si="8"/>
        <v>2896.7999999999993</v>
      </c>
      <c r="P46" s="7">
        <f t="shared" si="9"/>
        <v>2856.5999999999995</v>
      </c>
      <c r="Q46" s="7">
        <f t="shared" si="10"/>
        <v>2816.3999999999996</v>
      </c>
      <c r="R46" s="7">
        <f t="shared" si="11"/>
        <v>2776.2</v>
      </c>
      <c r="S46" s="46">
        <f>Hyde_iron!$F$42</f>
        <v>2736</v>
      </c>
      <c r="T46" s="7">
        <f t="shared" si="12"/>
        <v>2798.2000000000007</v>
      </c>
      <c r="U46" s="7">
        <f t="shared" si="13"/>
        <v>2860.4000000000005</v>
      </c>
      <c r="V46" s="7">
        <f t="shared" si="14"/>
        <v>2922.6000000000004</v>
      </c>
      <c r="W46" s="7">
        <f t="shared" si="15"/>
        <v>2984.8</v>
      </c>
      <c r="X46" s="46">
        <f>Hyde_iron!$G$42</f>
        <v>3047</v>
      </c>
      <c r="Y46" s="7">
        <f t="shared" si="16"/>
        <v>3190.3999999999996</v>
      </c>
      <c r="Z46" s="7">
        <f t="shared" si="17"/>
        <v>3333.7999999999997</v>
      </c>
      <c r="AA46" s="7">
        <f t="shared" si="18"/>
        <v>3477.2</v>
      </c>
      <c r="AB46" s="7">
        <f t="shared" si="19"/>
        <v>3620.6</v>
      </c>
      <c r="AC46" s="46">
        <f>Hyde_iron!$H$42</f>
        <v>3764</v>
      </c>
      <c r="AD46" s="7">
        <f t="shared" si="20"/>
        <v>3034.4</v>
      </c>
      <c r="AE46" s="7">
        <f t="shared" si="21"/>
        <v>2304.8000000000002</v>
      </c>
      <c r="AF46" s="7">
        <f t="shared" si="22"/>
        <v>1575.2</v>
      </c>
      <c r="AG46" s="7">
        <f t="shared" si="23"/>
        <v>845.6</v>
      </c>
      <c r="AH46" s="46">
        <f>Hyde_iron!$I$42</f>
        <v>116</v>
      </c>
      <c r="AI46" s="7">
        <f t="shared" si="24"/>
        <v>354.6</v>
      </c>
      <c r="AJ46" s="7">
        <f t="shared" si="25"/>
        <v>593.20000000000005</v>
      </c>
      <c r="AK46" s="7">
        <f t="shared" si="26"/>
        <v>831.80000000000007</v>
      </c>
      <c r="AL46" s="7">
        <f t="shared" si="27"/>
        <v>1070.4000000000001</v>
      </c>
      <c r="AM46" s="46">
        <f>SUMIFS(SPEW_Pig_iron_production!$R:$R,SPEW_Pig_iron_production!$B:$B,$C46)</f>
        <v>1309</v>
      </c>
      <c r="AN46" s="7">
        <f t="shared" si="28"/>
        <v>2040</v>
      </c>
      <c r="AO46" s="7">
        <f t="shared" si="29"/>
        <v>2771</v>
      </c>
      <c r="AP46" s="7">
        <f t="shared" si="30"/>
        <v>3502</v>
      </c>
      <c r="AQ46" s="7">
        <f t="shared" si="31"/>
        <v>4233</v>
      </c>
      <c r="AR46" s="46">
        <f>SUMIFS(SPEW_Pig_iron_production!$S:$S,SPEW_Pig_iron_production!$B:$B,$C46)</f>
        <v>4964</v>
      </c>
      <c r="AS46" s="7">
        <f t="shared" si="32"/>
        <v>6469.1999999999989</v>
      </c>
      <c r="AT46" s="7">
        <f t="shared" si="33"/>
        <v>7974.3999999999987</v>
      </c>
      <c r="AU46" s="7">
        <f t="shared" si="34"/>
        <v>9479.5999999999985</v>
      </c>
      <c r="AV46" s="7">
        <f t="shared" si="35"/>
        <v>10984.8</v>
      </c>
      <c r="AW46" s="46">
        <f>SUMIFS(SPEW_Pig_iron_production!$T:$T,SPEW_Pig_iron_production!$B:$B,$C46)</f>
        <v>12490</v>
      </c>
      <c r="AX46" s="7">
        <f t="shared" si="36"/>
        <v>12972.400000000001</v>
      </c>
      <c r="AY46" s="7">
        <f t="shared" si="37"/>
        <v>13454.800000000001</v>
      </c>
      <c r="AZ46" s="7">
        <f t="shared" si="38"/>
        <v>13937.2</v>
      </c>
      <c r="BA46" s="7">
        <f t="shared" si="39"/>
        <v>14419.6</v>
      </c>
      <c r="BB46" s="46">
        <f>SUMIFS(SPEW_Pig_iron_production!$U:$U,SPEW_Pig_iron_production!$B:$B,$C46)</f>
        <v>14902</v>
      </c>
      <c r="BC46" s="7">
        <f t="shared" si="40"/>
        <v>13682.199999999997</v>
      </c>
      <c r="BD46" s="7">
        <f t="shared" si="41"/>
        <v>12462.399999999998</v>
      </c>
      <c r="BE46" s="7">
        <f t="shared" si="42"/>
        <v>11242.599999999999</v>
      </c>
      <c r="BF46" s="7">
        <f t="shared" si="43"/>
        <v>10022.799999999999</v>
      </c>
      <c r="BG46" s="46">
        <f>SUMIFS(SPEW_Pig_iron_production!$V:$V,SPEW_Pig_iron_production!$B:$B,$C46)</f>
        <v>8803</v>
      </c>
      <c r="BH46" s="7">
        <f t="shared" si="44"/>
        <v>10877.4</v>
      </c>
      <c r="BI46" s="7">
        <f t="shared" si="45"/>
        <v>12951.8</v>
      </c>
      <c r="BJ46" s="7">
        <f t="shared" si="46"/>
        <v>15026.199999999999</v>
      </c>
      <c r="BK46" s="7">
        <f t="shared" si="47"/>
        <v>17100.599999999999</v>
      </c>
      <c r="BL46" s="46">
        <f>SUMIFS(SPEW_Pig_iron_production!$W:$W,SPEW_Pig_iron_production!$B:$B,$C46)</f>
        <v>19175</v>
      </c>
      <c r="BM46" s="7">
        <f t="shared" si="48"/>
        <v>22002</v>
      </c>
      <c r="BN46" s="7">
        <f t="shared" si="49"/>
        <v>24829</v>
      </c>
      <c r="BO46" s="7">
        <f t="shared" si="50"/>
        <v>27656</v>
      </c>
      <c r="BP46" s="7">
        <f t="shared" si="51"/>
        <v>30483</v>
      </c>
      <c r="BQ46" s="46">
        <f>SUMIFS(SPEW_Pig_iron_production!$X:$X,SPEW_Pig_iron_production!$B:$B,$C46)</f>
        <v>33310</v>
      </c>
      <c r="BR46" s="7">
        <f t="shared" si="52"/>
        <v>35999.399999999994</v>
      </c>
      <c r="BS46" s="7">
        <f t="shared" si="53"/>
        <v>38688.799999999996</v>
      </c>
      <c r="BT46" s="7">
        <f t="shared" si="54"/>
        <v>41378.199999999997</v>
      </c>
      <c r="BU46" s="7">
        <f t="shared" si="55"/>
        <v>44067.6</v>
      </c>
      <c r="BV46" s="46">
        <f>SUMIFS(SPEW_Pig_iron_production!$Y:$Y,SPEW_Pig_iron_production!$B:$B,$C46)</f>
        <v>46757</v>
      </c>
      <c r="BW46" s="7">
        <f t="shared" si="56"/>
        <v>50642.399999999994</v>
      </c>
      <c r="BX46" s="7">
        <f t="shared" si="57"/>
        <v>54527.799999999996</v>
      </c>
      <c r="BY46" s="7">
        <f t="shared" si="58"/>
        <v>58413.2</v>
      </c>
      <c r="BZ46" s="7">
        <f t="shared" si="59"/>
        <v>62298.6</v>
      </c>
      <c r="CA46" s="46">
        <f>SUMIFS(SPEW_Pig_iron_production!$Z:$Z,SPEW_Pig_iron_production!$B:$B,$C46)</f>
        <v>66184</v>
      </c>
      <c r="CB46" s="7">
        <f t="shared" si="60"/>
        <v>70133.799999999988</v>
      </c>
      <c r="CC46" s="7">
        <f t="shared" si="61"/>
        <v>74083.599999999991</v>
      </c>
      <c r="CD46" s="7">
        <f t="shared" si="62"/>
        <v>78033.399999999994</v>
      </c>
      <c r="CE46" s="7">
        <f t="shared" si="63"/>
        <v>81983.199999999997</v>
      </c>
      <c r="CF46" s="46">
        <f>SUMIFS(SPEW_Pig_iron_production!$AA:$AA,SPEW_Pig_iron_production!$B:$B,$C46)</f>
        <v>85933</v>
      </c>
      <c r="CG46" s="7">
        <f t="shared" si="64"/>
        <v>89346.400000000023</v>
      </c>
      <c r="CH46" s="7">
        <f t="shared" si="65"/>
        <v>92759.800000000017</v>
      </c>
      <c r="CI46" s="7">
        <f t="shared" si="66"/>
        <v>96173.200000000012</v>
      </c>
      <c r="CJ46" s="7">
        <f t="shared" si="67"/>
        <v>99586.6</v>
      </c>
      <c r="CK46" s="46">
        <f>SUMIFS(SPEW_Pig_iron_production!$AB:$AB,SPEW_Pig_iron_production!$B:$B,$C46)</f>
        <v>103000</v>
      </c>
      <c r="CL46" s="7">
        <f t="shared" si="68"/>
        <v>103856.59999999998</v>
      </c>
      <c r="CM46" s="7">
        <f t="shared" si="69"/>
        <v>104713.19999999998</v>
      </c>
      <c r="CN46" s="7">
        <f t="shared" si="70"/>
        <v>105569.79999999999</v>
      </c>
      <c r="CO46" s="7">
        <f t="shared" si="71"/>
        <v>106426.4</v>
      </c>
      <c r="CP46" s="2">
        <f>[1]Data!B46</f>
        <v>107283</v>
      </c>
      <c r="CQ46" s="2">
        <f>[1]Data!C46</f>
        <v>107766</v>
      </c>
      <c r="CR46" s="2">
        <f>[1]Data!D46</f>
        <v>106723</v>
      </c>
      <c r="CS46" s="2">
        <f>[1]Data!E46</f>
        <v>110453</v>
      </c>
      <c r="CT46" s="2">
        <f>[1]Data!F46</f>
        <v>110893</v>
      </c>
      <c r="CU46" s="2">
        <f>[1]Data!G46</f>
        <v>109977</v>
      </c>
      <c r="CV46" s="2">
        <f>[1]Data!H46</f>
        <v>113840</v>
      </c>
      <c r="CW46" s="2">
        <f>[1]Data!I46</f>
        <v>113900</v>
      </c>
      <c r="CX46" s="2">
        <f>[1]Data!J46</f>
        <v>114559</v>
      </c>
      <c r="CY46" s="2">
        <f>[1]Data!K46</f>
        <v>113273</v>
      </c>
      <c r="CZ46" s="2">
        <f>[1]Data!L46</f>
        <v>110167</v>
      </c>
      <c r="DA46" s="2">
        <f>[1]Data!M46</f>
        <v>90953</v>
      </c>
      <c r="DB46" s="2">
        <f>[1]Data!N46</f>
        <v>0</v>
      </c>
      <c r="DC46" s="2">
        <f>[1]Data!O46</f>
        <v>0</v>
      </c>
      <c r="DD46" s="2">
        <f>[1]Data!P46</f>
        <v>0</v>
      </c>
      <c r="DE46" s="2">
        <f>[1]Data!Q46</f>
        <v>0</v>
      </c>
      <c r="DF46" s="2">
        <f>[1]Data!R46</f>
        <v>0</v>
      </c>
      <c r="DG46" s="2">
        <f>[1]Data!S46</f>
        <v>0</v>
      </c>
      <c r="DH46" s="2">
        <f>[1]Data!T46</f>
        <v>0</v>
      </c>
      <c r="DI46" s="2">
        <f>[1]Data!U46</f>
        <v>0</v>
      </c>
      <c r="DJ46" s="2">
        <f>[1]Data!V46</f>
        <v>0</v>
      </c>
      <c r="DK46" s="2">
        <f>[1]Data!W46</f>
        <v>0</v>
      </c>
      <c r="DL46" s="2">
        <f>[1]Data!X46</f>
        <v>0</v>
      </c>
      <c r="DM46" s="2">
        <f>[1]Data!Y46</f>
        <v>0</v>
      </c>
      <c r="DN46" s="2">
        <f>[1]Data!Z46</f>
        <v>0</v>
      </c>
      <c r="DO46" s="2">
        <f>[1]Data!AA46</f>
        <v>0</v>
      </c>
      <c r="DP46" s="2">
        <f>[1]Data!AB46</f>
        <v>0</v>
      </c>
      <c r="DQ46" s="2">
        <f>[1]Data!AC46</f>
        <v>0</v>
      </c>
      <c r="DR46" s="2">
        <f>[1]Data!AD46</f>
        <v>0</v>
      </c>
      <c r="DS46" s="2">
        <f>[1]Data!AE46</f>
        <v>0</v>
      </c>
      <c r="DT46" s="2">
        <f>[1]Data!AF46</f>
        <v>0</v>
      </c>
      <c r="DU46" s="2">
        <f>[1]Data!AG46</f>
        <v>0</v>
      </c>
      <c r="DV46" s="2">
        <f>[1]Data!AH46</f>
        <v>0</v>
      </c>
      <c r="DW46" s="2">
        <f>[1]Data!AI46</f>
        <v>0</v>
      </c>
      <c r="DX46" s="2">
        <v>0</v>
      </c>
      <c r="DY46" s="2">
        <f>[4]Data!AK46</f>
        <v>0</v>
      </c>
      <c r="DZ46" s="2">
        <f>[4]Data!AL46</f>
        <v>0</v>
      </c>
      <c r="EA46" s="2">
        <f>[4]Data!AM46</f>
        <v>0</v>
      </c>
    </row>
    <row r="47" spans="1:131" ht="16" x14ac:dyDescent="0.2">
      <c r="A47" t="s">
        <v>45</v>
      </c>
      <c r="C47" s="9" t="s">
        <v>123</v>
      </c>
      <c r="D47" s="46"/>
      <c r="E47" s="7">
        <f t="shared" si="0"/>
        <v>0</v>
      </c>
      <c r="F47" s="7">
        <f t="shared" si="1"/>
        <v>0</v>
      </c>
      <c r="G47" s="7">
        <f t="shared" si="2"/>
        <v>0</v>
      </c>
      <c r="H47" s="7">
        <f t="shared" si="3"/>
        <v>0</v>
      </c>
      <c r="I47" s="46"/>
      <c r="J47" s="7">
        <f t="shared" si="4"/>
        <v>0</v>
      </c>
      <c r="K47" s="7">
        <f t="shared" si="5"/>
        <v>0</v>
      </c>
      <c r="L47" s="7">
        <f t="shared" si="6"/>
        <v>0</v>
      </c>
      <c r="M47" s="7">
        <f t="shared" si="7"/>
        <v>0</v>
      </c>
      <c r="N47" s="46"/>
      <c r="O47" s="7">
        <f t="shared" si="8"/>
        <v>0</v>
      </c>
      <c r="P47" s="7">
        <f t="shared" si="9"/>
        <v>0</v>
      </c>
      <c r="Q47" s="7">
        <f t="shared" si="10"/>
        <v>0</v>
      </c>
      <c r="R47" s="7">
        <f t="shared" si="11"/>
        <v>0</v>
      </c>
      <c r="S47" s="46"/>
      <c r="T47" s="7">
        <f t="shared" si="12"/>
        <v>0</v>
      </c>
      <c r="U47" s="7">
        <f t="shared" si="13"/>
        <v>0</v>
      </c>
      <c r="V47" s="7">
        <f t="shared" si="14"/>
        <v>0</v>
      </c>
      <c r="W47" s="7">
        <f t="shared" si="15"/>
        <v>0</v>
      </c>
      <c r="X47" s="46"/>
      <c r="Y47" s="7">
        <f t="shared" si="16"/>
        <v>0</v>
      </c>
      <c r="Z47" s="7">
        <f t="shared" si="17"/>
        <v>0</v>
      </c>
      <c r="AA47" s="7">
        <f t="shared" si="18"/>
        <v>0</v>
      </c>
      <c r="AB47" s="7">
        <f t="shared" si="19"/>
        <v>0</v>
      </c>
      <c r="AC47" s="46"/>
      <c r="AD47" s="7">
        <f t="shared" si="20"/>
        <v>0</v>
      </c>
      <c r="AE47" s="7">
        <f t="shared" si="21"/>
        <v>0</v>
      </c>
      <c r="AF47" s="7">
        <f t="shared" si="22"/>
        <v>0</v>
      </c>
      <c r="AG47" s="7">
        <f t="shared" si="23"/>
        <v>0</v>
      </c>
      <c r="AH47" s="46"/>
      <c r="AI47" s="7">
        <f t="shared" si="24"/>
        <v>0</v>
      </c>
      <c r="AJ47" s="7">
        <f t="shared" si="25"/>
        <v>0</v>
      </c>
      <c r="AK47" s="7">
        <f t="shared" si="26"/>
        <v>0</v>
      </c>
      <c r="AL47" s="7">
        <f t="shared" si="27"/>
        <v>0</v>
      </c>
      <c r="AM47" s="46">
        <f>SUMIFS(SPEW_Pig_iron_production!$R:$R,SPEW_Pig_iron_production!$B:$B,$C47)</f>
        <v>0</v>
      </c>
      <c r="AN47" s="7">
        <f t="shared" si="28"/>
        <v>0</v>
      </c>
      <c r="AO47" s="7">
        <f t="shared" si="29"/>
        <v>0</v>
      </c>
      <c r="AP47" s="7">
        <f t="shared" si="30"/>
        <v>0</v>
      </c>
      <c r="AQ47" s="7">
        <f t="shared" si="31"/>
        <v>0</v>
      </c>
      <c r="AR47" s="46">
        <f>SUMIFS(SPEW_Pig_iron_production!$S:$S,SPEW_Pig_iron_production!$B:$B,$C47)</f>
        <v>0</v>
      </c>
      <c r="AS47" s="7">
        <f t="shared" si="32"/>
        <v>0</v>
      </c>
      <c r="AT47" s="7">
        <f t="shared" si="33"/>
        <v>0</v>
      </c>
      <c r="AU47" s="7">
        <f t="shared" si="34"/>
        <v>0</v>
      </c>
      <c r="AV47" s="7">
        <f t="shared" si="35"/>
        <v>0</v>
      </c>
      <c r="AW47" s="46">
        <f>SUMIFS(SPEW_Pig_iron_production!$T:$T,SPEW_Pig_iron_production!$B:$B,$C47)</f>
        <v>0</v>
      </c>
      <c r="AX47" s="7">
        <f t="shared" si="36"/>
        <v>0</v>
      </c>
      <c r="AY47" s="7">
        <f t="shared" si="37"/>
        <v>0</v>
      </c>
      <c r="AZ47" s="7">
        <f t="shared" si="38"/>
        <v>0</v>
      </c>
      <c r="BA47" s="7">
        <f t="shared" si="39"/>
        <v>0</v>
      </c>
      <c r="BB47" s="46">
        <f>SUMIFS(SPEW_Pig_iron_production!$U:$U,SPEW_Pig_iron_production!$B:$B,$C47)</f>
        <v>0</v>
      </c>
      <c r="BC47" s="7">
        <f t="shared" si="40"/>
        <v>0</v>
      </c>
      <c r="BD47" s="7">
        <f t="shared" si="41"/>
        <v>0</v>
      </c>
      <c r="BE47" s="7">
        <f t="shared" si="42"/>
        <v>0</v>
      </c>
      <c r="BF47" s="7">
        <f t="shared" si="43"/>
        <v>0</v>
      </c>
      <c r="BG47" s="46">
        <f>SUMIFS(SPEW_Pig_iron_production!$V:$V,SPEW_Pig_iron_production!$B:$B,$C47)</f>
        <v>0</v>
      </c>
      <c r="BH47" s="7">
        <f t="shared" si="44"/>
        <v>0</v>
      </c>
      <c r="BI47" s="7">
        <f t="shared" si="45"/>
        <v>0</v>
      </c>
      <c r="BJ47" s="7">
        <f t="shared" si="46"/>
        <v>0</v>
      </c>
      <c r="BK47" s="7">
        <f t="shared" si="47"/>
        <v>0</v>
      </c>
      <c r="BL47" s="46">
        <f>SUMIFS(SPEW_Pig_iron_production!$W:$W,SPEW_Pig_iron_production!$B:$B,$C47)</f>
        <v>0</v>
      </c>
      <c r="BM47" s="7">
        <f t="shared" si="48"/>
        <v>0</v>
      </c>
      <c r="BN47" s="7">
        <f t="shared" si="49"/>
        <v>0</v>
      </c>
      <c r="BO47" s="7">
        <f t="shared" si="50"/>
        <v>0</v>
      </c>
      <c r="BP47" s="7">
        <f t="shared" si="51"/>
        <v>0</v>
      </c>
      <c r="BQ47" s="46">
        <f>SUMIFS(SPEW_Pig_iron_production!$X:$X,SPEW_Pig_iron_production!$B:$B,$C47)</f>
        <v>0</v>
      </c>
      <c r="BR47" s="7">
        <f t="shared" si="52"/>
        <v>0</v>
      </c>
      <c r="BS47" s="7">
        <f t="shared" si="53"/>
        <v>0</v>
      </c>
      <c r="BT47" s="7">
        <f t="shared" si="54"/>
        <v>0</v>
      </c>
      <c r="BU47" s="7">
        <f t="shared" si="55"/>
        <v>0</v>
      </c>
      <c r="BV47" s="46">
        <f>SUMIFS(SPEW_Pig_iron_production!$Y:$Y,SPEW_Pig_iron_production!$B:$B,$C47)</f>
        <v>0</v>
      </c>
      <c r="BW47" s="7">
        <f t="shared" si="56"/>
        <v>0</v>
      </c>
      <c r="BX47" s="7">
        <f t="shared" si="57"/>
        <v>0</v>
      </c>
      <c r="BY47" s="7">
        <f t="shared" si="58"/>
        <v>0</v>
      </c>
      <c r="BZ47" s="7">
        <f t="shared" si="59"/>
        <v>0</v>
      </c>
      <c r="CA47" s="46">
        <f>SUMIFS(SPEW_Pig_iron_production!$Z:$Z,SPEW_Pig_iron_production!$B:$B,$C47)</f>
        <v>0</v>
      </c>
      <c r="CB47" s="7">
        <f t="shared" si="60"/>
        <v>0</v>
      </c>
      <c r="CC47" s="7">
        <f t="shared" si="61"/>
        <v>0</v>
      </c>
      <c r="CD47" s="7">
        <f t="shared" si="62"/>
        <v>0</v>
      </c>
      <c r="CE47" s="7">
        <f t="shared" si="63"/>
        <v>0</v>
      </c>
      <c r="CF47" s="46">
        <f>SUMIFS(SPEW_Pig_iron_production!$AA:$AA,SPEW_Pig_iron_production!$B:$B,$C47)</f>
        <v>0</v>
      </c>
      <c r="CG47" s="7">
        <f t="shared" si="64"/>
        <v>0</v>
      </c>
      <c r="CH47" s="7">
        <f t="shared" si="65"/>
        <v>0</v>
      </c>
      <c r="CI47" s="7">
        <f t="shared" si="66"/>
        <v>0</v>
      </c>
      <c r="CJ47" s="7">
        <f t="shared" si="67"/>
        <v>0</v>
      </c>
      <c r="CK47" s="46">
        <f>SUMIFS(SPEW_Pig_iron_production!$AB:$AB,SPEW_Pig_iron_production!$B:$B,$C47)</f>
        <v>0</v>
      </c>
      <c r="CL47" s="7">
        <f t="shared" si="68"/>
        <v>0</v>
      </c>
      <c r="CM47" s="7">
        <f t="shared" si="69"/>
        <v>0</v>
      </c>
      <c r="CN47" s="7">
        <f t="shared" si="70"/>
        <v>0</v>
      </c>
      <c r="CO47" s="7">
        <f t="shared" si="71"/>
        <v>0</v>
      </c>
      <c r="CP47" s="2">
        <f>[1]Data!B47</f>
        <v>0</v>
      </c>
      <c r="CQ47" s="2">
        <f>[1]Data!C47</f>
        <v>0</v>
      </c>
      <c r="CR47" s="2">
        <f>[1]Data!D47</f>
        <v>0</v>
      </c>
      <c r="CS47" s="2">
        <f>[1]Data!E47</f>
        <v>0</v>
      </c>
      <c r="CT47" s="2">
        <f>[1]Data!F47</f>
        <v>0</v>
      </c>
      <c r="CU47" s="2">
        <f>[1]Data!G47</f>
        <v>0</v>
      </c>
      <c r="CV47" s="2">
        <f>[1]Data!H47</f>
        <v>0</v>
      </c>
      <c r="CW47" s="2">
        <f>[1]Data!I47</f>
        <v>0</v>
      </c>
      <c r="CX47" s="2">
        <f>[1]Data!J47</f>
        <v>0</v>
      </c>
      <c r="CY47" s="2">
        <f>[1]Data!K47</f>
        <v>0</v>
      </c>
      <c r="CZ47" s="2">
        <f>[1]Data!L47</f>
        <v>0</v>
      </c>
      <c r="DA47" s="2">
        <f>[1]Data!M47</f>
        <v>0</v>
      </c>
      <c r="DB47" s="2">
        <f>[1]Data!N47</f>
        <v>0</v>
      </c>
      <c r="DC47" s="2">
        <f>[1]Data!O47</f>
        <v>0</v>
      </c>
      <c r="DD47" s="2">
        <f>[1]Data!P47</f>
        <v>0</v>
      </c>
      <c r="DE47" s="2">
        <f>[1]Data!Q47</f>
        <v>0</v>
      </c>
      <c r="DF47" s="2">
        <f>[1]Data!R47</f>
        <v>0</v>
      </c>
      <c r="DG47" s="2">
        <f>[1]Data!S47</f>
        <v>0</v>
      </c>
      <c r="DH47" s="2">
        <f>[1]Data!T47</f>
        <v>0</v>
      </c>
      <c r="DI47" s="2">
        <f>[1]Data!U47</f>
        <v>0</v>
      </c>
      <c r="DJ47" s="2">
        <f>[1]Data!V47</f>
        <v>0</v>
      </c>
      <c r="DK47" s="2">
        <f>[1]Data!W47</f>
        <v>0</v>
      </c>
      <c r="DL47" s="2">
        <f>[1]Data!X47</f>
        <v>0</v>
      </c>
      <c r="DM47" s="2">
        <f>[1]Data!Y47</f>
        <v>0</v>
      </c>
      <c r="DN47" s="2">
        <f>[1]Data!Z47</f>
        <v>0</v>
      </c>
      <c r="DO47" s="2">
        <f>[1]Data!AA47</f>
        <v>0</v>
      </c>
      <c r="DP47" s="2">
        <f>[1]Data!AB47</f>
        <v>0</v>
      </c>
      <c r="DQ47" s="2">
        <f>[1]Data!AC47</f>
        <v>0</v>
      </c>
      <c r="DR47" s="2">
        <f>[1]Data!AD47</f>
        <v>1582</v>
      </c>
      <c r="DS47" s="2">
        <f>[1]Data!AE47</f>
        <v>1008</v>
      </c>
      <c r="DT47" s="2">
        <f>[1]Data!AF47</f>
        <v>1235</v>
      </c>
      <c r="DU47" s="2">
        <f>[1]Data!AG47</f>
        <v>1226</v>
      </c>
      <c r="DV47" s="2">
        <f>[1]Data!AH47</f>
        <v>312</v>
      </c>
      <c r="DW47" s="2">
        <f>[1]Data!AI47</f>
        <v>365</v>
      </c>
      <c r="DX47" s="2">
        <v>550</v>
      </c>
      <c r="DY47" s="2">
        <f>[4]Data!AK47</f>
        <v>904</v>
      </c>
      <c r="DZ47" s="2">
        <f>[4]Data!AL47</f>
        <v>1154</v>
      </c>
      <c r="EA47" s="2">
        <f>[4]Data!AM47</f>
        <v>1340</v>
      </c>
    </row>
    <row r="48" spans="1:131" ht="16" x14ac:dyDescent="0.2">
      <c r="A48" t="s">
        <v>46</v>
      </c>
      <c r="C48" s="9" t="s">
        <v>80</v>
      </c>
      <c r="D48" s="46"/>
      <c r="E48" s="7">
        <f t="shared" si="0"/>
        <v>0</v>
      </c>
      <c r="F48" s="7">
        <f t="shared" si="1"/>
        <v>0</v>
      </c>
      <c r="G48" s="7">
        <f t="shared" si="2"/>
        <v>0</v>
      </c>
      <c r="H48" s="7">
        <f t="shared" si="3"/>
        <v>0</v>
      </c>
      <c r="I48" s="46"/>
      <c r="J48" s="7">
        <f t="shared" si="4"/>
        <v>0</v>
      </c>
      <c r="K48" s="7">
        <f t="shared" si="5"/>
        <v>0</v>
      </c>
      <c r="L48" s="7">
        <f t="shared" si="6"/>
        <v>0</v>
      </c>
      <c r="M48" s="7">
        <f t="shared" si="7"/>
        <v>0</v>
      </c>
      <c r="N48" s="46"/>
      <c r="O48" s="7">
        <f t="shared" si="8"/>
        <v>0</v>
      </c>
      <c r="P48" s="7">
        <f t="shared" si="9"/>
        <v>0</v>
      </c>
      <c r="Q48" s="7">
        <f t="shared" si="10"/>
        <v>0</v>
      </c>
      <c r="R48" s="7">
        <f t="shared" si="11"/>
        <v>0</v>
      </c>
      <c r="S48" s="46"/>
      <c r="T48" s="7">
        <f t="shared" si="12"/>
        <v>0</v>
      </c>
      <c r="U48" s="7">
        <f t="shared" si="13"/>
        <v>0</v>
      </c>
      <c r="V48" s="7">
        <f t="shared" si="14"/>
        <v>0</v>
      </c>
      <c r="W48" s="7">
        <f t="shared" si="15"/>
        <v>0</v>
      </c>
      <c r="X48" s="46"/>
      <c r="Y48" s="7">
        <f t="shared" si="16"/>
        <v>0</v>
      </c>
      <c r="Z48" s="7">
        <f t="shared" si="17"/>
        <v>0</v>
      </c>
      <c r="AA48" s="7">
        <f t="shared" si="18"/>
        <v>0</v>
      </c>
      <c r="AB48" s="7">
        <f t="shared" si="19"/>
        <v>0</v>
      </c>
      <c r="AC48" s="46"/>
      <c r="AD48" s="7">
        <f t="shared" si="20"/>
        <v>0</v>
      </c>
      <c r="AE48" s="7">
        <f t="shared" si="21"/>
        <v>0</v>
      </c>
      <c r="AF48" s="7">
        <f t="shared" si="22"/>
        <v>0</v>
      </c>
      <c r="AG48" s="7">
        <f t="shared" si="23"/>
        <v>0</v>
      </c>
      <c r="AH48" s="46"/>
      <c r="AI48" s="7">
        <f t="shared" si="24"/>
        <v>0</v>
      </c>
      <c r="AJ48" s="7">
        <f t="shared" si="25"/>
        <v>0</v>
      </c>
      <c r="AK48" s="7">
        <f t="shared" si="26"/>
        <v>0</v>
      </c>
      <c r="AL48" s="7">
        <f t="shared" si="27"/>
        <v>0</v>
      </c>
      <c r="AM48" s="46">
        <f>SUMIFS(SPEW_Pig_iron_production!$R:$R,SPEW_Pig_iron_production!$B:$B,$C48)</f>
        <v>0</v>
      </c>
      <c r="AN48" s="7">
        <f t="shared" si="28"/>
        <v>0</v>
      </c>
      <c r="AO48" s="7">
        <f t="shared" si="29"/>
        <v>0</v>
      </c>
      <c r="AP48" s="7">
        <f t="shared" si="30"/>
        <v>0</v>
      </c>
      <c r="AQ48" s="7">
        <f t="shared" si="31"/>
        <v>0</v>
      </c>
      <c r="AR48" s="46">
        <f>SUMIFS(SPEW_Pig_iron_production!$S:$S,SPEW_Pig_iron_production!$B:$B,$C48)</f>
        <v>0</v>
      </c>
      <c r="AS48" s="7">
        <f t="shared" si="32"/>
        <v>0</v>
      </c>
      <c r="AT48" s="7">
        <f t="shared" si="33"/>
        <v>0</v>
      </c>
      <c r="AU48" s="7">
        <f t="shared" si="34"/>
        <v>0</v>
      </c>
      <c r="AV48" s="7">
        <f t="shared" si="35"/>
        <v>0</v>
      </c>
      <c r="AW48" s="46">
        <f>SUMIFS(SPEW_Pig_iron_production!$T:$T,SPEW_Pig_iron_production!$B:$B,$C48)</f>
        <v>0</v>
      </c>
      <c r="AX48" s="7">
        <f t="shared" si="36"/>
        <v>0</v>
      </c>
      <c r="AY48" s="7">
        <f t="shared" si="37"/>
        <v>0</v>
      </c>
      <c r="AZ48" s="7">
        <f t="shared" si="38"/>
        <v>0</v>
      </c>
      <c r="BA48" s="7">
        <f t="shared" si="39"/>
        <v>0</v>
      </c>
      <c r="BB48" s="46">
        <f>SUMIFS(SPEW_Pig_iron_production!$U:$U,SPEW_Pig_iron_production!$B:$B,$C48)</f>
        <v>0</v>
      </c>
      <c r="BC48" s="7">
        <f t="shared" si="40"/>
        <v>0</v>
      </c>
      <c r="BD48" s="7">
        <f t="shared" si="41"/>
        <v>0</v>
      </c>
      <c r="BE48" s="7">
        <f t="shared" si="42"/>
        <v>0</v>
      </c>
      <c r="BF48" s="7">
        <f t="shared" si="43"/>
        <v>0</v>
      </c>
      <c r="BG48" s="46">
        <f>SUMIFS(SPEW_Pig_iron_production!$V:$V,SPEW_Pig_iron_production!$B:$B,$C48)</f>
        <v>0</v>
      </c>
      <c r="BH48" s="7">
        <f t="shared" si="44"/>
        <v>0</v>
      </c>
      <c r="BI48" s="7">
        <f t="shared" si="45"/>
        <v>0</v>
      </c>
      <c r="BJ48" s="7">
        <f t="shared" si="46"/>
        <v>0</v>
      </c>
      <c r="BK48" s="7">
        <f t="shared" si="47"/>
        <v>0</v>
      </c>
      <c r="BL48" s="46">
        <f>SUMIFS(SPEW_Pig_iron_production!$W:$W,SPEW_Pig_iron_production!$B:$B,$C48)</f>
        <v>0</v>
      </c>
      <c r="BM48" s="7">
        <f t="shared" si="48"/>
        <v>0</v>
      </c>
      <c r="BN48" s="7">
        <f t="shared" si="49"/>
        <v>0</v>
      </c>
      <c r="BO48" s="7">
        <f t="shared" si="50"/>
        <v>0</v>
      </c>
      <c r="BP48" s="7">
        <f t="shared" si="51"/>
        <v>0</v>
      </c>
      <c r="BQ48" s="46">
        <f>SUMIFS(SPEW_Pig_iron_production!$X:$X,SPEW_Pig_iron_production!$B:$B,$C48)</f>
        <v>0</v>
      </c>
      <c r="BR48" s="7">
        <f t="shared" si="52"/>
        <v>0</v>
      </c>
      <c r="BS48" s="7">
        <f t="shared" si="53"/>
        <v>0</v>
      </c>
      <c r="BT48" s="7">
        <f t="shared" si="54"/>
        <v>0</v>
      </c>
      <c r="BU48" s="7">
        <f t="shared" si="55"/>
        <v>0</v>
      </c>
      <c r="BV48" s="46">
        <f>SUMIFS(SPEW_Pig_iron_production!$Y:$Y,SPEW_Pig_iron_production!$B:$B,$C48)</f>
        <v>0</v>
      </c>
      <c r="BW48" s="7">
        <f t="shared" si="56"/>
        <v>0</v>
      </c>
      <c r="BX48" s="7">
        <f t="shared" si="57"/>
        <v>0</v>
      </c>
      <c r="BY48" s="7">
        <f t="shared" si="58"/>
        <v>0</v>
      </c>
      <c r="BZ48" s="7">
        <f t="shared" si="59"/>
        <v>0</v>
      </c>
      <c r="CA48" s="46">
        <f>SUMIFS(SPEW_Pig_iron_production!$Z:$Z,SPEW_Pig_iron_production!$B:$B,$C48)</f>
        <v>0</v>
      </c>
      <c r="CB48" s="7">
        <f t="shared" si="60"/>
        <v>0</v>
      </c>
      <c r="CC48" s="7">
        <f t="shared" si="61"/>
        <v>0</v>
      </c>
      <c r="CD48" s="7">
        <f t="shared" si="62"/>
        <v>0</v>
      </c>
      <c r="CE48" s="7">
        <f t="shared" si="63"/>
        <v>0</v>
      </c>
      <c r="CF48" s="46">
        <f>SUMIFS(SPEW_Pig_iron_production!$AA:$AA,SPEW_Pig_iron_production!$B:$B,$C48)</f>
        <v>0</v>
      </c>
      <c r="CG48" s="7">
        <f t="shared" si="64"/>
        <v>0</v>
      </c>
      <c r="CH48" s="7">
        <f t="shared" si="65"/>
        <v>0</v>
      </c>
      <c r="CI48" s="7">
        <f t="shared" si="66"/>
        <v>0</v>
      </c>
      <c r="CJ48" s="7">
        <f t="shared" si="67"/>
        <v>0</v>
      </c>
      <c r="CK48" s="46">
        <f>SUMIFS(SPEW_Pig_iron_production!$AB:$AB,SPEW_Pig_iron_production!$B:$B,$C48)</f>
        <v>0</v>
      </c>
      <c r="CL48" s="7">
        <f t="shared" si="68"/>
        <v>0</v>
      </c>
      <c r="CM48" s="7">
        <f t="shared" si="69"/>
        <v>0</v>
      </c>
      <c r="CN48" s="7">
        <f t="shared" si="70"/>
        <v>0</v>
      </c>
      <c r="CO48" s="7">
        <f t="shared" si="71"/>
        <v>0</v>
      </c>
      <c r="CP48" s="2">
        <f>[1]Data!B48</f>
        <v>0</v>
      </c>
      <c r="CQ48" s="2">
        <f>[1]Data!C48</f>
        <v>0</v>
      </c>
      <c r="CR48" s="2">
        <f>[1]Data!D48</f>
        <v>0</v>
      </c>
      <c r="CS48" s="2">
        <f>[1]Data!E48</f>
        <v>0</v>
      </c>
      <c r="CT48" s="2">
        <f>[1]Data!F48</f>
        <v>0</v>
      </c>
      <c r="CU48" s="2">
        <f>[1]Data!G48</f>
        <v>0</v>
      </c>
      <c r="CV48" s="2">
        <f>[1]Data!H48</f>
        <v>0</v>
      </c>
      <c r="CW48" s="2">
        <f>[1]Data!I48</f>
        <v>0</v>
      </c>
      <c r="CX48" s="2">
        <f>[1]Data!J48</f>
        <v>0</v>
      </c>
      <c r="CY48" s="2">
        <f>[1]Data!K48</f>
        <v>0</v>
      </c>
      <c r="CZ48" s="2">
        <f>[1]Data!L48</f>
        <v>0</v>
      </c>
      <c r="DA48" s="2">
        <f>[1]Data!M48</f>
        <v>0</v>
      </c>
      <c r="DB48" s="2">
        <f>[1]Data!N48</f>
        <v>2952</v>
      </c>
      <c r="DC48" s="2">
        <f>[1]Data!O48</f>
        <v>3205</v>
      </c>
      <c r="DD48" s="2">
        <f>[1]Data!P48</f>
        <v>3330</v>
      </c>
      <c r="DE48" s="2">
        <f>[1]Data!Q48</f>
        <v>3207</v>
      </c>
      <c r="DF48" s="2">
        <f>[1]Data!R48</f>
        <v>2928</v>
      </c>
      <c r="DG48" s="2">
        <f>[1]Data!S48</f>
        <v>3072</v>
      </c>
      <c r="DH48" s="2">
        <f>[1]Data!T48</f>
        <v>2756</v>
      </c>
      <c r="DI48" s="2">
        <f>[1]Data!U48</f>
        <v>2987</v>
      </c>
      <c r="DJ48" s="2">
        <f>[1]Data!V48</f>
        <v>3166</v>
      </c>
      <c r="DK48" s="2">
        <f>[1]Data!W48</f>
        <v>3255</v>
      </c>
      <c r="DL48" s="2">
        <f>[1]Data!X48</f>
        <v>3533</v>
      </c>
      <c r="DM48" s="2">
        <f>[1]Data!Y48</f>
        <v>3892</v>
      </c>
      <c r="DN48" s="2">
        <f>[1]Data!Z48</f>
        <v>3765</v>
      </c>
      <c r="DO48" s="2">
        <f>[1]Data!AA48</f>
        <v>3681</v>
      </c>
      <c r="DP48" s="2">
        <f>[1]Data!AB48</f>
        <v>4145</v>
      </c>
      <c r="DQ48" s="2">
        <f>[1]Data!AC48</f>
        <v>4012</v>
      </c>
      <c r="DR48" s="2">
        <f>[1]Data!AD48</f>
        <v>3529</v>
      </c>
      <c r="DS48" s="2">
        <f>[1]Data!AE48</f>
        <v>3019</v>
      </c>
      <c r="DT48" s="2">
        <f>[1]Data!AF48</f>
        <v>3649</v>
      </c>
      <c r="DU48" s="2">
        <f>[1]Data!AG48</f>
        <v>3346</v>
      </c>
      <c r="DV48" s="2">
        <f>[1]Data!AH48</f>
        <v>3520</v>
      </c>
      <c r="DW48" s="2">
        <f>[1]Data!AI48</f>
        <v>3617</v>
      </c>
      <c r="DX48" s="2">
        <v>3838</v>
      </c>
      <c r="DY48" s="2">
        <f>[4]Data!AK48</f>
        <v>3738</v>
      </c>
      <c r="DZ48" s="2">
        <f>[4]Data!AL48</f>
        <v>3987</v>
      </c>
      <c r="EA48" s="2">
        <f>[4]Data!AM48</f>
        <v>4106</v>
      </c>
    </row>
    <row r="49" spans="1:131" ht="16" x14ac:dyDescent="0.2">
      <c r="A49" t="s">
        <v>47</v>
      </c>
      <c r="C49" s="9" t="s">
        <v>124</v>
      </c>
      <c r="D49" s="46"/>
      <c r="E49" s="7">
        <f t="shared" si="0"/>
        <v>0</v>
      </c>
      <c r="F49" s="7">
        <f t="shared" si="1"/>
        <v>0</v>
      </c>
      <c r="G49" s="7">
        <f t="shared" si="2"/>
        <v>0</v>
      </c>
      <c r="H49" s="7">
        <f t="shared" si="3"/>
        <v>0</v>
      </c>
      <c r="I49" s="46"/>
      <c r="J49" s="7">
        <f t="shared" si="4"/>
        <v>0</v>
      </c>
      <c r="K49" s="7">
        <f t="shared" si="5"/>
        <v>0</v>
      </c>
      <c r="L49" s="7">
        <f t="shared" si="6"/>
        <v>0</v>
      </c>
      <c r="M49" s="7">
        <f t="shared" si="7"/>
        <v>0</v>
      </c>
      <c r="N49" s="46"/>
      <c r="O49" s="7">
        <f t="shared" si="8"/>
        <v>0</v>
      </c>
      <c r="P49" s="7">
        <f t="shared" si="9"/>
        <v>0</v>
      </c>
      <c r="Q49" s="7">
        <f t="shared" si="10"/>
        <v>0</v>
      </c>
      <c r="R49" s="7">
        <f t="shared" si="11"/>
        <v>0</v>
      </c>
      <c r="S49" s="46"/>
      <c r="T49" s="7">
        <f t="shared" si="12"/>
        <v>0</v>
      </c>
      <c r="U49" s="7">
        <f t="shared" si="13"/>
        <v>0</v>
      </c>
      <c r="V49" s="7">
        <f t="shared" si="14"/>
        <v>0</v>
      </c>
      <c r="W49" s="7">
        <f t="shared" si="15"/>
        <v>0</v>
      </c>
      <c r="X49" s="46"/>
      <c r="Y49" s="7">
        <f t="shared" si="16"/>
        <v>0</v>
      </c>
      <c r="Z49" s="7">
        <f t="shared" si="17"/>
        <v>0</v>
      </c>
      <c r="AA49" s="7">
        <f t="shared" si="18"/>
        <v>0</v>
      </c>
      <c r="AB49" s="7">
        <f t="shared" si="19"/>
        <v>0</v>
      </c>
      <c r="AC49" s="46"/>
      <c r="AD49" s="7">
        <f t="shared" si="20"/>
        <v>0</v>
      </c>
      <c r="AE49" s="7">
        <f t="shared" si="21"/>
        <v>0</v>
      </c>
      <c r="AF49" s="7">
        <f t="shared" si="22"/>
        <v>0</v>
      </c>
      <c r="AG49" s="7">
        <f t="shared" si="23"/>
        <v>0</v>
      </c>
      <c r="AH49" s="46"/>
      <c r="AI49" s="7">
        <f t="shared" si="24"/>
        <v>0</v>
      </c>
      <c r="AJ49" s="7">
        <f t="shared" si="25"/>
        <v>0</v>
      </c>
      <c r="AK49" s="7">
        <f t="shared" si="26"/>
        <v>0</v>
      </c>
      <c r="AL49" s="7">
        <f t="shared" si="27"/>
        <v>0</v>
      </c>
      <c r="AM49" s="46">
        <f>SUMIFS(SPEW_Pig_iron_production!$R:$R,SPEW_Pig_iron_production!$B:$B,$C49)</f>
        <v>0</v>
      </c>
      <c r="AN49" s="7">
        <f t="shared" si="28"/>
        <v>0</v>
      </c>
      <c r="AO49" s="7">
        <f t="shared" si="29"/>
        <v>0</v>
      </c>
      <c r="AP49" s="7">
        <f t="shared" si="30"/>
        <v>0</v>
      </c>
      <c r="AQ49" s="7">
        <f t="shared" si="31"/>
        <v>0</v>
      </c>
      <c r="AR49" s="46">
        <f>SUMIFS(SPEW_Pig_iron_production!$S:$S,SPEW_Pig_iron_production!$B:$B,$C49)</f>
        <v>0</v>
      </c>
      <c r="AS49" s="7">
        <f t="shared" si="32"/>
        <v>0</v>
      </c>
      <c r="AT49" s="7">
        <f t="shared" si="33"/>
        <v>0</v>
      </c>
      <c r="AU49" s="7">
        <f t="shared" si="34"/>
        <v>0</v>
      </c>
      <c r="AV49" s="7">
        <f t="shared" si="35"/>
        <v>0</v>
      </c>
      <c r="AW49" s="46">
        <f>SUMIFS(SPEW_Pig_iron_production!$T:$T,SPEW_Pig_iron_production!$B:$B,$C49)</f>
        <v>0</v>
      </c>
      <c r="AX49" s="7">
        <f t="shared" si="36"/>
        <v>0</v>
      </c>
      <c r="AY49" s="7">
        <f t="shared" si="37"/>
        <v>0</v>
      </c>
      <c r="AZ49" s="7">
        <f t="shared" si="38"/>
        <v>0</v>
      </c>
      <c r="BA49" s="7">
        <f t="shared" si="39"/>
        <v>0</v>
      </c>
      <c r="BB49" s="46">
        <f>SUMIFS(SPEW_Pig_iron_production!$U:$U,SPEW_Pig_iron_production!$B:$B,$C49)</f>
        <v>0</v>
      </c>
      <c r="BC49" s="7">
        <f t="shared" si="40"/>
        <v>0</v>
      </c>
      <c r="BD49" s="7">
        <f t="shared" si="41"/>
        <v>0</v>
      </c>
      <c r="BE49" s="7">
        <f t="shared" si="42"/>
        <v>0</v>
      </c>
      <c r="BF49" s="7">
        <f t="shared" si="43"/>
        <v>0</v>
      </c>
      <c r="BG49" s="46">
        <f>SUMIFS(SPEW_Pig_iron_production!$V:$V,SPEW_Pig_iron_production!$B:$B,$C49)</f>
        <v>0</v>
      </c>
      <c r="BH49" s="7">
        <f t="shared" si="44"/>
        <v>0</v>
      </c>
      <c r="BI49" s="7">
        <f t="shared" si="45"/>
        <v>0</v>
      </c>
      <c r="BJ49" s="7">
        <f t="shared" si="46"/>
        <v>0</v>
      </c>
      <c r="BK49" s="7">
        <f t="shared" si="47"/>
        <v>0</v>
      </c>
      <c r="BL49" s="46">
        <f>SUMIFS(SPEW_Pig_iron_production!$W:$W,SPEW_Pig_iron_production!$B:$B,$C49)</f>
        <v>0</v>
      </c>
      <c r="BM49" s="7">
        <f t="shared" si="48"/>
        <v>260.19999999999987</v>
      </c>
      <c r="BN49" s="7">
        <f t="shared" si="49"/>
        <v>520.39999999999986</v>
      </c>
      <c r="BO49" s="7">
        <f t="shared" si="50"/>
        <v>780.59999999999991</v>
      </c>
      <c r="BP49" s="7">
        <f t="shared" si="51"/>
        <v>1040.8</v>
      </c>
      <c r="BQ49" s="46">
        <f>SUMIFS(SPEW_Pig_iron_production!$X:$X,SPEW_Pig_iron_production!$B:$B,$C49)</f>
        <v>1301</v>
      </c>
      <c r="BR49" s="7">
        <f t="shared" si="52"/>
        <v>1440.8000000000002</v>
      </c>
      <c r="BS49" s="7">
        <f t="shared" si="53"/>
        <v>1580.6000000000001</v>
      </c>
      <c r="BT49" s="7">
        <f t="shared" si="54"/>
        <v>1720.4</v>
      </c>
      <c r="BU49" s="7">
        <f t="shared" si="55"/>
        <v>1860.2</v>
      </c>
      <c r="BV49" s="46">
        <f>SUMIFS(SPEW_Pig_iron_production!$Y:$Y,SPEW_Pig_iron_production!$B:$B,$C49)</f>
        <v>2000</v>
      </c>
      <c r="BW49" s="7">
        <f t="shared" si="56"/>
        <v>2320.6000000000004</v>
      </c>
      <c r="BX49" s="7">
        <f t="shared" si="57"/>
        <v>2641.2000000000003</v>
      </c>
      <c r="BY49" s="7">
        <f t="shared" si="58"/>
        <v>2961.8</v>
      </c>
      <c r="BZ49" s="7">
        <f t="shared" si="59"/>
        <v>3282.4</v>
      </c>
      <c r="CA49" s="46">
        <f>SUMIFS(SPEW_Pig_iron_production!$Z:$Z,SPEW_Pig_iron_production!$B:$B,$C49)</f>
        <v>3603</v>
      </c>
      <c r="CB49" s="7">
        <f t="shared" si="60"/>
        <v>3748</v>
      </c>
      <c r="CC49" s="7">
        <f t="shared" si="61"/>
        <v>3893</v>
      </c>
      <c r="CD49" s="7">
        <f t="shared" si="62"/>
        <v>4038</v>
      </c>
      <c r="CE49" s="7">
        <f t="shared" si="63"/>
        <v>4183</v>
      </c>
      <c r="CF49" s="46">
        <f>SUMIFS(SPEW_Pig_iron_production!$AA:$AA,SPEW_Pig_iron_production!$B:$B,$C49)</f>
        <v>4328</v>
      </c>
      <c r="CG49" s="7">
        <f t="shared" si="64"/>
        <v>4647.4000000000015</v>
      </c>
      <c r="CH49" s="7">
        <f t="shared" si="65"/>
        <v>4966.8000000000011</v>
      </c>
      <c r="CI49" s="7">
        <f t="shared" si="66"/>
        <v>5286.2000000000007</v>
      </c>
      <c r="CJ49" s="7">
        <f t="shared" si="67"/>
        <v>5605.6</v>
      </c>
      <c r="CK49" s="46">
        <f>SUMIFS(SPEW_Pig_iron_production!$AB:$AB,SPEW_Pig_iron_production!$B:$B,$C49)</f>
        <v>5925</v>
      </c>
      <c r="CL49" s="7">
        <f t="shared" si="68"/>
        <v>6183.5999999999985</v>
      </c>
      <c r="CM49" s="7">
        <f t="shared" si="69"/>
        <v>6442.1999999999989</v>
      </c>
      <c r="CN49" s="7">
        <f t="shared" si="70"/>
        <v>6700.7999999999993</v>
      </c>
      <c r="CO49" s="7">
        <f t="shared" si="71"/>
        <v>6959.4</v>
      </c>
      <c r="CP49" s="2">
        <f>[1]Data!B49</f>
        <v>7218</v>
      </c>
      <c r="CQ49" s="2">
        <f>[1]Data!C49</f>
        <v>7365</v>
      </c>
      <c r="CR49" s="2">
        <f>[1]Data!D49</f>
        <v>6762</v>
      </c>
      <c r="CS49" s="2">
        <f>[1]Data!E49</f>
        <v>5215</v>
      </c>
      <c r="CT49" s="2">
        <f>[1]Data!F49</f>
        <v>5531</v>
      </c>
      <c r="CU49" s="2">
        <f>[1]Data!G49</f>
        <v>6010</v>
      </c>
      <c r="CV49" s="2">
        <f>[1]Data!H49</f>
        <v>5774</v>
      </c>
      <c r="CW49" s="2">
        <f>[1]Data!I49</f>
        <v>6317</v>
      </c>
      <c r="CX49" s="2">
        <f>[1]Data!J49</f>
        <v>6171</v>
      </c>
      <c r="CY49" s="2">
        <f>[1]Data!K49</f>
        <v>6543</v>
      </c>
      <c r="CZ49" s="2">
        <f>[1]Data!L49</f>
        <v>6257</v>
      </c>
      <c r="DA49" s="2">
        <f>[1]Data!M49</f>
        <v>6968</v>
      </c>
      <c r="DB49" s="2">
        <f>[1]Data!N49</f>
        <v>6498</v>
      </c>
      <c r="DC49" s="2">
        <f>[1]Data!O49</f>
        <v>6121</v>
      </c>
      <c r="DD49" s="2">
        <f>[1]Data!P49</f>
        <v>6047</v>
      </c>
      <c r="DE49" s="2">
        <f>[1]Data!Q49</f>
        <v>6224</v>
      </c>
      <c r="DF49" s="2">
        <f>[1]Data!R49</f>
        <v>6014</v>
      </c>
      <c r="DG49" s="2">
        <f>[1]Data!S49</f>
        <v>6192</v>
      </c>
      <c r="DH49" s="2">
        <f>[1]Data!T49</f>
        <v>6893</v>
      </c>
      <c r="DI49" s="2">
        <f>[1]Data!U49</f>
        <v>6005</v>
      </c>
      <c r="DJ49" s="2">
        <f>[1]Data!V49</f>
        <v>6292</v>
      </c>
      <c r="DK49" s="2">
        <f>[1]Data!W49</f>
        <v>5820</v>
      </c>
      <c r="DL49" s="2">
        <f>[1]Data!X49</f>
        <v>5823</v>
      </c>
      <c r="DM49" s="2">
        <f>[1]Data!Y49</f>
        <v>6234</v>
      </c>
      <c r="DN49" s="2">
        <f>[1]Data!Z49</f>
        <v>6011</v>
      </c>
      <c r="DO49" s="2">
        <f>[1]Data!AA49</f>
        <v>6130</v>
      </c>
      <c r="DP49" s="2">
        <f>[1]Data!AB49</f>
        <v>6159</v>
      </c>
      <c r="DQ49" s="2">
        <f>[1]Data!AC49</f>
        <v>5358</v>
      </c>
      <c r="DR49" s="2">
        <f>[1]Data!AD49</f>
        <v>5138</v>
      </c>
      <c r="DS49" s="2">
        <f>[1]Data!AE49</f>
        <v>4444</v>
      </c>
      <c r="DT49" s="2">
        <f>[1]Data!AF49</f>
        <v>5429</v>
      </c>
      <c r="DU49" s="2">
        <f>[1]Data!AG49</f>
        <v>4604</v>
      </c>
      <c r="DV49" s="2">
        <f>[1]Data!AH49</f>
        <v>4599</v>
      </c>
      <c r="DW49" s="2">
        <f>[1]Data!AI49</f>
        <v>4928</v>
      </c>
      <c r="DX49" s="2">
        <v>4402</v>
      </c>
      <c r="DY49" s="2">
        <f>[4]Data!AK49</f>
        <v>4464</v>
      </c>
      <c r="DZ49" s="2">
        <f>[4]Data!AL49</f>
        <v>4311</v>
      </c>
      <c r="EA49" s="2">
        <f>[4]Data!AM49</f>
        <v>4352</v>
      </c>
    </row>
    <row r="50" spans="1:131" ht="16" x14ac:dyDescent="0.2">
      <c r="A50" t="s">
        <v>48</v>
      </c>
      <c r="C50" s="9" t="s">
        <v>81</v>
      </c>
      <c r="D50" s="46"/>
      <c r="E50" s="7">
        <f t="shared" si="0"/>
        <v>0</v>
      </c>
      <c r="F50" s="7">
        <f t="shared" si="1"/>
        <v>0</v>
      </c>
      <c r="G50" s="7">
        <f t="shared" si="2"/>
        <v>0</v>
      </c>
      <c r="H50" s="7">
        <f t="shared" si="3"/>
        <v>0</v>
      </c>
      <c r="I50" s="46"/>
      <c r="J50" s="7">
        <f t="shared" si="4"/>
        <v>0</v>
      </c>
      <c r="K50" s="7">
        <f t="shared" si="5"/>
        <v>0</v>
      </c>
      <c r="L50" s="7">
        <f t="shared" si="6"/>
        <v>0</v>
      </c>
      <c r="M50" s="7">
        <f t="shared" si="7"/>
        <v>0</v>
      </c>
      <c r="N50" s="46"/>
      <c r="O50" s="7">
        <f t="shared" si="8"/>
        <v>0</v>
      </c>
      <c r="P50" s="7">
        <f t="shared" si="9"/>
        <v>0</v>
      </c>
      <c r="Q50" s="7">
        <f t="shared" si="10"/>
        <v>0</v>
      </c>
      <c r="R50" s="7">
        <f t="shared" si="11"/>
        <v>0</v>
      </c>
      <c r="S50" s="46"/>
      <c r="T50" s="7">
        <f t="shared" si="12"/>
        <v>0</v>
      </c>
      <c r="U50" s="7">
        <f t="shared" si="13"/>
        <v>0</v>
      </c>
      <c r="V50" s="7">
        <f t="shared" si="14"/>
        <v>0</v>
      </c>
      <c r="W50" s="7">
        <f t="shared" si="15"/>
        <v>0</v>
      </c>
      <c r="X50" s="46"/>
      <c r="Y50" s="7">
        <f t="shared" si="16"/>
        <v>0</v>
      </c>
      <c r="Z50" s="7">
        <f t="shared" si="17"/>
        <v>0</v>
      </c>
      <c r="AA50" s="7">
        <f t="shared" si="18"/>
        <v>0</v>
      </c>
      <c r="AB50" s="7">
        <f t="shared" si="19"/>
        <v>0</v>
      </c>
      <c r="AC50" s="46"/>
      <c r="AD50" s="7">
        <f t="shared" si="20"/>
        <v>0</v>
      </c>
      <c r="AE50" s="7">
        <f t="shared" si="21"/>
        <v>0</v>
      </c>
      <c r="AF50" s="7">
        <f t="shared" si="22"/>
        <v>0</v>
      </c>
      <c r="AG50" s="7">
        <f t="shared" si="23"/>
        <v>0</v>
      </c>
      <c r="AH50" s="46"/>
      <c r="AI50" s="7">
        <f t="shared" si="24"/>
        <v>19.800000000000008</v>
      </c>
      <c r="AJ50" s="7">
        <f t="shared" si="25"/>
        <v>39.600000000000009</v>
      </c>
      <c r="AK50" s="7">
        <f t="shared" si="26"/>
        <v>59.400000000000006</v>
      </c>
      <c r="AL50" s="7">
        <f t="shared" si="27"/>
        <v>79.2</v>
      </c>
      <c r="AM50" s="46">
        <f>SUMIFS(SPEW_Pig_iron_production!$R:$R,SPEW_Pig_iron_production!$B:$B,$C50)</f>
        <v>99</v>
      </c>
      <c r="AN50" s="7">
        <f t="shared" si="28"/>
        <v>109.20000000000002</v>
      </c>
      <c r="AO50" s="7">
        <f t="shared" si="29"/>
        <v>119.40000000000002</v>
      </c>
      <c r="AP50" s="7">
        <f t="shared" si="30"/>
        <v>129.60000000000002</v>
      </c>
      <c r="AQ50" s="7">
        <f t="shared" si="31"/>
        <v>139.80000000000001</v>
      </c>
      <c r="AR50" s="46">
        <f>SUMIFS(SPEW_Pig_iron_production!$S:$S,SPEW_Pig_iron_production!$B:$B,$C50)</f>
        <v>150</v>
      </c>
      <c r="AS50" s="7">
        <f t="shared" si="32"/>
        <v>162.20000000000005</v>
      </c>
      <c r="AT50" s="7">
        <f t="shared" si="33"/>
        <v>174.40000000000003</v>
      </c>
      <c r="AU50" s="7">
        <f t="shared" si="34"/>
        <v>186.60000000000002</v>
      </c>
      <c r="AV50" s="7">
        <f t="shared" si="35"/>
        <v>198.8</v>
      </c>
      <c r="AW50" s="46">
        <f>SUMIFS(SPEW_Pig_iron_production!$T:$T,SPEW_Pig_iron_production!$B:$B,$C50)</f>
        <v>211</v>
      </c>
      <c r="AX50" s="7">
        <f t="shared" si="36"/>
        <v>229.40000000000003</v>
      </c>
      <c r="AY50" s="7">
        <f t="shared" si="37"/>
        <v>247.80000000000004</v>
      </c>
      <c r="AZ50" s="7">
        <f t="shared" si="38"/>
        <v>266.20000000000005</v>
      </c>
      <c r="BA50" s="7">
        <f t="shared" si="39"/>
        <v>284.60000000000002</v>
      </c>
      <c r="BB50" s="46">
        <f>SUMIFS(SPEW_Pig_iron_production!$U:$U,SPEW_Pig_iron_production!$B:$B,$C50)</f>
        <v>303</v>
      </c>
      <c r="BC50" s="7">
        <f t="shared" si="40"/>
        <v>270.20000000000005</v>
      </c>
      <c r="BD50" s="7">
        <f t="shared" si="41"/>
        <v>237.40000000000003</v>
      </c>
      <c r="BE50" s="7">
        <f t="shared" si="42"/>
        <v>204.60000000000002</v>
      </c>
      <c r="BF50" s="7">
        <f t="shared" si="43"/>
        <v>171.8</v>
      </c>
      <c r="BG50" s="46">
        <f>SUMIFS(SPEW_Pig_iron_production!$V:$V,SPEW_Pig_iron_production!$B:$B,$C50)</f>
        <v>139</v>
      </c>
      <c r="BH50" s="7">
        <f t="shared" si="44"/>
        <v>111.2</v>
      </c>
      <c r="BI50" s="7">
        <f t="shared" si="45"/>
        <v>83.4</v>
      </c>
      <c r="BJ50" s="7">
        <f t="shared" si="46"/>
        <v>55.6</v>
      </c>
      <c r="BK50" s="7">
        <f t="shared" si="47"/>
        <v>27.8</v>
      </c>
      <c r="BL50" s="46">
        <f>SUMIFS(SPEW_Pig_iron_production!$W:$W,SPEW_Pig_iron_production!$B:$B,$C50)</f>
        <v>0</v>
      </c>
      <c r="BM50" s="7">
        <f t="shared" si="48"/>
        <v>0</v>
      </c>
      <c r="BN50" s="7">
        <f t="shared" si="49"/>
        <v>0</v>
      </c>
      <c r="BO50" s="7">
        <f t="shared" si="50"/>
        <v>0</v>
      </c>
      <c r="BP50" s="7">
        <f t="shared" si="51"/>
        <v>0</v>
      </c>
      <c r="BQ50" s="46">
        <f>SUMIFS(SPEW_Pig_iron_production!$X:$X,SPEW_Pig_iron_production!$B:$B,$C50)</f>
        <v>0</v>
      </c>
      <c r="BR50" s="7">
        <f t="shared" si="52"/>
        <v>0</v>
      </c>
      <c r="BS50" s="7">
        <f t="shared" si="53"/>
        <v>0</v>
      </c>
      <c r="BT50" s="7">
        <f t="shared" si="54"/>
        <v>0</v>
      </c>
      <c r="BU50" s="7">
        <f t="shared" si="55"/>
        <v>0</v>
      </c>
      <c r="BV50" s="46">
        <f>SUMIFS(SPEW_Pig_iron_production!$Y:$Y,SPEW_Pig_iron_production!$B:$B,$C50)</f>
        <v>0</v>
      </c>
      <c r="BW50" s="7">
        <f t="shared" si="56"/>
        <v>0</v>
      </c>
      <c r="BX50" s="7">
        <f t="shared" si="57"/>
        <v>0</v>
      </c>
      <c r="BY50" s="7">
        <f t="shared" si="58"/>
        <v>0</v>
      </c>
      <c r="BZ50" s="7">
        <f t="shared" si="59"/>
        <v>0</v>
      </c>
      <c r="CA50" s="46">
        <f>SUMIFS(SPEW_Pig_iron_production!$Z:$Z,SPEW_Pig_iron_production!$B:$B,$C50)</f>
        <v>0</v>
      </c>
      <c r="CB50" s="7">
        <f t="shared" si="60"/>
        <v>7</v>
      </c>
      <c r="CC50" s="7">
        <f t="shared" si="61"/>
        <v>14</v>
      </c>
      <c r="CD50" s="7">
        <f t="shared" si="62"/>
        <v>21</v>
      </c>
      <c r="CE50" s="7">
        <f t="shared" si="63"/>
        <v>28</v>
      </c>
      <c r="CF50" s="46">
        <f>SUMIFS(SPEW_Pig_iron_production!$AA:$AA,SPEW_Pig_iron_production!$B:$B,$C50)</f>
        <v>35</v>
      </c>
      <c r="CG50" s="7">
        <f t="shared" si="64"/>
        <v>273.59999999999991</v>
      </c>
      <c r="CH50" s="7">
        <f t="shared" si="65"/>
        <v>512.19999999999993</v>
      </c>
      <c r="CI50" s="7">
        <f t="shared" si="66"/>
        <v>750.8</v>
      </c>
      <c r="CJ50" s="7">
        <f t="shared" si="67"/>
        <v>989.4</v>
      </c>
      <c r="CK50" s="46">
        <f>SUMIFS(SPEW_Pig_iron_production!$AB:$AB,SPEW_Pig_iron_production!$B:$B,$C50)</f>
        <v>1228</v>
      </c>
      <c r="CL50" s="7">
        <f t="shared" si="68"/>
        <v>2098.7999999999993</v>
      </c>
      <c r="CM50" s="7">
        <f t="shared" si="69"/>
        <v>2969.5999999999995</v>
      </c>
      <c r="CN50" s="7">
        <f t="shared" si="70"/>
        <v>3840.3999999999996</v>
      </c>
      <c r="CO50" s="7">
        <f t="shared" si="71"/>
        <v>4711.2</v>
      </c>
      <c r="CP50" s="2">
        <f>[1]Data!B50</f>
        <v>5582</v>
      </c>
      <c r="CQ50" s="2">
        <f>[1]Data!C50</f>
        <v>7935</v>
      </c>
      <c r="CR50" s="2">
        <f>[1]Data!D50</f>
        <v>8442</v>
      </c>
      <c r="CS50" s="2">
        <f>[1]Data!E50</f>
        <v>8024</v>
      </c>
      <c r="CT50" s="2">
        <f>[1]Data!F50</f>
        <v>8763</v>
      </c>
      <c r="CU50" s="2">
        <f>[1]Data!G50</f>
        <v>8833</v>
      </c>
      <c r="CV50" s="2">
        <f>[1]Data!H50</f>
        <v>9003</v>
      </c>
      <c r="CW50" s="2">
        <f>[1]Data!I50</f>
        <v>11057</v>
      </c>
      <c r="CX50" s="2">
        <f>[1]Data!J50</f>
        <v>12578</v>
      </c>
      <c r="CY50" s="2">
        <f>[1]Data!K50</f>
        <v>14846</v>
      </c>
      <c r="CZ50" s="2">
        <f>[1]Data!L50</f>
        <v>15339</v>
      </c>
      <c r="DA50" s="2">
        <f>[1]Data!M50</f>
        <v>18510</v>
      </c>
      <c r="DB50" s="2">
        <f>[1]Data!N50</f>
        <v>19323</v>
      </c>
      <c r="DC50" s="2">
        <f>[1]Data!O50</f>
        <v>21777</v>
      </c>
      <c r="DD50" s="2">
        <f>[1]Data!P50</f>
        <v>21169</v>
      </c>
      <c r="DE50" s="2">
        <f>[1]Data!Q50</f>
        <v>22344</v>
      </c>
      <c r="DF50" s="2">
        <f>[1]Data!R50</f>
        <v>23010</v>
      </c>
      <c r="DG50" s="2">
        <f>[1]Data!S50</f>
        <v>22712</v>
      </c>
      <c r="DH50" s="2">
        <f>[1]Data!T50</f>
        <v>23299</v>
      </c>
      <c r="DI50" s="2">
        <f>[1]Data!U50</f>
        <v>23329</v>
      </c>
      <c r="DJ50" s="2">
        <f>[1]Data!V50</f>
        <v>24937</v>
      </c>
      <c r="DK50" s="2">
        <f>[1]Data!W50</f>
        <v>25898</v>
      </c>
      <c r="DL50" s="2">
        <f>[1]Data!X50</f>
        <v>26570</v>
      </c>
      <c r="DM50" s="2">
        <f>[1]Data!Y50</f>
        <v>27314</v>
      </c>
      <c r="DN50" s="2">
        <f>[1]Data!Z50</f>
        <v>27556</v>
      </c>
      <c r="DO50" s="2">
        <f>[1]Data!AA50</f>
        <v>27309</v>
      </c>
      <c r="DP50" s="2">
        <f>[1]Data!AB50</f>
        <v>27559</v>
      </c>
      <c r="DQ50" s="2">
        <f>[1]Data!AC50</f>
        <v>29437</v>
      </c>
      <c r="DR50" s="2">
        <f>[1]Data!AD50</f>
        <v>31043</v>
      </c>
      <c r="DS50" s="2">
        <f>[1]Data!AE50</f>
        <v>27284</v>
      </c>
      <c r="DT50" s="2">
        <f>[1]Data!AF50</f>
        <v>35065</v>
      </c>
      <c r="DU50" s="2">
        <f>[1]Data!AG50</f>
        <v>42213</v>
      </c>
      <c r="DV50" s="2">
        <f>[1]Data!AH50</f>
        <v>41734</v>
      </c>
      <c r="DW50" s="2">
        <f>[1]Data!AI50</f>
        <v>41045</v>
      </c>
      <c r="DX50" s="2">
        <v>46909</v>
      </c>
      <c r="DY50" s="2">
        <f>[4]Data!AK50</f>
        <v>47639</v>
      </c>
      <c r="DZ50" s="2">
        <f>[4]Data!AL50</f>
        <v>46336</v>
      </c>
      <c r="EA50" s="2">
        <f>[4]Data!AM50</f>
        <v>47071</v>
      </c>
    </row>
    <row r="51" spans="1:131" ht="16" x14ac:dyDescent="0.2">
      <c r="A51" t="s">
        <v>49</v>
      </c>
      <c r="B51" s="15" t="s">
        <v>286</v>
      </c>
      <c r="C51" s="9" t="s">
        <v>125</v>
      </c>
      <c r="D51" s="46">
        <f>SUMIFS(Hyde_iron!$C$34:$C$48,Hyde_iron!$B$34:$B$48,$B51)*I51/SUMIFS(I$3:I$63,$B$3:$B$63,$B51)</f>
        <v>258.29216018048504</v>
      </c>
      <c r="E51" s="7">
        <f t="shared" si="0"/>
        <v>264.99928557999618</v>
      </c>
      <c r="F51" s="7">
        <f t="shared" si="1"/>
        <v>271.70641097950738</v>
      </c>
      <c r="G51" s="7">
        <f t="shared" si="2"/>
        <v>278.41353637901858</v>
      </c>
      <c r="H51" s="7">
        <f t="shared" si="3"/>
        <v>285.12066177852978</v>
      </c>
      <c r="I51" s="46">
        <f>SUMIFS(Hyde_iron!$D$34:$D$48,Hyde_iron!$B$34:$B$48,$B51)*N51/SUMIFS(N$3:N$63,$B$3:$B$63,$B51)</f>
        <v>291.82778717804098</v>
      </c>
      <c r="J51" s="7">
        <f t="shared" si="4"/>
        <v>303.71663846587705</v>
      </c>
      <c r="K51" s="7">
        <f t="shared" si="5"/>
        <v>315.60548975371313</v>
      </c>
      <c r="L51" s="7">
        <f t="shared" si="6"/>
        <v>327.49434104154921</v>
      </c>
      <c r="M51" s="7">
        <f t="shared" si="7"/>
        <v>339.38319232938528</v>
      </c>
      <c r="N51" s="46">
        <f>SUMIFS(Hyde_iron!$E$34:$E$48,Hyde_iron!$B$34:$B$48,$B51)*S51/SUMIFS(S$3:S$63,$B$3:$B$63,$B51)</f>
        <v>351.27204361722136</v>
      </c>
      <c r="O51" s="7">
        <f t="shared" si="8"/>
        <v>370.90370370370385</v>
      </c>
      <c r="P51" s="7">
        <f t="shared" si="9"/>
        <v>390.53536379018624</v>
      </c>
      <c r="Q51" s="7">
        <f t="shared" si="10"/>
        <v>410.16702387666862</v>
      </c>
      <c r="R51" s="7">
        <f t="shared" si="11"/>
        <v>429.79868396315101</v>
      </c>
      <c r="S51" s="46">
        <f>SUMIFS(Hyde_iron!$F$34:$F$48,Hyde_iron!$B$34:$B$48,$B51)*X51/SUMIFS(X$3:X$63,$B$3:$B$63,$B51)</f>
        <v>449.43034404963339</v>
      </c>
      <c r="T51" s="7">
        <f t="shared" si="12"/>
        <v>460.47873660462483</v>
      </c>
      <c r="U51" s="7">
        <f t="shared" si="13"/>
        <v>471.52712915961638</v>
      </c>
      <c r="V51" s="7">
        <f t="shared" si="14"/>
        <v>482.57552171460793</v>
      </c>
      <c r="W51" s="7">
        <f t="shared" si="15"/>
        <v>493.62391426959948</v>
      </c>
      <c r="X51" s="46">
        <f>SUMIFS(Hyde_iron!$G$34:$G$48,Hyde_iron!$B$34:$B$48,$B51)*AC51/SUMIFS(AC$3:AC$63,$B$3:$B$63,$B51)</f>
        <v>504.67230682459103</v>
      </c>
      <c r="Y51" s="7">
        <f t="shared" si="16"/>
        <v>484.26967475089293</v>
      </c>
      <c r="Z51" s="7">
        <f t="shared" si="17"/>
        <v>463.86704267719489</v>
      </c>
      <c r="AA51" s="7">
        <f t="shared" si="18"/>
        <v>443.46441060349684</v>
      </c>
      <c r="AB51" s="7">
        <f t="shared" si="19"/>
        <v>423.0617785297988</v>
      </c>
      <c r="AC51" s="46">
        <f>SUMIFS(Hyde_iron!$H$34:$H$48,Hyde_iron!$B$34:$B$48,$B51)*AH51/SUMIFS(AH$3:AH$63,$B$3:$B$63,$B51)</f>
        <v>402.65914645610076</v>
      </c>
      <c r="AD51" s="7">
        <f t="shared" si="20"/>
        <v>392.68283511938324</v>
      </c>
      <c r="AE51" s="7">
        <f t="shared" si="21"/>
        <v>382.70652378266584</v>
      </c>
      <c r="AF51" s="7">
        <f t="shared" si="22"/>
        <v>372.73021244594844</v>
      </c>
      <c r="AG51" s="7">
        <f t="shared" si="23"/>
        <v>362.75390110923104</v>
      </c>
      <c r="AH51" s="46">
        <f>SUMIFS(Hyde_iron!$I$34:$I$48,Hyde_iron!$B$34:$B$48,$B51)*AM51/SUMIFS(AM$3:AM$63,$B$3:$B$63,$B51)</f>
        <v>352.77758977251364</v>
      </c>
      <c r="AI51" s="7">
        <f t="shared" si="24"/>
        <v>387.82207181801095</v>
      </c>
      <c r="AJ51" s="7">
        <f t="shared" si="25"/>
        <v>422.86655386350822</v>
      </c>
      <c r="AK51" s="7">
        <f t="shared" si="26"/>
        <v>457.91103590900548</v>
      </c>
      <c r="AL51" s="7">
        <f t="shared" si="27"/>
        <v>492.95551795450274</v>
      </c>
      <c r="AM51" s="46">
        <f>SUMIFS(SPEW_Pig_iron_production!$R:$R,SPEW_Pig_iron_production!$B:$B,$C51)</f>
        <v>528</v>
      </c>
      <c r="AN51" s="7">
        <f t="shared" si="28"/>
        <v>545.59999999999991</v>
      </c>
      <c r="AO51" s="7">
        <f t="shared" si="29"/>
        <v>563.19999999999993</v>
      </c>
      <c r="AP51" s="7">
        <f t="shared" si="30"/>
        <v>580.79999999999995</v>
      </c>
      <c r="AQ51" s="7">
        <f t="shared" si="31"/>
        <v>598.4</v>
      </c>
      <c r="AR51" s="46">
        <f>SUMIFS(SPEW_Pig_iron_production!$S:$S,SPEW_Pig_iron_production!$B:$B,$C51)</f>
        <v>616</v>
      </c>
      <c r="AS51" s="7">
        <f t="shared" si="32"/>
        <v>561</v>
      </c>
      <c r="AT51" s="7">
        <f t="shared" si="33"/>
        <v>506</v>
      </c>
      <c r="AU51" s="7">
        <f t="shared" si="34"/>
        <v>451</v>
      </c>
      <c r="AV51" s="7">
        <f t="shared" si="35"/>
        <v>396</v>
      </c>
      <c r="AW51" s="46">
        <f>SUMIFS(SPEW_Pig_iron_production!$T:$T,SPEW_Pig_iron_production!$B:$B,$C51)</f>
        <v>341</v>
      </c>
      <c r="AX51" s="7">
        <f t="shared" si="36"/>
        <v>388.59999999999991</v>
      </c>
      <c r="AY51" s="7">
        <f t="shared" si="37"/>
        <v>436.19999999999993</v>
      </c>
      <c r="AZ51" s="7">
        <f t="shared" si="38"/>
        <v>483.79999999999995</v>
      </c>
      <c r="BA51" s="7">
        <f t="shared" si="39"/>
        <v>531.4</v>
      </c>
      <c r="BB51" s="46">
        <f>SUMIFS(SPEW_Pig_iron_production!$U:$U,SPEW_Pig_iron_production!$B:$B,$C51)</f>
        <v>579</v>
      </c>
      <c r="BC51" s="7">
        <f t="shared" si="40"/>
        <v>559</v>
      </c>
      <c r="BD51" s="7">
        <f t="shared" si="41"/>
        <v>539</v>
      </c>
      <c r="BE51" s="7">
        <f t="shared" si="42"/>
        <v>519</v>
      </c>
      <c r="BF51" s="7">
        <f t="shared" si="43"/>
        <v>499</v>
      </c>
      <c r="BG51" s="46">
        <f>SUMIFS(SPEW_Pig_iron_production!$V:$V,SPEW_Pig_iron_production!$B:$B,$C51)</f>
        <v>479</v>
      </c>
      <c r="BH51" s="7">
        <f t="shared" si="44"/>
        <v>516</v>
      </c>
      <c r="BI51" s="7">
        <f t="shared" si="45"/>
        <v>553</v>
      </c>
      <c r="BJ51" s="7">
        <f t="shared" si="46"/>
        <v>590</v>
      </c>
      <c r="BK51" s="7">
        <f t="shared" si="47"/>
        <v>627</v>
      </c>
      <c r="BL51" s="46">
        <f>SUMIFS(SPEW_Pig_iron_production!$W:$W,SPEW_Pig_iron_production!$B:$B,$C51)</f>
        <v>664</v>
      </c>
      <c r="BM51" s="7">
        <f t="shared" si="48"/>
        <v>724</v>
      </c>
      <c r="BN51" s="7">
        <f t="shared" si="49"/>
        <v>784</v>
      </c>
      <c r="BO51" s="7">
        <f t="shared" si="50"/>
        <v>844</v>
      </c>
      <c r="BP51" s="7">
        <f t="shared" si="51"/>
        <v>904</v>
      </c>
      <c r="BQ51" s="46">
        <f>SUMIFS(SPEW_Pig_iron_production!$X:$X,SPEW_Pig_iron_production!$B:$B,$C51)</f>
        <v>964</v>
      </c>
      <c r="BR51" s="7">
        <f t="shared" si="52"/>
        <v>1148.3999999999996</v>
      </c>
      <c r="BS51" s="7">
        <f t="shared" si="53"/>
        <v>1332.7999999999997</v>
      </c>
      <c r="BT51" s="7">
        <f t="shared" si="54"/>
        <v>1517.1999999999998</v>
      </c>
      <c r="BU51" s="7">
        <f t="shared" si="55"/>
        <v>1701.6</v>
      </c>
      <c r="BV51" s="46">
        <f>SUMIFS(SPEW_Pig_iron_production!$Y:$Y,SPEW_Pig_iron_production!$B:$B,$C51)</f>
        <v>1886</v>
      </c>
      <c r="BW51" s="7">
        <f t="shared" si="56"/>
        <v>1976.3999999999996</v>
      </c>
      <c r="BX51" s="7">
        <f t="shared" si="57"/>
        <v>2066.7999999999997</v>
      </c>
      <c r="BY51" s="7">
        <f t="shared" si="58"/>
        <v>2157.1999999999998</v>
      </c>
      <c r="BZ51" s="7">
        <f t="shared" si="59"/>
        <v>2247.6</v>
      </c>
      <c r="CA51" s="46">
        <f>SUMIFS(SPEW_Pig_iron_production!$Z:$Z,SPEW_Pig_iron_production!$B:$B,$C51)</f>
        <v>2338</v>
      </c>
      <c r="CB51" s="7">
        <f t="shared" si="60"/>
        <v>2703.3999999999996</v>
      </c>
      <c r="CC51" s="7">
        <f t="shared" si="61"/>
        <v>3068.7999999999997</v>
      </c>
      <c r="CD51" s="7">
        <f t="shared" si="62"/>
        <v>3434.2</v>
      </c>
      <c r="CE51" s="7">
        <f t="shared" si="63"/>
        <v>3799.6</v>
      </c>
      <c r="CF51" s="46">
        <f>SUMIFS(SPEW_Pig_iron_production!$AA:$AA,SPEW_Pig_iron_production!$B:$B,$C51)</f>
        <v>4165</v>
      </c>
      <c r="CG51" s="7">
        <f t="shared" si="64"/>
        <v>4700.4000000000015</v>
      </c>
      <c r="CH51" s="7">
        <f t="shared" si="65"/>
        <v>5235.8000000000011</v>
      </c>
      <c r="CI51" s="7">
        <f t="shared" si="66"/>
        <v>5771.2000000000007</v>
      </c>
      <c r="CJ51" s="7">
        <f t="shared" si="67"/>
        <v>6306.6</v>
      </c>
      <c r="CK51" s="46">
        <f>SUMIFS(SPEW_Pig_iron_production!$AB:$AB,SPEW_Pig_iron_production!$B:$B,$C51)</f>
        <v>6842</v>
      </c>
      <c r="CL51" s="7">
        <f t="shared" si="68"/>
        <v>6752.2000000000007</v>
      </c>
      <c r="CM51" s="7">
        <f t="shared" si="69"/>
        <v>6662.4000000000005</v>
      </c>
      <c r="CN51" s="7">
        <f t="shared" si="70"/>
        <v>6572.6</v>
      </c>
      <c r="CO51" s="7">
        <f t="shared" si="71"/>
        <v>6482.8</v>
      </c>
      <c r="CP51" s="2">
        <f>[1]Data!B51</f>
        <v>6393</v>
      </c>
      <c r="CQ51" s="2">
        <f>[1]Data!C51</f>
        <v>6259</v>
      </c>
      <c r="CR51" s="2">
        <f>[1]Data!D51</f>
        <v>5998</v>
      </c>
      <c r="CS51" s="2">
        <f>[1]Data!E51</f>
        <v>5426</v>
      </c>
      <c r="CT51" s="2">
        <f>[1]Data!F51</f>
        <v>5319</v>
      </c>
      <c r="CU51" s="2">
        <f>[1]Data!G51</f>
        <v>5457</v>
      </c>
      <c r="CV51" s="2">
        <f>[1]Data!H51</f>
        <v>4808</v>
      </c>
      <c r="CW51" s="2">
        <f>[1]Data!I51</f>
        <v>4804</v>
      </c>
      <c r="CX51" s="2">
        <f>[1]Data!J51</f>
        <v>4650</v>
      </c>
      <c r="CY51" s="2">
        <f>[1]Data!K51</f>
        <v>5479</v>
      </c>
      <c r="CZ51" s="2">
        <f>[1]Data!L51</f>
        <v>5441</v>
      </c>
      <c r="DA51" s="2">
        <f>[1]Data!M51</f>
        <v>5397</v>
      </c>
      <c r="DB51" s="2">
        <f>[1]Data!N51</f>
        <v>4758</v>
      </c>
      <c r="DC51" s="2">
        <f>[1]Data!O51</f>
        <v>5394</v>
      </c>
      <c r="DD51" s="2">
        <f>[1]Data!P51</f>
        <v>5447</v>
      </c>
      <c r="DE51" s="2">
        <f>[1]Data!Q51</f>
        <v>5106</v>
      </c>
      <c r="DF51" s="2">
        <f>[1]Data!R51</f>
        <v>4127</v>
      </c>
      <c r="DG51" s="2">
        <f>[1]Data!S51</f>
        <v>3927</v>
      </c>
      <c r="DH51" s="2">
        <f>[1]Data!T51</f>
        <v>4236</v>
      </c>
      <c r="DI51" s="2">
        <f>[1]Data!U51</f>
        <v>4058</v>
      </c>
      <c r="DJ51" s="2">
        <f>[1]Data!V51</f>
        <v>4059</v>
      </c>
      <c r="DK51" s="2">
        <f>[1]Data!W51</f>
        <v>4219</v>
      </c>
      <c r="DL51" s="2">
        <f>[1]Data!X51</f>
        <v>4021</v>
      </c>
      <c r="DM51" s="2">
        <f>[1]Data!Y51</f>
        <v>3645</v>
      </c>
      <c r="DN51" s="2">
        <f>[1]Data!Z51</f>
        <v>4036</v>
      </c>
      <c r="DO51" s="2">
        <f>[1]Data!AA51</f>
        <v>4160</v>
      </c>
      <c r="DP51" s="2">
        <f>[1]Data!AB51</f>
        <v>3432</v>
      </c>
      <c r="DQ51" s="2">
        <f>[1]Data!AC51</f>
        <v>3976</v>
      </c>
      <c r="DR51" s="2">
        <f>[1]Data!AD51</f>
        <v>3784</v>
      </c>
      <c r="DS51" s="2">
        <f>[1]Data!AE51</f>
        <v>2920</v>
      </c>
      <c r="DT51" s="2">
        <f>[1]Data!AF51</f>
        <v>3572</v>
      </c>
      <c r="DU51" s="2">
        <f>[1]Data!AG51</f>
        <v>3540</v>
      </c>
      <c r="DV51" s="2">
        <f>[1]Data!AH51</f>
        <v>3081</v>
      </c>
      <c r="DW51" s="2">
        <f>[1]Data!AI51</f>
        <v>3949</v>
      </c>
      <c r="DX51" s="2">
        <v>3958</v>
      </c>
      <c r="DY51" s="2">
        <f>[4]Data!AK51</f>
        <v>4450</v>
      </c>
      <c r="DZ51" s="2">
        <f>[4]Data!AL51</f>
        <v>4116</v>
      </c>
      <c r="EA51" s="2">
        <f>[4]Data!AM51</f>
        <v>4462</v>
      </c>
    </row>
    <row r="52" spans="1:131" ht="16" x14ac:dyDescent="0.2">
      <c r="A52" t="s">
        <v>50</v>
      </c>
      <c r="B52" s="15" t="s">
        <v>286</v>
      </c>
      <c r="C52" s="9" t="s">
        <v>126</v>
      </c>
      <c r="D52" s="46">
        <f>SUMIFS(Hyde_iron!$C$34:$C$48,Hyde_iron!$B$34:$B$48,$B52)*I52/SUMIFS(I$3:I$63,$B$3:$B$63,$B52)</f>
        <v>224.53807106598981</v>
      </c>
      <c r="E52" s="7">
        <f t="shared" si="0"/>
        <v>230.36869712351947</v>
      </c>
      <c r="F52" s="7">
        <f t="shared" si="1"/>
        <v>236.19932318104907</v>
      </c>
      <c r="G52" s="7">
        <f t="shared" si="2"/>
        <v>242.02994923857867</v>
      </c>
      <c r="H52" s="7">
        <f t="shared" si="3"/>
        <v>247.86057529610827</v>
      </c>
      <c r="I52" s="46">
        <f>SUMIFS(Hyde_iron!$D$34:$D$48,Hyde_iron!$B$34:$B$48,$B52)*N52/SUMIFS(N$3:N$63,$B$3:$B$63,$B52)</f>
        <v>253.69120135363787</v>
      </c>
      <c r="J52" s="7">
        <f t="shared" si="4"/>
        <v>264.02639593908629</v>
      </c>
      <c r="K52" s="7">
        <f t="shared" si="5"/>
        <v>274.36159052453468</v>
      </c>
      <c r="L52" s="7">
        <f t="shared" si="6"/>
        <v>284.69678510998307</v>
      </c>
      <c r="M52" s="7">
        <f t="shared" si="7"/>
        <v>295.03197969543146</v>
      </c>
      <c r="N52" s="46">
        <f>SUMIFS(Hyde_iron!$E$34:$E$48,Hyde_iron!$B$34:$B$48,$B52)*S52/SUMIFS(S$3:S$63,$B$3:$B$63,$B52)</f>
        <v>305.36717428087985</v>
      </c>
      <c r="O52" s="7">
        <f t="shared" si="8"/>
        <v>322.43333333333339</v>
      </c>
      <c r="P52" s="7">
        <f t="shared" si="9"/>
        <v>339.49949238578682</v>
      </c>
      <c r="Q52" s="7">
        <f t="shared" si="10"/>
        <v>356.56565143824025</v>
      </c>
      <c r="R52" s="7">
        <f t="shared" si="11"/>
        <v>373.63181049069368</v>
      </c>
      <c r="S52" s="46">
        <f>SUMIFS(Hyde_iron!$F$34:$F$48,Hyde_iron!$B$34:$B$48,$B52)*X52/SUMIFS(X$3:X$63,$B$3:$B$63,$B52)</f>
        <v>390.69796954314711</v>
      </c>
      <c r="T52" s="7">
        <f t="shared" si="12"/>
        <v>400.3025380710659</v>
      </c>
      <c r="U52" s="7">
        <f t="shared" si="13"/>
        <v>409.90710659898468</v>
      </c>
      <c r="V52" s="7">
        <f t="shared" si="14"/>
        <v>419.51167512690347</v>
      </c>
      <c r="W52" s="7">
        <f t="shared" si="15"/>
        <v>429.11624365482226</v>
      </c>
      <c r="X52" s="46">
        <f>SUMIFS(Hyde_iron!$G$34:$G$48,Hyde_iron!$B$34:$B$48,$B52)*AC52/SUMIFS(AC$3:AC$63,$B$3:$B$63,$B52)</f>
        <v>438.72081218274104</v>
      </c>
      <c r="Y52" s="7">
        <f t="shared" si="16"/>
        <v>420.98443316412857</v>
      </c>
      <c r="Z52" s="7">
        <f t="shared" si="17"/>
        <v>403.24805414551605</v>
      </c>
      <c r="AA52" s="7">
        <f t="shared" si="18"/>
        <v>385.51167512690353</v>
      </c>
      <c r="AB52" s="7">
        <f t="shared" si="19"/>
        <v>367.775296108291</v>
      </c>
      <c r="AC52" s="46">
        <f>SUMIFS(Hyde_iron!$H$34:$H$48,Hyde_iron!$B$34:$B$48,$B52)*AH52/SUMIFS(AH$3:AH$63,$B$3:$B$63,$B52)</f>
        <v>350.03891708967848</v>
      </c>
      <c r="AD52" s="7">
        <f t="shared" si="20"/>
        <v>341.36632825719113</v>
      </c>
      <c r="AE52" s="7">
        <f t="shared" si="21"/>
        <v>332.69373942470384</v>
      </c>
      <c r="AF52" s="7">
        <f t="shared" si="22"/>
        <v>324.02115059221654</v>
      </c>
      <c r="AG52" s="7">
        <f t="shared" si="23"/>
        <v>315.34856175972925</v>
      </c>
      <c r="AH52" s="46">
        <f>SUMIFS(Hyde_iron!$I$34:$I$48,Hyde_iron!$B$34:$B$48,$B52)*AM52/SUMIFS(AM$3:AM$63,$B$3:$B$63,$B52)</f>
        <v>306.67597292724196</v>
      </c>
      <c r="AI52" s="7">
        <f t="shared" si="24"/>
        <v>337.14077834179352</v>
      </c>
      <c r="AJ52" s="7">
        <f t="shared" si="25"/>
        <v>367.60558375634514</v>
      </c>
      <c r="AK52" s="7">
        <f t="shared" si="26"/>
        <v>398.07038917089676</v>
      </c>
      <c r="AL52" s="7">
        <f t="shared" si="27"/>
        <v>428.53519458544838</v>
      </c>
      <c r="AM52" s="46">
        <f>SUMIFS(SPEW_Pig_iron_production!$R:$R,SPEW_Pig_iron_production!$B:$B,$C52)</f>
        <v>459</v>
      </c>
      <c r="AN52" s="7">
        <f t="shared" si="28"/>
        <v>466.40000000000009</v>
      </c>
      <c r="AO52" s="7">
        <f t="shared" si="29"/>
        <v>473.80000000000007</v>
      </c>
      <c r="AP52" s="7">
        <f t="shared" si="30"/>
        <v>481.20000000000005</v>
      </c>
      <c r="AQ52" s="7">
        <f t="shared" si="31"/>
        <v>488.6</v>
      </c>
      <c r="AR52" s="46">
        <f>SUMIFS(SPEW_Pig_iron_production!$S:$S,SPEW_Pig_iron_production!$B:$B,$C52)</f>
        <v>496</v>
      </c>
      <c r="AS52" s="7">
        <f t="shared" si="32"/>
        <v>519.40000000000009</v>
      </c>
      <c r="AT52" s="7">
        <f t="shared" si="33"/>
        <v>542.80000000000007</v>
      </c>
      <c r="AU52" s="7">
        <f t="shared" si="34"/>
        <v>566.20000000000005</v>
      </c>
      <c r="AV52" s="7">
        <f t="shared" si="35"/>
        <v>589.6</v>
      </c>
      <c r="AW52" s="46">
        <f>SUMIFS(SPEW_Pig_iron_production!$T:$T,SPEW_Pig_iron_production!$B:$B,$C52)</f>
        <v>613</v>
      </c>
      <c r="AX52" s="7">
        <f t="shared" si="36"/>
        <v>647.80000000000018</v>
      </c>
      <c r="AY52" s="7">
        <f t="shared" si="37"/>
        <v>682.60000000000014</v>
      </c>
      <c r="AZ52" s="7">
        <f t="shared" si="38"/>
        <v>717.40000000000009</v>
      </c>
      <c r="BA52" s="7">
        <f t="shared" si="39"/>
        <v>752.2</v>
      </c>
      <c r="BB52" s="46">
        <f>SUMIFS(SPEW_Pig_iron_production!$U:$U,SPEW_Pig_iron_production!$B:$B,$C52)</f>
        <v>787</v>
      </c>
      <c r="BC52" s="7">
        <f t="shared" si="40"/>
        <v>786.59999999999991</v>
      </c>
      <c r="BD52" s="7">
        <f t="shared" si="41"/>
        <v>786.19999999999993</v>
      </c>
      <c r="BE52" s="7">
        <f t="shared" si="42"/>
        <v>785.8</v>
      </c>
      <c r="BF52" s="7">
        <f t="shared" si="43"/>
        <v>785.4</v>
      </c>
      <c r="BG52" s="46">
        <f>SUMIFS(SPEW_Pig_iron_production!$V:$V,SPEW_Pig_iron_production!$B:$B,$C52)</f>
        <v>785</v>
      </c>
      <c r="BH52" s="7">
        <f t="shared" si="44"/>
        <v>795.40000000000009</v>
      </c>
      <c r="BI52" s="7">
        <f t="shared" si="45"/>
        <v>805.80000000000007</v>
      </c>
      <c r="BJ52" s="7">
        <f t="shared" si="46"/>
        <v>816.2</v>
      </c>
      <c r="BK52" s="7">
        <f t="shared" si="47"/>
        <v>826.6</v>
      </c>
      <c r="BL52" s="46">
        <f>SUMIFS(SPEW_Pig_iron_production!$W:$W,SPEW_Pig_iron_production!$B:$B,$C52)</f>
        <v>837</v>
      </c>
      <c r="BM52" s="7">
        <f t="shared" si="48"/>
        <v>919</v>
      </c>
      <c r="BN52" s="7">
        <f t="shared" si="49"/>
        <v>1001</v>
      </c>
      <c r="BO52" s="7">
        <f t="shared" si="50"/>
        <v>1083</v>
      </c>
      <c r="BP52" s="7">
        <f t="shared" si="51"/>
        <v>1165</v>
      </c>
      <c r="BQ52" s="46">
        <f>SUMIFS(SPEW_Pig_iron_production!$X:$X,SPEW_Pig_iron_production!$B:$B,$C52)</f>
        <v>1247</v>
      </c>
      <c r="BR52" s="7">
        <f t="shared" si="52"/>
        <v>1323</v>
      </c>
      <c r="BS52" s="7">
        <f t="shared" si="53"/>
        <v>1399</v>
      </c>
      <c r="BT52" s="7">
        <f t="shared" si="54"/>
        <v>1475</v>
      </c>
      <c r="BU52" s="7">
        <f t="shared" si="55"/>
        <v>1551</v>
      </c>
      <c r="BV52" s="46">
        <f>SUMIFS(SPEW_Pig_iron_production!$Y:$Y,SPEW_Pig_iron_production!$B:$B,$C52)</f>
        <v>1627</v>
      </c>
      <c r="BW52" s="7">
        <f t="shared" si="56"/>
        <v>1791.7999999999997</v>
      </c>
      <c r="BX52" s="7">
        <f t="shared" si="57"/>
        <v>1956.5999999999997</v>
      </c>
      <c r="BY52" s="7">
        <f t="shared" si="58"/>
        <v>2121.3999999999996</v>
      </c>
      <c r="BZ52" s="7">
        <f t="shared" si="59"/>
        <v>2286.1999999999998</v>
      </c>
      <c r="CA52" s="46">
        <f>SUMIFS(SPEW_Pig_iron_production!$Z:$Z,SPEW_Pig_iron_production!$B:$B,$C52)</f>
        <v>2451</v>
      </c>
      <c r="CB52" s="7">
        <f t="shared" si="60"/>
        <v>2529.2000000000007</v>
      </c>
      <c r="CC52" s="7">
        <f t="shared" si="61"/>
        <v>2607.4000000000005</v>
      </c>
      <c r="CD52" s="7">
        <f t="shared" si="62"/>
        <v>2685.6000000000004</v>
      </c>
      <c r="CE52" s="7">
        <f t="shared" si="63"/>
        <v>2763.8</v>
      </c>
      <c r="CF52" s="46">
        <f>SUMIFS(SPEW_Pig_iron_production!$AA:$AA,SPEW_Pig_iron_production!$B:$B,$C52)</f>
        <v>2842</v>
      </c>
      <c r="CG52" s="7">
        <f t="shared" si="64"/>
        <v>2975.2000000000007</v>
      </c>
      <c r="CH52" s="7">
        <f t="shared" si="65"/>
        <v>3108.4000000000005</v>
      </c>
      <c r="CI52" s="7">
        <f t="shared" si="66"/>
        <v>3241.6000000000004</v>
      </c>
      <c r="CJ52" s="7">
        <f t="shared" si="67"/>
        <v>3374.8</v>
      </c>
      <c r="CK52" s="46">
        <f>SUMIFS(SPEW_Pig_iron_production!$AB:$AB,SPEW_Pig_iron_production!$B:$B,$C52)</f>
        <v>3508</v>
      </c>
      <c r="CL52" s="7">
        <f t="shared" si="68"/>
        <v>3293.3999999999996</v>
      </c>
      <c r="CM52" s="7">
        <f t="shared" si="69"/>
        <v>3078.7999999999997</v>
      </c>
      <c r="CN52" s="7">
        <f t="shared" si="70"/>
        <v>2864.2</v>
      </c>
      <c r="CO52" s="7">
        <f t="shared" si="71"/>
        <v>2649.6</v>
      </c>
      <c r="CP52" s="2">
        <f>[1]Data!B52</f>
        <v>2435</v>
      </c>
      <c r="CQ52" s="2">
        <f>[1]Data!C52</f>
        <v>1770</v>
      </c>
      <c r="CR52" s="2">
        <f>[1]Data!D52</f>
        <v>1779</v>
      </c>
      <c r="CS52" s="2">
        <f>[1]Data!E52</f>
        <v>2011</v>
      </c>
      <c r="CT52" s="2">
        <f>[1]Data!F52</f>
        <v>2214</v>
      </c>
      <c r="CU52" s="2">
        <f>[1]Data!G52</f>
        <v>2424</v>
      </c>
      <c r="CV52" s="2">
        <f>[1]Data!H52</f>
        <v>2435</v>
      </c>
      <c r="CW52" s="2">
        <f>[1]Data!I52</f>
        <v>2314</v>
      </c>
      <c r="CX52" s="2">
        <f>[1]Data!J52</f>
        <v>2492</v>
      </c>
      <c r="CY52" s="2">
        <f>[1]Data!K52</f>
        <v>2638</v>
      </c>
      <c r="CZ52" s="2">
        <f>[1]Data!L52</f>
        <v>2736</v>
      </c>
      <c r="DA52" s="2">
        <f>[1]Data!M52</f>
        <v>2812</v>
      </c>
      <c r="DB52" s="2">
        <f>[1]Data!N52</f>
        <v>2735</v>
      </c>
      <c r="DC52" s="2">
        <f>[1]Data!O52</f>
        <v>2845</v>
      </c>
      <c r="DD52" s="2">
        <f>[1]Data!P52</f>
        <v>3037</v>
      </c>
      <c r="DE52" s="2">
        <f>[1]Data!Q52</f>
        <v>3020</v>
      </c>
      <c r="DF52" s="2">
        <f>[1]Data!R52</f>
        <v>3130</v>
      </c>
      <c r="DG52" s="2">
        <f>[1]Data!S52</f>
        <v>3060</v>
      </c>
      <c r="DH52" s="2">
        <f>[1]Data!T52</f>
        <v>3149</v>
      </c>
      <c r="DI52" s="2">
        <f>[1]Data!U52</f>
        <v>3212</v>
      </c>
      <c r="DJ52" s="2">
        <f>[1]Data!V52</f>
        <v>3145</v>
      </c>
      <c r="DK52" s="2">
        <f>[1]Data!W52</f>
        <v>3614</v>
      </c>
      <c r="DL52" s="2">
        <f>[1]Data!X52</f>
        <v>3703</v>
      </c>
      <c r="DM52" s="2">
        <f>[1]Data!Y52</f>
        <v>3710</v>
      </c>
      <c r="DN52" s="2">
        <f>[1]Data!Z52</f>
        <v>3871</v>
      </c>
      <c r="DO52" s="2">
        <f>[1]Data!AA52</f>
        <v>3730</v>
      </c>
      <c r="DP52" s="2">
        <f>[1]Data!AB52</f>
        <v>3577</v>
      </c>
      <c r="DQ52" s="2">
        <f>[1]Data!AC52</f>
        <v>3816</v>
      </c>
      <c r="DR52" s="2">
        <f>[1]Data!AD52</f>
        <v>3583</v>
      </c>
      <c r="DS52" s="2">
        <f>[1]Data!AE52</f>
        <v>1966</v>
      </c>
      <c r="DT52" s="2">
        <f>[1]Data!AF52</f>
        <v>3447</v>
      </c>
      <c r="DU52" s="2">
        <f>[1]Data!AG52</f>
        <v>3240</v>
      </c>
      <c r="DV52" s="2">
        <f>[1]Data!AH52</f>
        <v>2805</v>
      </c>
      <c r="DW52" s="2">
        <f>[1]Data!AI52</f>
        <v>2896</v>
      </c>
      <c r="DX52" s="2">
        <v>3078</v>
      </c>
      <c r="DY52" s="2">
        <f>[4]Data!AK52</f>
        <v>2865</v>
      </c>
      <c r="DZ52" s="2">
        <f>[4]Data!AL52</f>
        <v>3079</v>
      </c>
      <c r="EA52" s="2">
        <f>[4]Data!AM52</f>
        <v>3111</v>
      </c>
    </row>
    <row r="53" spans="1:131" ht="16" x14ac:dyDescent="0.2">
      <c r="A53" t="s">
        <v>51</v>
      </c>
      <c r="C53" s="9" t="s">
        <v>127</v>
      </c>
      <c r="D53" s="46"/>
      <c r="E53" s="7">
        <f t="shared" si="0"/>
        <v>0</v>
      </c>
      <c r="F53" s="7">
        <f t="shared" si="1"/>
        <v>0</v>
      </c>
      <c r="G53" s="7">
        <f t="shared" si="2"/>
        <v>0</v>
      </c>
      <c r="H53" s="7">
        <f t="shared" si="3"/>
        <v>0</v>
      </c>
      <c r="I53" s="46"/>
      <c r="J53" s="7">
        <f t="shared" si="4"/>
        <v>0</v>
      </c>
      <c r="K53" s="7">
        <f t="shared" si="5"/>
        <v>0</v>
      </c>
      <c r="L53" s="7">
        <f t="shared" si="6"/>
        <v>0</v>
      </c>
      <c r="M53" s="7">
        <f t="shared" si="7"/>
        <v>0</v>
      </c>
      <c r="N53" s="46"/>
      <c r="O53" s="7">
        <f t="shared" si="8"/>
        <v>0</v>
      </c>
      <c r="P53" s="7">
        <f t="shared" si="9"/>
        <v>0</v>
      </c>
      <c r="Q53" s="7">
        <f t="shared" si="10"/>
        <v>0</v>
      </c>
      <c r="R53" s="7">
        <f t="shared" si="11"/>
        <v>0</v>
      </c>
      <c r="S53" s="46"/>
      <c r="T53" s="7">
        <f t="shared" si="12"/>
        <v>0</v>
      </c>
      <c r="U53" s="7">
        <f t="shared" si="13"/>
        <v>0</v>
      </c>
      <c r="V53" s="7">
        <f t="shared" si="14"/>
        <v>0</v>
      </c>
      <c r="W53" s="7">
        <f t="shared" si="15"/>
        <v>0</v>
      </c>
      <c r="X53" s="46"/>
      <c r="Y53" s="7">
        <f t="shared" si="16"/>
        <v>0</v>
      </c>
      <c r="Z53" s="7">
        <f t="shared" si="17"/>
        <v>0</v>
      </c>
      <c r="AA53" s="7">
        <f t="shared" si="18"/>
        <v>0</v>
      </c>
      <c r="AB53" s="7">
        <f t="shared" si="19"/>
        <v>0</v>
      </c>
      <c r="AC53" s="46"/>
      <c r="AD53" s="7">
        <f t="shared" si="20"/>
        <v>0</v>
      </c>
      <c r="AE53" s="7">
        <f t="shared" si="21"/>
        <v>0</v>
      </c>
      <c r="AF53" s="7">
        <f t="shared" si="22"/>
        <v>0</v>
      </c>
      <c r="AG53" s="7">
        <f t="shared" si="23"/>
        <v>0</v>
      </c>
      <c r="AH53" s="46"/>
      <c r="AI53" s="7">
        <f t="shared" si="24"/>
        <v>0</v>
      </c>
      <c r="AJ53" s="7">
        <f t="shared" si="25"/>
        <v>0</v>
      </c>
      <c r="AK53" s="7">
        <f t="shared" si="26"/>
        <v>0</v>
      </c>
      <c r="AL53" s="7">
        <f t="shared" si="27"/>
        <v>0</v>
      </c>
      <c r="AM53" s="46">
        <f>SUMIFS(SPEW_Pig_iron_production!$R:$R,SPEW_Pig_iron_production!$B:$B,$C53)</f>
        <v>0</v>
      </c>
      <c r="AN53" s="7">
        <f t="shared" si="28"/>
        <v>0</v>
      </c>
      <c r="AO53" s="7">
        <f t="shared" si="29"/>
        <v>0</v>
      </c>
      <c r="AP53" s="7">
        <f t="shared" si="30"/>
        <v>0</v>
      </c>
      <c r="AQ53" s="7">
        <f t="shared" si="31"/>
        <v>0</v>
      </c>
      <c r="AR53" s="46">
        <f>SUMIFS(SPEW_Pig_iron_production!$S:$S,SPEW_Pig_iron_production!$B:$B,$C53)</f>
        <v>0</v>
      </c>
      <c r="AS53" s="7">
        <f t="shared" si="32"/>
        <v>0</v>
      </c>
      <c r="AT53" s="7">
        <f t="shared" si="33"/>
        <v>0</v>
      </c>
      <c r="AU53" s="7">
        <f t="shared" si="34"/>
        <v>0</v>
      </c>
      <c r="AV53" s="7">
        <f t="shared" si="35"/>
        <v>0</v>
      </c>
      <c r="AW53" s="46">
        <f>SUMIFS(SPEW_Pig_iron_production!$T:$T,SPEW_Pig_iron_production!$B:$B,$C53)</f>
        <v>0</v>
      </c>
      <c r="AX53" s="7">
        <f t="shared" si="36"/>
        <v>1</v>
      </c>
      <c r="AY53" s="7">
        <f t="shared" si="37"/>
        <v>2</v>
      </c>
      <c r="AZ53" s="7">
        <f t="shared" si="38"/>
        <v>3</v>
      </c>
      <c r="BA53" s="7">
        <f t="shared" si="39"/>
        <v>4</v>
      </c>
      <c r="BB53" s="46">
        <f>SUMIFS(SPEW_Pig_iron_production!$U:$U,SPEW_Pig_iron_production!$B:$B,$C53)</f>
        <v>5</v>
      </c>
      <c r="BC53" s="7">
        <f t="shared" si="40"/>
        <v>4.6000000000000005</v>
      </c>
      <c r="BD53" s="7">
        <f t="shared" si="41"/>
        <v>4.2</v>
      </c>
      <c r="BE53" s="7">
        <f t="shared" si="42"/>
        <v>3.8</v>
      </c>
      <c r="BF53" s="7">
        <f t="shared" si="43"/>
        <v>3.4</v>
      </c>
      <c r="BG53" s="46">
        <f>SUMIFS(SPEW_Pig_iron_production!$V:$V,SPEW_Pig_iron_production!$B:$B,$C53)</f>
        <v>3</v>
      </c>
      <c r="BH53" s="7">
        <f t="shared" si="44"/>
        <v>9.2000000000000028</v>
      </c>
      <c r="BI53" s="7">
        <f t="shared" si="45"/>
        <v>15.400000000000002</v>
      </c>
      <c r="BJ53" s="7">
        <f t="shared" si="46"/>
        <v>21.6</v>
      </c>
      <c r="BK53" s="7">
        <f t="shared" si="47"/>
        <v>27.8</v>
      </c>
      <c r="BL53" s="46">
        <f>SUMIFS(SPEW_Pig_iron_production!$W:$W,SPEW_Pig_iron_production!$B:$B,$C53)</f>
        <v>34</v>
      </c>
      <c r="BM53" s="7">
        <f t="shared" si="48"/>
        <v>38</v>
      </c>
      <c r="BN53" s="7">
        <f t="shared" si="49"/>
        <v>42</v>
      </c>
      <c r="BO53" s="7">
        <f t="shared" si="50"/>
        <v>46</v>
      </c>
      <c r="BP53" s="7">
        <f t="shared" si="51"/>
        <v>50</v>
      </c>
      <c r="BQ53" s="46">
        <f>SUMIFS(SPEW_Pig_iron_production!$X:$X,SPEW_Pig_iron_production!$B:$B,$C53)</f>
        <v>54</v>
      </c>
      <c r="BR53" s="7">
        <f t="shared" si="52"/>
        <v>53.199999999999989</v>
      </c>
      <c r="BS53" s="7">
        <f t="shared" si="53"/>
        <v>52.399999999999991</v>
      </c>
      <c r="BT53" s="7">
        <f t="shared" si="54"/>
        <v>51.599999999999994</v>
      </c>
      <c r="BU53" s="7">
        <f t="shared" si="55"/>
        <v>50.8</v>
      </c>
      <c r="BV53" s="46">
        <f>SUMIFS(SPEW_Pig_iron_production!$Y:$Y,SPEW_Pig_iron_production!$B:$B,$C53)</f>
        <v>50</v>
      </c>
      <c r="BW53" s="7">
        <f t="shared" si="56"/>
        <v>45</v>
      </c>
      <c r="BX53" s="7">
        <f t="shared" si="57"/>
        <v>40</v>
      </c>
      <c r="BY53" s="7">
        <f t="shared" si="58"/>
        <v>35</v>
      </c>
      <c r="BZ53" s="7">
        <f t="shared" si="59"/>
        <v>30</v>
      </c>
      <c r="CA53" s="46">
        <f>SUMIFS(SPEW_Pig_iron_production!$Z:$Z,SPEW_Pig_iron_production!$B:$B,$C53)</f>
        <v>25</v>
      </c>
      <c r="CB53" s="7">
        <f t="shared" si="60"/>
        <v>25.599999999999994</v>
      </c>
      <c r="CC53" s="7">
        <f t="shared" si="61"/>
        <v>26.199999999999996</v>
      </c>
      <c r="CD53" s="7">
        <f t="shared" si="62"/>
        <v>26.799999999999997</v>
      </c>
      <c r="CE53" s="7">
        <f t="shared" si="63"/>
        <v>27.4</v>
      </c>
      <c r="CF53" s="46">
        <f>SUMIFS(SPEW_Pig_iron_production!$AA:$AA,SPEW_Pig_iron_production!$B:$B,$C53)</f>
        <v>28</v>
      </c>
      <c r="CG53" s="7">
        <f t="shared" si="64"/>
        <v>29.400000000000006</v>
      </c>
      <c r="CH53" s="7">
        <f t="shared" si="65"/>
        <v>30.800000000000004</v>
      </c>
      <c r="CI53" s="7">
        <f t="shared" si="66"/>
        <v>32.200000000000003</v>
      </c>
      <c r="CJ53" s="7">
        <f t="shared" si="67"/>
        <v>33.6</v>
      </c>
      <c r="CK53" s="46">
        <f>SUMIFS(SPEW_Pig_iron_production!$AB:$AB,SPEW_Pig_iron_production!$B:$B,$C53)</f>
        <v>35</v>
      </c>
      <c r="CL53" s="7">
        <f t="shared" si="68"/>
        <v>34.599999999999994</v>
      </c>
      <c r="CM53" s="7">
        <f t="shared" si="69"/>
        <v>34.199999999999996</v>
      </c>
      <c r="CN53" s="7">
        <f t="shared" si="70"/>
        <v>33.799999999999997</v>
      </c>
      <c r="CO53" s="7">
        <f t="shared" si="71"/>
        <v>33.4</v>
      </c>
      <c r="CP53" s="2">
        <f>[1]Data!B53</f>
        <v>33</v>
      </c>
      <c r="CQ53" s="2">
        <f>[1]Data!C53</f>
        <v>33</v>
      </c>
      <c r="CR53" s="2">
        <f>[1]Data!D53</f>
        <v>10</v>
      </c>
      <c r="CS53" s="2">
        <f>[1]Data!E53</f>
        <v>10</v>
      </c>
      <c r="CT53" s="2">
        <f>[1]Data!F53</f>
        <v>54</v>
      </c>
      <c r="CU53" s="2">
        <f>[1]Data!G53</f>
        <v>66</v>
      </c>
      <c r="CV53" s="2">
        <f>[1]Data!H53</f>
        <v>79</v>
      </c>
      <c r="CW53" s="2">
        <f>[1]Data!I53</f>
        <v>140</v>
      </c>
      <c r="CX53" s="2">
        <f>[1]Data!J53</f>
        <v>134</v>
      </c>
      <c r="CY53" s="2">
        <f>[1]Data!K53</f>
        <v>141</v>
      </c>
      <c r="CZ53" s="2">
        <f>[1]Data!L53</f>
        <v>129</v>
      </c>
      <c r="DA53" s="2">
        <f>[1]Data!M53</f>
        <v>105</v>
      </c>
      <c r="DB53" s="2">
        <f>[1]Data!N53</f>
        <v>102</v>
      </c>
      <c r="DC53" s="2">
        <f>[1]Data!O53</f>
        <v>82</v>
      </c>
      <c r="DD53" s="2">
        <f>[1]Data!P53</f>
        <v>88</v>
      </c>
      <c r="DE53" s="2">
        <f>[1]Data!Q53</f>
        <v>97</v>
      </c>
      <c r="DF53" s="2">
        <f>[1]Data!R53</f>
        <v>100</v>
      </c>
      <c r="DG53" s="2">
        <f>[1]Data!S53</f>
        <v>100</v>
      </c>
      <c r="DH53" s="2">
        <f>[1]Data!T53</f>
        <v>80</v>
      </c>
      <c r="DI53" s="2">
        <f>[1]Data!U53</f>
        <v>80</v>
      </c>
      <c r="DJ53" s="2">
        <f>[1]Data!V53</f>
        <v>80</v>
      </c>
      <c r="DK53" s="2">
        <f>[1]Data!W53</f>
        <v>80</v>
      </c>
      <c r="DL53" s="2">
        <f>[1]Data!X53</f>
        <v>0</v>
      </c>
      <c r="DM53" s="2">
        <f>[1]Data!Y53</f>
        <v>0</v>
      </c>
      <c r="DN53" s="2">
        <f>[1]Data!Z53</f>
        <v>0</v>
      </c>
      <c r="DO53" s="2">
        <f>[1]Data!AA53</f>
        <v>0</v>
      </c>
      <c r="DP53" s="2">
        <f>[1]Data!AB53</f>
        <v>0</v>
      </c>
      <c r="DQ53" s="2">
        <f>[1]Data!AC53</f>
        <v>0</v>
      </c>
      <c r="DR53" s="2">
        <f>[1]Data!AD53</f>
        <v>0</v>
      </c>
      <c r="DS53" s="2">
        <f>[1]Data!AE53</f>
        <v>0</v>
      </c>
      <c r="DT53" s="2">
        <f>[1]Data!AF53</f>
        <v>0</v>
      </c>
      <c r="DU53" s="2">
        <f>[1]Data!AG53</f>
        <v>0</v>
      </c>
      <c r="DV53" s="2">
        <f>[1]Data!AH53</f>
        <v>0</v>
      </c>
      <c r="DW53" s="2">
        <f>[1]Data!AI53</f>
        <v>0</v>
      </c>
      <c r="DX53" s="2">
        <v>0</v>
      </c>
      <c r="DY53" s="2">
        <f>[4]Data!AK53</f>
        <v>0</v>
      </c>
      <c r="DZ53" s="2">
        <f>[4]Data!AL53</f>
        <v>0</v>
      </c>
      <c r="EA53" s="2">
        <f>[4]Data!AM53</f>
        <v>0</v>
      </c>
    </row>
    <row r="54" spans="1:131" ht="16" x14ac:dyDescent="0.2">
      <c r="A54" t="s">
        <v>52</v>
      </c>
      <c r="C54" s="9" t="s">
        <v>82</v>
      </c>
      <c r="D54" s="46"/>
      <c r="E54" s="7">
        <f t="shared" si="0"/>
        <v>0</v>
      </c>
      <c r="F54" s="7">
        <f t="shared" si="1"/>
        <v>0</v>
      </c>
      <c r="G54" s="7">
        <f t="shared" si="2"/>
        <v>0</v>
      </c>
      <c r="H54" s="7">
        <f t="shared" si="3"/>
        <v>0</v>
      </c>
      <c r="I54" s="46"/>
      <c r="J54" s="7">
        <f t="shared" si="4"/>
        <v>0</v>
      </c>
      <c r="K54" s="7">
        <f t="shared" si="5"/>
        <v>0</v>
      </c>
      <c r="L54" s="7">
        <f t="shared" si="6"/>
        <v>0</v>
      </c>
      <c r="M54" s="7">
        <f t="shared" si="7"/>
        <v>0</v>
      </c>
      <c r="N54" s="46"/>
      <c r="O54" s="7">
        <f t="shared" si="8"/>
        <v>0</v>
      </c>
      <c r="P54" s="7">
        <f t="shared" si="9"/>
        <v>0</v>
      </c>
      <c r="Q54" s="7">
        <f t="shared" si="10"/>
        <v>0</v>
      </c>
      <c r="R54" s="7">
        <f t="shared" si="11"/>
        <v>0</v>
      </c>
      <c r="S54" s="46"/>
      <c r="T54" s="7">
        <f t="shared" si="12"/>
        <v>0</v>
      </c>
      <c r="U54" s="7">
        <f t="shared" si="13"/>
        <v>0</v>
      </c>
      <c r="V54" s="7">
        <f t="shared" si="14"/>
        <v>0</v>
      </c>
      <c r="W54" s="7">
        <f t="shared" si="15"/>
        <v>0</v>
      </c>
      <c r="X54" s="46"/>
      <c r="Y54" s="7">
        <f t="shared" si="16"/>
        <v>0</v>
      </c>
      <c r="Z54" s="7">
        <f t="shared" si="17"/>
        <v>0</v>
      </c>
      <c r="AA54" s="7">
        <f t="shared" si="18"/>
        <v>0</v>
      </c>
      <c r="AB54" s="7">
        <f t="shared" si="19"/>
        <v>0</v>
      </c>
      <c r="AC54" s="46"/>
      <c r="AD54" s="7">
        <f t="shared" si="20"/>
        <v>0</v>
      </c>
      <c r="AE54" s="7">
        <f t="shared" si="21"/>
        <v>0</v>
      </c>
      <c r="AF54" s="7">
        <f t="shared" si="22"/>
        <v>0</v>
      </c>
      <c r="AG54" s="7">
        <f t="shared" si="23"/>
        <v>0</v>
      </c>
      <c r="AH54" s="46"/>
      <c r="AI54" s="7">
        <f t="shared" si="24"/>
        <v>0</v>
      </c>
      <c r="AJ54" s="7">
        <f t="shared" si="25"/>
        <v>0</v>
      </c>
      <c r="AK54" s="7">
        <f t="shared" si="26"/>
        <v>0</v>
      </c>
      <c r="AL54" s="7">
        <f t="shared" si="27"/>
        <v>0</v>
      </c>
      <c r="AM54" s="46">
        <f>SUMIFS(SPEW_Pig_iron_production!$R:$R,SPEW_Pig_iron_production!$B:$B,$C54)</f>
        <v>0</v>
      </c>
      <c r="AN54" s="7">
        <f t="shared" si="28"/>
        <v>0</v>
      </c>
      <c r="AO54" s="7">
        <f t="shared" si="29"/>
        <v>0</v>
      </c>
      <c r="AP54" s="7">
        <f t="shared" si="30"/>
        <v>0</v>
      </c>
      <c r="AQ54" s="7">
        <f t="shared" si="31"/>
        <v>0</v>
      </c>
      <c r="AR54" s="46">
        <f>SUMIFS(SPEW_Pig_iron_production!$S:$S,SPEW_Pig_iron_production!$B:$B,$C54)</f>
        <v>0</v>
      </c>
      <c r="AS54" s="7">
        <f t="shared" si="32"/>
        <v>0</v>
      </c>
      <c r="AT54" s="7">
        <f t="shared" si="33"/>
        <v>0</v>
      </c>
      <c r="AU54" s="7">
        <f t="shared" si="34"/>
        <v>0</v>
      </c>
      <c r="AV54" s="7">
        <f t="shared" si="35"/>
        <v>0</v>
      </c>
      <c r="AW54" s="46">
        <f>SUMIFS(SPEW_Pig_iron_production!$T:$T,SPEW_Pig_iron_production!$B:$B,$C54)</f>
        <v>0</v>
      </c>
      <c r="AX54" s="7">
        <f t="shared" si="36"/>
        <v>0</v>
      </c>
      <c r="AY54" s="7">
        <f t="shared" si="37"/>
        <v>0</v>
      </c>
      <c r="AZ54" s="7">
        <f t="shared" si="38"/>
        <v>0</v>
      </c>
      <c r="BA54" s="7">
        <f t="shared" si="39"/>
        <v>0</v>
      </c>
      <c r="BB54" s="46">
        <f>SUMIFS(SPEW_Pig_iron_production!$U:$U,SPEW_Pig_iron_production!$B:$B,$C54)</f>
        <v>0</v>
      </c>
      <c r="BC54" s="7">
        <f t="shared" si="40"/>
        <v>0</v>
      </c>
      <c r="BD54" s="7">
        <f t="shared" si="41"/>
        <v>0</v>
      </c>
      <c r="BE54" s="7">
        <f t="shared" si="42"/>
        <v>0</v>
      </c>
      <c r="BF54" s="7">
        <f t="shared" si="43"/>
        <v>0</v>
      </c>
      <c r="BG54" s="46">
        <f>SUMIFS(SPEW_Pig_iron_production!$V:$V,SPEW_Pig_iron_production!$B:$B,$C54)</f>
        <v>0</v>
      </c>
      <c r="BH54" s="7">
        <f t="shared" si="44"/>
        <v>0</v>
      </c>
      <c r="BI54" s="7">
        <f t="shared" si="45"/>
        <v>0</v>
      </c>
      <c r="BJ54" s="7">
        <f t="shared" si="46"/>
        <v>0</v>
      </c>
      <c r="BK54" s="7">
        <f t="shared" si="47"/>
        <v>0</v>
      </c>
      <c r="BL54" s="46">
        <f>SUMIFS(SPEW_Pig_iron_production!$W:$W,SPEW_Pig_iron_production!$B:$B,$C54)</f>
        <v>0</v>
      </c>
      <c r="BM54" s="7">
        <f t="shared" si="48"/>
        <v>3.2000000000000011</v>
      </c>
      <c r="BN54" s="7">
        <f t="shared" si="49"/>
        <v>6.4000000000000012</v>
      </c>
      <c r="BO54" s="7">
        <f t="shared" si="50"/>
        <v>9.6000000000000014</v>
      </c>
      <c r="BP54" s="7">
        <f t="shared" si="51"/>
        <v>12.8</v>
      </c>
      <c r="BQ54" s="46">
        <f>SUMIFS(SPEW_Pig_iron_production!$X:$X,SPEW_Pig_iron_production!$B:$B,$C54)</f>
        <v>16</v>
      </c>
      <c r="BR54" s="7">
        <f t="shared" si="52"/>
        <v>17.599999999999994</v>
      </c>
      <c r="BS54" s="7">
        <f t="shared" si="53"/>
        <v>19.199999999999996</v>
      </c>
      <c r="BT54" s="7">
        <f t="shared" si="54"/>
        <v>20.799999999999997</v>
      </c>
      <c r="BU54" s="7">
        <f t="shared" si="55"/>
        <v>22.4</v>
      </c>
      <c r="BV54" s="46">
        <f>SUMIFS(SPEW_Pig_iron_production!$Y:$Y,SPEW_Pig_iron_production!$B:$B,$C54)</f>
        <v>24</v>
      </c>
      <c r="BW54" s="7">
        <f t="shared" si="56"/>
        <v>33.599999999999994</v>
      </c>
      <c r="BX54" s="7">
        <f t="shared" si="57"/>
        <v>43.199999999999996</v>
      </c>
      <c r="BY54" s="7">
        <f t="shared" si="58"/>
        <v>52.8</v>
      </c>
      <c r="BZ54" s="7">
        <f t="shared" si="59"/>
        <v>62.4</v>
      </c>
      <c r="CA54" s="46">
        <f>SUMIFS(SPEW_Pig_iron_production!$Z:$Z,SPEW_Pig_iron_production!$B:$B,$C54)</f>
        <v>72</v>
      </c>
      <c r="CB54" s="7">
        <f t="shared" si="60"/>
        <v>76.800000000000011</v>
      </c>
      <c r="CC54" s="7">
        <f t="shared" si="61"/>
        <v>81.600000000000009</v>
      </c>
      <c r="CD54" s="7">
        <f t="shared" si="62"/>
        <v>86.4</v>
      </c>
      <c r="CE54" s="7">
        <f t="shared" si="63"/>
        <v>91.2</v>
      </c>
      <c r="CF54" s="46">
        <f>SUMIFS(SPEW_Pig_iron_production!$AA:$AA,SPEW_Pig_iron_production!$B:$B,$C54)</f>
        <v>96</v>
      </c>
      <c r="CG54" s="7">
        <f t="shared" si="64"/>
        <v>95.399999999999977</v>
      </c>
      <c r="CH54" s="7">
        <f t="shared" si="65"/>
        <v>94.799999999999983</v>
      </c>
      <c r="CI54" s="7">
        <f t="shared" si="66"/>
        <v>94.199999999999989</v>
      </c>
      <c r="CJ54" s="7">
        <f t="shared" si="67"/>
        <v>93.6</v>
      </c>
      <c r="CK54" s="46">
        <f>SUMIFS(SPEW_Pig_iron_production!$AB:$AB,SPEW_Pig_iron_production!$B:$B,$C54)</f>
        <v>93</v>
      </c>
      <c r="CL54" s="7">
        <f t="shared" si="68"/>
        <v>422</v>
      </c>
      <c r="CM54" s="7">
        <f t="shared" si="69"/>
        <v>751</v>
      </c>
      <c r="CN54" s="7">
        <f t="shared" si="70"/>
        <v>1080</v>
      </c>
      <c r="CO54" s="7">
        <f t="shared" si="71"/>
        <v>1409</v>
      </c>
      <c r="CP54" s="2">
        <f>[1]Data!B54</f>
        <v>1738</v>
      </c>
      <c r="CQ54" s="2">
        <f>[1]Data!C54</f>
        <v>1609</v>
      </c>
      <c r="CR54" s="2">
        <f>[1]Data!D54</f>
        <v>2693</v>
      </c>
      <c r="CS54" s="2">
        <f>[1]Data!E54</f>
        <v>3416</v>
      </c>
      <c r="CT54" s="2">
        <f>[1]Data!F54</f>
        <v>3314</v>
      </c>
      <c r="CU54" s="2">
        <f>[1]Data!G54</f>
        <v>3400</v>
      </c>
      <c r="CV54" s="2">
        <f>[1]Data!H54</f>
        <v>3692</v>
      </c>
      <c r="CW54" s="2">
        <f>[1]Data!I54</f>
        <v>3732</v>
      </c>
      <c r="CX54" s="2">
        <f>[1]Data!J54</f>
        <v>5487</v>
      </c>
      <c r="CY54" s="2">
        <f>[1]Data!K54</f>
        <v>5780</v>
      </c>
      <c r="CZ54" s="2">
        <f>[1]Data!L54</f>
        <v>5491</v>
      </c>
      <c r="DA54" s="2">
        <f>[1]Data!M54</f>
        <v>5561</v>
      </c>
      <c r="DB54" s="2">
        <f>[1]Data!N54</f>
        <v>5327</v>
      </c>
      <c r="DC54" s="2">
        <f>[1]Data!O54</f>
        <v>6096</v>
      </c>
      <c r="DD54" s="2">
        <f>[1]Data!P54</f>
        <v>5968</v>
      </c>
      <c r="DE54" s="2">
        <f>[1]Data!Q54</f>
        <v>6056</v>
      </c>
      <c r="DF54" s="2">
        <f>[1]Data!R54</f>
        <v>6213</v>
      </c>
      <c r="DG54" s="2">
        <f>[1]Data!S54</f>
        <v>8870</v>
      </c>
      <c r="DH54" s="2">
        <f>[1]Data!T54</f>
        <v>9374</v>
      </c>
      <c r="DI54" s="2">
        <f>[1]Data!U54</f>
        <v>8890</v>
      </c>
      <c r="DJ54" s="2">
        <f>[1]Data!V54</f>
        <v>9618</v>
      </c>
      <c r="DK54" s="2">
        <f>[1]Data!W54</f>
        <v>10001</v>
      </c>
      <c r="DL54" s="2">
        <f>[1]Data!X54</f>
        <v>10169</v>
      </c>
      <c r="DM54" s="2">
        <f>[1]Data!Y54</f>
        <v>10260</v>
      </c>
      <c r="DN54" s="2">
        <f>[1]Data!Z54</f>
        <v>10354</v>
      </c>
      <c r="DO54" s="2">
        <f>[1]Data!AA54</f>
        <v>9447</v>
      </c>
      <c r="DP54" s="2">
        <f>[1]Data!AB54</f>
        <v>10407</v>
      </c>
      <c r="DQ54" s="2">
        <f>[1]Data!AC54</f>
        <v>10518</v>
      </c>
      <c r="DR54" s="2">
        <f>[1]Data!AD54</f>
        <v>9823</v>
      </c>
      <c r="DS54" s="2">
        <f>[1]Data!AE54</f>
        <v>7939</v>
      </c>
      <c r="DT54" s="2">
        <f>[1]Data!AF54</f>
        <v>9358</v>
      </c>
      <c r="DU54" s="2">
        <f>[1]Data!AG54</f>
        <v>12718</v>
      </c>
      <c r="DV54" s="2">
        <f>[1]Data!AH54</f>
        <v>11785</v>
      </c>
      <c r="DW54" s="2">
        <f>[1]Data!AI54</f>
        <v>13319</v>
      </c>
      <c r="DX54" s="2">
        <v>14440</v>
      </c>
      <c r="DY54" s="2">
        <f>[4]Data!AK54</f>
        <v>14370</v>
      </c>
      <c r="DZ54" s="2">
        <f>[4]Data!AL54</f>
        <v>14890</v>
      </c>
      <c r="EA54" s="2">
        <f>[4]Data!AM54</f>
        <v>14361</v>
      </c>
    </row>
    <row r="55" spans="1:131" ht="16" x14ac:dyDescent="0.2">
      <c r="A55" t="s">
        <v>53</v>
      </c>
      <c r="C55" s="9" t="s">
        <v>128</v>
      </c>
      <c r="D55" s="46"/>
      <c r="E55" s="7">
        <f t="shared" si="0"/>
        <v>0</v>
      </c>
      <c r="F55" s="7">
        <f t="shared" si="1"/>
        <v>0</v>
      </c>
      <c r="G55" s="7">
        <f t="shared" si="2"/>
        <v>0</v>
      </c>
      <c r="H55" s="7">
        <f t="shared" si="3"/>
        <v>0</v>
      </c>
      <c r="I55" s="46"/>
      <c r="J55" s="7">
        <f t="shared" si="4"/>
        <v>0</v>
      </c>
      <c r="K55" s="7">
        <f t="shared" si="5"/>
        <v>0</v>
      </c>
      <c r="L55" s="7">
        <f t="shared" si="6"/>
        <v>0</v>
      </c>
      <c r="M55" s="7">
        <f t="shared" si="7"/>
        <v>0</v>
      </c>
      <c r="N55" s="46"/>
      <c r="O55" s="7">
        <f t="shared" si="8"/>
        <v>0</v>
      </c>
      <c r="P55" s="7">
        <f t="shared" si="9"/>
        <v>0</v>
      </c>
      <c r="Q55" s="7">
        <f t="shared" si="10"/>
        <v>0</v>
      </c>
      <c r="R55" s="7">
        <f t="shared" si="11"/>
        <v>0</v>
      </c>
      <c r="S55" s="46"/>
      <c r="T55" s="7">
        <f t="shared" si="12"/>
        <v>0</v>
      </c>
      <c r="U55" s="7">
        <f t="shared" si="13"/>
        <v>0</v>
      </c>
      <c r="V55" s="7">
        <f t="shared" si="14"/>
        <v>0</v>
      </c>
      <c r="W55" s="7">
        <f t="shared" si="15"/>
        <v>0</v>
      </c>
      <c r="X55" s="46"/>
      <c r="Y55" s="7">
        <f t="shared" si="16"/>
        <v>0</v>
      </c>
      <c r="Z55" s="7">
        <f t="shared" si="17"/>
        <v>0</v>
      </c>
      <c r="AA55" s="7">
        <f t="shared" si="18"/>
        <v>0</v>
      </c>
      <c r="AB55" s="7">
        <f t="shared" si="19"/>
        <v>0</v>
      </c>
      <c r="AC55" s="46"/>
      <c r="AD55" s="7">
        <f t="shared" si="20"/>
        <v>0</v>
      </c>
      <c r="AE55" s="7">
        <f t="shared" si="21"/>
        <v>0</v>
      </c>
      <c r="AF55" s="7">
        <f t="shared" si="22"/>
        <v>0</v>
      </c>
      <c r="AG55" s="7">
        <f t="shared" si="23"/>
        <v>0</v>
      </c>
      <c r="AH55" s="46"/>
      <c r="AI55" s="7">
        <f t="shared" si="24"/>
        <v>0</v>
      </c>
      <c r="AJ55" s="7">
        <f t="shared" si="25"/>
        <v>0</v>
      </c>
      <c r="AK55" s="7">
        <f t="shared" si="26"/>
        <v>0</v>
      </c>
      <c r="AL55" s="7">
        <f t="shared" si="27"/>
        <v>0</v>
      </c>
      <c r="AM55" s="46">
        <f>SUMIFS(SPEW_Pig_iron_production!$R:$R,SPEW_Pig_iron_production!$B:$B,$C55)</f>
        <v>0</v>
      </c>
      <c r="AN55" s="7">
        <f t="shared" si="28"/>
        <v>0</v>
      </c>
      <c r="AO55" s="7">
        <f t="shared" si="29"/>
        <v>0</v>
      </c>
      <c r="AP55" s="7">
        <f t="shared" si="30"/>
        <v>0</v>
      </c>
      <c r="AQ55" s="7">
        <f t="shared" si="31"/>
        <v>0</v>
      </c>
      <c r="AR55" s="46">
        <f>SUMIFS(SPEW_Pig_iron_production!$S:$S,SPEW_Pig_iron_production!$B:$B,$C55)</f>
        <v>0</v>
      </c>
      <c r="AS55" s="7">
        <f t="shared" si="32"/>
        <v>0</v>
      </c>
      <c r="AT55" s="7">
        <f t="shared" si="33"/>
        <v>0</v>
      </c>
      <c r="AU55" s="7">
        <f t="shared" si="34"/>
        <v>0</v>
      </c>
      <c r="AV55" s="7">
        <f t="shared" si="35"/>
        <v>0</v>
      </c>
      <c r="AW55" s="46">
        <f>SUMIFS(SPEW_Pig_iron_production!$T:$T,SPEW_Pig_iron_production!$B:$B,$C55)</f>
        <v>0</v>
      </c>
      <c r="AX55" s="7">
        <f t="shared" si="36"/>
        <v>0</v>
      </c>
      <c r="AY55" s="7">
        <f t="shared" si="37"/>
        <v>0</v>
      </c>
      <c r="AZ55" s="7">
        <f t="shared" si="38"/>
        <v>0</v>
      </c>
      <c r="BA55" s="7">
        <f t="shared" si="39"/>
        <v>0</v>
      </c>
      <c r="BB55" s="46">
        <f>SUMIFS(SPEW_Pig_iron_production!$U:$U,SPEW_Pig_iron_production!$B:$B,$C55)</f>
        <v>0</v>
      </c>
      <c r="BC55" s="7">
        <f t="shared" si="40"/>
        <v>0</v>
      </c>
      <c r="BD55" s="7">
        <f t="shared" si="41"/>
        <v>0</v>
      </c>
      <c r="BE55" s="7">
        <f t="shared" si="42"/>
        <v>0</v>
      </c>
      <c r="BF55" s="7">
        <f t="shared" si="43"/>
        <v>0</v>
      </c>
      <c r="BG55" s="46">
        <f>SUMIFS(SPEW_Pig_iron_production!$V:$V,SPEW_Pig_iron_production!$B:$B,$C55)</f>
        <v>0</v>
      </c>
      <c r="BH55" s="7">
        <f t="shared" si="44"/>
        <v>0</v>
      </c>
      <c r="BI55" s="7">
        <f t="shared" si="45"/>
        <v>0</v>
      </c>
      <c r="BJ55" s="7">
        <f t="shared" si="46"/>
        <v>0</v>
      </c>
      <c r="BK55" s="7">
        <f t="shared" si="47"/>
        <v>0</v>
      </c>
      <c r="BL55" s="46">
        <f>SUMIFS(SPEW_Pig_iron_production!$W:$W,SPEW_Pig_iron_production!$B:$B,$C55)</f>
        <v>0</v>
      </c>
      <c r="BM55" s="7">
        <f t="shared" si="48"/>
        <v>0</v>
      </c>
      <c r="BN55" s="7">
        <f t="shared" si="49"/>
        <v>0</v>
      </c>
      <c r="BO55" s="7">
        <f t="shared" si="50"/>
        <v>0</v>
      </c>
      <c r="BP55" s="7">
        <f t="shared" si="51"/>
        <v>0</v>
      </c>
      <c r="BQ55" s="46">
        <f>SUMIFS(SPEW_Pig_iron_production!$X:$X,SPEW_Pig_iron_production!$B:$B,$C55)</f>
        <v>0</v>
      </c>
      <c r="BR55" s="7">
        <f t="shared" si="52"/>
        <v>0</v>
      </c>
      <c r="BS55" s="7">
        <f t="shared" si="53"/>
        <v>0</v>
      </c>
      <c r="BT55" s="7">
        <f t="shared" si="54"/>
        <v>0</v>
      </c>
      <c r="BU55" s="7">
        <f t="shared" si="55"/>
        <v>0</v>
      </c>
      <c r="BV55" s="46">
        <f>SUMIFS(SPEW_Pig_iron_production!$Y:$Y,SPEW_Pig_iron_production!$B:$B,$C55)</f>
        <v>0</v>
      </c>
      <c r="BW55" s="7">
        <f t="shared" si="56"/>
        <v>0</v>
      </c>
      <c r="BX55" s="7">
        <f t="shared" si="57"/>
        <v>0</v>
      </c>
      <c r="BY55" s="7">
        <f t="shared" si="58"/>
        <v>0</v>
      </c>
      <c r="BZ55" s="7">
        <f t="shared" si="59"/>
        <v>0</v>
      </c>
      <c r="CA55" s="46">
        <f>SUMIFS(SPEW_Pig_iron_production!$Z:$Z,SPEW_Pig_iron_production!$B:$B,$C55)</f>
        <v>0</v>
      </c>
      <c r="CB55" s="7">
        <f t="shared" si="60"/>
        <v>25</v>
      </c>
      <c r="CC55" s="7">
        <f t="shared" si="61"/>
        <v>50</v>
      </c>
      <c r="CD55" s="7">
        <f t="shared" si="62"/>
        <v>75</v>
      </c>
      <c r="CE55" s="7">
        <f t="shared" si="63"/>
        <v>100</v>
      </c>
      <c r="CF55" s="46">
        <f>SUMIFS(SPEW_Pig_iron_production!$AA:$AA,SPEW_Pig_iron_production!$B:$B,$C55)</f>
        <v>125</v>
      </c>
      <c r="CG55" s="7">
        <f t="shared" si="64"/>
        <v>129.60000000000002</v>
      </c>
      <c r="CH55" s="7">
        <f t="shared" si="65"/>
        <v>134.20000000000002</v>
      </c>
      <c r="CI55" s="7">
        <f t="shared" si="66"/>
        <v>138.80000000000001</v>
      </c>
      <c r="CJ55" s="7">
        <f t="shared" si="67"/>
        <v>143.4</v>
      </c>
      <c r="CK55" s="46">
        <f>SUMIFS(SPEW_Pig_iron_production!$AB:$AB,SPEW_Pig_iron_production!$B:$B,$C55)</f>
        <v>148</v>
      </c>
      <c r="CL55" s="7">
        <f t="shared" si="68"/>
        <v>149</v>
      </c>
      <c r="CM55" s="7">
        <f t="shared" si="69"/>
        <v>150</v>
      </c>
      <c r="CN55" s="7">
        <f t="shared" si="70"/>
        <v>151</v>
      </c>
      <c r="CO55" s="7">
        <f t="shared" si="71"/>
        <v>152</v>
      </c>
      <c r="CP55" s="2">
        <f>[1]Data!B55</f>
        <v>153</v>
      </c>
      <c r="CQ55" s="2">
        <f>[1]Data!C55</f>
        <v>158</v>
      </c>
      <c r="CR55" s="2">
        <f>[1]Data!D55</f>
        <v>97</v>
      </c>
      <c r="CS55" s="2">
        <f>[1]Data!E55</f>
        <v>147</v>
      </c>
      <c r="CT55" s="2">
        <f>[1]Data!F55</f>
        <v>148</v>
      </c>
      <c r="CU55" s="2">
        <f>[1]Data!G55</f>
        <v>142</v>
      </c>
      <c r="CV55" s="2">
        <f>[1]Data!H55</f>
        <v>149</v>
      </c>
      <c r="CW55" s="2">
        <f>[1]Data!I55</f>
        <v>163</v>
      </c>
      <c r="CX55" s="2">
        <f>[1]Data!J55</f>
        <v>128</v>
      </c>
      <c r="CY55" s="2">
        <f>[1]Data!K55</f>
        <v>155</v>
      </c>
      <c r="CZ55" s="2">
        <f>[1]Data!L55</f>
        <v>161</v>
      </c>
      <c r="DA55" s="2">
        <f>[1]Data!M55</f>
        <v>172</v>
      </c>
      <c r="DB55" s="2">
        <f>[1]Data!N55</f>
        <v>158</v>
      </c>
      <c r="DC55" s="2">
        <f>[1]Data!O55</f>
        <v>165</v>
      </c>
      <c r="DD55" s="2">
        <f>[1]Data!P55</f>
        <v>154</v>
      </c>
      <c r="DE55" s="2">
        <f>[1]Data!Q55</f>
        <v>162</v>
      </c>
      <c r="DF55" s="2">
        <f>[1]Data!R55</f>
        <v>155</v>
      </c>
      <c r="DG55" s="2">
        <f>[1]Data!S55</f>
        <v>150</v>
      </c>
      <c r="DH55" s="2">
        <f>[1]Data!T55</f>
        <v>123</v>
      </c>
      <c r="DI55" s="2">
        <f>[1]Data!U55</f>
        <v>180</v>
      </c>
      <c r="DJ55" s="2">
        <f>[1]Data!V55</f>
        <v>195</v>
      </c>
      <c r="DK55" s="2">
        <f>[1]Data!W55</f>
        <v>191</v>
      </c>
      <c r="DL55" s="2">
        <f>[1]Data!X55</f>
        <v>152</v>
      </c>
      <c r="DM55" s="2">
        <f>[1]Data!Y55</f>
        <v>45</v>
      </c>
      <c r="DN55" s="2">
        <f>[1]Data!Z55</f>
        <v>0</v>
      </c>
      <c r="DO55" s="2">
        <f>[1]Data!AA55</f>
        <v>0</v>
      </c>
      <c r="DP55" s="2">
        <f>[1]Data!AB55</f>
        <v>0</v>
      </c>
      <c r="DQ55" s="2">
        <f>[1]Data!AC55</f>
        <v>0</v>
      </c>
      <c r="DR55" s="2">
        <f>[1]Data!AD55</f>
        <v>0</v>
      </c>
      <c r="DS55" s="2">
        <f>[1]Data!AE55</f>
        <v>0</v>
      </c>
      <c r="DT55" s="2">
        <f>[1]Data!AF55</f>
        <v>0</v>
      </c>
      <c r="DU55" s="2">
        <f>[1]Data!AG55</f>
        <v>0</v>
      </c>
      <c r="DV55" s="2">
        <f>[1]Data!AH55</f>
        <v>0</v>
      </c>
      <c r="DW55" s="2">
        <f>[1]Data!AI55</f>
        <v>0</v>
      </c>
      <c r="DX55" s="2">
        <v>0</v>
      </c>
      <c r="DY55" s="2">
        <f>[4]Data!AK55</f>
        <v>0</v>
      </c>
      <c r="DZ55" s="2">
        <f>[4]Data!AL55</f>
        <v>0</v>
      </c>
      <c r="EA55" s="2">
        <f>[4]Data!AM55</f>
        <v>0</v>
      </c>
    </row>
    <row r="56" spans="1:131" ht="16" x14ac:dyDescent="0.2">
      <c r="A56" t="s">
        <v>54</v>
      </c>
      <c r="C56" s="9" t="s">
        <v>129</v>
      </c>
      <c r="D56" s="46"/>
      <c r="E56" s="7">
        <f t="shared" si="0"/>
        <v>0</v>
      </c>
      <c r="F56" s="7">
        <f t="shared" si="1"/>
        <v>0</v>
      </c>
      <c r="G56" s="7">
        <f t="shared" si="2"/>
        <v>0</v>
      </c>
      <c r="H56" s="7">
        <f t="shared" si="3"/>
        <v>0</v>
      </c>
      <c r="I56" s="46"/>
      <c r="J56" s="7">
        <f t="shared" si="4"/>
        <v>0</v>
      </c>
      <c r="K56" s="7">
        <f t="shared" si="5"/>
        <v>0</v>
      </c>
      <c r="L56" s="7">
        <f t="shared" si="6"/>
        <v>0</v>
      </c>
      <c r="M56" s="7">
        <f t="shared" si="7"/>
        <v>0</v>
      </c>
      <c r="N56" s="46"/>
      <c r="O56" s="7">
        <f t="shared" si="8"/>
        <v>0</v>
      </c>
      <c r="P56" s="7">
        <f t="shared" si="9"/>
        <v>0</v>
      </c>
      <c r="Q56" s="7">
        <f t="shared" si="10"/>
        <v>0</v>
      </c>
      <c r="R56" s="7">
        <f t="shared" si="11"/>
        <v>0</v>
      </c>
      <c r="S56" s="46"/>
      <c r="T56" s="7">
        <f t="shared" si="12"/>
        <v>0</v>
      </c>
      <c r="U56" s="7">
        <f t="shared" si="13"/>
        <v>0</v>
      </c>
      <c r="V56" s="7">
        <f t="shared" si="14"/>
        <v>0</v>
      </c>
      <c r="W56" s="7">
        <f t="shared" si="15"/>
        <v>0</v>
      </c>
      <c r="X56" s="46"/>
      <c r="Y56" s="7">
        <f t="shared" si="16"/>
        <v>0</v>
      </c>
      <c r="Z56" s="7">
        <f t="shared" si="17"/>
        <v>0</v>
      </c>
      <c r="AA56" s="7">
        <f t="shared" si="18"/>
        <v>0</v>
      </c>
      <c r="AB56" s="7">
        <f t="shared" si="19"/>
        <v>0</v>
      </c>
      <c r="AC56" s="46"/>
      <c r="AD56" s="7">
        <f t="shared" si="20"/>
        <v>0</v>
      </c>
      <c r="AE56" s="7">
        <f t="shared" si="21"/>
        <v>0</v>
      </c>
      <c r="AF56" s="7">
        <f t="shared" si="22"/>
        <v>0</v>
      </c>
      <c r="AG56" s="7">
        <f t="shared" si="23"/>
        <v>0</v>
      </c>
      <c r="AH56" s="46"/>
      <c r="AI56" s="7">
        <f t="shared" si="24"/>
        <v>0</v>
      </c>
      <c r="AJ56" s="7">
        <f t="shared" si="25"/>
        <v>0</v>
      </c>
      <c r="AK56" s="7">
        <f t="shared" si="26"/>
        <v>0</v>
      </c>
      <c r="AL56" s="7">
        <f t="shared" si="27"/>
        <v>0</v>
      </c>
      <c r="AM56" s="46">
        <f>SUMIFS(SPEW_Pig_iron_production!$R:$R,SPEW_Pig_iron_production!$B:$B,$C56)</f>
        <v>0</v>
      </c>
      <c r="AN56" s="7">
        <f t="shared" si="28"/>
        <v>0</v>
      </c>
      <c r="AO56" s="7">
        <f t="shared" si="29"/>
        <v>0</v>
      </c>
      <c r="AP56" s="7">
        <f t="shared" si="30"/>
        <v>0</v>
      </c>
      <c r="AQ56" s="7">
        <f t="shared" si="31"/>
        <v>0</v>
      </c>
      <c r="AR56" s="46">
        <f>SUMIFS(SPEW_Pig_iron_production!$S:$S,SPEW_Pig_iron_production!$B:$B,$C56)</f>
        <v>0</v>
      </c>
      <c r="AS56" s="7">
        <f t="shared" si="32"/>
        <v>0</v>
      </c>
      <c r="AT56" s="7">
        <f t="shared" si="33"/>
        <v>0</v>
      </c>
      <c r="AU56" s="7">
        <f t="shared" si="34"/>
        <v>0</v>
      </c>
      <c r="AV56" s="7">
        <f t="shared" si="35"/>
        <v>0</v>
      </c>
      <c r="AW56" s="46">
        <f>SUMIFS(SPEW_Pig_iron_production!$T:$T,SPEW_Pig_iron_production!$B:$B,$C56)</f>
        <v>0</v>
      </c>
      <c r="AX56" s="7">
        <f t="shared" si="36"/>
        <v>16.600000000000001</v>
      </c>
      <c r="AY56" s="7">
        <f t="shared" si="37"/>
        <v>33.200000000000003</v>
      </c>
      <c r="AZ56" s="7">
        <f t="shared" si="38"/>
        <v>49.800000000000004</v>
      </c>
      <c r="BA56" s="7">
        <f t="shared" si="39"/>
        <v>66.400000000000006</v>
      </c>
      <c r="BB56" s="46">
        <f>SUMIFS(SPEW_Pig_iron_production!$U:$U,SPEW_Pig_iron_production!$B:$B,$C56)</f>
        <v>83</v>
      </c>
      <c r="BC56" s="7">
        <f t="shared" si="40"/>
        <v>80.399999999999977</v>
      </c>
      <c r="BD56" s="7">
        <f t="shared" si="41"/>
        <v>77.799999999999983</v>
      </c>
      <c r="BE56" s="7">
        <f t="shared" si="42"/>
        <v>75.199999999999989</v>
      </c>
      <c r="BF56" s="7">
        <f t="shared" si="43"/>
        <v>72.599999999999994</v>
      </c>
      <c r="BG56" s="46">
        <f>SUMIFS(SPEW_Pig_iron_production!$V:$V,SPEW_Pig_iron_production!$B:$B,$C56)</f>
        <v>70</v>
      </c>
      <c r="BH56" s="7">
        <f t="shared" si="44"/>
        <v>78.600000000000023</v>
      </c>
      <c r="BI56" s="7">
        <f t="shared" si="45"/>
        <v>87.200000000000017</v>
      </c>
      <c r="BJ56" s="7">
        <f t="shared" si="46"/>
        <v>95.800000000000011</v>
      </c>
      <c r="BK56" s="7">
        <f t="shared" si="47"/>
        <v>104.4</v>
      </c>
      <c r="BL56" s="46">
        <f>SUMIFS(SPEW_Pig_iron_production!$W:$W,SPEW_Pig_iron_production!$B:$B,$C56)</f>
        <v>113</v>
      </c>
      <c r="BM56" s="7">
        <f t="shared" si="48"/>
        <v>130.60000000000002</v>
      </c>
      <c r="BN56" s="7">
        <f t="shared" si="49"/>
        <v>148.20000000000002</v>
      </c>
      <c r="BO56" s="7">
        <f t="shared" si="50"/>
        <v>165.8</v>
      </c>
      <c r="BP56" s="7">
        <f t="shared" si="51"/>
        <v>183.4</v>
      </c>
      <c r="BQ56" s="46">
        <f>SUMIFS(SPEW_Pig_iron_production!$X:$X,SPEW_Pig_iron_production!$B:$B,$C56)</f>
        <v>201</v>
      </c>
      <c r="BR56" s="7">
        <f t="shared" si="52"/>
        <v>210.39999999999998</v>
      </c>
      <c r="BS56" s="7">
        <f t="shared" si="53"/>
        <v>219.79999999999998</v>
      </c>
      <c r="BT56" s="7">
        <f t="shared" si="54"/>
        <v>229.2</v>
      </c>
      <c r="BU56" s="7">
        <f t="shared" si="55"/>
        <v>238.6</v>
      </c>
      <c r="BV56" s="46">
        <f>SUMIFS(SPEW_Pig_iron_production!$Y:$Y,SPEW_Pig_iron_production!$B:$B,$C56)</f>
        <v>248</v>
      </c>
      <c r="BW56" s="7">
        <f t="shared" si="56"/>
        <v>298.40000000000009</v>
      </c>
      <c r="BX56" s="7">
        <f t="shared" si="57"/>
        <v>348.80000000000007</v>
      </c>
      <c r="BY56" s="7">
        <f t="shared" si="58"/>
        <v>399.20000000000005</v>
      </c>
      <c r="BZ56" s="7">
        <f t="shared" si="59"/>
        <v>449.6</v>
      </c>
      <c r="CA56" s="46">
        <f>SUMIFS(SPEW_Pig_iron_production!$Z:$Z,SPEW_Pig_iron_production!$B:$B,$C56)</f>
        <v>500</v>
      </c>
      <c r="CB56" s="7">
        <f t="shared" si="60"/>
        <v>659.6</v>
      </c>
      <c r="CC56" s="7">
        <f t="shared" si="61"/>
        <v>819.2</v>
      </c>
      <c r="CD56" s="7">
        <f t="shared" si="62"/>
        <v>978.80000000000007</v>
      </c>
      <c r="CE56" s="7">
        <f t="shared" si="63"/>
        <v>1138.4000000000001</v>
      </c>
      <c r="CF56" s="46">
        <f>SUMIFS(SPEW_Pig_iron_production!$AA:$AA,SPEW_Pig_iron_production!$B:$B,$C56)</f>
        <v>1298</v>
      </c>
      <c r="CG56" s="7">
        <f t="shared" si="64"/>
        <v>1315.6000000000004</v>
      </c>
      <c r="CH56" s="7">
        <f t="shared" si="65"/>
        <v>1333.2000000000003</v>
      </c>
      <c r="CI56" s="7">
        <f t="shared" si="66"/>
        <v>1350.8000000000002</v>
      </c>
      <c r="CJ56" s="7">
        <f t="shared" si="67"/>
        <v>1368.4</v>
      </c>
      <c r="CK56" s="46">
        <f>SUMIFS(SPEW_Pig_iron_production!$AB:$AB,SPEW_Pig_iron_production!$B:$B,$C56)</f>
        <v>1386</v>
      </c>
      <c r="CL56" s="7">
        <f t="shared" si="68"/>
        <v>1536.8000000000002</v>
      </c>
      <c r="CM56" s="7">
        <f t="shared" si="69"/>
        <v>1687.6000000000001</v>
      </c>
      <c r="CN56" s="7">
        <f t="shared" si="70"/>
        <v>1838.4</v>
      </c>
      <c r="CO56" s="7">
        <f t="shared" si="71"/>
        <v>1989.2</v>
      </c>
      <c r="CP56" s="2">
        <f>[1]Data!B56</f>
        <v>2140</v>
      </c>
      <c r="CQ56" s="2">
        <f>[1]Data!C56</f>
        <v>2050</v>
      </c>
      <c r="CR56" s="2">
        <f>[1]Data!D56</f>
        <v>2174</v>
      </c>
      <c r="CS56" s="2">
        <f>[1]Data!E56</f>
        <v>2719</v>
      </c>
      <c r="CT56" s="2">
        <f>[1]Data!F56</f>
        <v>3272</v>
      </c>
      <c r="CU56" s="2">
        <f>[1]Data!G56</f>
        <v>3603</v>
      </c>
      <c r="CV56" s="2">
        <f>[1]Data!H56</f>
        <v>4142</v>
      </c>
      <c r="CW56" s="2">
        <f>[1]Data!I56</f>
        <v>4556</v>
      </c>
      <c r="CX56" s="2">
        <f>[1]Data!J56</f>
        <v>4963</v>
      </c>
      <c r="CY56" s="2">
        <f>[1]Data!K56</f>
        <v>4037</v>
      </c>
      <c r="CZ56" s="2">
        <f>[1]Data!L56</f>
        <v>5367</v>
      </c>
      <c r="DA56" s="2">
        <f>[1]Data!M56</f>
        <v>5154</v>
      </c>
      <c r="DB56" s="2">
        <f>[1]Data!N56</f>
        <v>5059</v>
      </c>
      <c r="DC56" s="2">
        <f>[1]Data!O56</f>
        <v>4931</v>
      </c>
      <c r="DD56" s="2">
        <f>[1]Data!P56</f>
        <v>4604</v>
      </c>
      <c r="DE56" s="2">
        <f>[1]Data!Q56</f>
        <v>4403</v>
      </c>
      <c r="DF56" s="2">
        <f>[1]Data!R56</f>
        <v>5253</v>
      </c>
      <c r="DG56" s="2">
        <f>[1]Data!S56</f>
        <v>5565</v>
      </c>
      <c r="DH56" s="2">
        <f>[1]Data!T56</f>
        <v>5286</v>
      </c>
      <c r="DI56" s="2">
        <f>[1]Data!U56</f>
        <v>5181</v>
      </c>
      <c r="DJ56" s="2">
        <f>[1]Data!V56</f>
        <v>5333</v>
      </c>
      <c r="DK56" s="2">
        <f>[1]Data!W56</f>
        <v>5289</v>
      </c>
      <c r="DL56" s="2">
        <f>[1]Data!X56</f>
        <v>5003</v>
      </c>
      <c r="DM56" s="2">
        <f>[1]Data!Y56</f>
        <v>5706</v>
      </c>
      <c r="DN56" s="2">
        <f>[1]Data!Z56</f>
        <v>5836</v>
      </c>
      <c r="DO56" s="2">
        <f>[1]Data!AA56</f>
        <v>5970</v>
      </c>
      <c r="DP56" s="2">
        <f>[1]Data!AB56</f>
        <v>5952</v>
      </c>
      <c r="DQ56" s="2">
        <f>[1]Data!AC56</f>
        <v>6235</v>
      </c>
      <c r="DR56" s="2">
        <f>[1]Data!AD56</f>
        <v>6704</v>
      </c>
      <c r="DS56" s="2">
        <f>[1]Data!AE56</f>
        <v>7004</v>
      </c>
      <c r="DT56" s="2">
        <f>[1]Data!AF56</f>
        <v>7679</v>
      </c>
      <c r="DU56" s="2">
        <f>[1]Data!AG56</f>
        <v>8173</v>
      </c>
      <c r="DV56" s="2">
        <f>[1]Data!AH56</f>
        <v>8613</v>
      </c>
      <c r="DW56" s="2">
        <f>[1]Data!AI56</f>
        <v>9180</v>
      </c>
      <c r="DX56" s="2">
        <v>9364</v>
      </c>
      <c r="DY56" s="2">
        <f>[4]Data!AK56</f>
        <v>10184</v>
      </c>
      <c r="DZ56" s="2">
        <f>[4]Data!AL56</f>
        <v>10304</v>
      </c>
      <c r="EA56" s="2">
        <f>[4]Data!AM56</f>
        <v>10589</v>
      </c>
    </row>
    <row r="57" spans="1:131" ht="16" x14ac:dyDescent="0.2">
      <c r="A57" t="s">
        <v>55</v>
      </c>
      <c r="C57" s="9" t="s">
        <v>130</v>
      </c>
      <c r="D57" s="46"/>
      <c r="E57" s="7">
        <f t="shared" si="0"/>
        <v>0</v>
      </c>
      <c r="F57" s="7">
        <f t="shared" si="1"/>
        <v>0</v>
      </c>
      <c r="G57" s="7">
        <f t="shared" si="2"/>
        <v>0</v>
      </c>
      <c r="H57" s="7">
        <f t="shared" si="3"/>
        <v>0</v>
      </c>
      <c r="I57" s="46"/>
      <c r="J57" s="7">
        <f t="shared" si="4"/>
        <v>0</v>
      </c>
      <c r="K57" s="7">
        <f t="shared" si="5"/>
        <v>0</v>
      </c>
      <c r="L57" s="7">
        <f t="shared" si="6"/>
        <v>0</v>
      </c>
      <c r="M57" s="7">
        <f t="shared" si="7"/>
        <v>0</v>
      </c>
      <c r="N57" s="46"/>
      <c r="O57" s="7">
        <f t="shared" si="8"/>
        <v>0</v>
      </c>
      <c r="P57" s="7">
        <f t="shared" si="9"/>
        <v>0</v>
      </c>
      <c r="Q57" s="7">
        <f t="shared" si="10"/>
        <v>0</v>
      </c>
      <c r="R57" s="7">
        <f t="shared" si="11"/>
        <v>0</v>
      </c>
      <c r="S57" s="46"/>
      <c r="T57" s="7">
        <f t="shared" si="12"/>
        <v>0</v>
      </c>
      <c r="U57" s="7">
        <f t="shared" si="13"/>
        <v>0</v>
      </c>
      <c r="V57" s="7">
        <f t="shared" si="14"/>
        <v>0</v>
      </c>
      <c r="W57" s="7">
        <f t="shared" si="15"/>
        <v>0</v>
      </c>
      <c r="X57" s="46"/>
      <c r="Y57" s="7">
        <f t="shared" si="16"/>
        <v>0</v>
      </c>
      <c r="Z57" s="7">
        <f t="shared" si="17"/>
        <v>0</v>
      </c>
      <c r="AA57" s="7">
        <f t="shared" si="18"/>
        <v>0</v>
      </c>
      <c r="AB57" s="7">
        <f t="shared" si="19"/>
        <v>0</v>
      </c>
      <c r="AC57" s="46"/>
      <c r="AD57" s="7">
        <f t="shared" si="20"/>
        <v>0</v>
      </c>
      <c r="AE57" s="7">
        <f t="shared" si="21"/>
        <v>0</v>
      </c>
      <c r="AF57" s="7">
        <f t="shared" si="22"/>
        <v>0</v>
      </c>
      <c r="AG57" s="7">
        <f t="shared" si="23"/>
        <v>0</v>
      </c>
      <c r="AH57" s="46"/>
      <c r="AI57" s="7">
        <f t="shared" si="24"/>
        <v>0</v>
      </c>
      <c r="AJ57" s="7">
        <f t="shared" si="25"/>
        <v>0</v>
      </c>
      <c r="AK57" s="7">
        <f t="shared" si="26"/>
        <v>0</v>
      </c>
      <c r="AL57" s="7">
        <f t="shared" si="27"/>
        <v>0</v>
      </c>
      <c r="AM57" s="46">
        <f>SUMIFS(SPEW_Pig_iron_production!$R:$R,SPEW_Pig_iron_production!$B:$B,$C57)</f>
        <v>0</v>
      </c>
      <c r="AN57" s="7">
        <f t="shared" si="28"/>
        <v>0</v>
      </c>
      <c r="AO57" s="7">
        <f t="shared" si="29"/>
        <v>0</v>
      </c>
      <c r="AP57" s="7">
        <f t="shared" si="30"/>
        <v>0</v>
      </c>
      <c r="AQ57" s="7">
        <f t="shared" si="31"/>
        <v>0</v>
      </c>
      <c r="AR57" s="46">
        <f>SUMIFS(SPEW_Pig_iron_production!$S:$S,SPEW_Pig_iron_production!$B:$B,$C57)</f>
        <v>0</v>
      </c>
      <c r="AS57" s="7">
        <f t="shared" si="32"/>
        <v>0</v>
      </c>
      <c r="AT57" s="7">
        <f t="shared" si="33"/>
        <v>0</v>
      </c>
      <c r="AU57" s="7">
        <f t="shared" si="34"/>
        <v>0</v>
      </c>
      <c r="AV57" s="7">
        <f t="shared" si="35"/>
        <v>0</v>
      </c>
      <c r="AW57" s="46">
        <f>SUMIFS(SPEW_Pig_iron_production!$T:$T,SPEW_Pig_iron_production!$B:$B,$C57)</f>
        <v>0</v>
      </c>
      <c r="AX57" s="7">
        <f t="shared" si="36"/>
        <v>0</v>
      </c>
      <c r="AY57" s="7">
        <f t="shared" si="37"/>
        <v>0</v>
      </c>
      <c r="AZ57" s="7">
        <f t="shared" si="38"/>
        <v>0</v>
      </c>
      <c r="BA57" s="7">
        <f t="shared" si="39"/>
        <v>0</v>
      </c>
      <c r="BB57" s="46">
        <f>SUMIFS(SPEW_Pig_iron_production!$U:$U,SPEW_Pig_iron_production!$B:$B,$C57)</f>
        <v>0</v>
      </c>
      <c r="BC57" s="7">
        <f t="shared" si="40"/>
        <v>0</v>
      </c>
      <c r="BD57" s="7">
        <f t="shared" si="41"/>
        <v>0</v>
      </c>
      <c r="BE57" s="7">
        <f t="shared" si="42"/>
        <v>0</v>
      </c>
      <c r="BF57" s="7">
        <f t="shared" si="43"/>
        <v>0</v>
      </c>
      <c r="BG57" s="46">
        <f>SUMIFS(SPEW_Pig_iron_production!$V:$V,SPEW_Pig_iron_production!$B:$B,$C57)</f>
        <v>0</v>
      </c>
      <c r="BH57" s="7">
        <f t="shared" si="44"/>
        <v>0</v>
      </c>
      <c r="BI57" s="7">
        <f t="shared" si="45"/>
        <v>0</v>
      </c>
      <c r="BJ57" s="7">
        <f t="shared" si="46"/>
        <v>0</v>
      </c>
      <c r="BK57" s="7">
        <f t="shared" si="47"/>
        <v>0</v>
      </c>
      <c r="BL57" s="46">
        <f>SUMIFS(SPEW_Pig_iron_production!$W:$W,SPEW_Pig_iron_production!$B:$B,$C57)</f>
        <v>0</v>
      </c>
      <c r="BM57" s="7">
        <f t="shared" si="48"/>
        <v>0</v>
      </c>
      <c r="BN57" s="7">
        <f t="shared" si="49"/>
        <v>0</v>
      </c>
      <c r="BO57" s="7">
        <f t="shared" si="50"/>
        <v>0</v>
      </c>
      <c r="BP57" s="7">
        <f t="shared" si="51"/>
        <v>0</v>
      </c>
      <c r="BQ57" s="46">
        <f>SUMIFS(SPEW_Pig_iron_production!$X:$X,SPEW_Pig_iron_production!$B:$B,$C57)</f>
        <v>0</v>
      </c>
      <c r="BR57" s="7">
        <f t="shared" si="52"/>
        <v>0</v>
      </c>
      <c r="BS57" s="7">
        <f t="shared" si="53"/>
        <v>0</v>
      </c>
      <c r="BT57" s="7">
        <f t="shared" si="54"/>
        <v>0</v>
      </c>
      <c r="BU57" s="7">
        <f t="shared" si="55"/>
        <v>0</v>
      </c>
      <c r="BV57" s="46">
        <f>SUMIFS(SPEW_Pig_iron_production!$Y:$Y,SPEW_Pig_iron_production!$B:$B,$C57)</f>
        <v>0</v>
      </c>
      <c r="BW57" s="7">
        <f t="shared" si="56"/>
        <v>0</v>
      </c>
      <c r="BX57" s="7">
        <f t="shared" si="57"/>
        <v>0</v>
      </c>
      <c r="BY57" s="7">
        <f t="shared" si="58"/>
        <v>0</v>
      </c>
      <c r="BZ57" s="7">
        <f t="shared" si="59"/>
        <v>0</v>
      </c>
      <c r="CA57" s="46">
        <f>SUMIFS(SPEW_Pig_iron_production!$Z:$Z,SPEW_Pig_iron_production!$B:$B,$C57)</f>
        <v>0</v>
      </c>
      <c r="CB57" s="7">
        <f t="shared" si="60"/>
        <v>0</v>
      </c>
      <c r="CC57" s="7">
        <f t="shared" si="61"/>
        <v>0</v>
      </c>
      <c r="CD57" s="7">
        <f t="shared" si="62"/>
        <v>0</v>
      </c>
      <c r="CE57" s="7">
        <f t="shared" si="63"/>
        <v>0</v>
      </c>
      <c r="CF57" s="46">
        <f>SUMIFS(SPEW_Pig_iron_production!$AA:$AA,SPEW_Pig_iron_production!$B:$B,$C57)</f>
        <v>0</v>
      </c>
      <c r="CG57" s="7">
        <f t="shared" si="64"/>
        <v>0</v>
      </c>
      <c r="CH57" s="7">
        <f t="shared" si="65"/>
        <v>0</v>
      </c>
      <c r="CI57" s="7">
        <f t="shared" si="66"/>
        <v>0</v>
      </c>
      <c r="CJ57" s="7">
        <f t="shared" si="67"/>
        <v>0</v>
      </c>
      <c r="CK57" s="46">
        <f>SUMIFS(SPEW_Pig_iron_production!$AB:$AB,SPEW_Pig_iron_production!$B:$B,$C57)</f>
        <v>0</v>
      </c>
      <c r="CL57" s="7">
        <f t="shared" si="68"/>
        <v>0</v>
      </c>
      <c r="CM57" s="7">
        <f t="shared" si="69"/>
        <v>0</v>
      </c>
      <c r="CN57" s="7">
        <f t="shared" si="70"/>
        <v>0</v>
      </c>
      <c r="CO57" s="7">
        <f t="shared" si="71"/>
        <v>0</v>
      </c>
      <c r="CP57" s="2">
        <f>[1]Data!B57</f>
        <v>0</v>
      </c>
      <c r="CQ57" s="2">
        <f>[1]Data!C57</f>
        <v>0</v>
      </c>
      <c r="CR57" s="2">
        <f>[1]Data!D57</f>
        <v>0</v>
      </c>
      <c r="CS57" s="2">
        <f>[1]Data!E57</f>
        <v>0</v>
      </c>
      <c r="CT57" s="2">
        <f>[1]Data!F57</f>
        <v>0</v>
      </c>
      <c r="CU57" s="2">
        <f>[1]Data!G57</f>
        <v>0</v>
      </c>
      <c r="CV57" s="2">
        <f>[1]Data!H57</f>
        <v>0</v>
      </c>
      <c r="CW57" s="2">
        <f>[1]Data!I57</f>
        <v>0</v>
      </c>
      <c r="CX57" s="2">
        <f>[1]Data!J57</f>
        <v>0</v>
      </c>
      <c r="CY57" s="2">
        <f>[1]Data!K57</f>
        <v>0</v>
      </c>
      <c r="CZ57" s="2">
        <f>[1]Data!L57</f>
        <v>0</v>
      </c>
      <c r="DA57" s="2">
        <f>[1]Data!M57</f>
        <v>0</v>
      </c>
      <c r="DB57" s="2">
        <f>[1]Data!N57</f>
        <v>35162</v>
      </c>
      <c r="DC57" s="2">
        <f>[1]Data!O57</f>
        <v>27022</v>
      </c>
      <c r="DD57" s="2">
        <f>[1]Data!P57</f>
        <v>20084</v>
      </c>
      <c r="DE57" s="2">
        <f>[1]Data!Q57</f>
        <v>17904</v>
      </c>
      <c r="DF57" s="2">
        <f>[1]Data!R57</f>
        <v>17698</v>
      </c>
      <c r="DG57" s="2">
        <f>[1]Data!S57</f>
        <v>20496</v>
      </c>
      <c r="DH57" s="2">
        <f>[1]Data!T57</f>
        <v>20777</v>
      </c>
      <c r="DI57" s="2">
        <f>[1]Data!U57</f>
        <v>21937</v>
      </c>
      <c r="DJ57" s="2">
        <f>[1]Data!V57</f>
        <v>25697</v>
      </c>
      <c r="DK57" s="2">
        <f>[1]Data!W57</f>
        <v>26364</v>
      </c>
      <c r="DL57" s="2">
        <f>[1]Data!X57</f>
        <v>27634</v>
      </c>
      <c r="DM57" s="2">
        <f>[1]Data!Y57</f>
        <v>29528</v>
      </c>
      <c r="DN57" s="2">
        <f>[1]Data!Z57</f>
        <v>31056</v>
      </c>
      <c r="DO57" s="2">
        <f>[1]Data!AA57</f>
        <v>30782</v>
      </c>
      <c r="DP57" s="2">
        <f>[1]Data!AB57</f>
        <v>32950</v>
      </c>
      <c r="DQ57" s="2">
        <f>[1]Data!AC57</f>
        <v>35647</v>
      </c>
      <c r="DR57" s="2">
        <f>[1]Data!AD57</f>
        <v>30981</v>
      </c>
      <c r="DS57" s="2">
        <f>[1]Data!AE57</f>
        <v>25676</v>
      </c>
      <c r="DT57" s="2">
        <f>[1]Data!AF57</f>
        <v>27349</v>
      </c>
      <c r="DU57" s="2">
        <f>[1]Data!AG57</f>
        <v>28867</v>
      </c>
      <c r="DV57" s="2">
        <f>[1]Data!AH57</f>
        <v>28500</v>
      </c>
      <c r="DW57" s="2">
        <f>[1]Data!AI57</f>
        <v>29094</v>
      </c>
      <c r="DX57" s="2">
        <v>24788</v>
      </c>
      <c r="DY57" s="2">
        <f>[4]Data!AK57</f>
        <v>21797</v>
      </c>
      <c r="DZ57" s="2">
        <f>[4]Data!AL57</f>
        <v>23618</v>
      </c>
      <c r="EA57" s="2">
        <f>[4]Data!AM57</f>
        <v>20123</v>
      </c>
    </row>
    <row r="58" spans="1:131" ht="16" x14ac:dyDescent="0.2">
      <c r="A58" t="s">
        <v>56</v>
      </c>
      <c r="B58" s="15" t="s">
        <v>286</v>
      </c>
      <c r="C58" s="9" t="s">
        <v>131</v>
      </c>
      <c r="D58" s="46">
        <f>SUMIFS(Hyde_iron!$C$34:$C$48,Hyde_iron!$B$34:$B$48,$B58)*I58/SUMIFS(I$3:I$63,$B$3:$B$63,$B58)</f>
        <v>3110.7572852039857</v>
      </c>
      <c r="E58" s="7">
        <f t="shared" si="0"/>
        <v>3191.5349564454464</v>
      </c>
      <c r="F58" s="7">
        <f t="shared" si="1"/>
        <v>3272.3126276869079</v>
      </c>
      <c r="G58" s="7">
        <f t="shared" si="2"/>
        <v>3353.0902989283695</v>
      </c>
      <c r="H58" s="7">
        <f t="shared" si="3"/>
        <v>3433.8679701698311</v>
      </c>
      <c r="I58" s="46">
        <f>SUMIFS(Hyde_iron!$D$34:$D$48,Hyde_iron!$B$34:$B$48,$B58)*N58/SUMIFS(N$3:N$63,$B$3:$B$63,$B58)</f>
        <v>3514.6456414112927</v>
      </c>
      <c r="J58" s="7">
        <f t="shared" si="4"/>
        <v>3657.8297424327884</v>
      </c>
      <c r="K58" s="7">
        <f t="shared" si="5"/>
        <v>3801.0138434542837</v>
      </c>
      <c r="L58" s="7">
        <f t="shared" si="6"/>
        <v>3944.197944475779</v>
      </c>
      <c r="M58" s="7">
        <f t="shared" si="7"/>
        <v>4087.3820454972742</v>
      </c>
      <c r="N58" s="46">
        <f>SUMIFS(Hyde_iron!$E$34:$E$48,Hyde_iron!$B$34:$B$48,$B58)*S58/SUMIFS(S$3:S$63,$B$3:$B$63,$B58)</f>
        <v>4230.5661465187695</v>
      </c>
      <c r="O58" s="7">
        <f t="shared" si="8"/>
        <v>4467.0012345679006</v>
      </c>
      <c r="P58" s="7">
        <f t="shared" si="9"/>
        <v>4703.4363226170326</v>
      </c>
      <c r="Q58" s="7">
        <f t="shared" si="10"/>
        <v>4939.8714106661646</v>
      </c>
      <c r="R58" s="7">
        <f t="shared" si="11"/>
        <v>5176.3064987152966</v>
      </c>
      <c r="S58" s="46">
        <f>SUMIFS(Hyde_iron!$F$34:$F$48,Hyde_iron!$B$34:$B$48,$B58)*X58/SUMIFS(X$3:X$63,$B$3:$B$63,$B58)</f>
        <v>5412.7415867644286</v>
      </c>
      <c r="T58" s="7">
        <f t="shared" si="12"/>
        <v>5545.8035721000188</v>
      </c>
      <c r="U58" s="7">
        <f t="shared" si="13"/>
        <v>5678.865557435608</v>
      </c>
      <c r="V58" s="7">
        <f t="shared" si="14"/>
        <v>5811.9275427711973</v>
      </c>
      <c r="W58" s="7">
        <f t="shared" si="15"/>
        <v>5944.9895281067866</v>
      </c>
      <c r="X58" s="46">
        <f>SUMIFS(Hyde_iron!$G$34:$G$48,Hyde_iron!$B$34:$B$48,$B58)*AC58/SUMIFS(AC$3:AC$63,$B$3:$B$63,$B58)</f>
        <v>6078.0515134423758</v>
      </c>
      <c r="Y58" s="7">
        <f t="shared" si="16"/>
        <v>5832.331177539636</v>
      </c>
      <c r="Z58" s="7">
        <f t="shared" si="17"/>
        <v>5586.6108416368979</v>
      </c>
      <c r="AA58" s="7">
        <f t="shared" si="18"/>
        <v>5340.8905057341599</v>
      </c>
      <c r="AB58" s="7">
        <f t="shared" si="19"/>
        <v>5095.1701698314218</v>
      </c>
      <c r="AC58" s="46">
        <f>SUMIFS(Hyde_iron!$H$34:$H$48,Hyde_iron!$B$34:$B$48,$B58)*AH58/SUMIFS(AH$3:AH$63,$B$3:$B$63,$B58)</f>
        <v>4849.4498339286838</v>
      </c>
      <c r="AD58" s="7">
        <f t="shared" si="20"/>
        <v>4729.2995237199993</v>
      </c>
      <c r="AE58" s="7">
        <f t="shared" si="21"/>
        <v>4609.1492135113131</v>
      </c>
      <c r="AF58" s="7">
        <f t="shared" si="22"/>
        <v>4488.9989033026268</v>
      </c>
      <c r="AG58" s="7">
        <f t="shared" si="23"/>
        <v>4368.8485930939405</v>
      </c>
      <c r="AH58" s="46">
        <f>SUMIFS(Hyde_iron!$I$34:$I$48,Hyde_iron!$B$34:$B$48,$B58)*AM58/SUMIFS(AM$3:AM$63,$B$3:$B$63,$B58)</f>
        <v>4248.6982828852542</v>
      </c>
      <c r="AI58" s="7">
        <f t="shared" si="24"/>
        <v>4670.7586263082048</v>
      </c>
      <c r="AJ58" s="7">
        <f t="shared" si="25"/>
        <v>5092.8189697311536</v>
      </c>
      <c r="AK58" s="7">
        <f t="shared" si="26"/>
        <v>5514.8793131541024</v>
      </c>
      <c r="AL58" s="7">
        <f t="shared" si="27"/>
        <v>5936.9396565770512</v>
      </c>
      <c r="AM58" s="46">
        <f>SUMIFS(SPEW_Pig_iron_production!$R:$R,SPEW_Pig_iron_production!$B:$B,$C58)</f>
        <v>6359</v>
      </c>
      <c r="AN58" s="7">
        <f t="shared" si="28"/>
        <v>6344.7999999999993</v>
      </c>
      <c r="AO58" s="7">
        <f t="shared" si="29"/>
        <v>6330.5999999999995</v>
      </c>
      <c r="AP58" s="7">
        <f t="shared" si="30"/>
        <v>6316.4</v>
      </c>
      <c r="AQ58" s="7">
        <f t="shared" si="31"/>
        <v>6302.2</v>
      </c>
      <c r="AR58" s="46">
        <f>SUMIFS(SPEW_Pig_iron_production!$S:$S,SPEW_Pig_iron_production!$B:$B,$C58)</f>
        <v>6288</v>
      </c>
      <c r="AS58" s="7">
        <f t="shared" si="32"/>
        <v>6334.7999999999993</v>
      </c>
      <c r="AT58" s="7">
        <f t="shared" si="33"/>
        <v>6381.5999999999995</v>
      </c>
      <c r="AU58" s="7">
        <f t="shared" si="34"/>
        <v>6428.4</v>
      </c>
      <c r="AV58" s="7">
        <f t="shared" si="35"/>
        <v>6475.2</v>
      </c>
      <c r="AW58" s="46">
        <f>SUMIFS(SPEW_Pig_iron_production!$T:$T,SPEW_Pig_iron_production!$B:$B,$C58)</f>
        <v>6522</v>
      </c>
      <c r="AX58" s="7">
        <f t="shared" si="36"/>
        <v>6904</v>
      </c>
      <c r="AY58" s="7">
        <f t="shared" si="37"/>
        <v>7286</v>
      </c>
      <c r="AZ58" s="7">
        <f t="shared" si="38"/>
        <v>7668</v>
      </c>
      <c r="BA58" s="7">
        <f t="shared" si="39"/>
        <v>8050</v>
      </c>
      <c r="BB58" s="46">
        <f>SUMIFS(SPEW_Pig_iron_production!$U:$U,SPEW_Pig_iron_production!$B:$B,$C58)</f>
        <v>8432</v>
      </c>
      <c r="BC58" s="7">
        <f t="shared" si="40"/>
        <v>8189.7999999999993</v>
      </c>
      <c r="BD58" s="7">
        <f t="shared" si="41"/>
        <v>7947.5999999999995</v>
      </c>
      <c r="BE58" s="7">
        <f t="shared" si="42"/>
        <v>7705.4</v>
      </c>
      <c r="BF58" s="7">
        <f t="shared" si="43"/>
        <v>7463.2</v>
      </c>
      <c r="BG58" s="46">
        <f>SUMIFS(SPEW_Pig_iron_production!$V:$V,SPEW_Pig_iron_production!$B:$B,$C58)</f>
        <v>7221</v>
      </c>
      <c r="BH58" s="7">
        <f t="shared" si="44"/>
        <v>7734</v>
      </c>
      <c r="BI58" s="7">
        <f t="shared" si="45"/>
        <v>8247</v>
      </c>
      <c r="BJ58" s="7">
        <f t="shared" si="46"/>
        <v>8760</v>
      </c>
      <c r="BK58" s="7">
        <f t="shared" si="47"/>
        <v>9273</v>
      </c>
      <c r="BL58" s="46">
        <f>SUMIFS(SPEW_Pig_iron_production!$W:$W,SPEW_Pig_iron_production!$B:$B,$C58)</f>
        <v>9786</v>
      </c>
      <c r="BM58" s="7">
        <f t="shared" si="48"/>
        <v>10362.400000000001</v>
      </c>
      <c r="BN58" s="7">
        <f t="shared" si="49"/>
        <v>10938.800000000001</v>
      </c>
      <c r="BO58" s="7">
        <f t="shared" si="50"/>
        <v>11515.2</v>
      </c>
      <c r="BP58" s="7">
        <f t="shared" si="51"/>
        <v>12091.6</v>
      </c>
      <c r="BQ58" s="46">
        <f>SUMIFS(SPEW_Pig_iron_production!$X:$X,SPEW_Pig_iron_production!$B:$B,$C58)</f>
        <v>12668</v>
      </c>
      <c r="BR58" s="7">
        <f t="shared" si="52"/>
        <v>13337.199999999997</v>
      </c>
      <c r="BS58" s="7">
        <f t="shared" si="53"/>
        <v>14006.399999999998</v>
      </c>
      <c r="BT58" s="7">
        <f t="shared" si="54"/>
        <v>14675.599999999999</v>
      </c>
      <c r="BU58" s="7">
        <f t="shared" si="55"/>
        <v>15344.8</v>
      </c>
      <c r="BV58" s="46">
        <f>SUMIFS(SPEW_Pig_iron_production!$Y:$Y,SPEW_Pig_iron_production!$B:$B,$C58)</f>
        <v>16014</v>
      </c>
      <c r="BW58" s="7">
        <f t="shared" si="56"/>
        <v>16359</v>
      </c>
      <c r="BX58" s="7">
        <f t="shared" si="57"/>
        <v>16704</v>
      </c>
      <c r="BY58" s="7">
        <f t="shared" si="58"/>
        <v>17049</v>
      </c>
      <c r="BZ58" s="7">
        <f t="shared" si="59"/>
        <v>17394</v>
      </c>
      <c r="CA58" s="46">
        <f>SUMIFS(SPEW_Pig_iron_production!$Z:$Z,SPEW_Pig_iron_production!$B:$B,$C58)</f>
        <v>17739</v>
      </c>
      <c r="CB58" s="7">
        <f t="shared" si="60"/>
        <v>17725</v>
      </c>
      <c r="CC58" s="7">
        <f t="shared" si="61"/>
        <v>17711</v>
      </c>
      <c r="CD58" s="7">
        <f t="shared" si="62"/>
        <v>17697</v>
      </c>
      <c r="CE58" s="7">
        <f t="shared" si="63"/>
        <v>17683</v>
      </c>
      <c r="CF58" s="46">
        <f>SUMIFS(SPEW_Pig_iron_production!$AA:$AA,SPEW_Pig_iron_production!$B:$B,$C58)</f>
        <v>17669</v>
      </c>
      <c r="CG58" s="7">
        <f t="shared" si="64"/>
        <v>16561</v>
      </c>
      <c r="CH58" s="7">
        <f t="shared" si="65"/>
        <v>15453</v>
      </c>
      <c r="CI58" s="7">
        <f t="shared" si="66"/>
        <v>14345</v>
      </c>
      <c r="CJ58" s="7">
        <f t="shared" si="67"/>
        <v>13237</v>
      </c>
      <c r="CK58" s="46">
        <f>SUMIFS(SPEW_Pig_iron_production!$AB:$AB,SPEW_Pig_iron_production!$B:$B,$C58)</f>
        <v>12129</v>
      </c>
      <c r="CL58" s="7">
        <f t="shared" si="68"/>
        <v>10956</v>
      </c>
      <c r="CM58" s="7">
        <f t="shared" si="69"/>
        <v>9783</v>
      </c>
      <c r="CN58" s="7">
        <f t="shared" si="70"/>
        <v>8610</v>
      </c>
      <c r="CO58" s="7">
        <f t="shared" si="71"/>
        <v>7437</v>
      </c>
      <c r="CP58" s="2">
        <f>[1]Data!B58</f>
        <v>6264</v>
      </c>
      <c r="CQ58" s="2">
        <f>[1]Data!C58</f>
        <v>9470</v>
      </c>
      <c r="CR58" s="2">
        <f>[1]Data!D58</f>
        <v>8327</v>
      </c>
      <c r="CS58" s="2">
        <f>[1]Data!E58</f>
        <v>9477</v>
      </c>
      <c r="CT58" s="2">
        <f>[1]Data!F58</f>
        <v>9487</v>
      </c>
      <c r="CU58" s="2">
        <f>[1]Data!G58</f>
        <v>10381</v>
      </c>
      <c r="CV58" s="2">
        <f>[1]Data!H58</f>
        <v>9686</v>
      </c>
      <c r="CW58" s="2">
        <f>[1]Data!I58</f>
        <v>12017</v>
      </c>
      <c r="CX58" s="2">
        <f>[1]Data!J58</f>
        <v>13056</v>
      </c>
      <c r="CY58" s="2">
        <f>[1]Data!K58</f>
        <v>12638</v>
      </c>
      <c r="CZ58" s="2">
        <f>[1]Data!L58</f>
        <v>12319</v>
      </c>
      <c r="DA58" s="2">
        <f>[1]Data!M58</f>
        <v>11883</v>
      </c>
      <c r="DB58" s="2">
        <f>[1]Data!N58</f>
        <v>11542</v>
      </c>
      <c r="DC58" s="2">
        <f>[1]Data!O58</f>
        <v>11534</v>
      </c>
      <c r="DD58" s="2">
        <f>[1]Data!P58</f>
        <v>11943</v>
      </c>
      <c r="DE58" s="2">
        <f>[1]Data!Q58</f>
        <v>12236</v>
      </c>
      <c r="DF58" s="2">
        <f>[1]Data!R58</f>
        <v>12830</v>
      </c>
      <c r="DG58" s="2">
        <f>[1]Data!S58</f>
        <v>13054</v>
      </c>
      <c r="DH58" s="2">
        <f>[1]Data!T58</f>
        <v>12746</v>
      </c>
      <c r="DI58" s="2">
        <f>[1]Data!U58</f>
        <v>12139</v>
      </c>
      <c r="DJ58" s="2">
        <f>[1]Data!V58</f>
        <v>10890</v>
      </c>
      <c r="DK58" s="2">
        <f>[1]Data!W58</f>
        <v>9870</v>
      </c>
      <c r="DL58" s="2">
        <f>[1]Data!X58</f>
        <v>8561</v>
      </c>
      <c r="DM58" s="2">
        <f>[1]Data!Y58</f>
        <v>10228</v>
      </c>
      <c r="DN58" s="2">
        <f>[1]Data!Z58</f>
        <v>10180</v>
      </c>
      <c r="DO58" s="2">
        <f>[1]Data!AA58</f>
        <v>10189</v>
      </c>
      <c r="DP58" s="2">
        <f>[1]Data!AB58</f>
        <v>10696</v>
      </c>
      <c r="DQ58" s="2">
        <f>[1]Data!AC58</f>
        <v>10960</v>
      </c>
      <c r="DR58" s="2">
        <f>[1]Data!AD58</f>
        <v>10137</v>
      </c>
      <c r="DS58" s="2">
        <f>[1]Data!AE58</f>
        <v>7671</v>
      </c>
      <c r="DT58" s="2">
        <f>[1]Data!AF58</f>
        <v>7233</v>
      </c>
      <c r="DU58" s="2">
        <f>[1]Data!AG58</f>
        <v>6625</v>
      </c>
      <c r="DV58" s="2">
        <f>[1]Data!AH58</f>
        <v>7183</v>
      </c>
      <c r="DW58" s="2">
        <f>[1]Data!AI58</f>
        <v>9471</v>
      </c>
      <c r="DX58" s="2">
        <v>9705</v>
      </c>
      <c r="DY58" s="2">
        <f>[4]Data!AK58</f>
        <v>8774</v>
      </c>
      <c r="DZ58" s="2">
        <f>[4]Data!AL58</f>
        <v>6142</v>
      </c>
      <c r="EA58" s="2">
        <f>[4]Data!AM58</f>
        <v>5996</v>
      </c>
    </row>
    <row r="59" spans="1:131" ht="16" x14ac:dyDescent="0.2">
      <c r="A59" t="s">
        <v>57</v>
      </c>
      <c r="C59" s="9" t="s">
        <v>132</v>
      </c>
      <c r="D59" s="46">
        <f>Hyde_iron!$C$37</f>
        <v>9350</v>
      </c>
      <c r="E59" s="7">
        <f t="shared" si="0"/>
        <v>9399.5999999999985</v>
      </c>
      <c r="F59" s="7">
        <f t="shared" si="1"/>
        <v>9449.1999999999989</v>
      </c>
      <c r="G59" s="7">
        <f t="shared" si="2"/>
        <v>9498.7999999999993</v>
      </c>
      <c r="H59" s="7">
        <f t="shared" si="3"/>
        <v>9548.4</v>
      </c>
      <c r="I59" s="46">
        <f>Hyde_iron!$D$37</f>
        <v>9598</v>
      </c>
      <c r="J59" s="7">
        <f t="shared" si="4"/>
        <v>10318.400000000001</v>
      </c>
      <c r="K59" s="7">
        <f t="shared" si="5"/>
        <v>11038.800000000001</v>
      </c>
      <c r="L59" s="7">
        <f t="shared" si="6"/>
        <v>11759.2</v>
      </c>
      <c r="M59" s="7">
        <f t="shared" si="7"/>
        <v>12479.6</v>
      </c>
      <c r="N59" s="2">
        <f>LOOKUP(N$3,'[2]Pig Iron'!$A$7:$A$120,'[2]Pig Iron'!$B$7:$B$120)/1000</f>
        <v>13200</v>
      </c>
      <c r="O59" s="2">
        <f>LOOKUP(O$3,'[2]Pig Iron'!$A$7:$A$120,'[2]Pig Iron'!$B$7:$B$120)/1000</f>
        <v>15900</v>
      </c>
      <c r="P59" s="2">
        <f>LOOKUP(P$3,'[2]Pig Iron'!$A$7:$A$120,'[2]Pig Iron'!$B$7:$B$120)/1000</f>
        <v>17800</v>
      </c>
      <c r="Q59" s="2">
        <f>LOOKUP(Q$3,'[2]Pig Iron'!$A$7:$A$120,'[2]Pig Iron'!$B$7:$B$120)/1000</f>
        <v>18000</v>
      </c>
      <c r="R59" s="2">
        <f>LOOKUP(R$3,'[2]Pig Iron'!$A$7:$A$120,'[2]Pig Iron'!$B$7:$B$120)/1000</f>
        <v>16500</v>
      </c>
      <c r="S59" s="2">
        <f>LOOKUP(S$3,'[2]Pig Iron'!$A$7:$A$120,'[2]Pig Iron'!$B$7:$B$120)/1000</f>
        <v>23000</v>
      </c>
      <c r="T59" s="2">
        <f>LOOKUP(T$3,'[2]Pig Iron'!$A$7:$A$120,'[2]Pig Iron'!$B$7:$B$120)/1000</f>
        <v>25300</v>
      </c>
      <c r="U59" s="2">
        <f>LOOKUP(U$3,'[2]Pig Iron'!$A$7:$A$120,'[2]Pig Iron'!$B$7:$B$120)/1000</f>
        <v>25200</v>
      </c>
      <c r="V59" s="2">
        <f>LOOKUP(V$3,'[2]Pig Iron'!$A$7:$A$120,'[2]Pig Iron'!$B$7:$B$120)/1000</f>
        <v>15900</v>
      </c>
      <c r="W59" s="2">
        <f>LOOKUP(W$3,'[2]Pig Iron'!$A$7:$A$120,'[2]Pig Iron'!$B$7:$B$120)/1000</f>
        <v>25800</v>
      </c>
      <c r="X59" s="2">
        <f>LOOKUP(X$3,'[2]Pig Iron'!$A$7:$A$120,'[2]Pig Iron'!$B$7:$B$120)/1000</f>
        <v>27100</v>
      </c>
      <c r="Y59" s="2">
        <f>LOOKUP(Y$3,'[2]Pig Iron'!$A$7:$A$120,'[2]Pig Iron'!$B$7:$B$120)/1000</f>
        <v>21500</v>
      </c>
      <c r="Z59" s="2">
        <f>LOOKUP(Z$3,'[2]Pig Iron'!$A$7:$A$120,'[2]Pig Iron'!$B$7:$B$120)/1000</f>
        <v>27000</v>
      </c>
      <c r="AA59" s="2">
        <f>LOOKUP(AA$3,'[2]Pig Iron'!$A$7:$A$120,'[2]Pig Iron'!$B$7:$B$120)/1000</f>
        <v>28100</v>
      </c>
      <c r="AB59" s="2">
        <f>LOOKUP(AB$3,'[2]Pig Iron'!$A$7:$A$120,'[2]Pig Iron'!$B$7:$B$120)/1000</f>
        <v>21200</v>
      </c>
      <c r="AC59" s="2">
        <f>LOOKUP(AC$3,'[2]Pig Iron'!$A$7:$A$120,'[2]Pig Iron'!$B$7:$B$120)/1000</f>
        <v>27100</v>
      </c>
      <c r="AD59" s="2">
        <f>LOOKUP(AD$3,'[2]Pig Iron'!$A$7:$A$120,'[2]Pig Iron'!$B$7:$B$120)/1000</f>
        <v>35800</v>
      </c>
      <c r="AE59" s="2">
        <f>LOOKUP(AE$3,'[2]Pig Iron'!$A$7:$A$120,'[2]Pig Iron'!$B$7:$B$120)/1000</f>
        <v>35000</v>
      </c>
      <c r="AF59" s="2">
        <f>LOOKUP(AF$3,'[2]Pig Iron'!$A$7:$A$120,'[2]Pig Iron'!$B$7:$B$120)/1000</f>
        <v>35400</v>
      </c>
      <c r="AG59" s="2">
        <f>LOOKUP(AG$3,'[2]Pig Iron'!$A$7:$A$120,'[2]Pig Iron'!$B$7:$B$120)/1000</f>
        <v>28100</v>
      </c>
      <c r="AH59" s="2">
        <f>LOOKUP(AH$3,'[2]Pig Iron'!$A$7:$A$120,'[2]Pig Iron'!$B$7:$B$120)/1000</f>
        <v>33500</v>
      </c>
      <c r="AI59" s="2">
        <f>LOOKUP(AI$3,'[2]Pig Iron'!$A$7:$A$120,'[2]Pig Iron'!$B$7:$B$120)/1000</f>
        <v>15100</v>
      </c>
      <c r="AJ59" s="2">
        <f>LOOKUP(AJ$3,'[2]Pig Iron'!$A$7:$A$120,'[2]Pig Iron'!$B$7:$B$120)/1000</f>
        <v>24700</v>
      </c>
      <c r="AK59" s="2">
        <f>LOOKUP(AK$3,'[2]Pig Iron'!$A$7:$A$120,'[2]Pig Iron'!$B$7:$B$120)/1000</f>
        <v>36600</v>
      </c>
      <c r="AL59" s="2">
        <f>LOOKUP(AL$3,'[2]Pig Iron'!$A$7:$A$120,'[2]Pig Iron'!$B$7:$B$120)/1000</f>
        <v>28500</v>
      </c>
      <c r="AM59" s="46">
        <f>LOOKUP(AM$3,'[2]Pig Iron'!$A$7:$A$120,'[2]Pig Iron'!$B$7:$B$120)/1000</f>
        <v>33300</v>
      </c>
      <c r="AN59" s="2">
        <f>LOOKUP(AN$3,'[2]Pig Iron'!$A$7:$A$120,'[2]Pig Iron'!$B$7:$B$120)/1000</f>
        <v>35700</v>
      </c>
      <c r="AO59" s="2">
        <f>LOOKUP(AO$3,'[2]Pig Iron'!$A$7:$A$120,'[2]Pig Iron'!$B$7:$B$120)/1000</f>
        <v>33200</v>
      </c>
      <c r="AP59" s="2">
        <f>LOOKUP(AP$3,'[2]Pig Iron'!$A$7:$A$120,'[2]Pig Iron'!$B$7:$B$120)/1000</f>
        <v>34600</v>
      </c>
      <c r="AQ59" s="2">
        <f>LOOKUP(AQ$3,'[2]Pig Iron'!$A$7:$A$120,'[2]Pig Iron'!$B$7:$B$120)/1000</f>
        <v>38700</v>
      </c>
      <c r="AR59" s="2">
        <f>LOOKUP(AR$3,'[2]Pig Iron'!$A$7:$A$120,'[2]Pig Iron'!$B$7:$B$120)/1000</f>
        <v>27700</v>
      </c>
      <c r="AS59" s="2">
        <f>LOOKUP(AS$3,'[2]Pig Iron'!$A$7:$A$120,'[2]Pig Iron'!$B$7:$B$120)/1000</f>
        <v>16300</v>
      </c>
      <c r="AT59" s="2">
        <f>LOOKUP(AT$3,'[2]Pig Iron'!$A$7:$A$120,'[2]Pig Iron'!$B$7:$B$120)/1000</f>
        <v>7760</v>
      </c>
      <c r="AU59" s="2">
        <f>LOOKUP(AU$3,'[2]Pig Iron'!$A$7:$A$120,'[2]Pig Iron'!$B$7:$B$120)/1000</f>
        <v>11800</v>
      </c>
      <c r="AV59" s="2">
        <f>LOOKUP(AV$3,'[2]Pig Iron'!$A$7:$A$120,'[2]Pig Iron'!$B$7:$B$120)/1000</f>
        <v>14200</v>
      </c>
      <c r="AW59" s="46">
        <f>LOOKUP(AW$3,'[2]Pig Iron'!$A$7:$A$120,'[2]Pig Iron'!$B$7:$B$120)/1000</f>
        <v>18900</v>
      </c>
      <c r="AX59" s="2">
        <f>LOOKUP(AX$3,'[2]Pig Iron'!$A$7:$A$120,'[2]Pig Iron'!$B$7:$B$120)/1000</f>
        <v>27400</v>
      </c>
      <c r="AY59" s="2">
        <f>LOOKUP(AY$3,'[2]Pig Iron'!$A$7:$A$120,'[2]Pig Iron'!$B$7:$B$120)/1000</f>
        <v>32800</v>
      </c>
      <c r="AZ59" s="2">
        <f>LOOKUP(AZ$3,'[2]Pig Iron'!$A$7:$A$120,'[2]Pig Iron'!$B$7:$B$120)/1000</f>
        <v>16900</v>
      </c>
      <c r="BA59" s="2">
        <f>LOOKUP(BA$3,'[2]Pig Iron'!$A$7:$A$120,'[2]Pig Iron'!$B$7:$B$120)/1000</f>
        <v>28200</v>
      </c>
      <c r="BB59" s="2">
        <f>LOOKUP(BB$3,'[2]Pig Iron'!$A$7:$A$120,'[2]Pig Iron'!$B$7:$B$120)/1000</f>
        <v>37400</v>
      </c>
      <c r="BC59" s="2">
        <f>LOOKUP(BC$3,'[2]Pig Iron'!$A$7:$A$120,'[2]Pig Iron'!$B$7:$B$120)/1000</f>
        <v>50000</v>
      </c>
      <c r="BD59" s="2">
        <f>LOOKUP(BD$3,'[2]Pig Iron'!$A$7:$A$120,'[2]Pig Iron'!$B$7:$B$120)/1000</f>
        <v>53600</v>
      </c>
      <c r="BE59" s="2">
        <f>LOOKUP(BE$3,'[2]Pig Iron'!$A$7:$A$120,'[2]Pig Iron'!$B$7:$B$120)/1000</f>
        <v>55100</v>
      </c>
      <c r="BF59" s="2">
        <f>LOOKUP(BF$3,'[2]Pig Iron'!$A$7:$A$120,'[2]Pig Iron'!$B$7:$B$120)/1000</f>
        <v>55300</v>
      </c>
      <c r="BG59" s="46">
        <f>LOOKUP(BG$3,'[2]Pig Iron'!$A$7:$A$120,'[2]Pig Iron'!$B$7:$B$120)/1000</f>
        <v>48300</v>
      </c>
      <c r="BH59" s="2">
        <f>LOOKUP(BH$3,'[2]Pig Iron'!$A$7:$A$120,'[2]Pig Iron'!$B$7:$B$120)/1000</f>
        <v>40700</v>
      </c>
      <c r="BI59" s="2">
        <f>LOOKUP(BI$3,'[2]Pig Iron'!$A$7:$A$120,'[2]Pig Iron'!$B$7:$B$120)/1000</f>
        <v>52900</v>
      </c>
      <c r="BJ59" s="2">
        <f>LOOKUP(BJ$3,'[2]Pig Iron'!$A$7:$A$120,'[2]Pig Iron'!$B$7:$B$120)/1000</f>
        <v>54500</v>
      </c>
      <c r="BK59" s="2">
        <f>LOOKUP(BK$3,'[2]Pig Iron'!$A$7:$A$120,'[2]Pig Iron'!$B$7:$B$120)/1000</f>
        <v>48400</v>
      </c>
      <c r="BL59" s="2">
        <f>LOOKUP(BL$3,'[2]Pig Iron'!$A$7:$A$120,'[2]Pig Iron'!$B$7:$B$120)/1000</f>
        <v>58500</v>
      </c>
      <c r="BM59" s="2">
        <f>LOOKUP(BM$3,'[2]Pig Iron'!$A$7:$A$120,'[2]Pig Iron'!$B$7:$B$120)/1000</f>
        <v>63800</v>
      </c>
      <c r="BN59" s="2">
        <f>LOOKUP(BN$3,'[2]Pig Iron'!$A$7:$A$120,'[2]Pig Iron'!$B$7:$B$120)/1000</f>
        <v>55600</v>
      </c>
      <c r="BO59" s="2">
        <f>LOOKUP(BO$3,'[2]Pig Iron'!$A$7:$A$120,'[2]Pig Iron'!$B$7:$B$120)/1000</f>
        <v>67900</v>
      </c>
      <c r="BP59" s="2">
        <f>LOOKUP(BP$3,'[2]Pig Iron'!$A$7:$A$120,'[2]Pig Iron'!$B$7:$B$120)/1000</f>
        <v>52600</v>
      </c>
      <c r="BQ59" s="46">
        <f>LOOKUP(BQ$3,'[2]Pig Iron'!$A$7:$A$120,'[2]Pig Iron'!$B$7:$B$120)/1000</f>
        <v>69700</v>
      </c>
      <c r="BR59" s="2">
        <f>LOOKUP(BR$3,'[2]Pig Iron'!$A$7:$A$120,'[2]Pig Iron'!$B$7:$B$120)/1000</f>
        <v>68100</v>
      </c>
      <c r="BS59" s="2">
        <f>LOOKUP(BS$3,'[2]Pig Iron'!$A$7:$A$120,'[2]Pig Iron'!$B$7:$B$120)/1000</f>
        <v>71100</v>
      </c>
      <c r="BT59" s="2">
        <f>LOOKUP(BT$3,'[2]Pig Iron'!$A$7:$A$120,'[2]Pig Iron'!$B$7:$B$120)/1000</f>
        <v>51900</v>
      </c>
      <c r="BU59" s="2">
        <f>LOOKUP(BU$3,'[2]Pig Iron'!$A$7:$A$120,'[2]Pig Iron'!$B$7:$B$120)/1000</f>
        <v>54600</v>
      </c>
      <c r="BV59" s="2">
        <f>LOOKUP(BV$3,'[2]Pig Iron'!$A$7:$A$120,'[2]Pig Iron'!$B$7:$B$120)/1000</f>
        <v>60300</v>
      </c>
      <c r="BW59" s="2">
        <f>LOOKUP(BW$3,'[2]Pig Iron'!$A$7:$A$120,'[2]Pig Iron'!$B$7:$B$120)/1000</f>
        <v>58800</v>
      </c>
      <c r="BX59" s="2">
        <f>LOOKUP(BX$3,'[2]Pig Iron'!$A$7:$A$120,'[2]Pig Iron'!$B$7:$B$120)/1000</f>
        <v>59500</v>
      </c>
      <c r="BY59" s="2">
        <f>LOOKUP(BY$3,'[2]Pig Iron'!$A$7:$A$120,'[2]Pig Iron'!$B$7:$B$120)/1000</f>
        <v>65200</v>
      </c>
      <c r="BZ59" s="2">
        <f>LOOKUP(BZ$3,'[2]Pig Iron'!$A$7:$A$120,'[2]Pig Iron'!$B$7:$B$120)/1000</f>
        <v>77500</v>
      </c>
      <c r="CA59" s="46">
        <f>LOOKUP(CA$3,'[2]Pig Iron'!$A$7:$A$120,'[2]Pig Iron'!$B$7:$B$120)/1000</f>
        <v>80000</v>
      </c>
      <c r="CB59" s="2">
        <f>LOOKUP(CB$3,'[2]Pig Iron'!$A$7:$A$120,'[2]Pig Iron'!$B$7:$B$120)/1000</f>
        <v>82800</v>
      </c>
      <c r="CC59" s="2">
        <f>LOOKUP(CC$3,'[2]Pig Iron'!$A$7:$A$120,'[2]Pig Iron'!$B$7:$B$120)/1000</f>
        <v>78700</v>
      </c>
      <c r="CD59" s="2">
        <f>LOOKUP(CD$3,'[2]Pig Iron'!$A$7:$A$120,'[2]Pig Iron'!$B$7:$B$120)/1000</f>
        <v>80500</v>
      </c>
      <c r="CE59" s="2">
        <f>LOOKUP(CE$3,'[2]Pig Iron'!$A$7:$A$120,'[2]Pig Iron'!$B$7:$B$120)/1000</f>
        <v>86200</v>
      </c>
      <c r="CF59" s="46">
        <f>LOOKUP(CF$3,'[2]Pig Iron'!$A$7:$A$120,'[2]Pig Iron'!$B$7:$B$120)/1000</f>
        <v>82800</v>
      </c>
      <c r="CG59" s="2">
        <f>LOOKUP(CG$3,'[2]Pig Iron'!$A$7:$A$120,'[2]Pig Iron'!$B$7:$B$120)/1000</f>
        <v>73800</v>
      </c>
      <c r="CH59" s="2">
        <f>LOOKUP(CH$3,'[2]Pig Iron'!$A$7:$A$120,'[2]Pig Iron'!$B$7:$B$120)/1000</f>
        <v>80600</v>
      </c>
      <c r="CI59" s="2">
        <f>LOOKUP(CI$3,'[2]Pig Iron'!$A$7:$A$120,'[2]Pig Iron'!$B$7:$B$120)/1000</f>
        <v>91900</v>
      </c>
      <c r="CJ59" s="2">
        <f>LOOKUP(CJ$3,'[2]Pig Iron'!$A$7:$A$120,'[2]Pig Iron'!$B$7:$B$120)/1000</f>
        <v>86600</v>
      </c>
      <c r="CK59" s="46">
        <f>LOOKUP(CK$3,'[2]Pig Iron'!$A$7:$A$120,'[2]Pig Iron'!$B$7:$B$120)/1000</f>
        <v>72300</v>
      </c>
      <c r="CL59" s="2">
        <f>LOOKUP(CL$3,'[2]Pig Iron'!$A$7:$A$120,'[2]Pig Iron'!$B$7:$B$120)/1000</f>
        <v>78800</v>
      </c>
      <c r="CM59" s="2">
        <f>LOOKUP(CM$3,'[2]Pig Iron'!$A$7:$A$120,'[2]Pig Iron'!$B$7:$B$120)/1000</f>
        <v>73900</v>
      </c>
      <c r="CN59" s="2">
        <f>LOOKUP(CN$3,'[2]Pig Iron'!$A$7:$A$120,'[2]Pig Iron'!$B$7:$B$120)/1000</f>
        <v>79600</v>
      </c>
      <c r="CO59" s="2">
        <f>LOOKUP(CO$3,'[2]Pig Iron'!$A$7:$A$120,'[2]Pig Iron'!$B$7:$B$120)/1000</f>
        <v>78900</v>
      </c>
      <c r="CP59" s="2">
        <f>[1]Data!B59</f>
        <v>62343</v>
      </c>
      <c r="CQ59" s="2">
        <f>[1]Data!C59</f>
        <v>66742</v>
      </c>
      <c r="CR59" s="2">
        <f>[1]Data!D59</f>
        <v>39289</v>
      </c>
      <c r="CS59" s="2">
        <f>[1]Data!E59</f>
        <v>44185</v>
      </c>
      <c r="CT59" s="2">
        <f>[1]Data!F59</f>
        <v>47087</v>
      </c>
      <c r="CU59" s="2">
        <f>[1]Data!G59</f>
        <v>45764</v>
      </c>
      <c r="CV59" s="2">
        <f>[1]Data!H59</f>
        <v>39873</v>
      </c>
      <c r="CW59" s="2">
        <f>[1]Data!I59</f>
        <v>43917</v>
      </c>
      <c r="CX59" s="2">
        <f>[1]Data!J59</f>
        <v>50571</v>
      </c>
      <c r="CY59" s="2">
        <f>[1]Data!K59</f>
        <v>50687</v>
      </c>
      <c r="CZ59" s="2">
        <f>[1]Data!L59</f>
        <v>49668</v>
      </c>
      <c r="DA59" s="2">
        <f>[1]Data!M59</f>
        <v>44123</v>
      </c>
      <c r="DB59" s="2">
        <f>[1]Data!N59</f>
        <v>47377</v>
      </c>
      <c r="DC59" s="2">
        <f>[1]Data!O59</f>
        <v>48155</v>
      </c>
      <c r="DD59" s="2">
        <f>[1]Data!P59</f>
        <v>49374</v>
      </c>
      <c r="DE59" s="2">
        <f>[1]Data!Q59</f>
        <v>50890</v>
      </c>
      <c r="DF59" s="2">
        <f>[1]Data!R59</f>
        <v>49428</v>
      </c>
      <c r="DG59" s="2">
        <f>[1]Data!S59</f>
        <v>49604</v>
      </c>
      <c r="DH59" s="2">
        <f>[1]Data!T59</f>
        <v>48230</v>
      </c>
      <c r="DI59" s="2">
        <f>[1]Data!U59</f>
        <v>46268</v>
      </c>
      <c r="DJ59" s="2">
        <f>[1]Data!V59</f>
        <v>47888</v>
      </c>
      <c r="DK59" s="2">
        <f>[1]Data!W59</f>
        <v>42133</v>
      </c>
      <c r="DL59" s="2">
        <f>[1]Data!X59</f>
        <v>40225</v>
      </c>
      <c r="DM59" s="2">
        <f>[1]Data!Y59</f>
        <v>40644</v>
      </c>
      <c r="DN59" s="2">
        <f>[1]Data!Z59</f>
        <v>42291</v>
      </c>
      <c r="DO59" s="2">
        <f>[1]Data!AA59</f>
        <v>37222</v>
      </c>
      <c r="DP59" s="2">
        <f>[1]Data!AB59</f>
        <v>37903</v>
      </c>
      <c r="DQ59" s="2">
        <f>[1]Data!AC59</f>
        <v>36337</v>
      </c>
      <c r="DR59" s="2">
        <f>[1]Data!AD59</f>
        <v>33729</v>
      </c>
      <c r="DS59" s="2">
        <f>[1]Data!AE59</f>
        <v>19018</v>
      </c>
      <c r="DT59" s="2">
        <f>[1]Data!AF59</f>
        <v>26843</v>
      </c>
      <c r="DU59" s="2">
        <f>[1]Data!AG59</f>
        <v>30227</v>
      </c>
      <c r="DV59" s="2">
        <f>[1]Data!AH59</f>
        <v>32062</v>
      </c>
      <c r="DW59" s="2">
        <f>[1]Data!AI59</f>
        <v>30308</v>
      </c>
      <c r="DX59" s="2">
        <v>29374</v>
      </c>
      <c r="DY59" s="2">
        <f>[4]Data!AK59</f>
        <v>25435</v>
      </c>
      <c r="DZ59" s="2">
        <f>[4]Data!AL59</f>
        <v>22293</v>
      </c>
      <c r="EA59" s="2">
        <f>[4]Data!AM59</f>
        <v>22395</v>
      </c>
    </row>
    <row r="60" spans="1:131" ht="16" x14ac:dyDescent="0.2">
      <c r="A60" t="s">
        <v>58</v>
      </c>
      <c r="C60" s="9" t="s">
        <v>133</v>
      </c>
      <c r="D60" s="46"/>
      <c r="E60" s="7">
        <f t="shared" ref="E60:E62" si="72">F60-(I60-D60)/5</f>
        <v>0</v>
      </c>
      <c r="F60" s="7">
        <f t="shared" ref="F60:F62" si="73">G60-(I60-D60)/5</f>
        <v>0</v>
      </c>
      <c r="G60" s="7">
        <f t="shared" ref="G60:G62" si="74">H60-(I60-D60)/5</f>
        <v>0</v>
      </c>
      <c r="H60" s="7">
        <f t="shared" ref="H60:H62" si="75">I60-(I60-D60)/5</f>
        <v>0</v>
      </c>
      <c r="I60" s="46"/>
      <c r="J60" s="7">
        <f t="shared" ref="J60:J62" si="76">K60-(N60-I60)/5</f>
        <v>0</v>
      </c>
      <c r="K60" s="7">
        <f t="shared" ref="K60:K62" si="77">L60-(N60-I60)/5</f>
        <v>0</v>
      </c>
      <c r="L60" s="7">
        <f t="shared" ref="L60:L62" si="78">M60-(N60-I60)/5</f>
        <v>0</v>
      </c>
      <c r="M60" s="7">
        <f t="shared" ref="M60:M62" si="79">N60-(N60-I60)/5</f>
        <v>0</v>
      </c>
      <c r="N60" s="46"/>
      <c r="O60" s="7">
        <f t="shared" ref="O60:O62" si="80">P60-(S60-N60)/5</f>
        <v>0</v>
      </c>
      <c r="P60" s="7">
        <f t="shared" ref="P60:P62" si="81">Q60-(S60-N60)/5</f>
        <v>0</v>
      </c>
      <c r="Q60" s="7">
        <f t="shared" ref="Q60:Q62" si="82">R60-(S60-N60)/5</f>
        <v>0</v>
      </c>
      <c r="R60" s="7">
        <f t="shared" ref="R60:R62" si="83">S60-(S60-N60)/5</f>
        <v>0</v>
      </c>
      <c r="S60" s="46"/>
      <c r="T60" s="7">
        <f t="shared" ref="T60:T62" si="84">U60-(X60-S60)/5</f>
        <v>0</v>
      </c>
      <c r="U60" s="7">
        <f t="shared" ref="U60:U62" si="85">V60-(X60-S60)/5</f>
        <v>0</v>
      </c>
      <c r="V60" s="7">
        <f t="shared" ref="V60:V62" si="86">W60-(X60-S60)/5</f>
        <v>0</v>
      </c>
      <c r="W60" s="7">
        <f t="shared" ref="W60:W62" si="87">X60-(X60-S60)/5</f>
        <v>0</v>
      </c>
      <c r="X60" s="46"/>
      <c r="Y60" s="7">
        <f t="shared" ref="Y60:Y62" si="88">Z60-(AC60-X60)/5</f>
        <v>0</v>
      </c>
      <c r="Z60" s="7">
        <f t="shared" ref="Z60:Z62" si="89">AA60-(AC60-X60)/5</f>
        <v>0</v>
      </c>
      <c r="AA60" s="7">
        <f t="shared" ref="AA60:AA62" si="90">AB60-(AC60-X60)/5</f>
        <v>0</v>
      </c>
      <c r="AB60" s="7">
        <f t="shared" ref="AB60:AB62" si="91">AC60-(AC60-X60)/5</f>
        <v>0</v>
      </c>
      <c r="AC60" s="46"/>
      <c r="AD60" s="7">
        <f t="shared" ref="AD60:AD62" si="92">AE60-(AH60-AC60)/5</f>
        <v>0</v>
      </c>
      <c r="AE60" s="7">
        <f t="shared" ref="AE60:AE62" si="93">AF60-(AH60-AC60)/5</f>
        <v>0</v>
      </c>
      <c r="AF60" s="7">
        <f t="shared" ref="AF60:AF62" si="94">AG60-(AH60-AC60)/5</f>
        <v>0</v>
      </c>
      <c r="AG60" s="7">
        <f t="shared" ref="AG60:AG62" si="95">AH60-(AH60-AC60)/5</f>
        <v>0</v>
      </c>
      <c r="AH60" s="46"/>
      <c r="AI60" s="7">
        <f t="shared" ref="AI60:AI62" si="96">AJ60-(AM60-AH60)/5</f>
        <v>0</v>
      </c>
      <c r="AJ60" s="7">
        <f t="shared" ref="AJ60:AJ62" si="97">AK60-(AM60-AH60)/5</f>
        <v>0</v>
      </c>
      <c r="AK60" s="7">
        <f t="shared" ref="AK60:AK62" si="98">AL60-(AM60-AH60)/5</f>
        <v>0</v>
      </c>
      <c r="AL60" s="7">
        <f t="shared" ref="AL60:AL62" si="99">AM60-(AM60-AH60)/5</f>
        <v>0</v>
      </c>
      <c r="AM60" s="46">
        <f>SUMIFS(SPEW_Pig_iron_production!$R:$R,SPEW_Pig_iron_production!$B:$B,$C60)</f>
        <v>0</v>
      </c>
      <c r="AN60" s="7">
        <f t="shared" ref="AN60:AN62" si="100">AO60-(AR60-AM60)/5</f>
        <v>0</v>
      </c>
      <c r="AO60" s="7">
        <f t="shared" ref="AO60:AO62" si="101">AP60-(AR60-AM60)/5</f>
        <v>0</v>
      </c>
      <c r="AP60" s="7">
        <f t="shared" ref="AP60:AP62" si="102">AQ60-(AR60-AM60)/5</f>
        <v>0</v>
      </c>
      <c r="AQ60" s="7">
        <f t="shared" ref="AQ60:AQ62" si="103">AR60-(AR60-AM60)/5</f>
        <v>0</v>
      </c>
      <c r="AR60" s="46">
        <f>SUMIFS(SPEW_Pig_iron_production!$S:$S,SPEW_Pig_iron_production!$B:$B,$C60)</f>
        <v>0</v>
      </c>
      <c r="AS60" s="7">
        <f t="shared" ref="AS60:AS62" si="104">AT60-(AW60-AR60)/5</f>
        <v>0</v>
      </c>
      <c r="AT60" s="7">
        <f t="shared" ref="AT60:AT62" si="105">AU60-(AW60-AR60)/5</f>
        <v>0</v>
      </c>
      <c r="AU60" s="7">
        <f t="shared" ref="AU60:AU62" si="106">AV60-(AW60-AR60)/5</f>
        <v>0</v>
      </c>
      <c r="AV60" s="7">
        <f t="shared" ref="AV60:AV62" si="107">AW60-(AW60-AR60)/5</f>
        <v>0</v>
      </c>
      <c r="AW60" s="46">
        <f>SUMIFS(SPEW_Pig_iron_production!$T:$T,SPEW_Pig_iron_production!$B:$B,$C60)</f>
        <v>0</v>
      </c>
      <c r="AX60" s="7">
        <f t="shared" ref="AX60:AX62" si="108">AY60-(BB60-AW60)/5</f>
        <v>0</v>
      </c>
      <c r="AY60" s="7">
        <f t="shared" ref="AY60:AY62" si="109">AZ60-(BB60-AW60)/5</f>
        <v>0</v>
      </c>
      <c r="AZ60" s="7">
        <f t="shared" ref="AZ60:AZ62" si="110">BA60-(BB60-AW60)/5</f>
        <v>0</v>
      </c>
      <c r="BA60" s="7">
        <f t="shared" ref="BA60:BA62" si="111">BB60-(BB60-AW60)/5</f>
        <v>0</v>
      </c>
      <c r="BB60" s="46">
        <f>SUMIFS(SPEW_Pig_iron_production!$U:$U,SPEW_Pig_iron_production!$B:$B,$C60)</f>
        <v>0</v>
      </c>
      <c r="BC60" s="7">
        <f t="shared" ref="BC60:BC62" si="112">BD60-(BG60-BB60)/5</f>
        <v>0</v>
      </c>
      <c r="BD60" s="7">
        <f t="shared" ref="BD60:BD62" si="113">BE60-(BG60-BB60)/5</f>
        <v>0</v>
      </c>
      <c r="BE60" s="7">
        <f t="shared" ref="BE60:BE62" si="114">BF60-(BG60-BB60)/5</f>
        <v>0</v>
      </c>
      <c r="BF60" s="7">
        <f t="shared" ref="BF60:BF62" si="115">BG60-(BG60-BB60)/5</f>
        <v>0</v>
      </c>
      <c r="BG60" s="46">
        <f>SUMIFS(SPEW_Pig_iron_production!$V:$V,SPEW_Pig_iron_production!$B:$B,$C60)</f>
        <v>0</v>
      </c>
      <c r="BH60" s="7">
        <f t="shared" ref="BH60:BH62" si="116">BI60-(BL60-BG60)/5</f>
        <v>0</v>
      </c>
      <c r="BI60" s="7">
        <f t="shared" ref="BI60:BI62" si="117">BJ60-(BL60-BG60)/5</f>
        <v>0</v>
      </c>
      <c r="BJ60" s="7">
        <f t="shared" ref="BJ60:BJ62" si="118">BK60-(BL60-BG60)/5</f>
        <v>0</v>
      </c>
      <c r="BK60" s="7">
        <f t="shared" ref="BK60:BK62" si="119">BL60-(BL60-BG60)/5</f>
        <v>0</v>
      </c>
      <c r="BL60" s="46">
        <f>SUMIFS(SPEW_Pig_iron_production!$W:$W,SPEW_Pig_iron_production!$B:$B,$C60)</f>
        <v>0</v>
      </c>
      <c r="BM60" s="7">
        <f t="shared" ref="BM60:BM62" si="120">BN60-(BQ60-BL60)/5</f>
        <v>0</v>
      </c>
      <c r="BN60" s="7">
        <f t="shared" ref="BN60:BN62" si="121">BO60-(BQ60-BL60)/5</f>
        <v>0</v>
      </c>
      <c r="BO60" s="7">
        <f t="shared" ref="BO60:BO62" si="122">BP60-(BQ60-BL60)/5</f>
        <v>0</v>
      </c>
      <c r="BP60" s="7">
        <f t="shared" ref="BP60:BP62" si="123">BQ60-(BQ60-BL60)/5</f>
        <v>0</v>
      </c>
      <c r="BQ60" s="46">
        <f>SUMIFS(SPEW_Pig_iron_production!$X:$X,SPEW_Pig_iron_production!$B:$B,$C60)</f>
        <v>0</v>
      </c>
      <c r="BR60" s="7">
        <f t="shared" ref="BR60:BR62" si="124">BS60-(BV60-BQ60)/5</f>
        <v>0</v>
      </c>
      <c r="BS60" s="7">
        <f t="shared" ref="BS60:BS62" si="125">BT60-(BV60-BQ60)/5</f>
        <v>0</v>
      </c>
      <c r="BT60" s="7">
        <f t="shared" ref="BT60:BT62" si="126">BU60-(BV60-BQ60)/5</f>
        <v>0</v>
      </c>
      <c r="BU60" s="7">
        <f t="shared" ref="BU60:BU62" si="127">BV60-(BV60-BQ60)/5</f>
        <v>0</v>
      </c>
      <c r="BV60" s="46">
        <f>SUMIFS(SPEW_Pig_iron_production!$Y:$Y,SPEW_Pig_iron_production!$B:$B,$C60)</f>
        <v>0</v>
      </c>
      <c r="BW60" s="7">
        <f t="shared" ref="BW60:BW62" si="128">BX60-(CA60-BV60)/5</f>
        <v>66.799999999999969</v>
      </c>
      <c r="BX60" s="7">
        <f t="shared" ref="BX60:BX62" si="129">BY60-(CA60-BV60)/5</f>
        <v>133.59999999999997</v>
      </c>
      <c r="BY60" s="7">
        <f t="shared" ref="BY60:BY62" si="130">BZ60-(CA60-BV60)/5</f>
        <v>200.39999999999998</v>
      </c>
      <c r="BZ60" s="7">
        <f t="shared" ref="BZ60:BZ62" si="131">CA60-(CA60-BV60)/5</f>
        <v>267.2</v>
      </c>
      <c r="CA60" s="46">
        <f>SUMIFS(SPEW_Pig_iron_production!$Z:$Z,SPEW_Pig_iron_production!$B:$B,$C60)</f>
        <v>334</v>
      </c>
      <c r="CB60" s="7">
        <f t="shared" ref="CB60:CB62" si="132">CC60-(CF60-CA60)/5</f>
        <v>369.20000000000005</v>
      </c>
      <c r="CC60" s="7">
        <f t="shared" ref="CC60:CC62" si="133">CD60-(CF60-CA60)/5</f>
        <v>404.40000000000003</v>
      </c>
      <c r="CD60" s="7">
        <f t="shared" ref="CD60:CD62" si="134">CE60-(CF60-CA60)/5</f>
        <v>439.6</v>
      </c>
      <c r="CE60" s="7">
        <f t="shared" ref="CE60:CE62" si="135">CF60-(CF60-CA60)/5</f>
        <v>474.8</v>
      </c>
      <c r="CF60" s="46">
        <f>SUMIFS(SPEW_Pig_iron_production!$AA:$AA,SPEW_Pig_iron_production!$B:$B,$C60)</f>
        <v>510</v>
      </c>
      <c r="CG60" s="7">
        <f t="shared" ref="CG60:CG62" si="136">CH60-(CK60-CF60)/5</f>
        <v>515.59999999999991</v>
      </c>
      <c r="CH60" s="7">
        <f t="shared" ref="CH60:CH62" si="137">CI60-(CK60-CF60)/5</f>
        <v>521.19999999999993</v>
      </c>
      <c r="CI60" s="7">
        <f t="shared" ref="CI60:CI62" si="138">CJ60-(CK60-CF60)/5</f>
        <v>526.79999999999995</v>
      </c>
      <c r="CJ60" s="7">
        <f t="shared" ref="CJ60:CJ62" si="139">CK60-(CK60-CF60)/5</f>
        <v>532.4</v>
      </c>
      <c r="CK60" s="46">
        <f>SUMIFS(SPEW_Pig_iron_production!$AB:$AB,SPEW_Pig_iron_production!$B:$B,$C60)</f>
        <v>538</v>
      </c>
      <c r="CL60" s="7">
        <f t="shared" ref="CL60:CL62" si="140">CM60-(CP60-CK60)/5</f>
        <v>530</v>
      </c>
      <c r="CM60" s="7">
        <f t="shared" ref="CM60:CM62" si="141">CN60-(CP60-CK60)/5</f>
        <v>522</v>
      </c>
      <c r="CN60" s="7">
        <f t="shared" ref="CN60:CN62" si="142">CO60-(CP60-CK60)/5</f>
        <v>514</v>
      </c>
      <c r="CO60" s="7">
        <f t="shared" ref="CO60:CO62" si="143">CP60-(CP60-CK60)/5</f>
        <v>506</v>
      </c>
      <c r="CP60" s="2">
        <f>[1]Data!B60</f>
        <v>498</v>
      </c>
      <c r="CQ60" s="2">
        <f>[1]Data!C60</f>
        <v>418</v>
      </c>
      <c r="CR60" s="2">
        <f>[1]Data!D60</f>
        <v>202</v>
      </c>
      <c r="CS60" s="2">
        <f>[1]Data!E60</f>
        <v>169</v>
      </c>
      <c r="CT60" s="2">
        <f>[1]Data!F60</f>
        <v>326</v>
      </c>
      <c r="CU60" s="2">
        <f>[1]Data!G60</f>
        <v>441</v>
      </c>
      <c r="CV60" s="2">
        <f>[1]Data!H60</f>
        <v>493</v>
      </c>
      <c r="CW60" s="2">
        <f>[1]Data!I60</f>
        <v>473</v>
      </c>
      <c r="CX60" s="2">
        <f>[1]Data!J60</f>
        <v>485</v>
      </c>
      <c r="CY60" s="2">
        <f>[1]Data!K60</f>
        <v>455</v>
      </c>
      <c r="CZ60" s="2">
        <f>[1]Data!L60</f>
        <v>314</v>
      </c>
      <c r="DA60" s="2">
        <f>[1]Data!M60</f>
        <v>0</v>
      </c>
      <c r="DB60" s="2">
        <f>[1]Data!N60</f>
        <v>0</v>
      </c>
      <c r="DC60" s="2">
        <f>[1]Data!O60</f>
        <v>0</v>
      </c>
      <c r="DD60" s="2">
        <f>[1]Data!P60</f>
        <v>0</v>
      </c>
      <c r="DE60" s="2">
        <f>[1]Data!Q60</f>
        <v>0</v>
      </c>
      <c r="DF60" s="2">
        <f>[1]Data!R60</f>
        <v>0</v>
      </c>
      <c r="DG60" s="2">
        <f>[1]Data!S60</f>
        <v>0</v>
      </c>
      <c r="DH60" s="2">
        <f>[1]Data!T60</f>
        <v>0</v>
      </c>
      <c r="DI60" s="2">
        <f>[1]Data!U60</f>
        <v>0</v>
      </c>
      <c r="DJ60" s="2">
        <f>[1]Data!V60</f>
        <v>0</v>
      </c>
      <c r="DK60" s="2">
        <f>[1]Data!W60</f>
        <v>0</v>
      </c>
      <c r="DL60" s="2">
        <f>[1]Data!X60</f>
        <v>0</v>
      </c>
      <c r="DM60" s="2">
        <f>[1]Data!Y60</f>
        <v>0</v>
      </c>
      <c r="DN60" s="2">
        <f>[1]Data!Z60</f>
        <v>0</v>
      </c>
      <c r="DO60" s="2">
        <f>[1]Data!AA60</f>
        <v>0</v>
      </c>
      <c r="DP60" s="2">
        <f>[1]Data!AB60</f>
        <v>0</v>
      </c>
      <c r="DQ60" s="2">
        <f>[1]Data!AC60</f>
        <v>0</v>
      </c>
      <c r="DR60" s="2">
        <f>[1]Data!AD60</f>
        <v>0</v>
      </c>
      <c r="DS60" s="2">
        <f>[1]Data!AE60</f>
        <v>0</v>
      </c>
      <c r="DT60" s="2">
        <f>[1]Data!AF60</f>
        <v>0</v>
      </c>
      <c r="DU60" s="2">
        <f>[1]Data!AG60</f>
        <v>0</v>
      </c>
      <c r="DV60" s="2">
        <f>[1]Data!AH60</f>
        <v>0</v>
      </c>
      <c r="DW60" s="2">
        <f>[1]Data!AI60</f>
        <v>0</v>
      </c>
      <c r="DX60" s="2">
        <v>0</v>
      </c>
      <c r="DY60" s="2">
        <f>[4]Data!AK60</f>
        <v>0</v>
      </c>
      <c r="DZ60" s="2">
        <f>[4]Data!AL60</f>
        <v>0</v>
      </c>
      <c r="EA60" s="2">
        <f>[4]Data!AM60</f>
        <v>0</v>
      </c>
    </row>
    <row r="61" spans="1:131" ht="16" x14ac:dyDescent="0.2">
      <c r="A61" t="s">
        <v>59</v>
      </c>
      <c r="C61" s="9" t="s">
        <v>134</v>
      </c>
      <c r="D61" s="46"/>
      <c r="E61" s="7">
        <f t="shared" si="72"/>
        <v>0</v>
      </c>
      <c r="F61" s="7">
        <f t="shared" si="73"/>
        <v>0</v>
      </c>
      <c r="G61" s="7">
        <f t="shared" si="74"/>
        <v>0</v>
      </c>
      <c r="H61" s="7">
        <f t="shared" si="75"/>
        <v>0</v>
      </c>
      <c r="I61" s="46"/>
      <c r="J61" s="7">
        <f t="shared" si="76"/>
        <v>0</v>
      </c>
      <c r="K61" s="7">
        <f t="shared" si="77"/>
        <v>0</v>
      </c>
      <c r="L61" s="7">
        <f t="shared" si="78"/>
        <v>0</v>
      </c>
      <c r="M61" s="7">
        <f t="shared" si="79"/>
        <v>0</v>
      </c>
      <c r="N61" s="46"/>
      <c r="O61" s="7">
        <f t="shared" si="80"/>
        <v>0</v>
      </c>
      <c r="P61" s="7">
        <f t="shared" si="81"/>
        <v>0</v>
      </c>
      <c r="Q61" s="7">
        <f t="shared" si="82"/>
        <v>0</v>
      </c>
      <c r="R61" s="7">
        <f t="shared" si="83"/>
        <v>0</v>
      </c>
      <c r="S61" s="46"/>
      <c r="T61" s="7">
        <f t="shared" si="84"/>
        <v>0</v>
      </c>
      <c r="U61" s="7">
        <f t="shared" si="85"/>
        <v>0</v>
      </c>
      <c r="V61" s="7">
        <f t="shared" si="86"/>
        <v>0</v>
      </c>
      <c r="W61" s="7">
        <f t="shared" si="87"/>
        <v>0</v>
      </c>
      <c r="X61" s="46"/>
      <c r="Y61" s="7">
        <f t="shared" si="88"/>
        <v>0</v>
      </c>
      <c r="Z61" s="7">
        <f t="shared" si="89"/>
        <v>0</v>
      </c>
      <c r="AA61" s="7">
        <f t="shared" si="90"/>
        <v>0</v>
      </c>
      <c r="AB61" s="7">
        <f t="shared" si="91"/>
        <v>0</v>
      </c>
      <c r="AC61" s="46"/>
      <c r="AD61" s="7">
        <f t="shared" si="92"/>
        <v>0</v>
      </c>
      <c r="AE61" s="7">
        <f t="shared" si="93"/>
        <v>0</v>
      </c>
      <c r="AF61" s="7">
        <f t="shared" si="94"/>
        <v>0</v>
      </c>
      <c r="AG61" s="7">
        <f t="shared" si="95"/>
        <v>0</v>
      </c>
      <c r="AH61" s="46"/>
      <c r="AI61" s="7">
        <f t="shared" si="96"/>
        <v>0</v>
      </c>
      <c r="AJ61" s="7">
        <f t="shared" si="97"/>
        <v>0</v>
      </c>
      <c r="AK61" s="7">
        <f t="shared" si="98"/>
        <v>0</v>
      </c>
      <c r="AL61" s="7">
        <f t="shared" si="99"/>
        <v>0</v>
      </c>
      <c r="AM61" s="46">
        <f>SUMIFS(SPEW_Pig_iron_production!$R:$R,SPEW_Pig_iron_production!$B:$B,$C61)</f>
        <v>0</v>
      </c>
      <c r="AN61" s="7">
        <f t="shared" si="100"/>
        <v>0</v>
      </c>
      <c r="AO61" s="7">
        <f t="shared" si="101"/>
        <v>0</v>
      </c>
      <c r="AP61" s="7">
        <f t="shared" si="102"/>
        <v>0</v>
      </c>
      <c r="AQ61" s="7">
        <f t="shared" si="103"/>
        <v>0</v>
      </c>
      <c r="AR61" s="46">
        <f>SUMIFS(SPEW_Pig_iron_production!$S:$S,SPEW_Pig_iron_production!$B:$B,$C61)</f>
        <v>0</v>
      </c>
      <c r="AS61" s="7">
        <f t="shared" si="104"/>
        <v>0</v>
      </c>
      <c r="AT61" s="7">
        <f t="shared" si="105"/>
        <v>0</v>
      </c>
      <c r="AU61" s="7">
        <f t="shared" si="106"/>
        <v>0</v>
      </c>
      <c r="AV61" s="7">
        <f t="shared" si="107"/>
        <v>0</v>
      </c>
      <c r="AW61" s="46">
        <f>SUMIFS(SPEW_Pig_iron_production!$T:$T,SPEW_Pig_iron_production!$B:$B,$C61)</f>
        <v>0</v>
      </c>
      <c r="AX61" s="7">
        <f t="shared" si="108"/>
        <v>0</v>
      </c>
      <c r="AY61" s="7">
        <f t="shared" si="109"/>
        <v>0</v>
      </c>
      <c r="AZ61" s="7">
        <f t="shared" si="110"/>
        <v>0</v>
      </c>
      <c r="BA61" s="7">
        <f t="shared" si="111"/>
        <v>0</v>
      </c>
      <c r="BB61" s="46">
        <f>SUMIFS(SPEW_Pig_iron_production!$U:$U,SPEW_Pig_iron_production!$B:$B,$C61)</f>
        <v>0</v>
      </c>
      <c r="BC61" s="7">
        <f t="shared" si="112"/>
        <v>0</v>
      </c>
      <c r="BD61" s="7">
        <f t="shared" si="113"/>
        <v>0</v>
      </c>
      <c r="BE61" s="7">
        <f t="shared" si="114"/>
        <v>0</v>
      </c>
      <c r="BF61" s="7">
        <f t="shared" si="115"/>
        <v>0</v>
      </c>
      <c r="BG61" s="46">
        <f>SUMIFS(SPEW_Pig_iron_production!$V:$V,SPEW_Pig_iron_production!$B:$B,$C61)</f>
        <v>0</v>
      </c>
      <c r="BH61" s="7">
        <f t="shared" si="116"/>
        <v>0</v>
      </c>
      <c r="BI61" s="7">
        <f t="shared" si="117"/>
        <v>0</v>
      </c>
      <c r="BJ61" s="7">
        <f t="shared" si="118"/>
        <v>0</v>
      </c>
      <c r="BK61" s="7">
        <f t="shared" si="119"/>
        <v>0</v>
      </c>
      <c r="BL61" s="46">
        <f>SUMIFS(SPEW_Pig_iron_production!$W:$W,SPEW_Pig_iron_production!$B:$B,$C61)</f>
        <v>0</v>
      </c>
      <c r="BM61" s="7">
        <f t="shared" si="120"/>
        <v>0</v>
      </c>
      <c r="BN61" s="7">
        <f t="shared" si="121"/>
        <v>0</v>
      </c>
      <c r="BO61" s="7">
        <f t="shared" si="122"/>
        <v>0</v>
      </c>
      <c r="BP61" s="7">
        <f t="shared" si="123"/>
        <v>0</v>
      </c>
      <c r="BQ61" s="46">
        <f>SUMIFS(SPEW_Pig_iron_production!$X:$X,SPEW_Pig_iron_production!$B:$B,$C61)</f>
        <v>0</v>
      </c>
      <c r="BR61" s="7">
        <f t="shared" si="124"/>
        <v>0</v>
      </c>
      <c r="BS61" s="7">
        <f t="shared" si="125"/>
        <v>0</v>
      </c>
      <c r="BT61" s="7">
        <f t="shared" si="126"/>
        <v>0</v>
      </c>
      <c r="BU61" s="7">
        <f t="shared" si="127"/>
        <v>0</v>
      </c>
      <c r="BV61" s="46">
        <f>SUMIFS(SPEW_Pig_iron_production!$Y:$Y,SPEW_Pig_iron_production!$B:$B,$C61)</f>
        <v>0</v>
      </c>
      <c r="BW61" s="7">
        <f t="shared" si="128"/>
        <v>0</v>
      </c>
      <c r="BX61" s="7">
        <f t="shared" si="129"/>
        <v>0</v>
      </c>
      <c r="BY61" s="7">
        <f t="shared" si="130"/>
        <v>0</v>
      </c>
      <c r="BZ61" s="7">
        <f t="shared" si="131"/>
        <v>0</v>
      </c>
      <c r="CA61" s="46">
        <f>SUMIFS(SPEW_Pig_iron_production!$Z:$Z,SPEW_Pig_iron_production!$B:$B,$C61)</f>
        <v>0</v>
      </c>
      <c r="CB61" s="7">
        <f t="shared" si="132"/>
        <v>0</v>
      </c>
      <c r="CC61" s="7">
        <f t="shared" si="133"/>
        <v>0</v>
      </c>
      <c r="CD61" s="7">
        <f t="shared" si="134"/>
        <v>0</v>
      </c>
      <c r="CE61" s="7">
        <f t="shared" si="135"/>
        <v>0</v>
      </c>
      <c r="CF61" s="46">
        <f>SUMIFS(SPEW_Pig_iron_production!$AA:$AA,SPEW_Pig_iron_production!$B:$B,$C61)</f>
        <v>0</v>
      </c>
      <c r="CG61" s="7">
        <f t="shared" si="136"/>
        <v>0</v>
      </c>
      <c r="CH61" s="7">
        <f t="shared" si="137"/>
        <v>0</v>
      </c>
      <c r="CI61" s="7">
        <f t="shared" si="138"/>
        <v>0</v>
      </c>
      <c r="CJ61" s="7">
        <f t="shared" si="139"/>
        <v>0</v>
      </c>
      <c r="CK61" s="46">
        <f>SUMIFS(SPEW_Pig_iron_production!$AB:$AB,SPEW_Pig_iron_production!$B:$B,$C61)</f>
        <v>0</v>
      </c>
      <c r="CL61" s="7">
        <f t="shared" si="140"/>
        <v>0</v>
      </c>
      <c r="CM61" s="7">
        <f t="shared" si="141"/>
        <v>0</v>
      </c>
      <c r="CN61" s="7">
        <f t="shared" si="142"/>
        <v>0</v>
      </c>
      <c r="CO61" s="7">
        <f t="shared" si="143"/>
        <v>0</v>
      </c>
      <c r="CP61" s="2">
        <f>[1]Data!B61</f>
        <v>0</v>
      </c>
      <c r="CQ61" s="2">
        <f>[1]Data!C61</f>
        <v>0</v>
      </c>
      <c r="CR61" s="2">
        <f>[1]Data!D61</f>
        <v>0</v>
      </c>
      <c r="CS61" s="2">
        <f>[1]Data!E61</f>
        <v>0</v>
      </c>
      <c r="CT61" s="2">
        <f>[1]Data!F61</f>
        <v>0</v>
      </c>
      <c r="CU61" s="2">
        <f>[1]Data!G61</f>
        <v>0</v>
      </c>
      <c r="CV61" s="2">
        <f>[1]Data!H61</f>
        <v>0</v>
      </c>
      <c r="CW61" s="2">
        <f>[1]Data!I61</f>
        <v>0</v>
      </c>
      <c r="CX61" s="2">
        <f>[1]Data!J61</f>
        <v>0</v>
      </c>
      <c r="CY61" s="2">
        <f>[1]Data!K61</f>
        <v>0</v>
      </c>
      <c r="CZ61" s="2">
        <f>[1]Data!L61</f>
        <v>0</v>
      </c>
      <c r="DA61" s="2">
        <f>[1]Data!M61</f>
        <v>0</v>
      </c>
      <c r="DB61" s="2">
        <f>[1]Data!N61</f>
        <v>12</v>
      </c>
      <c r="DC61" s="2">
        <f>[1]Data!O61</f>
        <v>15</v>
      </c>
      <c r="DD61" s="2">
        <f>[1]Data!P61</f>
        <v>7</v>
      </c>
      <c r="DE61" s="2">
        <f>[1]Data!Q61</f>
        <v>21</v>
      </c>
      <c r="DF61" s="2">
        <f>[1]Data!R61</f>
        <v>52</v>
      </c>
      <c r="DG61" s="2">
        <f>[1]Data!S61</f>
        <v>41</v>
      </c>
      <c r="DH61" s="2">
        <f>[1]Data!T61</f>
        <v>48</v>
      </c>
      <c r="DI61" s="2">
        <f>[1]Data!U61</f>
        <v>66</v>
      </c>
      <c r="DJ61" s="2">
        <f>[1]Data!V61</f>
        <v>47</v>
      </c>
      <c r="DK61" s="2">
        <f>[1]Data!W61</f>
        <v>48</v>
      </c>
      <c r="DL61" s="2">
        <f>[1]Data!X61</f>
        <v>146</v>
      </c>
      <c r="DM61" s="2">
        <f>[1]Data!Y61</f>
        <v>200</v>
      </c>
      <c r="DN61" s="2">
        <f>[1]Data!Z61</f>
        <v>187</v>
      </c>
      <c r="DO61" s="2">
        <f>[1]Data!AA61</f>
        <v>202</v>
      </c>
      <c r="DP61" s="2">
        <f>[1]Data!AB61</f>
        <v>211</v>
      </c>
      <c r="DQ61" s="2">
        <f>[1]Data!AC61</f>
        <v>170</v>
      </c>
      <c r="DR61" s="2">
        <f>[1]Data!AD61</f>
        <v>255</v>
      </c>
      <c r="DS61" s="2">
        <f>[1]Data!AE61</f>
        <v>275</v>
      </c>
      <c r="DT61" s="2">
        <f>[1]Data!AF61</f>
        <v>500</v>
      </c>
      <c r="DU61" s="2">
        <f>[1]Data!AG61</f>
        <v>600</v>
      </c>
      <c r="DV61" s="2">
        <f>[1]Data!AH61</f>
        <v>650</v>
      </c>
      <c r="DW61" s="2">
        <f>[1]Data!AI61</f>
        <v>650</v>
      </c>
      <c r="DX61" s="2">
        <v>1393</v>
      </c>
      <c r="DY61" s="2">
        <f>[4]Data!AK61</f>
        <v>1700</v>
      </c>
      <c r="DZ61" s="2">
        <f>[4]Data!AL61</f>
        <v>2600</v>
      </c>
      <c r="EA61" s="2">
        <f>[4]Data!AM61</f>
        <v>4250</v>
      </c>
    </row>
    <row r="62" spans="1:131" ht="16" x14ac:dyDescent="0.2">
      <c r="A62" t="s">
        <v>60</v>
      </c>
      <c r="B62" s="15" t="s">
        <v>287</v>
      </c>
      <c r="C62" s="9" t="s">
        <v>76</v>
      </c>
      <c r="D62" s="46">
        <f>SUMIFS(Hyde_iron!$C$34:$C$48,Hyde_iron!$B$34:$B$48,$B62)*I62/SUMIFS(I$3:I$63,$B$3:$B$63,$B62)</f>
        <v>0.54661791590493625</v>
      </c>
      <c r="E62" s="7">
        <f t="shared" si="72"/>
        <v>0.56489945155393084</v>
      </c>
      <c r="F62" s="7">
        <f t="shared" si="73"/>
        <v>0.58318098720292533</v>
      </c>
      <c r="G62" s="7">
        <f t="shared" si="74"/>
        <v>0.60146252285191981</v>
      </c>
      <c r="H62" s="7">
        <f t="shared" si="75"/>
        <v>0.6197440585009143</v>
      </c>
      <c r="I62" s="46">
        <f>SUMIFS(Hyde_iron!$D$34:$D$48,Hyde_iron!$B$34:$B$48,$B62)*N62/SUMIFS(N$3:N$63,$B$3:$B$63,$B62)</f>
        <v>0.63802559414990878</v>
      </c>
      <c r="J62" s="7">
        <f t="shared" si="76"/>
        <v>0.67714808043875696</v>
      </c>
      <c r="K62" s="7">
        <f t="shared" si="77"/>
        <v>0.71627056672760525</v>
      </c>
      <c r="L62" s="7">
        <f t="shared" si="78"/>
        <v>0.75539305301645354</v>
      </c>
      <c r="M62" s="7">
        <f t="shared" si="79"/>
        <v>0.79451553930530183</v>
      </c>
      <c r="N62" s="46">
        <f>SUMIFS(Hyde_iron!$E$34:$E$48,Hyde_iron!$B$34:$B$48,$B62)*S62/SUMIFS(S$3:S$63,$B$3:$B$63,$B62)</f>
        <v>0.83363802559415012</v>
      </c>
      <c r="O62" s="7">
        <f t="shared" si="80"/>
        <v>0.82084095063985374</v>
      </c>
      <c r="P62" s="7">
        <f t="shared" si="81"/>
        <v>0.80804387568555758</v>
      </c>
      <c r="Q62" s="7">
        <f t="shared" si="82"/>
        <v>0.79524680073126142</v>
      </c>
      <c r="R62" s="7">
        <f t="shared" si="83"/>
        <v>0.78244972577696525</v>
      </c>
      <c r="S62" s="46">
        <f>SUMIFS(Hyde_iron!$F$34:$F$48,Hyde_iron!$B$34:$B$48,$B62)*X62/SUMIFS(X$3:X$63,$B$3:$B$63,$B62)</f>
        <v>0.76965265082266909</v>
      </c>
      <c r="T62" s="7">
        <f t="shared" si="84"/>
        <v>0.79926873857404013</v>
      </c>
      <c r="U62" s="7">
        <f t="shared" si="85"/>
        <v>0.82888482632541127</v>
      </c>
      <c r="V62" s="7">
        <f t="shared" si="86"/>
        <v>0.85850091407678242</v>
      </c>
      <c r="W62" s="7">
        <f t="shared" si="87"/>
        <v>0.88811700182815356</v>
      </c>
      <c r="X62" s="46">
        <f>SUMIFS(Hyde_iron!$G$34:$G$48,Hyde_iron!$B$34:$B$48,$B62)*AC62/SUMIFS(AC$3:AC$63,$B$3:$B$63,$B62)</f>
        <v>0.91773308957952471</v>
      </c>
      <c r="Y62" s="7">
        <f t="shared" si="88"/>
        <v>0.87605118829981721</v>
      </c>
      <c r="Z62" s="7">
        <f t="shared" si="89"/>
        <v>0.83436928702010971</v>
      </c>
      <c r="AA62" s="7">
        <f t="shared" si="90"/>
        <v>0.79268738574040221</v>
      </c>
      <c r="AB62" s="7">
        <f t="shared" si="91"/>
        <v>0.75100548446069471</v>
      </c>
      <c r="AC62" s="46">
        <f>SUMIFS(Hyde_iron!$H$34:$H$48,Hyde_iron!$B$34:$B$48,$B62)*AH62/SUMIFS(AH$3:AH$63,$B$3:$B$63,$B62)</f>
        <v>0.7093235831809872</v>
      </c>
      <c r="AD62" s="7">
        <f t="shared" si="92"/>
        <v>0.99670932358318121</v>
      </c>
      <c r="AE62" s="7">
        <f t="shared" si="93"/>
        <v>1.284095063985375</v>
      </c>
      <c r="AF62" s="7">
        <f t="shared" si="94"/>
        <v>1.5714808043875688</v>
      </c>
      <c r="AG62" s="7">
        <f t="shared" si="95"/>
        <v>1.8588665447897625</v>
      </c>
      <c r="AH62" s="46">
        <f>SUMIFS(Hyde_iron!$I$34:$I$48,Hyde_iron!$B$34:$B$48,$B62)*AM62/SUMIFS(AM$3:AM$63,$B$3:$B$63,$B62)</f>
        <v>2.1462522851919563</v>
      </c>
      <c r="AI62" s="7">
        <f t="shared" si="96"/>
        <v>2.3170018281535647</v>
      </c>
      <c r="AJ62" s="7">
        <f t="shared" si="97"/>
        <v>2.4877513711151735</v>
      </c>
      <c r="AK62" s="7">
        <f t="shared" si="98"/>
        <v>2.6585009140767824</v>
      </c>
      <c r="AL62" s="7">
        <f t="shared" si="99"/>
        <v>2.8292504570383912</v>
      </c>
      <c r="AM62" s="46">
        <f>SUMIFS(SPEW_Pig_iron_production!$R:$R,SPEW_Pig_iron_production!$B:$B,$C62)</f>
        <v>3</v>
      </c>
      <c r="AN62" s="7">
        <f t="shared" si="100"/>
        <v>9.4000000000000021</v>
      </c>
      <c r="AO62" s="7">
        <f t="shared" si="101"/>
        <v>15.800000000000002</v>
      </c>
      <c r="AP62" s="7">
        <f t="shared" si="102"/>
        <v>22.200000000000003</v>
      </c>
      <c r="AQ62" s="7">
        <f t="shared" si="103"/>
        <v>28.6</v>
      </c>
      <c r="AR62" s="46">
        <f>SUMIFS(SPEW_Pig_iron_production!$S:$S,SPEW_Pig_iron_production!$B:$B,$C62)</f>
        <v>35</v>
      </c>
      <c r="AS62" s="7">
        <f t="shared" si="104"/>
        <v>32.200000000000003</v>
      </c>
      <c r="AT62" s="7">
        <f t="shared" si="105"/>
        <v>29.400000000000002</v>
      </c>
      <c r="AU62" s="7">
        <f t="shared" si="106"/>
        <v>26.6</v>
      </c>
      <c r="AV62" s="7">
        <f t="shared" si="107"/>
        <v>23.8</v>
      </c>
      <c r="AW62" s="46">
        <f>SUMIFS(SPEW_Pig_iron_production!$T:$T,SPEW_Pig_iron_production!$B:$B,$C62)</f>
        <v>21</v>
      </c>
      <c r="AX62" s="7">
        <f t="shared" si="108"/>
        <v>41.199999999999989</v>
      </c>
      <c r="AY62" s="7">
        <f t="shared" si="109"/>
        <v>61.399999999999991</v>
      </c>
      <c r="AZ62" s="7">
        <f t="shared" si="110"/>
        <v>81.599999999999994</v>
      </c>
      <c r="BA62" s="7">
        <f t="shared" si="111"/>
        <v>101.8</v>
      </c>
      <c r="BB62" s="46">
        <f>SUMIFS(SPEW_Pig_iron_production!$U:$U,SPEW_Pig_iron_production!$B:$B,$C62)</f>
        <v>122</v>
      </c>
      <c r="BC62" s="7">
        <f t="shared" si="112"/>
        <v>100</v>
      </c>
      <c r="BD62" s="7">
        <f t="shared" si="113"/>
        <v>78</v>
      </c>
      <c r="BE62" s="7">
        <f t="shared" si="114"/>
        <v>56</v>
      </c>
      <c r="BF62" s="7">
        <f t="shared" si="115"/>
        <v>34</v>
      </c>
      <c r="BG62" s="46">
        <f>SUMIFS(SPEW_Pig_iron_production!$V:$V,SPEW_Pig_iron_production!$B:$B,$C62)</f>
        <v>12</v>
      </c>
      <c r="BH62" s="7">
        <f t="shared" si="116"/>
        <v>54.799999999999983</v>
      </c>
      <c r="BI62" s="7">
        <f t="shared" si="117"/>
        <v>97.59999999999998</v>
      </c>
      <c r="BJ62" s="7">
        <f t="shared" si="118"/>
        <v>140.39999999999998</v>
      </c>
      <c r="BK62" s="7">
        <f t="shared" si="119"/>
        <v>183.2</v>
      </c>
      <c r="BL62" s="46">
        <f>SUMIFS(SPEW_Pig_iron_production!$W:$W,SPEW_Pig_iron_production!$B:$B,$C62)</f>
        <v>226</v>
      </c>
      <c r="BM62" s="7">
        <f t="shared" si="120"/>
        <v>287</v>
      </c>
      <c r="BN62" s="7">
        <f t="shared" si="121"/>
        <v>348</v>
      </c>
      <c r="BO62" s="7">
        <f t="shared" si="122"/>
        <v>409</v>
      </c>
      <c r="BP62" s="7">
        <f t="shared" si="123"/>
        <v>470</v>
      </c>
      <c r="BQ62" s="46">
        <f>SUMIFS(SPEW_Pig_iron_production!$X:$X,SPEW_Pig_iron_production!$B:$B,$C62)</f>
        <v>531</v>
      </c>
      <c r="BR62" s="7">
        <f t="shared" si="124"/>
        <v>628</v>
      </c>
      <c r="BS62" s="7">
        <f t="shared" si="125"/>
        <v>725</v>
      </c>
      <c r="BT62" s="7">
        <f t="shared" si="126"/>
        <v>822</v>
      </c>
      <c r="BU62" s="7">
        <f t="shared" si="127"/>
        <v>919</v>
      </c>
      <c r="BV62" s="46">
        <f>SUMIFS(SPEW_Pig_iron_production!$Y:$Y,SPEW_Pig_iron_production!$B:$B,$C62)</f>
        <v>1016</v>
      </c>
      <c r="BW62" s="7">
        <f t="shared" si="128"/>
        <v>1048.1999999999998</v>
      </c>
      <c r="BX62" s="7">
        <f t="shared" si="129"/>
        <v>1080.3999999999999</v>
      </c>
      <c r="BY62" s="7">
        <f t="shared" si="130"/>
        <v>1112.5999999999999</v>
      </c>
      <c r="BZ62" s="7">
        <f t="shared" si="131"/>
        <v>1144.8</v>
      </c>
      <c r="CA62" s="46">
        <f>SUMIFS(SPEW_Pig_iron_production!$Z:$Z,SPEW_Pig_iron_production!$B:$B,$C62)</f>
        <v>1177</v>
      </c>
      <c r="CB62" s="7">
        <f t="shared" si="132"/>
        <v>1217</v>
      </c>
      <c r="CC62" s="7">
        <f t="shared" si="133"/>
        <v>1257</v>
      </c>
      <c r="CD62" s="7">
        <f t="shared" si="134"/>
        <v>1297</v>
      </c>
      <c r="CE62" s="7">
        <f t="shared" si="135"/>
        <v>1337</v>
      </c>
      <c r="CF62" s="46">
        <f>SUMIFS(SPEW_Pig_iron_production!$AA:$AA,SPEW_Pig_iron_production!$B:$B,$C62)</f>
        <v>1377</v>
      </c>
      <c r="CG62" s="7">
        <f t="shared" si="136"/>
        <v>1540.8000000000002</v>
      </c>
      <c r="CH62" s="7">
        <f t="shared" si="137"/>
        <v>1704.6000000000001</v>
      </c>
      <c r="CI62" s="7">
        <f t="shared" si="138"/>
        <v>1868.4</v>
      </c>
      <c r="CJ62" s="7">
        <f t="shared" si="139"/>
        <v>2032.2</v>
      </c>
      <c r="CK62" s="46">
        <f>SUMIFS(SPEW_Pig_iron_production!$AB:$AB,SPEW_Pig_iron_production!$B:$B,$C62)</f>
        <v>2196</v>
      </c>
      <c r="CL62" s="7">
        <f t="shared" si="140"/>
        <v>2244</v>
      </c>
      <c r="CM62" s="7">
        <f t="shared" si="141"/>
        <v>2292</v>
      </c>
      <c r="CN62" s="7">
        <f t="shared" si="142"/>
        <v>2340</v>
      </c>
      <c r="CO62" s="7">
        <f t="shared" si="143"/>
        <v>2388</v>
      </c>
      <c r="CP62" s="2">
        <f>[1]Data!B62</f>
        <v>2436</v>
      </c>
      <c r="CQ62" s="2">
        <f>[1]Data!C62</f>
        <v>2816</v>
      </c>
      <c r="CR62" s="2">
        <f>[1]Data!D62</f>
        <v>2702</v>
      </c>
      <c r="CS62" s="2">
        <f>[1]Data!E62</f>
        <v>2836</v>
      </c>
      <c r="CT62" s="2">
        <f>[1]Data!F62</f>
        <v>2850</v>
      </c>
      <c r="CU62" s="2">
        <f>[1]Data!G62</f>
        <v>3113</v>
      </c>
      <c r="CV62" s="2">
        <f>[1]Data!H62</f>
        <v>3063</v>
      </c>
      <c r="CW62" s="2">
        <f>[1]Data!I62</f>
        <v>2867</v>
      </c>
      <c r="CX62" s="2">
        <f>[1]Data!J62</f>
        <v>2917</v>
      </c>
      <c r="CY62" s="2">
        <f>[1]Data!K62</f>
        <v>2898</v>
      </c>
      <c r="CZ62" s="2">
        <f>[1]Data!L62</f>
        <v>2313</v>
      </c>
      <c r="DA62" s="2">
        <f>[1]Data!M62</f>
        <v>1266</v>
      </c>
      <c r="DB62" s="2">
        <f>[1]Data!N62</f>
        <v>0</v>
      </c>
      <c r="DC62" s="2">
        <f>[1]Data!O62</f>
        <v>0</v>
      </c>
      <c r="DD62" s="2">
        <f>[1]Data!P62</f>
        <v>0</v>
      </c>
      <c r="DE62" s="2">
        <f>[1]Data!Q62</f>
        <v>0</v>
      </c>
      <c r="DF62" s="2">
        <f>[1]Data!R62</f>
        <v>0</v>
      </c>
      <c r="DG62" s="2">
        <f>[1]Data!S62</f>
        <v>0</v>
      </c>
      <c r="DH62" s="2">
        <f>[1]Data!T62</f>
        <v>0</v>
      </c>
      <c r="DI62" s="2">
        <f>[1]Data!U62</f>
        <v>0</v>
      </c>
      <c r="DJ62" s="2">
        <f>[1]Data!V62</f>
        <v>0</v>
      </c>
      <c r="DK62" s="2">
        <f>[1]Data!W62</f>
        <v>0</v>
      </c>
      <c r="DL62" s="2">
        <f>[1]Data!X62</f>
        <v>0</v>
      </c>
      <c r="DM62" s="2">
        <f>[1]Data!Y62</f>
        <v>0</v>
      </c>
      <c r="DN62" s="2">
        <f>[1]Data!Z62</f>
        <v>0</v>
      </c>
      <c r="DO62" s="2">
        <f>[1]Data!AA62</f>
        <v>0</v>
      </c>
      <c r="DP62" s="2">
        <f>[1]Data!AB62</f>
        <v>0</v>
      </c>
      <c r="DQ62" s="2">
        <f>[1]Data!AC62</f>
        <v>0</v>
      </c>
      <c r="DR62" s="2">
        <f>[1]Data!AD62</f>
        <v>0</v>
      </c>
      <c r="DS62" s="2">
        <f>[1]Data!AE62</f>
        <v>0</v>
      </c>
      <c r="DT62" s="2">
        <f>[1]Data!AF62</f>
        <v>0</v>
      </c>
      <c r="DU62" s="2">
        <f>[1]Data!AG62</f>
        <v>0</v>
      </c>
      <c r="DV62" s="2">
        <f>[1]Data!AH62</f>
        <v>0</v>
      </c>
      <c r="DW62" s="2">
        <f>[1]Data!AI62</f>
        <v>0</v>
      </c>
      <c r="DX62" s="2">
        <v>0</v>
      </c>
      <c r="DY62" s="2">
        <f>[4]Data!AK62</f>
        <v>0</v>
      </c>
      <c r="DZ62" s="2">
        <f>[4]Data!AL62</f>
        <v>0</v>
      </c>
      <c r="EA62" s="2">
        <f>[4]Data!AM62</f>
        <v>0</v>
      </c>
    </row>
    <row r="63" spans="1:131" ht="16" x14ac:dyDescent="0.2">
      <c r="A63" s="3" t="s">
        <v>61</v>
      </c>
      <c r="B63" s="48"/>
      <c r="C63" s="9" t="s">
        <v>135</v>
      </c>
      <c r="D63" s="47"/>
      <c r="E63" s="8">
        <f>F63-(I63-D63)/5</f>
        <v>0</v>
      </c>
      <c r="F63" s="8">
        <f>G63-(I63-D63)/5</f>
        <v>0</v>
      </c>
      <c r="G63" s="8">
        <f>H63-(I63-D63)/5</f>
        <v>0</v>
      </c>
      <c r="H63" s="8">
        <f>I63-(I63-D63)/5</f>
        <v>0</v>
      </c>
      <c r="I63" s="47"/>
      <c r="J63" s="8">
        <f>K63-(N63-I63)/5</f>
        <v>0</v>
      </c>
      <c r="K63" s="8">
        <f>L63-(N63-I63)/5</f>
        <v>0</v>
      </c>
      <c r="L63" s="8">
        <f>M63-(N63-I63)/5</f>
        <v>0</v>
      </c>
      <c r="M63" s="8">
        <f>N63-(N63-I63)/5</f>
        <v>0</v>
      </c>
      <c r="N63" s="47"/>
      <c r="O63" s="8">
        <f>P63-(S63-N63)/5</f>
        <v>0</v>
      </c>
      <c r="P63" s="8">
        <f>Q63-(S63-N63)/5</f>
        <v>0</v>
      </c>
      <c r="Q63" s="8">
        <f>R63-(S63-N63)/5</f>
        <v>0</v>
      </c>
      <c r="R63" s="8">
        <f>S63-(S63-N63)/5</f>
        <v>0</v>
      </c>
      <c r="S63" s="47"/>
      <c r="T63" s="8">
        <f>U63-(X63-S63)/5</f>
        <v>0</v>
      </c>
      <c r="U63" s="8">
        <f>V63-(X63-S63)/5</f>
        <v>0</v>
      </c>
      <c r="V63" s="8">
        <f>W63-(X63-S63)/5</f>
        <v>0</v>
      </c>
      <c r="W63" s="8">
        <f>X63-(X63-S63)/5</f>
        <v>0</v>
      </c>
      <c r="X63" s="47"/>
      <c r="Y63" s="8">
        <f>Z63-(AC63-X63)/5</f>
        <v>0</v>
      </c>
      <c r="Z63" s="8">
        <f>AA63-(AC63-X63)/5</f>
        <v>0</v>
      </c>
      <c r="AA63" s="8">
        <f>AB63-(AC63-X63)/5</f>
        <v>0</v>
      </c>
      <c r="AB63" s="8">
        <f>AC63-(AC63-X63)/5</f>
        <v>0</v>
      </c>
      <c r="AC63" s="47"/>
      <c r="AD63" s="8">
        <f>AE63-(AH63-AC63)/5</f>
        <v>0</v>
      </c>
      <c r="AE63" s="8">
        <f>AF63-(AH63-AC63)/5</f>
        <v>0</v>
      </c>
      <c r="AF63" s="8">
        <f>AG63-(AH63-AC63)/5</f>
        <v>0</v>
      </c>
      <c r="AG63" s="8">
        <f>AH63-(AH63-AC63)/5</f>
        <v>0</v>
      </c>
      <c r="AH63" s="47"/>
      <c r="AI63" s="8">
        <f>AJ63-(AM63-AH63)/5</f>
        <v>0</v>
      </c>
      <c r="AJ63" s="8">
        <f>AK63-(AM63-AH63)/5</f>
        <v>0</v>
      </c>
      <c r="AK63" s="8">
        <f>AL63-(AM63-AH63)/5</f>
        <v>0</v>
      </c>
      <c r="AL63" s="8">
        <f>AM63-(AM63-AH63)/5</f>
        <v>0</v>
      </c>
      <c r="AM63" s="47">
        <f>SUMIFS(SPEW_Pig_iron_production!$R:$R,SPEW_Pig_iron_production!$B:$B,$C63)</f>
        <v>0</v>
      </c>
      <c r="AN63" s="8">
        <f>AO63-(AR63-AM63)/5</f>
        <v>0</v>
      </c>
      <c r="AO63" s="8">
        <f>AP63-(AR63-AM63)/5</f>
        <v>0</v>
      </c>
      <c r="AP63" s="8">
        <f>AQ63-(AR63-AM63)/5</f>
        <v>0</v>
      </c>
      <c r="AQ63" s="8">
        <f>AR63-(AR63-AM63)/5</f>
        <v>0</v>
      </c>
      <c r="AR63" s="47">
        <f>SUMIFS(SPEW_Pig_iron_production!$S:$S,SPEW_Pig_iron_production!$B:$B,$C63)</f>
        <v>0</v>
      </c>
      <c r="AS63" s="8">
        <f>AT63-(AW63-AR63)/5</f>
        <v>0</v>
      </c>
      <c r="AT63" s="8">
        <f>AU63-(AW63-AR63)/5</f>
        <v>0</v>
      </c>
      <c r="AU63" s="8">
        <f>AV63-(AW63-AR63)/5</f>
        <v>0</v>
      </c>
      <c r="AV63" s="8">
        <f>AW63-(AW63-AR63)/5</f>
        <v>0</v>
      </c>
      <c r="AW63" s="47">
        <f>SUMIFS(SPEW_Pig_iron_production!$T:$T,SPEW_Pig_iron_production!$B:$B,$C63)</f>
        <v>0</v>
      </c>
      <c r="AX63" s="8">
        <f>AY63-(BB63-AW63)/5</f>
        <v>0</v>
      </c>
      <c r="AY63" s="8">
        <f>AZ63-(BB63-AW63)/5</f>
        <v>0</v>
      </c>
      <c r="AZ63" s="8">
        <f>BA63-(BB63-AW63)/5</f>
        <v>0</v>
      </c>
      <c r="BA63" s="8">
        <f>BB63-(BB63-AW63)/5</f>
        <v>0</v>
      </c>
      <c r="BB63" s="47">
        <f>SUMIFS(SPEW_Pig_iron_production!$U:$U,SPEW_Pig_iron_production!$B:$B,$C63)</f>
        <v>0</v>
      </c>
      <c r="BC63" s="8">
        <f>BD63-(BG63-BB63)/5</f>
        <v>0</v>
      </c>
      <c r="BD63" s="8">
        <f>BE63-(BG63-BB63)/5</f>
        <v>0</v>
      </c>
      <c r="BE63" s="8">
        <f>BF63-(BG63-BB63)/5</f>
        <v>0</v>
      </c>
      <c r="BF63" s="8">
        <f>BG63-(BG63-BB63)/5</f>
        <v>0</v>
      </c>
      <c r="BG63" s="47">
        <f>SUMIFS(SPEW_Pig_iron_production!$V:$V,SPEW_Pig_iron_production!$B:$B,$C63)</f>
        <v>0</v>
      </c>
      <c r="BH63" s="8">
        <f>BI63-(BL63-BG63)/5</f>
        <v>0</v>
      </c>
      <c r="BI63" s="8">
        <f>BJ63-(BL63-BG63)/5</f>
        <v>0</v>
      </c>
      <c r="BJ63" s="8">
        <f>BK63-(BL63-BG63)/5</f>
        <v>0</v>
      </c>
      <c r="BK63" s="8">
        <f>BL63-(BL63-BG63)/5</f>
        <v>0</v>
      </c>
      <c r="BL63" s="47">
        <f>SUMIFS(SPEW_Pig_iron_production!$W:$W,SPEW_Pig_iron_production!$B:$B,$C63)</f>
        <v>0</v>
      </c>
      <c r="BM63" s="8">
        <f>BN63-(BQ63-BL63)/5</f>
        <v>0</v>
      </c>
      <c r="BN63" s="8">
        <f>BO63-(BQ63-BL63)/5</f>
        <v>0</v>
      </c>
      <c r="BO63" s="8">
        <f>BP63-(BQ63-BL63)/5</f>
        <v>0</v>
      </c>
      <c r="BP63" s="8">
        <f>BQ63-(BQ63-BL63)/5</f>
        <v>0</v>
      </c>
      <c r="BQ63" s="47">
        <f>SUMIFS(SPEW_Pig_iron_production!$X:$X,SPEW_Pig_iron_production!$B:$B,$C63)</f>
        <v>0</v>
      </c>
      <c r="BR63" s="8">
        <f>BS63-(BV63-BQ63)/5</f>
        <v>0</v>
      </c>
      <c r="BS63" s="8">
        <f>BT63-(BV63-BQ63)/5</f>
        <v>0</v>
      </c>
      <c r="BT63" s="8">
        <f>BU63-(BV63-BQ63)/5</f>
        <v>0</v>
      </c>
      <c r="BU63" s="8">
        <f>BV63-(BV63-BQ63)/5</f>
        <v>0</v>
      </c>
      <c r="BV63" s="47">
        <f>SUMIFS(SPEW_Pig_iron_production!$Y:$Y,SPEW_Pig_iron_production!$B:$B,$C63)</f>
        <v>0</v>
      </c>
      <c r="BW63" s="8">
        <f>BX63-(CA63-BV63)/5</f>
        <v>50</v>
      </c>
      <c r="BX63" s="8">
        <f>BY63-(CA63-BV63)/5</f>
        <v>100</v>
      </c>
      <c r="BY63" s="8">
        <f>BZ63-(CA63-BV63)/5</f>
        <v>150</v>
      </c>
      <c r="BZ63" s="8">
        <f>CA63-(CA63-BV63)/5</f>
        <v>200</v>
      </c>
      <c r="CA63" s="47">
        <f>SUMIFS(SPEW_Pig_iron_production!$Z:$Z,SPEW_Pig_iron_production!$B:$B,$C63)</f>
        <v>250</v>
      </c>
      <c r="CB63" s="8">
        <f>CC63-(CF63-CA63)/5</f>
        <v>250</v>
      </c>
      <c r="CC63" s="8">
        <f>CD63-(CF63-CA63)/5</f>
        <v>250</v>
      </c>
      <c r="CD63" s="8">
        <f>CE63-(CF63-CA63)/5</f>
        <v>250</v>
      </c>
      <c r="CE63" s="8">
        <f>CF63-(CF63-CA63)/5</f>
        <v>250</v>
      </c>
      <c r="CF63" s="47">
        <f>SUMIFS(SPEW_Pig_iron_production!$AA:$AA,SPEW_Pig_iron_production!$B:$B,$C63)</f>
        <v>250</v>
      </c>
      <c r="CG63" s="8">
        <f>CH63-(CK63-CF63)/5</f>
        <v>260.40000000000009</v>
      </c>
      <c r="CH63" s="8">
        <f>CI63-(CK63-CF63)/5</f>
        <v>270.80000000000007</v>
      </c>
      <c r="CI63" s="8">
        <f>CJ63-(CK63-CF63)/5</f>
        <v>281.20000000000005</v>
      </c>
      <c r="CJ63" s="8">
        <f>CK63-(CK63-CF63)/5</f>
        <v>291.60000000000002</v>
      </c>
      <c r="CK63" s="47">
        <f>SUMIFS(SPEW_Pig_iron_production!$AB:$AB,SPEW_Pig_iron_production!$B:$B,$C63)</f>
        <v>302</v>
      </c>
      <c r="CL63" s="8">
        <f>CM63-(CP63-CK63)/5</f>
        <v>398.80000000000007</v>
      </c>
      <c r="CM63" s="8">
        <f>CN63-(CP63-CK63)/5</f>
        <v>495.60000000000008</v>
      </c>
      <c r="CN63" s="8">
        <f>CO63-(CP63-CK63)/5</f>
        <v>592.40000000000009</v>
      </c>
      <c r="CO63" s="8">
        <f>CP63-(CP63-CK63)/5</f>
        <v>689.2</v>
      </c>
      <c r="CP63" s="4">
        <f>[1]Data!B63</f>
        <v>786</v>
      </c>
      <c r="CQ63" s="4">
        <f>[1]Data!C63</f>
        <v>643</v>
      </c>
      <c r="CR63" s="4">
        <f>[1]Data!D63</f>
        <v>478</v>
      </c>
      <c r="CS63" s="4">
        <f>[1]Data!E63</f>
        <v>584</v>
      </c>
      <c r="CT63" s="4">
        <f>[1]Data!F63</f>
        <v>400</v>
      </c>
      <c r="CU63" s="4">
        <f>[1]Data!G63</f>
        <v>674</v>
      </c>
      <c r="CV63" s="4">
        <f>[1]Data!H63</f>
        <v>644</v>
      </c>
      <c r="CW63" s="4">
        <f>[1]Data!I63</f>
        <v>644</v>
      </c>
      <c r="CX63" s="4">
        <f>[1]Data!J63</f>
        <v>503</v>
      </c>
      <c r="CY63" s="4">
        <f>[1]Data!K63</f>
        <v>525</v>
      </c>
      <c r="CZ63" s="4">
        <f>[1]Data!L63</f>
        <v>521</v>
      </c>
      <c r="DA63" s="4">
        <f>[1]Data!M63</f>
        <v>535</v>
      </c>
      <c r="DB63" s="4">
        <f>[1]Data!N63</f>
        <v>507</v>
      </c>
      <c r="DC63" s="4">
        <f>[1]Data!O63</f>
        <v>211</v>
      </c>
      <c r="DD63" s="4">
        <f>[1]Data!P63</f>
        <v>150</v>
      </c>
      <c r="DE63" s="4">
        <f>[1]Data!Q63</f>
        <v>205</v>
      </c>
      <c r="DF63" s="4">
        <f>[1]Data!R63</f>
        <v>219</v>
      </c>
      <c r="DG63" s="4">
        <f>[1]Data!S63</f>
        <v>216</v>
      </c>
      <c r="DH63" s="4">
        <f>[1]Data!T63</f>
        <v>217</v>
      </c>
      <c r="DI63" s="4">
        <f>[1]Data!U63</f>
        <v>270</v>
      </c>
      <c r="DJ63" s="4">
        <f>[1]Data!V63</f>
        <v>277</v>
      </c>
      <c r="DK63" s="4">
        <f>[1]Data!W63</f>
        <v>156</v>
      </c>
      <c r="DL63" s="4">
        <f>[1]Data!X63</f>
        <v>122</v>
      </c>
      <c r="DM63" s="4">
        <f>[1]Data!Y63</f>
        <v>182</v>
      </c>
      <c r="DN63" s="4">
        <f>[1]Data!Z63</f>
        <v>125</v>
      </c>
      <c r="DO63" s="4">
        <f>[1]Data!AA63</f>
        <v>129</v>
      </c>
      <c r="DP63" s="4">
        <f>[1]Data!AB63</f>
        <v>38</v>
      </c>
      <c r="DQ63" s="4">
        <f>[1]Data!AC63</f>
        <v>38</v>
      </c>
      <c r="DR63" s="4">
        <f>[1]Data!AD63</f>
        <v>0</v>
      </c>
      <c r="DS63" s="4">
        <f>[1]Data!AE63</f>
        <v>0</v>
      </c>
      <c r="DT63" s="4">
        <f>[1]Data!AF63</f>
        <v>0</v>
      </c>
      <c r="DU63" s="4">
        <f>[1]Data!AG63</f>
        <v>0</v>
      </c>
      <c r="DV63" s="4">
        <f>[1]Data!AH63</f>
        <v>0</v>
      </c>
      <c r="DW63" s="4">
        <f>[1]Data!AI63</f>
        <v>0</v>
      </c>
      <c r="DX63" s="4">
        <v>0</v>
      </c>
      <c r="DY63" s="2">
        <f>[4]Data!AK63</f>
        <v>0</v>
      </c>
      <c r="DZ63" s="2">
        <f>[4]Data!AL63</f>
        <v>0</v>
      </c>
      <c r="EA63" s="2">
        <f>[4]Data!AM63</f>
        <v>0</v>
      </c>
    </row>
    <row r="64" spans="1:131" ht="16" x14ac:dyDescent="0.2">
      <c r="A64" t="s">
        <v>62</v>
      </c>
      <c r="X64" s="2">
        <f t="shared" ref="X64:BY64" si="144">SUM(X4:X63)</f>
        <v>61991.999999999993</v>
      </c>
      <c r="Y64" s="2">
        <f t="shared" si="144"/>
        <v>55371.399999999994</v>
      </c>
      <c r="Z64" s="2">
        <f t="shared" si="144"/>
        <v>59850.799999999996</v>
      </c>
      <c r="AA64" s="2">
        <f t="shared" si="144"/>
        <v>59930.200000000004</v>
      </c>
      <c r="AB64" s="2">
        <f t="shared" si="144"/>
        <v>52009.599999999991</v>
      </c>
      <c r="AC64" s="2">
        <f t="shared" si="144"/>
        <v>56889</v>
      </c>
      <c r="AD64" s="2">
        <f t="shared" si="144"/>
        <v>64656.4</v>
      </c>
      <c r="AE64" s="2">
        <f t="shared" si="144"/>
        <v>62923.799999999996</v>
      </c>
      <c r="AF64" s="2">
        <f t="shared" si="144"/>
        <v>62391.200000000004</v>
      </c>
      <c r="AG64" s="2">
        <f t="shared" si="144"/>
        <v>54158.6</v>
      </c>
      <c r="AH64" s="2">
        <f t="shared" si="144"/>
        <v>58626</v>
      </c>
      <c r="AI64" s="2">
        <f t="shared" si="144"/>
        <v>42778</v>
      </c>
      <c r="AJ64" s="2">
        <f t="shared" si="144"/>
        <v>54929.999999999993</v>
      </c>
      <c r="AK64" s="2">
        <f t="shared" si="144"/>
        <v>69382</v>
      </c>
      <c r="AL64" s="2">
        <f t="shared" si="144"/>
        <v>63834</v>
      </c>
      <c r="AM64" s="2">
        <f t="shared" si="144"/>
        <v>71186</v>
      </c>
      <c r="AN64" s="2">
        <f t="shared" si="144"/>
        <v>75101.199999999983</v>
      </c>
      <c r="AO64" s="2">
        <f t="shared" si="144"/>
        <v>74116.399999999994</v>
      </c>
      <c r="AP64" s="2">
        <f t="shared" si="144"/>
        <v>77031.599999999991</v>
      </c>
      <c r="AQ64" s="2">
        <f t="shared" si="144"/>
        <v>82646.8</v>
      </c>
      <c r="AR64" s="2">
        <f t="shared" si="144"/>
        <v>73162</v>
      </c>
      <c r="AS64" s="2">
        <f t="shared" si="144"/>
        <v>63050.199999999983</v>
      </c>
      <c r="AT64" s="2">
        <f t="shared" si="144"/>
        <v>55798.400000000001</v>
      </c>
      <c r="AU64" s="2">
        <f t="shared" si="144"/>
        <v>61126.599999999991</v>
      </c>
      <c r="AV64" s="2">
        <f t="shared" si="144"/>
        <v>64814.799999999996</v>
      </c>
      <c r="AW64" s="2">
        <f t="shared" si="144"/>
        <v>70803</v>
      </c>
      <c r="AX64" s="2">
        <f t="shared" si="144"/>
        <v>80988</v>
      </c>
      <c r="AY64" s="2">
        <f t="shared" si="144"/>
        <v>88073</v>
      </c>
      <c r="AZ64" s="2">
        <f t="shared" si="144"/>
        <v>73858.000000000029</v>
      </c>
      <c r="BA64" s="2">
        <f t="shared" si="144"/>
        <v>86843</v>
      </c>
      <c r="BB64" s="2">
        <f t="shared" si="144"/>
        <v>97728</v>
      </c>
      <c r="BC64" s="2">
        <f t="shared" si="144"/>
        <v>105290.76</v>
      </c>
      <c r="BD64" s="2">
        <f t="shared" si="144"/>
        <v>103853.51999999999</v>
      </c>
      <c r="BE64" s="2">
        <f t="shared" si="144"/>
        <v>100316.28</v>
      </c>
      <c r="BF64" s="2">
        <f t="shared" si="144"/>
        <v>95479.040000000008</v>
      </c>
      <c r="BG64" s="2">
        <f t="shared" si="144"/>
        <v>83441.8</v>
      </c>
      <c r="BH64" s="2">
        <f t="shared" si="144"/>
        <v>82882.680000000008</v>
      </c>
      <c r="BI64" s="2">
        <f t="shared" si="144"/>
        <v>102123.56</v>
      </c>
      <c r="BJ64" s="2">
        <f t="shared" si="144"/>
        <v>110764.44</v>
      </c>
      <c r="BK64" s="2">
        <f t="shared" si="144"/>
        <v>111705.31999999999</v>
      </c>
      <c r="BL64" s="2">
        <f t="shared" si="144"/>
        <v>128846.2</v>
      </c>
      <c r="BM64" s="2">
        <f t="shared" si="144"/>
        <v>143538.76</v>
      </c>
      <c r="BN64" s="2">
        <f t="shared" si="144"/>
        <v>144731.32</v>
      </c>
      <c r="BO64" s="2">
        <f t="shared" si="144"/>
        <v>166423.88</v>
      </c>
      <c r="BP64" s="2">
        <f t="shared" si="144"/>
        <v>160516.44</v>
      </c>
      <c r="BQ64" s="2">
        <f t="shared" si="144"/>
        <v>187009</v>
      </c>
      <c r="BR64" s="2">
        <f t="shared" si="144"/>
        <v>200888.8</v>
      </c>
      <c r="BS64" s="2">
        <f t="shared" si="144"/>
        <v>219368.59999999998</v>
      </c>
      <c r="BT64" s="2">
        <f t="shared" si="144"/>
        <v>215648.40000000005</v>
      </c>
      <c r="BU64" s="2">
        <f t="shared" si="144"/>
        <v>233828.2</v>
      </c>
      <c r="BV64" s="2">
        <f t="shared" si="144"/>
        <v>255008</v>
      </c>
      <c r="BW64" s="2">
        <f t="shared" si="144"/>
        <v>263023.8</v>
      </c>
      <c r="BX64" s="2">
        <f t="shared" si="144"/>
        <v>273239.59999999998</v>
      </c>
      <c r="BY64" s="2">
        <f t="shared" si="144"/>
        <v>288455.40000000002</v>
      </c>
      <c r="BZ64" s="2">
        <f t="shared" ref="BZ64:EA64" si="145">SUM(BZ4:BZ63)</f>
        <v>310271.2</v>
      </c>
      <c r="CA64" s="2">
        <f t="shared" si="145"/>
        <v>322287</v>
      </c>
      <c r="CB64" s="2">
        <f t="shared" si="145"/>
        <v>345953.4</v>
      </c>
      <c r="CC64" s="2">
        <f t="shared" si="145"/>
        <v>362719.80000000005</v>
      </c>
      <c r="CD64" s="2">
        <f t="shared" si="145"/>
        <v>385386.19999999995</v>
      </c>
      <c r="CE64" s="2">
        <f t="shared" si="145"/>
        <v>411952.6</v>
      </c>
      <c r="CF64" s="46">
        <f t="shared" si="145"/>
        <v>429419</v>
      </c>
      <c r="CG64" s="2">
        <f t="shared" si="145"/>
        <v>432286.20000000007</v>
      </c>
      <c r="CH64" s="2">
        <f t="shared" si="145"/>
        <v>450953.39999999997</v>
      </c>
      <c r="CI64" s="2">
        <f t="shared" si="145"/>
        <v>474120.60000000003</v>
      </c>
      <c r="CJ64" s="2">
        <f t="shared" si="145"/>
        <v>480687.79999999993</v>
      </c>
      <c r="CK64" s="2">
        <f t="shared" si="145"/>
        <v>478255</v>
      </c>
      <c r="CL64" s="2">
        <f t="shared" si="145"/>
        <v>492284.1999999999</v>
      </c>
      <c r="CM64" s="2">
        <f t="shared" si="145"/>
        <v>494913.39999999985</v>
      </c>
      <c r="CN64" s="2">
        <f t="shared" si="145"/>
        <v>508142.60000000003</v>
      </c>
      <c r="CO64" s="2">
        <f t="shared" si="145"/>
        <v>514971.80000000005</v>
      </c>
      <c r="CP64" s="2">
        <f t="shared" si="145"/>
        <v>505944</v>
      </c>
      <c r="CQ64" s="2">
        <f t="shared" si="145"/>
        <v>494701</v>
      </c>
      <c r="CR64" s="2">
        <f t="shared" si="145"/>
        <v>450322</v>
      </c>
      <c r="CS64" s="2">
        <f t="shared" si="145"/>
        <v>455731</v>
      </c>
      <c r="CT64" s="2">
        <f t="shared" si="145"/>
        <v>488612</v>
      </c>
      <c r="CU64" s="2">
        <f t="shared" si="145"/>
        <v>497769</v>
      </c>
      <c r="CV64" s="2">
        <f t="shared" si="145"/>
        <v>493846</v>
      </c>
      <c r="CW64" s="2">
        <f t="shared" si="145"/>
        <v>506021</v>
      </c>
      <c r="CX64" s="2">
        <f t="shared" si="145"/>
        <v>535566</v>
      </c>
      <c r="CY64" s="2">
        <f t="shared" si="145"/>
        <v>542018</v>
      </c>
      <c r="CZ64" s="2">
        <f t="shared" si="145"/>
        <v>528150</v>
      </c>
      <c r="DA64" s="2">
        <f t="shared" si="145"/>
        <v>505033</v>
      </c>
      <c r="DB64" s="2">
        <f t="shared" si="145"/>
        <v>498460</v>
      </c>
      <c r="DC64" s="2">
        <f t="shared" si="145"/>
        <v>501194</v>
      </c>
      <c r="DD64" s="2">
        <f t="shared" si="145"/>
        <v>508523</v>
      </c>
      <c r="DE64" s="2">
        <f t="shared" si="145"/>
        <v>524247</v>
      </c>
      <c r="DF64" s="2">
        <f t="shared" si="145"/>
        <v>517464</v>
      </c>
      <c r="DG64" s="2">
        <f t="shared" si="145"/>
        <v>546669</v>
      </c>
      <c r="DH64" s="2">
        <f t="shared" si="145"/>
        <v>539522</v>
      </c>
      <c r="DI64" s="2">
        <f t="shared" si="145"/>
        <v>540652</v>
      </c>
      <c r="DJ64" s="2">
        <f t="shared" si="145"/>
        <v>575872</v>
      </c>
      <c r="DK64" s="2">
        <f t="shared" si="145"/>
        <v>586016</v>
      </c>
      <c r="DL64" s="2">
        <f t="shared" si="145"/>
        <v>610630</v>
      </c>
      <c r="DM64" s="2">
        <f t="shared" si="145"/>
        <v>669895</v>
      </c>
      <c r="DN64" s="2">
        <f t="shared" si="145"/>
        <v>718705</v>
      </c>
      <c r="DO64" s="2">
        <f t="shared" si="145"/>
        <v>800099</v>
      </c>
      <c r="DP64" s="2">
        <f t="shared" si="145"/>
        <v>880623</v>
      </c>
      <c r="DQ64" s="2">
        <f t="shared" si="145"/>
        <v>961013</v>
      </c>
      <c r="DR64" s="2">
        <f t="shared" si="145"/>
        <v>949077</v>
      </c>
      <c r="DS64" s="2">
        <f t="shared" si="145"/>
        <v>933115</v>
      </c>
      <c r="DT64" s="2">
        <f t="shared" si="145"/>
        <v>1034334</v>
      </c>
      <c r="DU64" s="2">
        <f t="shared" si="145"/>
        <v>1103859</v>
      </c>
      <c r="DV64" s="2">
        <f t="shared" si="145"/>
        <v>1123040</v>
      </c>
      <c r="DW64" s="2">
        <f t="shared" si="145"/>
        <v>1206676</v>
      </c>
      <c r="DX64" s="2">
        <f t="shared" si="145"/>
        <v>1183161</v>
      </c>
      <c r="DY64" s="2">
        <f t="shared" si="145"/>
        <v>1157930</v>
      </c>
      <c r="DZ64" s="2">
        <f t="shared" si="145"/>
        <v>1166542</v>
      </c>
      <c r="EA64" s="2">
        <f t="shared" si="145"/>
        <v>1180493</v>
      </c>
    </row>
    <row r="65" spans="1:131" x14ac:dyDescent="0.2">
      <c r="A65" s="1" t="s">
        <v>69</v>
      </c>
      <c r="X65" s="2">
        <f t="shared" ref="X65:CI65" si="146">X64-X59</f>
        <v>34891.999999999993</v>
      </c>
      <c r="Y65" s="2">
        <f t="shared" si="146"/>
        <v>33871.399999999994</v>
      </c>
      <c r="Z65" s="2">
        <f t="shared" si="146"/>
        <v>32850.799999999996</v>
      </c>
      <c r="AA65" s="2">
        <f t="shared" si="146"/>
        <v>31830.200000000004</v>
      </c>
      <c r="AB65" s="2">
        <f t="shared" si="146"/>
        <v>30809.599999999991</v>
      </c>
      <c r="AC65" s="2">
        <f t="shared" si="146"/>
        <v>29789</v>
      </c>
      <c r="AD65" s="2">
        <f t="shared" si="146"/>
        <v>28856.400000000001</v>
      </c>
      <c r="AE65" s="2">
        <f t="shared" si="146"/>
        <v>27923.799999999996</v>
      </c>
      <c r="AF65" s="2">
        <f t="shared" si="146"/>
        <v>26991.200000000004</v>
      </c>
      <c r="AG65" s="2">
        <f t="shared" si="146"/>
        <v>26058.6</v>
      </c>
      <c r="AH65" s="2">
        <f t="shared" si="146"/>
        <v>25126</v>
      </c>
      <c r="AI65" s="2">
        <f t="shared" si="146"/>
        <v>27678</v>
      </c>
      <c r="AJ65" s="2">
        <f t="shared" si="146"/>
        <v>30229.999999999993</v>
      </c>
      <c r="AK65" s="2">
        <f t="shared" si="146"/>
        <v>32782</v>
      </c>
      <c r="AL65" s="2">
        <f t="shared" si="146"/>
        <v>35334</v>
      </c>
      <c r="AM65" s="2">
        <f t="shared" si="146"/>
        <v>37886</v>
      </c>
      <c r="AN65" s="2">
        <f t="shared" si="146"/>
        <v>39401.199999999983</v>
      </c>
      <c r="AO65" s="2">
        <f t="shared" si="146"/>
        <v>40916.399999999994</v>
      </c>
      <c r="AP65" s="2">
        <f t="shared" si="146"/>
        <v>42431.599999999991</v>
      </c>
      <c r="AQ65" s="2">
        <f t="shared" si="146"/>
        <v>43946.8</v>
      </c>
      <c r="AR65" s="2">
        <f t="shared" si="146"/>
        <v>45462</v>
      </c>
      <c r="AS65" s="2">
        <f t="shared" si="146"/>
        <v>46750.199999999983</v>
      </c>
      <c r="AT65" s="2">
        <f t="shared" si="146"/>
        <v>48038.400000000001</v>
      </c>
      <c r="AU65" s="2">
        <f t="shared" si="146"/>
        <v>49326.599999999991</v>
      </c>
      <c r="AV65" s="2">
        <f t="shared" si="146"/>
        <v>50614.799999999996</v>
      </c>
      <c r="AW65" s="2">
        <f t="shared" si="146"/>
        <v>51903</v>
      </c>
      <c r="AX65" s="2">
        <f t="shared" si="146"/>
        <v>53588</v>
      </c>
      <c r="AY65" s="2">
        <f t="shared" si="146"/>
        <v>55273</v>
      </c>
      <c r="AZ65" s="2">
        <f t="shared" si="146"/>
        <v>56958.000000000029</v>
      </c>
      <c r="BA65" s="2">
        <f t="shared" si="146"/>
        <v>58643</v>
      </c>
      <c r="BB65" s="2">
        <f t="shared" si="146"/>
        <v>60328</v>
      </c>
      <c r="BC65" s="2">
        <f t="shared" si="146"/>
        <v>55290.759999999995</v>
      </c>
      <c r="BD65" s="2">
        <f t="shared" si="146"/>
        <v>50253.51999999999</v>
      </c>
      <c r="BE65" s="2">
        <f t="shared" si="146"/>
        <v>45216.28</v>
      </c>
      <c r="BF65" s="2">
        <f t="shared" si="146"/>
        <v>40179.040000000008</v>
      </c>
      <c r="BG65" s="2">
        <f t="shared" si="146"/>
        <v>35141.800000000003</v>
      </c>
      <c r="BH65" s="2">
        <f t="shared" si="146"/>
        <v>42182.680000000008</v>
      </c>
      <c r="BI65" s="2">
        <f t="shared" si="146"/>
        <v>49223.56</v>
      </c>
      <c r="BJ65" s="2">
        <f t="shared" si="146"/>
        <v>56264.44</v>
      </c>
      <c r="BK65" s="2">
        <f t="shared" si="146"/>
        <v>63305.319999999992</v>
      </c>
      <c r="BL65" s="2">
        <f t="shared" si="146"/>
        <v>70346.2</v>
      </c>
      <c r="BM65" s="2">
        <f t="shared" si="146"/>
        <v>79738.760000000009</v>
      </c>
      <c r="BN65" s="2">
        <f t="shared" si="146"/>
        <v>89131.32</v>
      </c>
      <c r="BO65" s="2">
        <f t="shared" si="146"/>
        <v>98523.88</v>
      </c>
      <c r="BP65" s="2">
        <f t="shared" si="146"/>
        <v>107916.44</v>
      </c>
      <c r="BQ65" s="2">
        <f t="shared" si="146"/>
        <v>117309</v>
      </c>
      <c r="BR65" s="2">
        <f t="shared" si="146"/>
        <v>132788.79999999999</v>
      </c>
      <c r="BS65" s="2">
        <f t="shared" si="146"/>
        <v>148268.59999999998</v>
      </c>
      <c r="BT65" s="2">
        <f t="shared" si="146"/>
        <v>163748.40000000005</v>
      </c>
      <c r="BU65" s="2">
        <f t="shared" si="146"/>
        <v>179228.2</v>
      </c>
      <c r="BV65" s="2">
        <f t="shared" si="146"/>
        <v>194708</v>
      </c>
      <c r="BW65" s="2">
        <f t="shared" si="146"/>
        <v>204223.8</v>
      </c>
      <c r="BX65" s="2">
        <f t="shared" si="146"/>
        <v>213739.59999999998</v>
      </c>
      <c r="BY65" s="2">
        <f t="shared" si="146"/>
        <v>223255.40000000002</v>
      </c>
      <c r="BZ65" s="2">
        <f t="shared" si="146"/>
        <v>232771.20000000001</v>
      </c>
      <c r="CA65" s="2">
        <f t="shared" si="146"/>
        <v>242287</v>
      </c>
      <c r="CB65" s="2">
        <f t="shared" si="146"/>
        <v>263153.40000000002</v>
      </c>
      <c r="CC65" s="2">
        <f t="shared" si="146"/>
        <v>284019.80000000005</v>
      </c>
      <c r="CD65" s="2">
        <f t="shared" si="146"/>
        <v>304886.19999999995</v>
      </c>
      <c r="CE65" s="2">
        <f t="shared" si="146"/>
        <v>325752.59999999998</v>
      </c>
      <c r="CF65" s="2">
        <f t="shared" si="146"/>
        <v>346619</v>
      </c>
      <c r="CG65" s="2">
        <f t="shared" si="146"/>
        <v>358486.20000000007</v>
      </c>
      <c r="CH65" s="2">
        <f t="shared" si="146"/>
        <v>370353.39999999997</v>
      </c>
      <c r="CI65" s="2">
        <f t="shared" si="146"/>
        <v>382220.60000000003</v>
      </c>
      <c r="CJ65" s="2">
        <f t="shared" ref="CJ65:CN65" si="147">CJ64-CJ59</f>
        <v>394087.79999999993</v>
      </c>
      <c r="CK65" s="2">
        <f t="shared" si="147"/>
        <v>405955</v>
      </c>
      <c r="CL65" s="2">
        <f t="shared" si="147"/>
        <v>413484.1999999999</v>
      </c>
      <c r="CM65" s="2">
        <f t="shared" si="147"/>
        <v>421013.39999999985</v>
      </c>
      <c r="CN65" s="2">
        <f t="shared" si="147"/>
        <v>428542.60000000003</v>
      </c>
      <c r="CO65" s="2">
        <f>CO64-CO59</f>
        <v>436071.80000000005</v>
      </c>
      <c r="CP65" s="2">
        <f>CP64-CP59</f>
        <v>443601</v>
      </c>
      <c r="CQ65" s="2">
        <f t="shared" ref="CQ65:EA65" si="148">CQ64-CQ59</f>
        <v>427959</v>
      </c>
      <c r="CR65" s="2">
        <f t="shared" si="148"/>
        <v>411033</v>
      </c>
      <c r="CS65" s="2">
        <f t="shared" si="148"/>
        <v>411546</v>
      </c>
      <c r="CT65" s="2">
        <f t="shared" si="148"/>
        <v>441525</v>
      </c>
      <c r="CU65" s="2">
        <f t="shared" si="148"/>
        <v>452005</v>
      </c>
      <c r="CV65" s="2">
        <f t="shared" si="148"/>
        <v>453973</v>
      </c>
      <c r="CW65" s="2">
        <f t="shared" si="148"/>
        <v>462104</v>
      </c>
      <c r="CX65" s="2">
        <f t="shared" si="148"/>
        <v>484995</v>
      </c>
      <c r="CY65" s="2">
        <f t="shared" si="148"/>
        <v>491331</v>
      </c>
      <c r="CZ65" s="2">
        <f t="shared" si="148"/>
        <v>478482</v>
      </c>
      <c r="DA65" s="2">
        <f t="shared" si="148"/>
        <v>460910</v>
      </c>
      <c r="DB65" s="2">
        <f t="shared" si="148"/>
        <v>451083</v>
      </c>
      <c r="DC65" s="2">
        <f t="shared" si="148"/>
        <v>453039</v>
      </c>
      <c r="DD65" s="2">
        <f t="shared" si="148"/>
        <v>459149</v>
      </c>
      <c r="DE65" s="2">
        <f t="shared" si="148"/>
        <v>473357</v>
      </c>
      <c r="DF65" s="2">
        <f t="shared" si="148"/>
        <v>468036</v>
      </c>
      <c r="DG65" s="2">
        <f t="shared" si="148"/>
        <v>497065</v>
      </c>
      <c r="DH65" s="2">
        <f t="shared" si="148"/>
        <v>491292</v>
      </c>
      <c r="DI65" s="2">
        <f t="shared" si="148"/>
        <v>494384</v>
      </c>
      <c r="DJ65" s="2">
        <f t="shared" si="148"/>
        <v>527984</v>
      </c>
      <c r="DK65" s="2">
        <f t="shared" si="148"/>
        <v>543883</v>
      </c>
      <c r="DL65" s="2">
        <f t="shared" si="148"/>
        <v>570405</v>
      </c>
      <c r="DM65" s="2">
        <f t="shared" si="148"/>
        <v>629251</v>
      </c>
      <c r="DN65" s="2">
        <f t="shared" si="148"/>
        <v>676414</v>
      </c>
      <c r="DO65" s="2">
        <f t="shared" si="148"/>
        <v>762877</v>
      </c>
      <c r="DP65" s="2">
        <f t="shared" si="148"/>
        <v>842720</v>
      </c>
      <c r="DQ65" s="2">
        <f t="shared" si="148"/>
        <v>924676</v>
      </c>
      <c r="DR65" s="2">
        <f t="shared" si="148"/>
        <v>915348</v>
      </c>
      <c r="DS65" s="2">
        <f t="shared" si="148"/>
        <v>914097</v>
      </c>
      <c r="DT65" s="2">
        <f t="shared" si="148"/>
        <v>1007491</v>
      </c>
      <c r="DU65" s="2">
        <f t="shared" si="148"/>
        <v>1073632</v>
      </c>
      <c r="DV65" s="2">
        <f t="shared" si="148"/>
        <v>1090978</v>
      </c>
      <c r="DW65" s="2">
        <f t="shared" si="148"/>
        <v>1176368</v>
      </c>
      <c r="DX65" s="2">
        <f t="shared" si="148"/>
        <v>1153787</v>
      </c>
      <c r="DY65" s="2">
        <f t="shared" si="148"/>
        <v>1132495</v>
      </c>
      <c r="DZ65" s="2">
        <f t="shared" si="148"/>
        <v>1144249</v>
      </c>
      <c r="EA65" s="2">
        <f t="shared" si="148"/>
        <v>1158098</v>
      </c>
    </row>
    <row r="66" spans="1:131" x14ac:dyDescent="0.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Z66" s="9"/>
    </row>
    <row r="67" spans="1:131" x14ac:dyDescent="0.2">
      <c r="A67" s="1" t="s">
        <v>64</v>
      </c>
      <c r="X67" s="2">
        <f>LOOKUP(X$3,'[3]Pig Iron'!$A$7:$A$124,'[3]Pig Iron'!$G$7:$G$124)/1000</f>
        <v>1.7000000000000001E-2</v>
      </c>
      <c r="Y67" s="2">
        <f>LOOKUP(Y$3,'[3]Pig Iron'!$A$7:$A$124,'[3]Pig Iron'!$G$7:$G$124)/1000</f>
        <v>1.55E-2</v>
      </c>
      <c r="Z67" s="2">
        <f>LOOKUP(Z$3,'[3]Pig Iron'!$A$7:$A$124,'[3]Pig Iron'!$G$7:$G$124)/1000</f>
        <v>1.54E-2</v>
      </c>
      <c r="AA67" s="2">
        <f>LOOKUP(AA$3,'[3]Pig Iron'!$A$7:$A$124,'[3]Pig Iron'!$G$7:$G$124)/1000</f>
        <v>1.66E-2</v>
      </c>
      <c r="AB67" s="2">
        <f>LOOKUP(AB$3,'[3]Pig Iron'!$A$7:$A$124,'[3]Pig Iron'!$G$7:$G$124)/1000</f>
        <v>1.4800000000000001E-2</v>
      </c>
      <c r="AC67" s="2">
        <f>LOOKUP(AC$3,'[3]Pig Iron'!$A$7:$A$124,'[3]Pig Iron'!$G$7:$G$124)/1000</f>
        <v>1.46E-2</v>
      </c>
      <c r="AD67" s="2">
        <f>LOOKUP(AD$3,'[3]Pig Iron'!$A$7:$A$124,'[3]Pig Iron'!$G$7:$G$124)/1000</f>
        <v>1.8699999999999998E-2</v>
      </c>
      <c r="AE67" s="2">
        <f>LOOKUP(AE$3,'[3]Pig Iron'!$A$7:$A$124,'[3]Pig Iron'!$G$7:$G$124)/1000</f>
        <v>3.0100000000000002E-2</v>
      </c>
      <c r="AF67" s="2">
        <f>LOOKUP(AF$3,'[3]Pig Iron'!$A$7:$A$124,'[3]Pig Iron'!$G$7:$G$124)/1000</f>
        <v>3.4099999999999998E-2</v>
      </c>
      <c r="AG67" s="2">
        <f>LOOKUP(AG$3,'[3]Pig Iron'!$A$7:$A$124,'[3]Pig Iron'!$G$7:$G$124)/1000</f>
        <v>2.8399999999999998E-2</v>
      </c>
      <c r="AH67" s="2">
        <f>LOOKUP(AH$3,'[3]Pig Iron'!$A$7:$A$124,'[3]Pig Iron'!$G$7:$G$124)/1000</f>
        <v>3.5200000000000002E-2</v>
      </c>
      <c r="AI67" s="2">
        <f>LOOKUP(AI$3,'[3]Pig Iron'!$A$7:$A$124,'[3]Pig Iron'!$G$7:$G$124)/1000</f>
        <v>2.6800000000000001E-2</v>
      </c>
      <c r="AJ67" s="2">
        <f>LOOKUP(AJ$3,'[3]Pig Iron'!$A$7:$A$124,'[3]Pig Iron'!$G$7:$G$124)/1000</f>
        <v>2.4199999999999999E-2</v>
      </c>
      <c r="AK67" s="2">
        <f>LOOKUP(AK$3,'[3]Pig Iron'!$A$7:$A$124,'[3]Pig Iron'!$G$7:$G$124)/1000</f>
        <v>2.7199999999999998E-2</v>
      </c>
      <c r="AL67" s="2">
        <f>LOOKUP(AL$3,'[3]Pig Iron'!$A$7:$A$124,'[3]Pig Iron'!$G$7:$G$124)/1000</f>
        <v>2.3600000000000003E-2</v>
      </c>
      <c r="AM67" s="2">
        <f>LOOKUP(AM$3,'[3]Pig Iron'!$A$7:$A$124,'[3]Pig Iron'!$G$7:$G$124)/1000</f>
        <v>2.2100000000000002E-2</v>
      </c>
      <c r="AN67" s="2">
        <f>LOOKUP(AN$3,'[3]Pig Iron'!$A$7:$A$124,'[3]Pig Iron'!$G$7:$G$124)/1000</f>
        <v>2.1600000000000001E-2</v>
      </c>
      <c r="AO67" s="2">
        <f>LOOKUP(AO$3,'[3]Pig Iron'!$A$7:$A$124,'[3]Pig Iron'!$G$7:$G$124)/1000</f>
        <v>2.0399999999999998E-2</v>
      </c>
      <c r="AP67" s="2">
        <f>LOOKUP(AP$3,'[3]Pig Iron'!$A$7:$A$124,'[3]Pig Iron'!$G$7:$G$124)/1000</f>
        <v>1.9E-2</v>
      </c>
      <c r="AQ67" s="2">
        <f>LOOKUP(AQ$3,'[3]Pig Iron'!$A$7:$A$124,'[3]Pig Iron'!$G$7:$G$124)/1000</f>
        <v>1.9399999999999997E-2</v>
      </c>
      <c r="AR67" s="2">
        <f>LOOKUP(AR$3,'[3]Pig Iron'!$A$7:$A$124,'[3]Pig Iron'!$G$7:$G$124)/1000</f>
        <v>1.89E-2</v>
      </c>
      <c r="AS67" s="2">
        <f>LOOKUP(AS$3,'[3]Pig Iron'!$A$7:$A$124,'[3]Pig Iron'!$G$7:$G$124)/1000</f>
        <v>1.77E-2</v>
      </c>
      <c r="AT67" s="2">
        <f>LOOKUP(AT$3,'[3]Pig Iron'!$A$7:$A$124,'[3]Pig Iron'!$G$7:$G$124)/1000</f>
        <v>1.6300000000000002E-2</v>
      </c>
      <c r="AU67" s="2">
        <f>LOOKUP(AU$3,'[3]Pig Iron'!$A$7:$A$124,'[3]Pig Iron'!$G$7:$G$124)/1000</f>
        <v>1.6399999999999998E-2</v>
      </c>
      <c r="AV67" s="2">
        <f>LOOKUP(AV$3,'[3]Pig Iron'!$A$7:$A$124,'[3]Pig Iron'!$G$7:$G$124)/1000</f>
        <v>1.84E-2</v>
      </c>
      <c r="AW67" s="2">
        <f>LOOKUP(AW$3,'[3]Pig Iron'!$A$7:$A$124,'[3]Pig Iron'!$G$7:$G$124)/1000</f>
        <v>1.8600000000000002E-2</v>
      </c>
      <c r="AX67" s="2">
        <f>LOOKUP(AX$3,'[3]Pig Iron'!$A$7:$A$124,'[3]Pig Iron'!$G$7:$G$124)/1000</f>
        <v>1.7299999999999999E-2</v>
      </c>
      <c r="AY67" s="2">
        <f>LOOKUP(AY$3,'[3]Pig Iron'!$A$7:$A$124,'[3]Pig Iron'!$G$7:$G$124)/1000</f>
        <v>2.0399999999999998E-2</v>
      </c>
      <c r="AZ67" s="2">
        <f>LOOKUP(AZ$3,'[3]Pig Iron'!$A$7:$A$124,'[3]Pig Iron'!$G$7:$G$124)/1000</f>
        <v>1.9300000000000001E-2</v>
      </c>
      <c r="BA67" s="2">
        <f>LOOKUP(BA$3,'[3]Pig Iron'!$A$7:$A$124,'[3]Pig Iron'!$G$7:$G$124)/1000</f>
        <v>1.9199999999999998E-2</v>
      </c>
      <c r="BB67" s="2">
        <f>LOOKUP(BB$3,'[3]Pig Iron'!$A$7:$A$124,'[3]Pig Iron'!$G$7:$G$124)/1000</f>
        <v>1.9699999999999999E-2</v>
      </c>
      <c r="BC67" s="2">
        <f>LOOKUP(BC$3,'[3]Pig Iron'!$A$7:$A$124,'[3]Pig Iron'!$G$7:$G$124)/1000</f>
        <v>2.2200000000000001E-2</v>
      </c>
      <c r="BD67" s="2">
        <f>LOOKUP(BD$3,'[3]Pig Iron'!$A$7:$A$124,'[3]Pig Iron'!$G$7:$G$124)/1000</f>
        <v>2.29E-2</v>
      </c>
      <c r="BE67" s="2">
        <f>LOOKUP(BE$3,'[3]Pig Iron'!$A$7:$A$124,'[3]Pig Iron'!$G$7:$G$124)/1000</f>
        <v>2.3100000000000002E-2</v>
      </c>
      <c r="BF67" s="2">
        <f>LOOKUP(BF$3,'[3]Pig Iron'!$A$7:$A$124,'[3]Pig Iron'!$G$7:$G$124)/1000</f>
        <v>2.3100000000000002E-2</v>
      </c>
      <c r="BG67" s="2">
        <f>LOOKUP(BG$3,'[3]Pig Iron'!$A$7:$A$124,'[3]Pig Iron'!$G$7:$G$124)/1000</f>
        <v>2.4300000000000002E-2</v>
      </c>
      <c r="BH67" s="2">
        <f>LOOKUP(BH$3,'[3]Pig Iron'!$A$7:$A$124,'[3]Pig Iron'!$G$7:$G$124)/1000</f>
        <v>2.7E-2</v>
      </c>
      <c r="BI67" s="2">
        <f>LOOKUP(BI$3,'[3]Pig Iron'!$A$7:$A$124,'[3]Pig Iron'!$G$7:$G$124)/1000</f>
        <v>3.3399999999999999E-2</v>
      </c>
      <c r="BJ67" s="2">
        <f>LOOKUP(BJ$3,'[3]Pig Iron'!$A$7:$A$124,'[3]Pig Iron'!$G$7:$G$124)/1000</f>
        <v>4.1000000000000002E-2</v>
      </c>
      <c r="BK67" s="2">
        <f>LOOKUP(BK$3,'[3]Pig Iron'!$A$7:$A$124,'[3]Pig Iron'!$G$7:$G$124)/1000</f>
        <v>4.6399999999999997E-2</v>
      </c>
      <c r="BL67" s="2">
        <f>LOOKUP(BL$3,'[3]Pig Iron'!$A$7:$A$124,'[3]Pig Iron'!$G$7:$G$124)/1000</f>
        <v>4.7200000000000006E-2</v>
      </c>
      <c r="BM67" s="2">
        <f>LOOKUP(BM$3,'[3]Pig Iron'!$A$7:$A$124,'[3]Pig Iron'!$G$7:$G$124)/1000</f>
        <v>5.1499999999999997E-2</v>
      </c>
      <c r="BN67" s="2">
        <f>LOOKUP(BN$3,'[3]Pig Iron'!$A$7:$A$124,'[3]Pig Iron'!$G$7:$G$124)/1000</f>
        <v>5.3399999999999996E-2</v>
      </c>
      <c r="BO67" s="2">
        <f>LOOKUP(BO$3,'[3]Pig Iron'!$A$7:$A$124,'[3]Pig Iron'!$G$7:$G$124)/1000</f>
        <v>5.4899999999999997E-2</v>
      </c>
      <c r="BP67" s="2">
        <f>LOOKUP(BP$3,'[3]Pig Iron'!$A$7:$A$124,'[3]Pig Iron'!$G$7:$G$124)/1000</f>
        <v>5.5E-2</v>
      </c>
      <c r="BQ67" s="2">
        <f>LOOKUP(BQ$3,'[3]Pig Iron'!$A$7:$A$124,'[3]Pig Iron'!$G$7:$G$124)/1000</f>
        <v>5.5899999999999998E-2</v>
      </c>
      <c r="BR67" s="2">
        <f>LOOKUP(BR$3,'[3]Pig Iron'!$A$7:$A$124,'[3]Pig Iron'!$G$7:$G$124)/1000</f>
        <v>5.91E-2</v>
      </c>
      <c r="BS67" s="2">
        <f>LOOKUP(BS$3,'[3]Pig Iron'!$A$7:$A$124,'[3]Pig Iron'!$G$7:$G$124)/1000</f>
        <v>6.4399999999999999E-2</v>
      </c>
      <c r="BT67" s="2">
        <f>LOOKUP(BT$3,'[3]Pig Iron'!$A$7:$A$124,'[3]Pig Iron'!$G$7:$G$124)/1000</f>
        <v>6.5700000000000008E-2</v>
      </c>
      <c r="BU67" s="2">
        <f>LOOKUP(BU$3,'[3]Pig Iron'!$A$7:$A$124,'[3]Pig Iron'!$G$7:$G$124)/1000</f>
        <v>6.54E-2</v>
      </c>
      <c r="BV67" s="2">
        <f>LOOKUP(BV$3,'[3]Pig Iron'!$A$7:$A$124,'[3]Pig Iron'!$G$7:$G$124)/1000</f>
        <v>6.5599999999999992E-2</v>
      </c>
      <c r="BW67" s="2">
        <f>LOOKUP(BW$3,'[3]Pig Iron'!$A$7:$A$124,'[3]Pig Iron'!$G$7:$G$124)/1000</f>
        <v>6.4500000000000002E-2</v>
      </c>
      <c r="BX67" s="2">
        <f>LOOKUP(BX$3,'[3]Pig Iron'!$A$7:$A$124,'[3]Pig Iron'!$G$7:$G$124)/1000</f>
        <v>6.409999999999999E-2</v>
      </c>
      <c r="BY67" s="2">
        <f>LOOKUP(BY$3,'[3]Pig Iron'!$A$7:$A$124,'[3]Pig Iron'!$G$7:$G$124)/1000</f>
        <v>6.4500000000000002E-2</v>
      </c>
      <c r="BZ67" s="2">
        <f>LOOKUP(BZ$3,'[3]Pig Iron'!$A$7:$A$124,'[3]Pig Iron'!$G$7:$G$124)/1000</f>
        <v>6.4200000000000007E-2</v>
      </c>
      <c r="CA67" s="2">
        <f>LOOKUP(CA$3,'[3]Pig Iron'!$A$7:$A$124,'[3]Pig Iron'!$G$7:$G$124)/1000</f>
        <v>6.2799999999999995E-2</v>
      </c>
      <c r="CB67" s="2">
        <f>LOOKUP(CB$3,'[3]Pig Iron'!$A$7:$A$124,'[3]Pig Iron'!$G$7:$G$124)/1000</f>
        <v>6.2100000000000002E-2</v>
      </c>
      <c r="CC67" s="2">
        <f>LOOKUP(CC$3,'[3]Pig Iron'!$A$7:$A$124,'[3]Pig Iron'!$G$7:$G$124)/1000</f>
        <v>6.2200000000000005E-2</v>
      </c>
      <c r="CD67" s="2">
        <f>LOOKUP(CD$3,'[3]Pig Iron'!$A$7:$A$124,'[3]Pig Iron'!$G$7:$G$124)/1000</f>
        <v>6.2200000000000005E-2</v>
      </c>
      <c r="CE67" s="2">
        <f>LOOKUP(CE$3,'[3]Pig Iron'!$A$7:$A$124,'[3]Pig Iron'!$G$7:$G$124)/1000</f>
        <v>7.1599999999999997E-2</v>
      </c>
      <c r="CF67" s="2">
        <f>LOOKUP(CF$3,'[3]Pig Iron'!$A$7:$A$124,'[3]Pig Iron'!$G$7:$G$124)/1000</f>
        <v>7.1599999999999997E-2</v>
      </c>
      <c r="CG67" s="2">
        <f>LOOKUP(CG$3,'[3]Pig Iron'!$A$7:$A$124,'[3]Pig Iron'!$G$7:$G$124)/1000</f>
        <v>7.740000000000001E-2</v>
      </c>
      <c r="CH67" s="2">
        <f>LOOKUP(CH$3,'[3]Pig Iron'!$A$7:$A$124,'[3]Pig Iron'!$G$7:$G$124)/1000</f>
        <v>8.5300000000000001E-2</v>
      </c>
      <c r="CI67" s="2">
        <f>LOOKUP(CI$3,'[3]Pig Iron'!$A$7:$A$124,'[3]Pig Iron'!$G$7:$G$124)/1000</f>
        <v>8.2000000000000003E-2</v>
      </c>
      <c r="CJ67" s="2">
        <f>LOOKUP(CJ$3,'[3]Pig Iron'!$A$7:$A$124,'[3]Pig Iron'!$G$7:$G$124)/1000</f>
        <v>0.14299999999999999</v>
      </c>
      <c r="CK67" s="2">
        <f>LOOKUP(CK$3,'[3]Pig Iron'!$A$7:$A$124,'[3]Pig Iron'!$G$7:$G$124)/1000</f>
        <v>0.189</v>
      </c>
      <c r="CL67" s="2">
        <f>LOOKUP(CL$3,'[3]Pig Iron'!$A$7:$A$124,'[3]Pig Iron'!$G$7:$G$124)/1000</f>
        <v>0.19800000000000001</v>
      </c>
      <c r="CM67" s="2">
        <f>LOOKUP(CM$3,'[3]Pig Iron'!$A$7:$A$124,'[3]Pig Iron'!$G$7:$G$124)/1000</f>
        <v>0.19900000000000001</v>
      </c>
      <c r="CN67" s="2">
        <f>LOOKUP(CN$3,'[3]Pig Iron'!$A$7:$A$124,'[3]Pig Iron'!$G$7:$G$124)/1000</f>
        <v>0.20499999999999999</v>
      </c>
      <c r="CO67" s="2">
        <f>LOOKUP(CO$3,'[3]Pig Iron'!$A$7:$A$124,'[3]Pig Iron'!$G$7:$G$124)/1000</f>
        <v>0.21199999999999999</v>
      </c>
      <c r="CP67" s="2">
        <f>LOOKUP(CP$3,'[3]Pig Iron'!$A$7:$A$124,'[3]Pig Iron'!$I$7:$I$124)/1000</f>
        <v>514000</v>
      </c>
      <c r="CQ67" s="2">
        <f>LOOKUP(CQ$3,'[3]Pig Iron'!$A$7:$A$124,'[3]Pig Iron'!$I$7:$I$124)/1000</f>
        <v>502000</v>
      </c>
      <c r="CR67" s="2">
        <f>LOOKUP(CR$3,'[3]Pig Iron'!$A$7:$A$124,'[3]Pig Iron'!$I$7:$I$124)/1000</f>
        <v>457000</v>
      </c>
      <c r="CS67" s="2">
        <f>LOOKUP(CS$3,'[3]Pig Iron'!$A$7:$A$124,'[3]Pig Iron'!$I$7:$I$124)/1000</f>
        <v>463000</v>
      </c>
      <c r="CT67" s="2">
        <f>LOOKUP(CT$3,'[3]Pig Iron'!$A$7:$A$124,'[3]Pig Iron'!$I$7:$I$124)/1000</f>
        <v>495000</v>
      </c>
      <c r="CU67" s="2">
        <f>LOOKUP(CU$3,'[3]Pig Iron'!$A$7:$A$124,'[3]Pig Iron'!$I$7:$I$124)/1000</f>
        <v>499000</v>
      </c>
      <c r="CV67" s="2">
        <f>LOOKUP(CV$3,'[3]Pig Iron'!$A$7:$A$124,'[3]Pig Iron'!$I$7:$I$124)/1000</f>
        <v>495000</v>
      </c>
      <c r="CW67" s="2">
        <f>LOOKUP(CW$3,'[3]Pig Iron'!$A$7:$A$124,'[3]Pig Iron'!$I$7:$I$124)/1000</f>
        <v>509000</v>
      </c>
      <c r="CX67" s="2">
        <f>LOOKUP(CX$3,'[3]Pig Iron'!$A$7:$A$124,'[3]Pig Iron'!$I$7:$I$124)/1000</f>
        <v>539000</v>
      </c>
      <c r="CY67" s="2">
        <f>LOOKUP(CY$3,'[3]Pig Iron'!$A$7:$A$124,'[3]Pig Iron'!$I$7:$I$124)/1000</f>
        <v>546000</v>
      </c>
      <c r="CZ67" s="2">
        <f>LOOKUP(CZ$3,'[3]Pig Iron'!$A$7:$A$124,'[3]Pig Iron'!$I$7:$I$124)/1000</f>
        <v>531000</v>
      </c>
      <c r="DA67" s="2">
        <f>LOOKUP(DA$3,'[3]Pig Iron'!$A$7:$A$124,'[3]Pig Iron'!$I$7:$I$124)/1000</f>
        <v>509000</v>
      </c>
      <c r="DB67" s="2">
        <f>LOOKUP(DB$3,'[3]Pig Iron'!$A$7:$A$124,'[3]Pig Iron'!$I$7:$I$124)/1000</f>
        <v>503000</v>
      </c>
      <c r="DC67" s="2">
        <f>LOOKUP(DC$3,'[3]Pig Iron'!$A$7:$A$124,'[3]Pig Iron'!$I$7:$I$124)/1000</f>
        <v>507000</v>
      </c>
      <c r="DD67" s="2">
        <f>LOOKUP(DD$3,'[3]Pig Iron'!$A$7:$A$124,'[3]Pig Iron'!$I$7:$I$124)/1000</f>
        <v>516000</v>
      </c>
      <c r="DE67" s="2">
        <f>LOOKUP(DE$3,'[3]Pig Iron'!$A$7:$A$124,'[3]Pig Iron'!$I$7:$I$124)/1000</f>
        <v>536000</v>
      </c>
      <c r="DF67" s="2">
        <f>LOOKUP(DF$3,'[3]Pig Iron'!$A$7:$A$124,'[3]Pig Iron'!$I$7:$I$124)/1000</f>
        <v>516000</v>
      </c>
      <c r="DG67" s="2">
        <f>LOOKUP(DG$3,'[3]Pig Iron'!$A$7:$A$124,'[3]Pig Iron'!$I$7:$I$124)/1000</f>
        <v>540000</v>
      </c>
      <c r="DH67" s="2">
        <f>LOOKUP(DH$3,'[3]Pig Iron'!$A$7:$A$124,'[3]Pig Iron'!$I$7:$I$124)/1000</f>
        <v>535000</v>
      </c>
      <c r="DI67" s="2">
        <f>LOOKUP(DI$3,'[3]Pig Iron'!$A$7:$A$124,'[3]Pig Iron'!$I$7:$I$124)/1000</f>
        <v>539000</v>
      </c>
      <c r="DJ67" s="2">
        <f>LOOKUP(DJ$3,'[3]Pig Iron'!$A$7:$A$124,'[3]Pig Iron'!$I$7:$I$124)/1000</f>
        <v>573000</v>
      </c>
      <c r="DK67" s="2">
        <f>LOOKUP(DK$3,'[3]Pig Iron'!$A$7:$A$124,'[3]Pig Iron'!$I$7:$I$124)/1000</f>
        <v>585000</v>
      </c>
      <c r="DL67" s="2">
        <f>LOOKUP(DL$3,'[3]Pig Iron'!$A$7:$A$124,'[3]Pig Iron'!$I$7:$I$124)/1000</f>
        <v>608000</v>
      </c>
      <c r="DM67" s="2">
        <f>LOOKUP(DM$3,'[3]Pig Iron'!$A$7:$A$124,'[3]Pig Iron'!$I$7:$I$124)/1000</f>
        <v>673000</v>
      </c>
      <c r="DN67" s="2">
        <f>LOOKUP(DN$3,'[3]Pig Iron'!$A$7:$A$124,'[3]Pig Iron'!$I$7:$I$124)/1000</f>
        <v>720000</v>
      </c>
      <c r="DO67" s="2">
        <f>LOOKUP(DO$3,'[3]Pig Iron'!$A$7:$A$124,'[3]Pig Iron'!$I$7:$I$124)/1000</f>
        <v>802000</v>
      </c>
      <c r="DP67" s="2">
        <f>LOOKUP(DP$3,'[3]Pig Iron'!$A$7:$A$124,'[3]Pig Iron'!$I$7:$I$124)/1000</f>
        <v>881000</v>
      </c>
      <c r="DQ67" s="2">
        <f>LOOKUP(DQ$3,'[3]Pig Iron'!$A$7:$A$124,'[3]Pig Iron'!$I$7:$I$124)/1000</f>
        <v>956000</v>
      </c>
      <c r="DR67" s="2">
        <f>LOOKUP(DR$3,'[3]Pig Iron'!$A$7:$A$124,'[3]Pig Iron'!$I$7:$I$124)/1000</f>
        <v>931000</v>
      </c>
      <c r="DS67" s="2">
        <f>LOOKUP(DS$3,'[3]Pig Iron'!$A$7:$A$124,'[3]Pig Iron'!$I$7:$I$124)/1000</f>
        <v>919000</v>
      </c>
      <c r="DT67" s="2">
        <f>LOOKUP(DT$3,'[3]Pig Iron'!$A$7:$A$124,'[3]Pig Iron'!$I$7:$I$124)/1000</f>
        <v>1040000</v>
      </c>
      <c r="DU67" s="2">
        <f>LOOKUP(DU$3,'[3]Pig Iron'!$A$7:$A$124,'[3]Pig Iron'!$I$7:$I$124)/1000</f>
        <v>1110000</v>
      </c>
      <c r="DV67" s="2">
        <f>LOOKUP(DV$3,'[3]Pig Iron'!$A$7:$A$124,'[3]Pig Iron'!$I$7:$I$124)/1000</f>
        <v>1120000</v>
      </c>
      <c r="DW67" s="2">
        <f>LOOKUP(DW$3,'[3]Pig Iron'!$A$7:$A$124,'[3]Pig Iron'!$I$7:$I$124)/1000</f>
        <v>1170000</v>
      </c>
      <c r="DX67" s="2">
        <f>LOOKUP(DX$3,'[3]Pig Iron'!$A$7:$A$124,'[3]Pig Iron'!$I$7:$I$124)/1000</f>
        <v>1190000</v>
      </c>
      <c r="DY67" s="2">
        <f>LOOKUP(DY$3,'[3]Pig Iron'!$A$7:$A$124,'[3]Pig Iron'!$I$7:$I$124)/1000</f>
        <v>1160000</v>
      </c>
      <c r="DZ67" s="2">
        <f>LOOKUP(DZ$3,'[3]Pig Iron'!$A$7:$A$124,'[3]Pig Iron'!$I$7:$I$124)/1000</f>
        <v>1160000</v>
      </c>
      <c r="EA67" s="2">
        <f>LOOKUP(EA$3,'[3]Pig Iron'!$A$7:$A$124,'[3]Pig Iron'!$I$7:$I$124)/1000</f>
        <v>1170000</v>
      </c>
    </row>
    <row r="68" spans="1:131" s="1" customFormat="1" x14ac:dyDescent="0.2">
      <c r="A68" s="1" t="s">
        <v>68</v>
      </c>
      <c r="B68" s="43"/>
      <c r="C68" s="9"/>
      <c r="D68" s="43"/>
      <c r="E68" s="43"/>
      <c r="F68" s="43"/>
      <c r="G68" s="43"/>
      <c r="H68" s="43"/>
      <c r="I68" s="43"/>
      <c r="J68" s="43"/>
      <c r="K68" s="43"/>
      <c r="L68" s="43"/>
      <c r="M68" s="43"/>
      <c r="N68" s="43"/>
      <c r="O68" s="43"/>
      <c r="P68" s="43"/>
      <c r="Q68" s="43"/>
      <c r="R68" s="43"/>
      <c r="S68" s="43"/>
      <c r="T68" s="43"/>
      <c r="U68" s="43"/>
      <c r="V68" s="43"/>
      <c r="W68" s="43"/>
      <c r="X68" s="2">
        <f t="shared" ref="X68:CI68" si="149">X67-X59</f>
        <v>-27099.983</v>
      </c>
      <c r="Y68" s="2">
        <f t="shared" si="149"/>
        <v>-21499.984499999999</v>
      </c>
      <c r="Z68" s="2">
        <f t="shared" si="149"/>
        <v>-26999.9846</v>
      </c>
      <c r="AA68" s="2">
        <f t="shared" si="149"/>
        <v>-28099.983400000001</v>
      </c>
      <c r="AB68" s="2">
        <f t="shared" si="149"/>
        <v>-21199.985199999999</v>
      </c>
      <c r="AC68" s="2">
        <f t="shared" si="149"/>
        <v>-27099.985400000001</v>
      </c>
      <c r="AD68" s="2">
        <f t="shared" si="149"/>
        <v>-35799.981299999999</v>
      </c>
      <c r="AE68" s="2">
        <f t="shared" si="149"/>
        <v>-34999.969899999996</v>
      </c>
      <c r="AF68" s="2">
        <f t="shared" si="149"/>
        <v>-35399.965900000003</v>
      </c>
      <c r="AG68" s="2">
        <f t="shared" si="149"/>
        <v>-28099.971600000001</v>
      </c>
      <c r="AH68" s="2">
        <f t="shared" si="149"/>
        <v>-33499.964800000002</v>
      </c>
      <c r="AI68" s="2">
        <f t="shared" si="149"/>
        <v>-15099.9732</v>
      </c>
      <c r="AJ68" s="2">
        <f t="shared" si="149"/>
        <v>-24699.9758</v>
      </c>
      <c r="AK68" s="2">
        <f t="shared" si="149"/>
        <v>-36599.972800000003</v>
      </c>
      <c r="AL68" s="2">
        <f t="shared" si="149"/>
        <v>-28499.9764</v>
      </c>
      <c r="AM68" s="2">
        <f t="shared" si="149"/>
        <v>-33299.977899999998</v>
      </c>
      <c r="AN68" s="2">
        <f t="shared" si="149"/>
        <v>-35699.9784</v>
      </c>
      <c r="AO68" s="2">
        <f t="shared" si="149"/>
        <v>-33199.979599999999</v>
      </c>
      <c r="AP68" s="2">
        <f t="shared" si="149"/>
        <v>-34599.981</v>
      </c>
      <c r="AQ68" s="2">
        <f t="shared" si="149"/>
        <v>-38699.980600000003</v>
      </c>
      <c r="AR68" s="2">
        <f t="shared" si="149"/>
        <v>-27699.981100000001</v>
      </c>
      <c r="AS68" s="2">
        <f t="shared" si="149"/>
        <v>-16299.9823</v>
      </c>
      <c r="AT68" s="2">
        <f t="shared" si="149"/>
        <v>-7759.9836999999998</v>
      </c>
      <c r="AU68" s="2">
        <f t="shared" si="149"/>
        <v>-11799.9836</v>
      </c>
      <c r="AV68" s="2">
        <f t="shared" si="149"/>
        <v>-14199.981599999999</v>
      </c>
      <c r="AW68" s="2">
        <f t="shared" si="149"/>
        <v>-18899.981400000001</v>
      </c>
      <c r="AX68" s="2">
        <f t="shared" si="149"/>
        <v>-27399.9827</v>
      </c>
      <c r="AY68" s="2">
        <f t="shared" si="149"/>
        <v>-32799.979599999999</v>
      </c>
      <c r="AZ68" s="2">
        <f t="shared" si="149"/>
        <v>-16899.9807</v>
      </c>
      <c r="BA68" s="2">
        <f t="shared" si="149"/>
        <v>-28199.980800000001</v>
      </c>
      <c r="BB68" s="2">
        <f t="shared" si="149"/>
        <v>-37399.980300000003</v>
      </c>
      <c r="BC68" s="2">
        <f t="shared" si="149"/>
        <v>-49999.977800000001</v>
      </c>
      <c r="BD68" s="2">
        <f t="shared" si="149"/>
        <v>-53599.977099999996</v>
      </c>
      <c r="BE68" s="2">
        <f t="shared" si="149"/>
        <v>-55099.976900000001</v>
      </c>
      <c r="BF68" s="2">
        <f t="shared" si="149"/>
        <v>-55299.976900000001</v>
      </c>
      <c r="BG68" s="2">
        <f t="shared" si="149"/>
        <v>-48299.975700000003</v>
      </c>
      <c r="BH68" s="2">
        <f t="shared" si="149"/>
        <v>-40699.972999999998</v>
      </c>
      <c r="BI68" s="2">
        <f t="shared" si="149"/>
        <v>-52899.9666</v>
      </c>
      <c r="BJ68" s="2">
        <f t="shared" si="149"/>
        <v>-54499.959000000003</v>
      </c>
      <c r="BK68" s="2">
        <f t="shared" si="149"/>
        <v>-48399.953600000001</v>
      </c>
      <c r="BL68" s="2">
        <f t="shared" si="149"/>
        <v>-58499.952799999999</v>
      </c>
      <c r="BM68" s="2">
        <f t="shared" si="149"/>
        <v>-63799.948499999999</v>
      </c>
      <c r="BN68" s="2">
        <f t="shared" si="149"/>
        <v>-55599.946600000003</v>
      </c>
      <c r="BO68" s="2">
        <f t="shared" si="149"/>
        <v>-67899.945099999997</v>
      </c>
      <c r="BP68" s="2">
        <f t="shared" si="149"/>
        <v>-52599.945</v>
      </c>
      <c r="BQ68" s="2">
        <f t="shared" si="149"/>
        <v>-69699.944099999993</v>
      </c>
      <c r="BR68" s="2">
        <f t="shared" si="149"/>
        <v>-68099.940900000001</v>
      </c>
      <c r="BS68" s="2">
        <f t="shared" si="149"/>
        <v>-71099.935599999997</v>
      </c>
      <c r="BT68" s="2">
        <f t="shared" si="149"/>
        <v>-51899.934300000001</v>
      </c>
      <c r="BU68" s="2">
        <f t="shared" si="149"/>
        <v>-54599.934600000001</v>
      </c>
      <c r="BV68" s="2">
        <f t="shared" si="149"/>
        <v>-60299.934399999998</v>
      </c>
      <c r="BW68" s="2">
        <f t="shared" si="149"/>
        <v>-58799.9355</v>
      </c>
      <c r="BX68" s="2">
        <f t="shared" si="149"/>
        <v>-59499.935899999997</v>
      </c>
      <c r="BY68" s="2">
        <f t="shared" si="149"/>
        <v>-65199.9355</v>
      </c>
      <c r="BZ68" s="2">
        <f t="shared" si="149"/>
        <v>-77499.935800000007</v>
      </c>
      <c r="CA68" s="2">
        <f t="shared" si="149"/>
        <v>-79999.9372</v>
      </c>
      <c r="CB68" s="2">
        <f t="shared" si="149"/>
        <v>-82799.937900000004</v>
      </c>
      <c r="CC68" s="2">
        <f t="shared" si="149"/>
        <v>-78699.9378</v>
      </c>
      <c r="CD68" s="2">
        <f t="shared" si="149"/>
        <v>-80499.9378</v>
      </c>
      <c r="CE68" s="2">
        <f t="shared" si="149"/>
        <v>-86199.928400000004</v>
      </c>
      <c r="CF68" s="2">
        <f t="shared" si="149"/>
        <v>-82799.928400000004</v>
      </c>
      <c r="CG68" s="2">
        <f t="shared" si="149"/>
        <v>-73799.922600000005</v>
      </c>
      <c r="CH68" s="2">
        <f t="shared" si="149"/>
        <v>-80599.914699999994</v>
      </c>
      <c r="CI68" s="2">
        <f t="shared" si="149"/>
        <v>-91899.918000000005</v>
      </c>
      <c r="CJ68" s="2">
        <f t="shared" ref="CJ68:CO68" si="150">CJ67-CJ59</f>
        <v>-86599.857000000004</v>
      </c>
      <c r="CK68" s="2">
        <f t="shared" si="150"/>
        <v>-72299.811000000002</v>
      </c>
      <c r="CL68" s="2">
        <f t="shared" si="150"/>
        <v>-78799.801999999996</v>
      </c>
      <c r="CM68" s="2">
        <f t="shared" si="150"/>
        <v>-73899.801000000007</v>
      </c>
      <c r="CN68" s="2">
        <f t="shared" si="150"/>
        <v>-79599.794999999998</v>
      </c>
      <c r="CO68" s="2">
        <f t="shared" si="150"/>
        <v>-78899.788</v>
      </c>
      <c r="CP68" s="2">
        <f>CP67-CP59</f>
        <v>451657</v>
      </c>
      <c r="CQ68" s="2">
        <f>CQ67-CQ59</f>
        <v>435258</v>
      </c>
      <c r="CR68" s="2">
        <f t="shared" ref="CR68:EA68" si="151">CR67-CR59</f>
        <v>417711</v>
      </c>
      <c r="CS68" s="2">
        <f t="shared" si="151"/>
        <v>418815</v>
      </c>
      <c r="CT68" s="2">
        <f t="shared" si="151"/>
        <v>447913</v>
      </c>
      <c r="CU68" s="2">
        <f t="shared" si="151"/>
        <v>453236</v>
      </c>
      <c r="CV68" s="2">
        <f t="shared" si="151"/>
        <v>455127</v>
      </c>
      <c r="CW68" s="2">
        <f t="shared" si="151"/>
        <v>465083</v>
      </c>
      <c r="CX68" s="2">
        <f t="shared" si="151"/>
        <v>488429</v>
      </c>
      <c r="CY68" s="2">
        <f t="shared" si="151"/>
        <v>495313</v>
      </c>
      <c r="CZ68" s="2">
        <f t="shared" si="151"/>
        <v>481332</v>
      </c>
      <c r="DA68" s="2">
        <f t="shared" si="151"/>
        <v>464877</v>
      </c>
      <c r="DB68" s="2">
        <f t="shared" si="151"/>
        <v>455623</v>
      </c>
      <c r="DC68" s="2">
        <f t="shared" si="151"/>
        <v>458845</v>
      </c>
      <c r="DD68" s="2">
        <f t="shared" si="151"/>
        <v>466626</v>
      </c>
      <c r="DE68" s="2">
        <f t="shared" si="151"/>
        <v>485110</v>
      </c>
      <c r="DF68" s="2">
        <f t="shared" si="151"/>
        <v>466572</v>
      </c>
      <c r="DG68" s="2">
        <f t="shared" si="151"/>
        <v>490396</v>
      </c>
      <c r="DH68" s="2">
        <f t="shared" si="151"/>
        <v>486770</v>
      </c>
      <c r="DI68" s="2">
        <f t="shared" si="151"/>
        <v>492732</v>
      </c>
      <c r="DJ68" s="2">
        <f t="shared" si="151"/>
        <v>525112</v>
      </c>
      <c r="DK68" s="2">
        <f t="shared" si="151"/>
        <v>542867</v>
      </c>
      <c r="DL68" s="2">
        <f t="shared" si="151"/>
        <v>567775</v>
      </c>
      <c r="DM68" s="2">
        <f t="shared" si="151"/>
        <v>632356</v>
      </c>
      <c r="DN68" s="2">
        <f t="shared" si="151"/>
        <v>677709</v>
      </c>
      <c r="DO68" s="2">
        <f t="shared" si="151"/>
        <v>764778</v>
      </c>
      <c r="DP68" s="2">
        <f t="shared" si="151"/>
        <v>843097</v>
      </c>
      <c r="DQ68" s="2">
        <f t="shared" si="151"/>
        <v>919663</v>
      </c>
      <c r="DR68" s="2">
        <f t="shared" si="151"/>
        <v>897271</v>
      </c>
      <c r="DS68" s="2">
        <f t="shared" si="151"/>
        <v>899982</v>
      </c>
      <c r="DT68" s="2">
        <f t="shared" si="151"/>
        <v>1013157</v>
      </c>
      <c r="DU68" s="2">
        <f t="shared" si="151"/>
        <v>1079773</v>
      </c>
      <c r="DV68" s="2">
        <f t="shared" si="151"/>
        <v>1087938</v>
      </c>
      <c r="DW68" s="2">
        <f t="shared" si="151"/>
        <v>1139692</v>
      </c>
      <c r="DX68" s="2">
        <f t="shared" si="151"/>
        <v>1160626</v>
      </c>
      <c r="DY68" s="2">
        <f t="shared" si="151"/>
        <v>1134565</v>
      </c>
      <c r="DZ68" s="2">
        <f t="shared" si="151"/>
        <v>1137707</v>
      </c>
      <c r="EA68" s="2">
        <f t="shared" si="151"/>
        <v>1147605</v>
      </c>
    </row>
    <row r="69" spans="1:131" x14ac:dyDescent="0.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Z69" s="9"/>
    </row>
    <row r="70" spans="1:131" x14ac:dyDescent="0.2">
      <c r="A70" s="1" t="s">
        <v>65</v>
      </c>
      <c r="X70" s="2">
        <f>LOOKUP(X$3,'[3]Pig Iron'!$A$7:$A$124,'[3]Pig Iron'!$B$7:$B$124)/1000</f>
        <v>27100</v>
      </c>
      <c r="Y70" s="2">
        <f>LOOKUP(Y$3,'[3]Pig Iron'!$A$7:$A$124,'[3]Pig Iron'!$B$7:$B$124)/1000</f>
        <v>21500</v>
      </c>
      <c r="Z70" s="2">
        <f>LOOKUP(Z$3,'[3]Pig Iron'!$A$7:$A$124,'[3]Pig Iron'!$B$7:$B$124)/1000</f>
        <v>27000</v>
      </c>
      <c r="AA70" s="2">
        <f>LOOKUP(AA$3,'[3]Pig Iron'!$A$7:$A$124,'[3]Pig Iron'!$B$7:$B$124)/1000</f>
        <v>28100</v>
      </c>
      <c r="AB70" s="2">
        <f>LOOKUP(AB$3,'[3]Pig Iron'!$A$7:$A$124,'[3]Pig Iron'!$B$7:$B$124)/1000</f>
        <v>21200</v>
      </c>
      <c r="AC70" s="2">
        <f>LOOKUP(AC$3,'[3]Pig Iron'!$A$7:$A$124,'[3]Pig Iron'!$B$7:$B$124)/1000</f>
        <v>27100</v>
      </c>
      <c r="AD70" s="2">
        <f>LOOKUP(AD$3,'[3]Pig Iron'!$A$7:$A$124,'[3]Pig Iron'!$B$7:$B$124)/1000</f>
        <v>35800</v>
      </c>
      <c r="AE70" s="2">
        <f>LOOKUP(AE$3,'[3]Pig Iron'!$A$7:$A$124,'[3]Pig Iron'!$B$7:$B$124)/1000</f>
        <v>35000</v>
      </c>
      <c r="AF70" s="2">
        <f>LOOKUP(AF$3,'[3]Pig Iron'!$A$7:$A$124,'[3]Pig Iron'!$B$7:$B$124)/1000</f>
        <v>35400</v>
      </c>
      <c r="AG70" s="2">
        <f>LOOKUP(AG$3,'[3]Pig Iron'!$A$7:$A$124,'[3]Pig Iron'!$B$7:$B$124)/1000</f>
        <v>28100</v>
      </c>
      <c r="AH70" s="2">
        <f>LOOKUP(AH$3,'[3]Pig Iron'!$A$7:$A$124,'[3]Pig Iron'!$B$7:$B$124)/1000</f>
        <v>33500</v>
      </c>
      <c r="AI70" s="2">
        <f>LOOKUP(AI$3,'[3]Pig Iron'!$A$7:$A$124,'[3]Pig Iron'!$B$7:$B$124)/1000</f>
        <v>15100</v>
      </c>
      <c r="AJ70" s="2">
        <f>LOOKUP(AJ$3,'[3]Pig Iron'!$A$7:$A$124,'[3]Pig Iron'!$B$7:$B$124)/1000</f>
        <v>24700</v>
      </c>
      <c r="AK70" s="2">
        <f>LOOKUP(AK$3,'[3]Pig Iron'!$A$7:$A$124,'[3]Pig Iron'!$B$7:$B$124)/1000</f>
        <v>36600</v>
      </c>
      <c r="AL70" s="2">
        <f>LOOKUP(AL$3,'[3]Pig Iron'!$A$7:$A$124,'[3]Pig Iron'!$B$7:$B$124)/1000</f>
        <v>28500</v>
      </c>
      <c r="AM70" s="2">
        <f>LOOKUP(AM$3,'[3]Pig Iron'!$A$7:$A$124,'[3]Pig Iron'!$B$7:$B$124)/1000</f>
        <v>33300</v>
      </c>
      <c r="AN70" s="2">
        <f>LOOKUP(AN$3,'[3]Pig Iron'!$A$7:$A$124,'[3]Pig Iron'!$B$7:$B$124)/1000</f>
        <v>35700</v>
      </c>
      <c r="AO70" s="2">
        <f>LOOKUP(AO$3,'[3]Pig Iron'!$A$7:$A$124,'[3]Pig Iron'!$B$7:$B$124)/1000</f>
        <v>33200</v>
      </c>
      <c r="AP70" s="2">
        <f>LOOKUP(AP$3,'[3]Pig Iron'!$A$7:$A$124,'[3]Pig Iron'!$B$7:$B$124)/1000</f>
        <v>34600</v>
      </c>
      <c r="AQ70" s="2">
        <f>LOOKUP(AQ$3,'[3]Pig Iron'!$A$7:$A$124,'[3]Pig Iron'!$B$7:$B$124)/1000</f>
        <v>38700</v>
      </c>
      <c r="AR70" s="2">
        <f>LOOKUP(AR$3,'[3]Pig Iron'!$A$7:$A$124,'[3]Pig Iron'!$B$7:$B$124)/1000</f>
        <v>27700</v>
      </c>
      <c r="AS70" s="2">
        <f>LOOKUP(AS$3,'[3]Pig Iron'!$A$7:$A$124,'[3]Pig Iron'!$B$7:$B$124)/1000</f>
        <v>16300</v>
      </c>
      <c r="AT70" s="2">
        <f>LOOKUP(AT$3,'[3]Pig Iron'!$A$7:$A$124,'[3]Pig Iron'!$B$7:$B$124)/1000</f>
        <v>7760</v>
      </c>
      <c r="AU70" s="2">
        <f>LOOKUP(AU$3,'[3]Pig Iron'!$A$7:$A$124,'[3]Pig Iron'!$B$7:$B$124)/1000</f>
        <v>11800</v>
      </c>
      <c r="AV70" s="2">
        <f>LOOKUP(AV$3,'[3]Pig Iron'!$A$7:$A$124,'[3]Pig Iron'!$B$7:$B$124)/1000</f>
        <v>14200</v>
      </c>
      <c r="AW70" s="2">
        <f>LOOKUP(AW$3,'[3]Pig Iron'!$A$7:$A$124,'[3]Pig Iron'!$B$7:$B$124)/1000</f>
        <v>18900</v>
      </c>
      <c r="AX70" s="2">
        <f>LOOKUP(AX$3,'[3]Pig Iron'!$A$7:$A$124,'[3]Pig Iron'!$B$7:$B$124)/1000</f>
        <v>27400</v>
      </c>
      <c r="AY70" s="2">
        <f>LOOKUP(AY$3,'[3]Pig Iron'!$A$7:$A$124,'[3]Pig Iron'!$B$7:$B$124)/1000</f>
        <v>32800</v>
      </c>
      <c r="AZ70" s="2">
        <f>LOOKUP(AZ$3,'[3]Pig Iron'!$A$7:$A$124,'[3]Pig Iron'!$B$7:$B$124)/1000</f>
        <v>16900</v>
      </c>
      <c r="BA70" s="2">
        <f>LOOKUP(BA$3,'[3]Pig Iron'!$A$7:$A$124,'[3]Pig Iron'!$B$7:$B$124)/1000</f>
        <v>28200</v>
      </c>
      <c r="BB70" s="2">
        <f>LOOKUP(BB$3,'[3]Pig Iron'!$A$7:$A$124,'[3]Pig Iron'!$B$7:$B$124)/1000</f>
        <v>37400</v>
      </c>
      <c r="BC70" s="2">
        <f>LOOKUP(BC$3,'[3]Pig Iron'!$A$7:$A$124,'[3]Pig Iron'!$B$7:$B$124)/1000</f>
        <v>50000</v>
      </c>
      <c r="BD70" s="2">
        <f>LOOKUP(BD$3,'[3]Pig Iron'!$A$7:$A$124,'[3]Pig Iron'!$B$7:$B$124)/1000</f>
        <v>53600</v>
      </c>
      <c r="BE70" s="2">
        <f>LOOKUP(BE$3,'[3]Pig Iron'!$A$7:$A$124,'[3]Pig Iron'!$B$7:$B$124)/1000</f>
        <v>55100</v>
      </c>
      <c r="BF70" s="2">
        <f>LOOKUP(BF$3,'[3]Pig Iron'!$A$7:$A$124,'[3]Pig Iron'!$B$7:$B$124)/1000</f>
        <v>55300</v>
      </c>
      <c r="BG70" s="2">
        <f>LOOKUP(BG$3,'[3]Pig Iron'!$A$7:$A$124,'[3]Pig Iron'!$B$7:$B$124)/1000</f>
        <v>48300</v>
      </c>
      <c r="BH70" s="2">
        <f>LOOKUP(BH$3,'[3]Pig Iron'!$A$7:$A$124,'[3]Pig Iron'!$B$7:$B$124)/1000</f>
        <v>40700</v>
      </c>
      <c r="BI70" s="2">
        <f>LOOKUP(BI$3,'[3]Pig Iron'!$A$7:$A$124,'[3]Pig Iron'!$B$7:$B$124)/1000</f>
        <v>52900</v>
      </c>
      <c r="BJ70" s="2">
        <f>LOOKUP(BJ$3,'[3]Pig Iron'!$A$7:$A$124,'[3]Pig Iron'!$B$7:$B$124)/1000</f>
        <v>54500</v>
      </c>
      <c r="BK70" s="2">
        <f>LOOKUP(BK$3,'[3]Pig Iron'!$A$7:$A$124,'[3]Pig Iron'!$B$7:$B$124)/1000</f>
        <v>48400</v>
      </c>
      <c r="BL70" s="2">
        <f>LOOKUP(BL$3,'[3]Pig Iron'!$A$7:$A$124,'[3]Pig Iron'!$B$7:$B$124)/1000</f>
        <v>58500</v>
      </c>
      <c r="BM70" s="2">
        <f>LOOKUP(BM$3,'[3]Pig Iron'!$A$7:$A$124,'[3]Pig Iron'!$B$7:$B$124)/1000</f>
        <v>63800</v>
      </c>
      <c r="BN70" s="2">
        <f>LOOKUP(BN$3,'[3]Pig Iron'!$A$7:$A$124,'[3]Pig Iron'!$B$7:$B$124)/1000</f>
        <v>55600</v>
      </c>
      <c r="BO70" s="2">
        <f>LOOKUP(BO$3,'[3]Pig Iron'!$A$7:$A$124,'[3]Pig Iron'!$B$7:$B$124)/1000</f>
        <v>67900</v>
      </c>
      <c r="BP70" s="2">
        <f>LOOKUP(BP$3,'[3]Pig Iron'!$A$7:$A$124,'[3]Pig Iron'!$B$7:$B$124)/1000</f>
        <v>52600</v>
      </c>
      <c r="BQ70" s="2">
        <f>LOOKUP(BQ$3,'[3]Pig Iron'!$A$7:$A$124,'[3]Pig Iron'!$B$7:$B$124)/1000</f>
        <v>69700</v>
      </c>
      <c r="BR70" s="2">
        <f>LOOKUP(BR$3,'[3]Pig Iron'!$A$7:$A$124,'[3]Pig Iron'!$B$7:$B$124)/1000</f>
        <v>68100</v>
      </c>
      <c r="BS70" s="2">
        <f>LOOKUP(BS$3,'[3]Pig Iron'!$A$7:$A$124,'[3]Pig Iron'!$B$7:$B$124)/1000</f>
        <v>71100</v>
      </c>
      <c r="BT70" s="2">
        <f>LOOKUP(BT$3,'[3]Pig Iron'!$A$7:$A$124,'[3]Pig Iron'!$B$7:$B$124)/1000</f>
        <v>51900</v>
      </c>
      <c r="BU70" s="2">
        <f>LOOKUP(BU$3,'[3]Pig Iron'!$A$7:$A$124,'[3]Pig Iron'!$B$7:$B$124)/1000</f>
        <v>54600</v>
      </c>
      <c r="BV70" s="2">
        <f>LOOKUP(BV$3,'[3]Pig Iron'!$A$7:$A$124,'[3]Pig Iron'!$B$7:$B$124)/1000</f>
        <v>60300</v>
      </c>
      <c r="BW70" s="2">
        <f>LOOKUP(BW$3,'[3]Pig Iron'!$A$7:$A$124,'[3]Pig Iron'!$B$7:$B$124)/1000</f>
        <v>58800</v>
      </c>
      <c r="BX70" s="2">
        <f>LOOKUP(BX$3,'[3]Pig Iron'!$A$7:$A$124,'[3]Pig Iron'!$B$7:$B$124)/1000</f>
        <v>59500</v>
      </c>
      <c r="BY70" s="2">
        <f>LOOKUP(BY$3,'[3]Pig Iron'!$A$7:$A$124,'[3]Pig Iron'!$B$7:$B$124)/1000</f>
        <v>65200</v>
      </c>
      <c r="BZ70" s="2">
        <f>LOOKUP(BZ$3,'[3]Pig Iron'!$A$7:$A$124,'[3]Pig Iron'!$B$7:$B$124)/1000</f>
        <v>77500</v>
      </c>
      <c r="CA70" s="2">
        <f>LOOKUP(CA$3,'[3]Pig Iron'!$A$7:$A$124,'[3]Pig Iron'!$B$7:$B$124)/1000</f>
        <v>80000</v>
      </c>
      <c r="CB70" s="2">
        <f>LOOKUP(CB$3,'[3]Pig Iron'!$A$7:$A$124,'[3]Pig Iron'!$B$7:$B$124)/1000</f>
        <v>82800</v>
      </c>
      <c r="CC70" s="2">
        <f>LOOKUP(CC$3,'[3]Pig Iron'!$A$7:$A$124,'[3]Pig Iron'!$B$7:$B$124)/1000</f>
        <v>78700</v>
      </c>
      <c r="CD70" s="2">
        <f>LOOKUP(CD$3,'[3]Pig Iron'!$A$7:$A$124,'[3]Pig Iron'!$B$7:$B$124)/1000</f>
        <v>80500</v>
      </c>
      <c r="CE70" s="2">
        <f>LOOKUP(CE$3,'[3]Pig Iron'!$A$7:$A$124,'[3]Pig Iron'!$B$7:$B$124)/1000</f>
        <v>86200</v>
      </c>
      <c r="CF70" s="2">
        <f>LOOKUP(CF$3,'[3]Pig Iron'!$A$7:$A$124,'[3]Pig Iron'!$B$7:$B$124)/1000</f>
        <v>82800</v>
      </c>
      <c r="CG70" s="2">
        <f>LOOKUP(CG$3,'[3]Pig Iron'!$A$7:$A$124,'[3]Pig Iron'!$B$7:$B$124)/1000</f>
        <v>73800</v>
      </c>
      <c r="CH70" s="2">
        <f>LOOKUP(CH$3,'[3]Pig Iron'!$A$7:$A$124,'[3]Pig Iron'!$B$7:$B$124)/1000</f>
        <v>80600</v>
      </c>
      <c r="CI70" s="2">
        <f>LOOKUP(CI$3,'[3]Pig Iron'!$A$7:$A$124,'[3]Pig Iron'!$B$7:$B$124)/1000</f>
        <v>91900</v>
      </c>
      <c r="CJ70" s="2">
        <f>LOOKUP(CJ$3,'[3]Pig Iron'!$A$7:$A$124,'[3]Pig Iron'!$B$7:$B$124)/1000</f>
        <v>86600</v>
      </c>
      <c r="CK70" s="2">
        <f>LOOKUP(CK$3,'[3]Pig Iron'!$A$7:$A$124,'[3]Pig Iron'!$B$7:$B$124)/1000</f>
        <v>72300</v>
      </c>
      <c r="CL70" s="2">
        <f>LOOKUP(CL$3,'[3]Pig Iron'!$A$7:$A$124,'[3]Pig Iron'!$B$7:$B$124)/1000</f>
        <v>78800</v>
      </c>
      <c r="CM70" s="2">
        <f>LOOKUP(CM$3,'[3]Pig Iron'!$A$7:$A$124,'[3]Pig Iron'!$B$7:$B$124)/1000</f>
        <v>73900</v>
      </c>
      <c r="CN70" s="2">
        <f>LOOKUP(CN$3,'[3]Pig Iron'!$A$7:$A$124,'[3]Pig Iron'!$B$7:$B$124)/1000</f>
        <v>79600</v>
      </c>
      <c r="CO70" s="2">
        <f>LOOKUP(CO$3,'[3]Pig Iron'!$A$7:$A$124,'[3]Pig Iron'!$B$7:$B$124)/1000</f>
        <v>78900</v>
      </c>
      <c r="CP70" s="2">
        <f>LOOKUP(CP$3,'[3]Pig Iron'!$A$7:$A$124,'[3]Pig Iron'!$B$7:$B$124)/1000</f>
        <v>62300</v>
      </c>
      <c r="CQ70" s="2">
        <f>LOOKUP(CQ$3,'[3]Pig Iron'!$A$7:$A$124,'[3]Pig Iron'!$B$7:$B$124)/1000</f>
        <v>66900</v>
      </c>
      <c r="CR70" s="2">
        <f>LOOKUP(CR$3,'[3]Pig Iron'!$A$7:$A$124,'[3]Pig Iron'!$B$7:$B$124)/1000</f>
        <v>39300</v>
      </c>
      <c r="CS70" s="2">
        <f>LOOKUP(CS$3,'[3]Pig Iron'!$A$7:$A$124,'[3]Pig Iron'!$B$7:$B$124)/1000</f>
        <v>44200</v>
      </c>
      <c r="CT70" s="2">
        <f>LOOKUP(CT$3,'[3]Pig Iron'!$A$7:$A$124,'[3]Pig Iron'!$B$7:$B$124)/1000</f>
        <v>47100</v>
      </c>
      <c r="CU70" s="2">
        <f>LOOKUP(CU$3,'[3]Pig Iron'!$A$7:$A$124,'[3]Pig Iron'!$B$7:$B$124)/1000</f>
        <v>45300</v>
      </c>
      <c r="CV70" s="2">
        <f>LOOKUP(CV$3,'[3]Pig Iron'!$A$7:$A$124,'[3]Pig Iron'!$B$7:$B$124)/1000</f>
        <v>40200</v>
      </c>
      <c r="CW70" s="2">
        <f>LOOKUP(CW$3,'[3]Pig Iron'!$A$7:$A$124,'[3]Pig Iron'!$B$7:$B$124)/1000</f>
        <v>43800</v>
      </c>
      <c r="CX70" s="2">
        <f>LOOKUP(CX$3,'[3]Pig Iron'!$A$7:$A$124,'[3]Pig Iron'!$B$7:$B$124)/1000</f>
        <v>50600</v>
      </c>
      <c r="CY70" s="2">
        <f>LOOKUP(CY$3,'[3]Pig Iron'!$A$7:$A$124,'[3]Pig Iron'!$B$7:$B$124)/1000</f>
        <v>50700</v>
      </c>
      <c r="CZ70" s="2">
        <f>LOOKUP(CZ$3,'[3]Pig Iron'!$A$7:$A$124,'[3]Pig Iron'!$B$7:$B$124)/1000</f>
        <v>49700</v>
      </c>
      <c r="DA70" s="2">
        <f>LOOKUP(DA$3,'[3]Pig Iron'!$A$7:$A$124,'[3]Pig Iron'!$B$7:$B$124)/1000</f>
        <v>44100</v>
      </c>
      <c r="DB70" s="2">
        <f>LOOKUP(DB$3,'[3]Pig Iron'!$A$7:$A$124,'[3]Pig Iron'!$B$7:$B$124)/1000</f>
        <v>47400</v>
      </c>
      <c r="DC70" s="2">
        <f>LOOKUP(DC$3,'[3]Pig Iron'!$A$7:$A$124,'[3]Pig Iron'!$B$7:$B$124)/1000</f>
        <v>48200</v>
      </c>
      <c r="DD70" s="2">
        <f>LOOKUP(DD$3,'[3]Pig Iron'!$A$7:$A$124,'[3]Pig Iron'!$B$7:$B$124)/1000</f>
        <v>49400</v>
      </c>
      <c r="DE70" s="2">
        <f>LOOKUP(DE$3,'[3]Pig Iron'!$A$7:$A$124,'[3]Pig Iron'!$B$7:$B$124)/1000</f>
        <v>50900</v>
      </c>
      <c r="DF70" s="2">
        <f>LOOKUP(DF$3,'[3]Pig Iron'!$A$7:$A$124,'[3]Pig Iron'!$B$7:$B$124)/1000</f>
        <v>49400</v>
      </c>
      <c r="DG70" s="2">
        <f>LOOKUP(DG$3,'[3]Pig Iron'!$A$7:$A$124,'[3]Pig Iron'!$B$7:$B$124)/1000</f>
        <v>49600</v>
      </c>
      <c r="DH70" s="2">
        <f>LOOKUP(DH$3,'[3]Pig Iron'!$A$7:$A$124,'[3]Pig Iron'!$B$7:$B$124)/1000</f>
        <v>48200</v>
      </c>
      <c r="DI70" s="2">
        <f>LOOKUP(DI$3,'[3]Pig Iron'!$A$7:$A$124,'[3]Pig Iron'!$B$7:$B$124)/1000</f>
        <v>46300</v>
      </c>
      <c r="DJ70" s="2">
        <f>LOOKUP(DJ$3,'[3]Pig Iron'!$A$7:$A$124,'[3]Pig Iron'!$B$7:$B$124)/1000</f>
        <v>47900</v>
      </c>
      <c r="DK70" s="2">
        <f>LOOKUP(DK$3,'[3]Pig Iron'!$A$7:$A$124,'[3]Pig Iron'!$B$7:$B$124)/1000</f>
        <v>42100</v>
      </c>
      <c r="DL70" s="2">
        <f>LOOKUP(DL$3,'[3]Pig Iron'!$A$7:$A$124,'[3]Pig Iron'!$B$7:$B$124)/1000</f>
        <v>40200</v>
      </c>
      <c r="DM70" s="2">
        <f>LOOKUP(DM$3,'[3]Pig Iron'!$A$7:$A$124,'[3]Pig Iron'!$B$7:$B$124)/1000</f>
        <v>40600</v>
      </c>
      <c r="DN70" s="2">
        <f>LOOKUP(DN$3,'[3]Pig Iron'!$A$7:$A$124,'[3]Pig Iron'!$B$7:$B$124)/1000</f>
        <v>42300</v>
      </c>
      <c r="DO70" s="2">
        <f>LOOKUP(DO$3,'[3]Pig Iron'!$A$7:$A$124,'[3]Pig Iron'!$B$7:$B$124)/1000</f>
        <v>37200</v>
      </c>
      <c r="DP70" s="2">
        <f>LOOKUP(DP$3,'[3]Pig Iron'!$A$7:$A$124,'[3]Pig Iron'!$B$7:$B$124)/1000</f>
        <v>37900</v>
      </c>
      <c r="DQ70" s="2">
        <f>LOOKUP(DQ$3,'[3]Pig Iron'!$A$7:$A$124,'[3]Pig Iron'!$B$7:$B$124)/1000</f>
        <v>36300</v>
      </c>
      <c r="DR70" s="2">
        <f>LOOKUP(DR$3,'[3]Pig Iron'!$A$7:$A$124,'[3]Pig Iron'!$B$7:$B$124)/1000</f>
        <v>33700</v>
      </c>
      <c r="DS70" s="2">
        <f>LOOKUP(DS$3,'[3]Pig Iron'!$A$7:$A$124,'[3]Pig Iron'!$B$7:$B$124)/1000</f>
        <v>19000</v>
      </c>
      <c r="DT70" s="2">
        <f>LOOKUP(DT$3,'[3]Pig Iron'!$A$7:$A$124,'[3]Pig Iron'!$B$7:$B$124)/1000</f>
        <v>26800</v>
      </c>
      <c r="DU70" s="2">
        <f>LOOKUP(DU$3,'[3]Pig Iron'!$A$7:$A$124,'[3]Pig Iron'!$B$7:$B$124)/1000</f>
        <v>30200</v>
      </c>
      <c r="DV70" s="2">
        <f>LOOKUP(DV$3,'[3]Pig Iron'!$A$7:$A$124,'[3]Pig Iron'!$B$7:$B$124)/1000</f>
        <v>32100</v>
      </c>
      <c r="DW70" s="2">
        <f>LOOKUP(DW$3,'[3]Pig Iron'!$A$7:$A$124,'[3]Pig Iron'!$B$7:$B$124)/1000</f>
        <v>30300</v>
      </c>
      <c r="DX70" s="2">
        <f>LOOKUP(DX$3,'[3]Pig Iron'!$A$7:$A$124,'[3]Pig Iron'!$B$7:$B$124)/1000</f>
        <v>29400</v>
      </c>
      <c r="DY70" s="2">
        <f>LOOKUP(DY$3,'[3]Pig Iron'!$A$7:$A$124,'[3]Pig Iron'!$B$7:$B$124)/1000</f>
        <v>25400</v>
      </c>
      <c r="DZ70" s="2">
        <f>LOOKUP(DZ$3,'[3]Pig Iron'!$A$7:$A$124,'[3]Pig Iron'!$B$7:$B$124)/1000</f>
        <v>22300</v>
      </c>
      <c r="EA70" s="2">
        <f>LOOKUP(EA$3,'[3]Pig Iron'!$A$7:$A$124,'[3]Pig Iron'!$B$7:$B$124)/1000</f>
        <v>22400</v>
      </c>
    </row>
    <row r="71" spans="1:131" x14ac:dyDescent="0.2">
      <c r="A71" t="s">
        <v>66</v>
      </c>
      <c r="CO71" s="2">
        <f>LOOKUP(CO$3,'[3]Pig Iron'!$A$7:$A$124,'[3]Pig Iron'!$B$7:$B$124)/1000</f>
        <v>78900</v>
      </c>
      <c r="CP71" s="2">
        <f>[4]Data!B59</f>
        <v>62343</v>
      </c>
      <c r="CQ71" s="2">
        <f>[4]Data!C59</f>
        <v>66742</v>
      </c>
      <c r="CR71" s="2">
        <f>[4]Data!D59</f>
        <v>39289</v>
      </c>
      <c r="CS71" s="2">
        <f>[4]Data!E59</f>
        <v>44185</v>
      </c>
      <c r="CT71" s="2">
        <f>[4]Data!F59</f>
        <v>47087</v>
      </c>
      <c r="CU71" s="2">
        <f>[4]Data!G59</f>
        <v>45764</v>
      </c>
      <c r="CV71" s="2">
        <f>[4]Data!H59</f>
        <v>39873</v>
      </c>
      <c r="CW71" s="2">
        <f>[4]Data!I59</f>
        <v>43917</v>
      </c>
      <c r="CX71" s="2">
        <f>[4]Data!J59</f>
        <v>50571</v>
      </c>
      <c r="CY71" s="2">
        <f>[4]Data!K59</f>
        <v>50687</v>
      </c>
      <c r="CZ71" s="2">
        <f>[4]Data!L59</f>
        <v>49668</v>
      </c>
      <c r="DA71" s="2">
        <f>[4]Data!M59</f>
        <v>44123</v>
      </c>
      <c r="DB71" s="2">
        <f>[4]Data!N59</f>
        <v>47377</v>
      </c>
      <c r="DC71" s="2">
        <f>[4]Data!O59</f>
        <v>48155</v>
      </c>
      <c r="DD71" s="2">
        <f>[4]Data!P59</f>
        <v>49374</v>
      </c>
      <c r="DE71" s="2">
        <f>[4]Data!Q59</f>
        <v>50890</v>
      </c>
      <c r="DF71" s="2">
        <f>[4]Data!R59</f>
        <v>49428</v>
      </c>
      <c r="DG71" s="2">
        <f>[4]Data!S59</f>
        <v>49604</v>
      </c>
      <c r="DH71" s="2">
        <f>[4]Data!T59</f>
        <v>48230</v>
      </c>
      <c r="DI71" s="2">
        <f>[4]Data!U59</f>
        <v>46268</v>
      </c>
      <c r="DJ71" s="2">
        <f>[4]Data!V59</f>
        <v>47888</v>
      </c>
      <c r="DK71" s="2">
        <f>[4]Data!W59</f>
        <v>42133</v>
      </c>
      <c r="DL71" s="2">
        <f>[4]Data!X59</f>
        <v>40225</v>
      </c>
      <c r="DM71" s="2">
        <f>[4]Data!Y59</f>
        <v>40644</v>
      </c>
      <c r="DN71" s="2">
        <f>[4]Data!Z59</f>
        <v>42291</v>
      </c>
      <c r="DO71" s="2">
        <f>[4]Data!AA59</f>
        <v>37222</v>
      </c>
      <c r="DP71" s="2">
        <f>[4]Data!AB59</f>
        <v>37903</v>
      </c>
      <c r="DQ71" s="2">
        <f>[4]Data!AC59</f>
        <v>36337</v>
      </c>
      <c r="DR71" s="2">
        <f>[4]Data!AD59</f>
        <v>33729</v>
      </c>
      <c r="DS71" s="2">
        <f>[4]Data!AE59</f>
        <v>19018</v>
      </c>
      <c r="DT71" s="2">
        <f>[4]Data!AF59</f>
        <v>26843</v>
      </c>
      <c r="DU71" s="2">
        <f>[4]Data!AG59</f>
        <v>30227</v>
      </c>
      <c r="DV71" s="2">
        <f>[4]Data!AH59</f>
        <v>32062</v>
      </c>
      <c r="DW71" s="2">
        <f>[4]Data!AI59</f>
        <v>30308</v>
      </c>
      <c r="DX71" s="2">
        <f>[4]Data!AJ59</f>
        <v>29374</v>
      </c>
      <c r="DY71" s="2">
        <f>[4]Data!AK59</f>
        <v>25435</v>
      </c>
      <c r="DZ71" s="2">
        <f>[4]Data!AL59</f>
        <v>22293</v>
      </c>
      <c r="EA71" s="2">
        <f>[4]Data!AM59</f>
        <v>22395</v>
      </c>
    </row>
    <row r="72" spans="1:131" x14ac:dyDescent="0.2">
      <c r="A72" t="s">
        <v>67</v>
      </c>
      <c r="CP72" s="6">
        <f>CP71/CP70</f>
        <v>1.0006902086677367</v>
      </c>
      <c r="CQ72" s="6">
        <f t="shared" ref="CQ72:EA72" si="152">CQ71/CQ70</f>
        <v>0.99763826606875938</v>
      </c>
      <c r="CR72" s="6">
        <f t="shared" si="152"/>
        <v>0.99972010178117043</v>
      </c>
      <c r="CS72" s="6">
        <f t="shared" si="152"/>
        <v>0.9996606334841629</v>
      </c>
      <c r="CT72" s="6">
        <f t="shared" si="152"/>
        <v>0.99972399150743096</v>
      </c>
      <c r="CU72" s="6">
        <f t="shared" si="152"/>
        <v>1.0102428256070639</v>
      </c>
      <c r="CV72" s="6">
        <f t="shared" si="152"/>
        <v>0.99186567164179107</v>
      </c>
      <c r="CW72" s="6">
        <f t="shared" si="152"/>
        <v>1.0026712328767122</v>
      </c>
      <c r="CX72" s="6">
        <f t="shared" si="152"/>
        <v>0.99942687747035575</v>
      </c>
      <c r="CY72" s="6">
        <f t="shared" si="152"/>
        <v>0.99974358974358979</v>
      </c>
      <c r="CZ72" s="6">
        <f t="shared" si="152"/>
        <v>0.9993561368209255</v>
      </c>
      <c r="DA72" s="6">
        <f t="shared" si="152"/>
        <v>1.0005215419501134</v>
      </c>
      <c r="DB72" s="6">
        <f t="shared" si="152"/>
        <v>0.9995147679324895</v>
      </c>
      <c r="DC72" s="6">
        <f t="shared" si="152"/>
        <v>0.99906639004149378</v>
      </c>
      <c r="DD72" s="6">
        <f t="shared" si="152"/>
        <v>0.99947368421052629</v>
      </c>
      <c r="DE72" s="6">
        <f t="shared" si="152"/>
        <v>0.99980353634577601</v>
      </c>
      <c r="DF72" s="6">
        <f t="shared" si="152"/>
        <v>1.0005668016194331</v>
      </c>
      <c r="DG72" s="6">
        <f t="shared" si="152"/>
        <v>1.0000806451612902</v>
      </c>
      <c r="DH72" s="6">
        <f t="shared" si="152"/>
        <v>1.0006224066390041</v>
      </c>
      <c r="DI72" s="6">
        <f t="shared" si="152"/>
        <v>0.99930885529157665</v>
      </c>
      <c r="DJ72" s="6">
        <f t="shared" si="152"/>
        <v>0.9997494780793319</v>
      </c>
      <c r="DK72" s="6">
        <f t="shared" si="152"/>
        <v>1.0007838479809976</v>
      </c>
      <c r="DL72" s="6">
        <f t="shared" si="152"/>
        <v>1.0006218905472637</v>
      </c>
      <c r="DM72" s="6">
        <f t="shared" si="152"/>
        <v>1.0010837438423645</v>
      </c>
      <c r="DN72" s="6">
        <f t="shared" si="152"/>
        <v>0.99978723404255321</v>
      </c>
      <c r="DO72" s="6">
        <f t="shared" si="152"/>
        <v>1.0005913978494623</v>
      </c>
      <c r="DP72" s="6">
        <f t="shared" si="152"/>
        <v>1.0000791556728232</v>
      </c>
      <c r="DQ72" s="6">
        <f t="shared" si="152"/>
        <v>1.0010192837465566</v>
      </c>
      <c r="DR72" s="6">
        <f t="shared" si="152"/>
        <v>1.0008605341246291</v>
      </c>
      <c r="DS72" s="6">
        <f t="shared" si="152"/>
        <v>1.0009473684210526</v>
      </c>
      <c r="DT72" s="6">
        <f t="shared" si="152"/>
        <v>1.0016044776119404</v>
      </c>
      <c r="DU72" s="6">
        <f t="shared" si="152"/>
        <v>1.0008940397350994</v>
      </c>
      <c r="DV72" s="6">
        <f t="shared" si="152"/>
        <v>0.99881619937694699</v>
      </c>
      <c r="DW72" s="6">
        <f t="shared" si="152"/>
        <v>1.0002640264026403</v>
      </c>
      <c r="DX72" s="6">
        <f t="shared" si="152"/>
        <v>0.99911564625850335</v>
      </c>
      <c r="DY72" s="6">
        <f t="shared" si="152"/>
        <v>1.0013779527559055</v>
      </c>
      <c r="DZ72" s="6">
        <f t="shared" si="152"/>
        <v>0.99968609865470848</v>
      </c>
      <c r="EA72" s="6">
        <f t="shared" si="152"/>
        <v>0.99977678571428574</v>
      </c>
    </row>
    <row r="73" spans="1:131" x14ac:dyDescent="0.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Z73" s="9"/>
    </row>
    <row r="74" spans="1:131" x14ac:dyDescent="0.2">
      <c r="A74" t="s">
        <v>136</v>
      </c>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Z74" s="9"/>
    </row>
    <row r="75" spans="1:131" x14ac:dyDescent="0.2">
      <c r="A75" t="str">
        <f>A9</f>
        <v>Belgium</v>
      </c>
      <c r="C75" s="10" t="str">
        <f>C9</f>
        <v>bel</v>
      </c>
      <c r="CP75" s="2">
        <f>CP9</f>
        <v>9844</v>
      </c>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Z75" s="9"/>
    </row>
    <row r="76" spans="1:131" x14ac:dyDescent="0.2">
      <c r="A76" t="str">
        <f>A22</f>
        <v>France</v>
      </c>
      <c r="C76" s="10" t="str">
        <f>C22</f>
        <v>fra</v>
      </c>
      <c r="CP76" s="2">
        <f>CP22</f>
        <v>18677</v>
      </c>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Z76" s="9"/>
    </row>
    <row r="77" spans="1:131" x14ac:dyDescent="0.2">
      <c r="A77" s="10" t="str">
        <f>A23</f>
        <v>Germany</v>
      </c>
      <c r="C77" s="10" t="str">
        <f>C23</f>
        <v>deu</v>
      </c>
      <c r="CP77" s="2">
        <f>CP23</f>
        <v>33609</v>
      </c>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Z77" s="9"/>
    </row>
    <row r="78" spans="1:131" x14ac:dyDescent="0.2">
      <c r="A78" t="str">
        <f>A28</f>
        <v>Italy</v>
      </c>
      <c r="C78" s="10" t="str">
        <f>C28</f>
        <v>ita</v>
      </c>
      <c r="CP78" s="2">
        <f>CP28</f>
        <v>12149</v>
      </c>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Z78" s="9"/>
    </row>
    <row r="79" spans="1:131" x14ac:dyDescent="0.2">
      <c r="A79" t="str">
        <f>A42</f>
        <v>Poland</v>
      </c>
      <c r="C79" s="10" t="str">
        <f>C42</f>
        <v>pol</v>
      </c>
      <c r="CP79" s="2">
        <f>CP42</f>
        <v>11378</v>
      </c>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Z79" s="9"/>
    </row>
    <row r="80" spans="1:131" x14ac:dyDescent="0.2">
      <c r="A80" s="45" t="s">
        <v>19</v>
      </c>
      <c r="B80" s="15" t="s">
        <v>286</v>
      </c>
      <c r="C80" s="45" t="s">
        <v>101</v>
      </c>
      <c r="CP80" s="2">
        <f>CP21</f>
        <v>2019</v>
      </c>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row>
    <row r="81" spans="1:128" x14ac:dyDescent="0.2">
      <c r="A81" t="s">
        <v>138</v>
      </c>
      <c r="CP81" s="2">
        <f>CP82-SUM(CP75:CP80)</f>
        <v>15095</v>
      </c>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row>
    <row r="82" spans="1:128" x14ac:dyDescent="0.2">
      <c r="A82" t="s">
        <v>137</v>
      </c>
      <c r="B82" s="15" t="s">
        <v>286</v>
      </c>
      <c r="CP82" s="2">
        <f>SUMIFS(CP$4:CP$63,$B$4:$B$63,$B$82)</f>
        <v>102771</v>
      </c>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row>
    <row r="84" spans="1:128" x14ac:dyDescent="0.2">
      <c r="A84" s="49"/>
      <c r="B84" s="49"/>
      <c r="C84" s="49"/>
      <c r="D84" s="49"/>
      <c r="E84" s="49"/>
      <c r="F84" s="49"/>
      <c r="G84" s="49"/>
      <c r="H84" s="49"/>
      <c r="I84" s="49"/>
      <c r="J84" s="49"/>
      <c r="K84" s="49"/>
      <c r="L84" s="49"/>
      <c r="M84" s="49"/>
      <c r="N84" s="49"/>
      <c r="O84" s="49"/>
      <c r="P84" s="49"/>
      <c r="Q84" s="49"/>
      <c r="R84" s="49"/>
      <c r="S84" s="49"/>
      <c r="T84" s="49"/>
      <c r="U84" s="49"/>
      <c r="V84" s="49"/>
      <c r="W84" s="49"/>
      <c r="X84" s="49"/>
      <c r="Y84" s="49"/>
      <c r="Z84" s="49"/>
      <c r="AA84" s="49"/>
      <c r="AB84" s="49"/>
      <c r="AC84" s="49"/>
      <c r="AD84" s="49"/>
      <c r="AE84" s="49"/>
      <c r="AF84" s="49"/>
      <c r="AG84" s="49"/>
      <c r="AH84" s="49"/>
      <c r="AI84" s="49"/>
      <c r="AJ84" s="49"/>
      <c r="AK84" s="49"/>
      <c r="AL84" s="49"/>
      <c r="AM84" s="49"/>
      <c r="AN84" s="49"/>
      <c r="AO84" s="49"/>
      <c r="AP84" s="49"/>
      <c r="AQ84" s="49"/>
      <c r="AR84" s="49"/>
      <c r="AS84" s="49"/>
      <c r="AT84" s="49"/>
      <c r="AU84" s="49"/>
      <c r="AV84" s="49"/>
      <c r="AW84" s="49"/>
      <c r="AX84" s="49"/>
      <c r="AY84" s="49"/>
      <c r="AZ84" s="49"/>
      <c r="BA84" s="49"/>
      <c r="BB84" s="49"/>
      <c r="BC84" s="49"/>
      <c r="BD84" s="49"/>
      <c r="BE84" s="49"/>
      <c r="BF84" s="49"/>
      <c r="BG84" s="49"/>
      <c r="BH84" s="49"/>
      <c r="BI84" s="49"/>
      <c r="BJ84" s="49"/>
      <c r="BK84" s="49"/>
      <c r="BL84" s="49"/>
      <c r="BM84" s="49"/>
      <c r="BN84" s="49"/>
      <c r="BO84" s="49"/>
      <c r="BP84" s="49"/>
      <c r="BQ84" s="49"/>
      <c r="BR84" s="49"/>
      <c r="BS84" s="49"/>
      <c r="BT84" s="49"/>
      <c r="BU84" s="49"/>
      <c r="BV84" s="49"/>
      <c r="BW84" s="49"/>
      <c r="BX84" s="49"/>
      <c r="BY84" s="49"/>
      <c r="BZ84" s="49"/>
      <c r="CA84" s="49"/>
      <c r="CB84" s="49"/>
      <c r="CC84" s="49"/>
      <c r="CD84" s="49"/>
      <c r="CE84" s="49"/>
      <c r="CF84" s="49"/>
      <c r="CG84" s="49"/>
      <c r="CH84" s="49"/>
      <c r="CI84" s="49"/>
      <c r="CJ84" s="49"/>
      <c r="CK84" s="49"/>
      <c r="CL84" s="49"/>
      <c r="CM84" s="49"/>
      <c r="CN84" s="49"/>
      <c r="CO84" s="49"/>
      <c r="CP84" s="49"/>
    </row>
  </sheetData>
  <mergeCells count="1">
    <mergeCell ref="A84:CP84"/>
  </mergeCells>
  <conditionalFormatting sqref="X6:DX63 X4:DW5">
    <cfRule type="cellIs" dxfId="5" priority="6" operator="equal">
      <formula>0</formula>
    </cfRule>
  </conditionalFormatting>
  <conditionalFormatting sqref="N4:W63">
    <cfRule type="cellIs" dxfId="4" priority="5" operator="equal">
      <formula>0</formula>
    </cfRule>
  </conditionalFormatting>
  <conditionalFormatting sqref="D4:M63">
    <cfRule type="cellIs" dxfId="3" priority="4" operator="equal">
      <formula>0</formula>
    </cfRule>
  </conditionalFormatting>
  <conditionalFormatting sqref="DX4:EA4 DY4:EA63">
    <cfRule type="cellIs" dxfId="2" priority="3" operator="equal">
      <formula>0</formula>
    </cfRule>
  </conditionalFormatting>
  <conditionalFormatting sqref="DY5">
    <cfRule type="cellIs" dxfId="1" priority="2" operator="equal">
      <formula>0</formula>
    </cfRule>
  </conditionalFormatting>
  <conditionalFormatting sqref="DX5">
    <cfRule type="cellIs" dxfId="0" priority="1" operator="equal">
      <formula>0</formula>
    </cfRule>
  </conditionalFormatting>
  <pageMargins left="0.78749999999999998" right="0.78749999999999998" top="1.05277777777778" bottom="1.05277777777778" header="0.78749999999999998" footer="0.78749999999999998"/>
  <pageSetup orientation="portrait" useFirstPageNumber="1" horizontalDpi="4294967292" verticalDpi="4294967292"/>
  <headerFooter>
    <oddHeader>&amp;C&amp;"Times New Roman,Regular"&amp;12&amp;A</oddHeader>
    <oddFooter>&amp;C&amp;"Times New Roman,Regular"&amp;12Page &amp;P</oddFooter>
  </headerFooter>
  <legacyDrawing r:id="rId1"/>
  <extLst>
    <ext xmlns:mx="http://schemas.microsoft.com/office/mac/excel/2008/main" uri="{64002731-A6B0-56B0-2670-7721B7C09600}">
      <mx:PLV Mode="0" OnePage="0" WScale="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2"/>
  <sheetViews>
    <sheetView workbookViewId="0"/>
  </sheetViews>
  <sheetFormatPr baseColWidth="10" defaultColWidth="8.83203125" defaultRowHeight="15" x14ac:dyDescent="0.2"/>
  <cols>
    <col min="1" max="1" width="19.83203125" style="32" customWidth="1"/>
    <col min="2" max="2" width="7.83203125" style="32" customWidth="1"/>
    <col min="3" max="3" width="7" style="32" customWidth="1"/>
    <col min="4" max="4" width="8" style="32" customWidth="1"/>
    <col min="5" max="5" width="4.6640625" style="11" customWidth="1"/>
    <col min="6" max="6" width="8.83203125" style="11"/>
    <col min="7" max="7" width="5.1640625" style="11" customWidth="1"/>
    <col min="8" max="16384" width="8.83203125" style="11"/>
  </cols>
  <sheetData>
    <row r="1" spans="1:8" x14ac:dyDescent="0.2">
      <c r="A1" s="32" t="s">
        <v>70</v>
      </c>
    </row>
    <row r="2" spans="1:8" x14ac:dyDescent="0.2">
      <c r="A2" s="32" t="s">
        <v>0</v>
      </c>
      <c r="D2" s="32" t="s">
        <v>280</v>
      </c>
      <c r="F2" s="11" t="s">
        <v>281</v>
      </c>
    </row>
    <row r="3" spans="1:8" s="5" customFormat="1" ht="14" x14ac:dyDescent="0.2">
      <c r="A3" s="33" t="s">
        <v>1</v>
      </c>
      <c r="B3" s="33" t="s">
        <v>75</v>
      </c>
      <c r="C3" s="34">
        <v>1979</v>
      </c>
      <c r="D3" s="34">
        <v>1980</v>
      </c>
      <c r="F3" s="34">
        <v>1980</v>
      </c>
      <c r="H3" s="5" t="s">
        <v>282</v>
      </c>
    </row>
    <row r="4" spans="1:8" x14ac:dyDescent="0.2">
      <c r="A4" s="32" t="s">
        <v>2</v>
      </c>
      <c r="B4" s="32" t="s">
        <v>85</v>
      </c>
      <c r="C4" s="35">
        <f t="shared" ref="C4:C35" si="0">$D4/$D$65*C$68</f>
        <v>25.53533468139161</v>
      </c>
      <c r="D4" s="36">
        <f>[1]Data!B4</f>
        <v>25</v>
      </c>
      <c r="F4" s="36">
        <f>SUMIFS(SPEW_Pig_iron_production!AC:AC,SPEW_Pig_iron_production!$B:$B,Data!$C4)</f>
        <v>0</v>
      </c>
      <c r="H4" s="11" t="str">
        <f>IF(AND(F4=0,D4&lt;&gt;0),"SPEW","")</f>
        <v>SPEW</v>
      </c>
    </row>
    <row r="5" spans="1:8" x14ac:dyDescent="0.2">
      <c r="A5" s="32" t="s">
        <v>3</v>
      </c>
      <c r="B5" s="32" t="s">
        <v>86</v>
      </c>
      <c r="C5" s="35">
        <f t="shared" si="0"/>
        <v>683.32555607403947</v>
      </c>
      <c r="D5" s="36">
        <f>[1]Data!B5</f>
        <v>669</v>
      </c>
      <c r="F5" s="36">
        <f>SUMIFS(SPEW_Pig_iron_production!AC:AC,SPEW_Pig_iron_production!$B:$B,Data!$C5)</f>
        <v>669</v>
      </c>
      <c r="H5" s="11" t="str">
        <f t="shared" ref="H5:H63" si="1">IF(AND(F5=0,D5&lt;&gt;0),"SPEW","")</f>
        <v/>
      </c>
    </row>
    <row r="6" spans="1:8" x14ac:dyDescent="0.2">
      <c r="A6" s="32" t="s">
        <v>4</v>
      </c>
      <c r="B6" s="32" t="s">
        <v>87</v>
      </c>
      <c r="C6" s="35">
        <f t="shared" si="0"/>
        <v>1057.1628558096127</v>
      </c>
      <c r="D6" s="36">
        <f>[1]Data!B6</f>
        <v>1035</v>
      </c>
      <c r="F6" s="36">
        <f>SUMIFS(SPEW_Pig_iron_production!AC:AC,SPEW_Pig_iron_production!$B:$B,Data!$C6)</f>
        <v>1080</v>
      </c>
      <c r="H6" s="11" t="str">
        <f t="shared" si="1"/>
        <v/>
      </c>
    </row>
    <row r="7" spans="1:8" x14ac:dyDescent="0.2">
      <c r="A7" s="32" t="s">
        <v>5</v>
      </c>
      <c r="B7" s="32" t="s">
        <v>88</v>
      </c>
      <c r="C7" s="35">
        <f t="shared" si="0"/>
        <v>7125.3797894955151</v>
      </c>
      <c r="D7" s="36">
        <f>[1]Data!B7</f>
        <v>6976</v>
      </c>
      <c r="F7" s="36">
        <f>SUMIFS(SPEW_Pig_iron_production!AC:AC,SPEW_Pig_iron_production!$B:$B,Data!$C7)</f>
        <v>7313</v>
      </c>
      <c r="H7" s="11" t="str">
        <f t="shared" si="1"/>
        <v/>
      </c>
    </row>
    <row r="8" spans="1:8" x14ac:dyDescent="0.2">
      <c r="A8" s="32" t="s">
        <v>6</v>
      </c>
      <c r="B8" s="32" t="s">
        <v>89</v>
      </c>
      <c r="C8" s="35">
        <f t="shared" si="0"/>
        <v>3559.6256545859906</v>
      </c>
      <c r="D8" s="36">
        <f>[1]Data!B8</f>
        <v>3485</v>
      </c>
      <c r="F8" s="36">
        <f>SUMIFS(SPEW_Pig_iron_production!AC:AC,SPEW_Pig_iron_production!$B:$B,Data!$C8)</f>
        <v>3485</v>
      </c>
      <c r="H8" s="11" t="str">
        <f t="shared" si="1"/>
        <v/>
      </c>
    </row>
    <row r="9" spans="1:8" x14ac:dyDescent="0.2">
      <c r="A9" s="32" t="s">
        <v>7</v>
      </c>
      <c r="B9" s="32" t="s">
        <v>90</v>
      </c>
      <c r="C9" s="35">
        <f t="shared" si="0"/>
        <v>10054.793384144761</v>
      </c>
      <c r="D9" s="36">
        <f>[1]Data!B9</f>
        <v>9844</v>
      </c>
      <c r="F9" s="36">
        <f>SUMIFS(SPEW_Pig_iron_production!AC:AC,SPEW_Pig_iron_production!$B:$B,Data!$C9)</f>
        <v>9845</v>
      </c>
      <c r="H9" s="11" t="str">
        <f t="shared" si="1"/>
        <v/>
      </c>
    </row>
    <row r="10" spans="1:8" x14ac:dyDescent="0.2">
      <c r="A10" s="32" t="s">
        <v>8</v>
      </c>
      <c r="B10" s="32" t="s">
        <v>91</v>
      </c>
      <c r="C10" s="35">
        <f t="shared" si="0"/>
        <v>0</v>
      </c>
      <c r="D10" s="36">
        <f>[1]Data!B10</f>
        <v>0</v>
      </c>
      <c r="F10" s="36">
        <f>SUMIFS(SPEW_Pig_iron_production!AC:AC,SPEW_Pig_iron_production!$B:$B,Data!$C10)</f>
        <v>0</v>
      </c>
      <c r="H10" s="11" t="str">
        <f t="shared" si="1"/>
        <v/>
      </c>
    </row>
    <row r="11" spans="1:8" x14ac:dyDescent="0.2">
      <c r="A11" s="32" t="s">
        <v>9</v>
      </c>
      <c r="B11" s="32" t="s">
        <v>92</v>
      </c>
      <c r="C11" s="35">
        <f t="shared" si="0"/>
        <v>12956.628817338104</v>
      </c>
      <c r="D11" s="36">
        <f>[1]Data!B11</f>
        <v>12685</v>
      </c>
      <c r="F11" s="36">
        <f>SUMIFS(SPEW_Pig_iron_production!AC:AC,SPEW_Pig_iron_production!$B:$B,Data!$C11)</f>
        <v>13116</v>
      </c>
      <c r="H11" s="11" t="str">
        <f t="shared" si="1"/>
        <v/>
      </c>
    </row>
    <row r="12" spans="1:8" x14ac:dyDescent="0.2">
      <c r="A12" s="32" t="s">
        <v>10</v>
      </c>
      <c r="B12" s="32" t="s">
        <v>93</v>
      </c>
      <c r="C12" s="35">
        <f t="shared" si="0"/>
        <v>1571.9552029864676</v>
      </c>
      <c r="D12" s="36">
        <f>[1]Data!B12</f>
        <v>1539</v>
      </c>
      <c r="F12" s="36">
        <f>SUMIFS(SPEW_Pig_iron_production!AC:AC,SPEW_Pig_iron_production!$B:$B,Data!$C12)</f>
        <v>1583</v>
      </c>
      <c r="H12" s="11" t="str">
        <f t="shared" si="1"/>
        <v/>
      </c>
    </row>
    <row r="13" spans="1:8" x14ac:dyDescent="0.2">
      <c r="A13" s="32" t="s">
        <v>11</v>
      </c>
      <c r="B13" s="32" t="s">
        <v>94</v>
      </c>
      <c r="C13" s="35">
        <f t="shared" si="0"/>
        <v>11126.256027375954</v>
      </c>
      <c r="D13" s="36">
        <f>[1]Data!B13</f>
        <v>10893</v>
      </c>
      <c r="F13" s="36">
        <f>SUMIFS(SPEW_Pig_iron_production!AC:AC,SPEW_Pig_iron_production!$B:$B,Data!$C13)</f>
        <v>11182</v>
      </c>
      <c r="H13" s="11" t="str">
        <f t="shared" si="1"/>
        <v/>
      </c>
    </row>
    <row r="14" spans="1:8" x14ac:dyDescent="0.2">
      <c r="A14" s="32" t="s">
        <v>12</v>
      </c>
      <c r="B14" s="32" t="s">
        <v>95</v>
      </c>
      <c r="C14" s="35">
        <f t="shared" si="0"/>
        <v>661.87587494167053</v>
      </c>
      <c r="D14" s="36">
        <f>[1]Data!B14</f>
        <v>648</v>
      </c>
      <c r="F14" s="36">
        <f>SUMIFS(SPEW_Pig_iron_production!AC:AC,SPEW_Pig_iron_production!$B:$B,Data!$C14)</f>
        <v>708</v>
      </c>
      <c r="H14" s="11" t="str">
        <f t="shared" si="1"/>
        <v/>
      </c>
    </row>
    <row r="15" spans="1:8" x14ac:dyDescent="0.2">
      <c r="A15" s="32" t="s">
        <v>13</v>
      </c>
      <c r="B15" s="32" t="s">
        <v>96</v>
      </c>
      <c r="C15" s="35">
        <f t="shared" si="0"/>
        <v>38838.222637009385</v>
      </c>
      <c r="D15" s="36">
        <f>[1]Data!B15</f>
        <v>38024</v>
      </c>
      <c r="F15" s="36">
        <f>SUMIFS(SPEW_Pig_iron_production!AC:AC,SPEW_Pig_iron_production!$B:$B,Data!$C15)</f>
        <v>38020</v>
      </c>
      <c r="H15" s="11" t="str">
        <f t="shared" si="1"/>
        <v/>
      </c>
    </row>
    <row r="16" spans="1:8" x14ac:dyDescent="0.2">
      <c r="A16" s="32" t="s">
        <v>14</v>
      </c>
      <c r="B16" s="32" t="s">
        <v>97</v>
      </c>
      <c r="C16" s="35">
        <f t="shared" si="0"/>
        <v>284.97433504433042</v>
      </c>
      <c r="D16" s="36">
        <f>[1]Data!B16</f>
        <v>279</v>
      </c>
      <c r="F16" s="36">
        <f>SUMIFS(SPEW_Pig_iron_production!AC:AC,SPEW_Pig_iron_production!$B:$B,Data!$C16)</f>
        <v>280</v>
      </c>
      <c r="H16" s="11" t="str">
        <f t="shared" si="1"/>
        <v/>
      </c>
    </row>
    <row r="17" spans="1:9" x14ac:dyDescent="0.2">
      <c r="A17" s="32" t="s">
        <v>15</v>
      </c>
      <c r="B17" s="32" t="s">
        <v>98</v>
      </c>
      <c r="C17" s="35">
        <f t="shared" si="0"/>
        <v>0</v>
      </c>
      <c r="D17" s="36">
        <f>[1]Data!B17</f>
        <v>0</v>
      </c>
      <c r="F17" s="36">
        <f>SUMIFS(SPEW_Pig_iron_production!AC:AC,SPEW_Pig_iron_production!$B:$B,Data!$C17)</f>
        <v>0</v>
      </c>
      <c r="H17" s="11" t="str">
        <f t="shared" si="1"/>
        <v/>
      </c>
    </row>
    <row r="18" spans="1:9" x14ac:dyDescent="0.2">
      <c r="A18" s="32" t="s">
        <v>16</v>
      </c>
      <c r="B18" s="32" t="s">
        <v>99</v>
      </c>
      <c r="C18" s="35">
        <f t="shared" si="0"/>
        <v>10030.279462850624</v>
      </c>
      <c r="D18" s="36">
        <f>[1]Data!B18</f>
        <v>9820</v>
      </c>
      <c r="F18" s="36">
        <f>SUMIFS(SPEW_Pig_iron_production!AC:AC,SPEW_Pig_iron_production!$B:$B,Data!$C18)</f>
        <v>9819</v>
      </c>
      <c r="H18" s="11" t="str">
        <f t="shared" si="1"/>
        <v/>
      </c>
    </row>
    <row r="19" spans="1:9" x14ac:dyDescent="0.2">
      <c r="A19" s="32" t="s">
        <v>17</v>
      </c>
      <c r="B19" s="32" t="s">
        <v>100</v>
      </c>
      <c r="C19" s="35">
        <f t="shared" si="0"/>
        <v>1048.9915487115675</v>
      </c>
      <c r="D19" s="36">
        <f>[1]Data!B19</f>
        <v>1027</v>
      </c>
      <c r="F19" s="36">
        <f>SUMIFS(SPEW_Pig_iron_production!AC:AC,SPEW_Pig_iron_production!$B:$B,Data!$C19)</f>
        <v>254</v>
      </c>
      <c r="H19" s="11" t="str">
        <f t="shared" si="1"/>
        <v/>
      </c>
    </row>
    <row r="20" spans="1:9" x14ac:dyDescent="0.2">
      <c r="A20" s="32" t="s">
        <v>18</v>
      </c>
      <c r="B20" s="32" t="s">
        <v>84</v>
      </c>
      <c r="C20" s="35">
        <f t="shared" si="0"/>
        <v>0</v>
      </c>
      <c r="D20" s="36">
        <f>[1]Data!B20</f>
        <v>0</v>
      </c>
      <c r="F20" s="36">
        <f>SUMIFS(SPEW_Pig_iron_production!AC:AC,SPEW_Pig_iron_production!$B:$B,Data!$C20)</f>
        <v>0</v>
      </c>
      <c r="H20" s="11" t="str">
        <f t="shared" si="1"/>
        <v/>
      </c>
    </row>
    <row r="21" spans="1:9" x14ac:dyDescent="0.2">
      <c r="A21" s="32" t="s">
        <v>19</v>
      </c>
      <c r="B21" s="32" t="s">
        <v>101</v>
      </c>
      <c r="C21" s="35">
        <f t="shared" si="0"/>
        <v>2062.2336288691863</v>
      </c>
      <c r="D21" s="36">
        <f>[1]Data!B21</f>
        <v>2019</v>
      </c>
      <c r="F21" s="36">
        <f>SUMIFS(SPEW_Pig_iron_production!AC:AC,SPEW_Pig_iron_production!$B:$B,Data!$C21)</f>
        <v>2072</v>
      </c>
      <c r="H21" s="11" t="str">
        <f t="shared" si="1"/>
        <v/>
      </c>
    </row>
    <row r="22" spans="1:9" x14ac:dyDescent="0.2">
      <c r="A22" s="32" t="s">
        <v>20</v>
      </c>
      <c r="B22" s="32" t="s">
        <v>102</v>
      </c>
      <c r="C22" s="35">
        <f t="shared" si="0"/>
        <v>19076.937833774045</v>
      </c>
      <c r="D22" s="36">
        <f>[1]Data!B22</f>
        <v>18677</v>
      </c>
      <c r="F22" s="36">
        <f>SUMIFS(SPEW_Pig_iron_production!AC:AC,SPEW_Pig_iron_production!$B:$B,Data!$C22)</f>
        <v>19159</v>
      </c>
      <c r="H22" s="11" t="str">
        <f t="shared" si="1"/>
        <v/>
      </c>
    </row>
    <row r="23" spans="1:9" x14ac:dyDescent="0.2">
      <c r="A23" s="32" t="s">
        <v>21</v>
      </c>
      <c r="B23" s="32" t="s">
        <v>103</v>
      </c>
      <c r="C23" s="35">
        <f t="shared" si="0"/>
        <v>34328.682532275627</v>
      </c>
      <c r="D23" s="36">
        <f>[1]Data!B23</f>
        <v>33609</v>
      </c>
      <c r="F23" s="36">
        <f>SUMIFS(SPEW_Pig_iron_production!AC:AC,SPEW_Pig_iron_production!$B:$B,Data!$C23)</f>
        <v>0</v>
      </c>
      <c r="H23" s="11" t="str">
        <f t="shared" si="1"/>
        <v>SPEW</v>
      </c>
      <c r="I23" s="11" t="s">
        <v>284</v>
      </c>
    </row>
    <row r="24" spans="1:9" x14ac:dyDescent="0.2">
      <c r="A24" s="32" t="s">
        <v>22</v>
      </c>
      <c r="B24" s="32" t="s">
        <v>78</v>
      </c>
      <c r="C24" s="35">
        <f t="shared" si="0"/>
        <v>2510.6341058744233</v>
      </c>
      <c r="D24" s="36">
        <f>[1]Data!B24</f>
        <v>2458</v>
      </c>
      <c r="F24" s="36">
        <f>SUMIFS(SPEW_Pig_iron_production!AC:AC,SPEW_Pig_iron_production!$B:$B,Data!$C24)</f>
        <v>0</v>
      </c>
      <c r="H24" s="11" t="str">
        <f t="shared" si="1"/>
        <v>SPEW</v>
      </c>
      <c r="I24" s="43" t="s">
        <v>284</v>
      </c>
    </row>
    <row r="25" spans="1:9" x14ac:dyDescent="0.2">
      <c r="A25" s="32" t="s">
        <v>23</v>
      </c>
      <c r="B25" s="32" t="s">
        <v>104</v>
      </c>
      <c r="C25" s="35">
        <f t="shared" si="0"/>
        <v>2261.409239384041</v>
      </c>
      <c r="D25" s="36">
        <f>[1]Data!B25</f>
        <v>2214</v>
      </c>
      <c r="F25" s="36">
        <f>SUMIFS(SPEW_Pig_iron_production!AC:AC,SPEW_Pig_iron_production!$B:$B,Data!$C25)</f>
        <v>2227</v>
      </c>
      <c r="H25" s="11" t="str">
        <f t="shared" si="1"/>
        <v/>
      </c>
    </row>
    <row r="26" spans="1:9" x14ac:dyDescent="0.2">
      <c r="A26" s="32" t="s">
        <v>24</v>
      </c>
      <c r="B26" s="32" t="s">
        <v>105</v>
      </c>
      <c r="C26" s="35">
        <f t="shared" si="0"/>
        <v>8661.5855239280336</v>
      </c>
      <c r="D26" s="36">
        <f>[1]Data!B26</f>
        <v>8480</v>
      </c>
      <c r="F26" s="36">
        <f>SUMIFS(SPEW_Pig_iron_production!AC:AC,SPEW_Pig_iron_production!$B:$B,Data!$C26)</f>
        <v>8718</v>
      </c>
      <c r="H26" s="11" t="str">
        <f t="shared" si="1"/>
        <v/>
      </c>
    </row>
    <row r="27" spans="1:9" x14ac:dyDescent="0.2">
      <c r="A27" s="32" t="s">
        <v>25</v>
      </c>
      <c r="B27" s="32" t="s">
        <v>77</v>
      </c>
      <c r="C27" s="35">
        <f t="shared" si="0"/>
        <v>817.13070980453153</v>
      </c>
      <c r="D27" s="36">
        <f>[1]Data!B27</f>
        <v>800</v>
      </c>
      <c r="F27" s="36">
        <f>SUMIFS(SPEW_Pig_iron_production!AC:AC,SPEW_Pig_iron_production!$B:$B,Data!$C27)</f>
        <v>1396</v>
      </c>
      <c r="H27" s="11" t="str">
        <f t="shared" si="1"/>
        <v/>
      </c>
    </row>
    <row r="28" spans="1:9" x14ac:dyDescent="0.2">
      <c r="A28" s="32" t="s">
        <v>26</v>
      </c>
      <c r="B28" s="32" t="s">
        <v>106</v>
      </c>
      <c r="C28" s="35">
        <f t="shared" si="0"/>
        <v>12409.151241769066</v>
      </c>
      <c r="D28" s="36">
        <f>[1]Data!B28</f>
        <v>12149</v>
      </c>
      <c r="F28" s="36">
        <f>SUMIFS(SPEW_Pig_iron_production!AC:AC,SPEW_Pig_iron_production!$B:$B,Data!$C28)</f>
        <v>12150</v>
      </c>
      <c r="H28" s="11" t="str">
        <f t="shared" si="1"/>
        <v/>
      </c>
    </row>
    <row r="29" spans="1:9" x14ac:dyDescent="0.2">
      <c r="A29" s="32" t="s">
        <v>27</v>
      </c>
      <c r="B29" s="32" t="s">
        <v>107</v>
      </c>
      <c r="C29" s="35">
        <f t="shared" si="0"/>
        <v>88904.842640120289</v>
      </c>
      <c r="D29" s="36">
        <f>[1]Data!B29</f>
        <v>87041</v>
      </c>
      <c r="F29" s="36">
        <f>SUMIFS(SPEW_Pig_iron_production!AC:AC,SPEW_Pig_iron_production!$B:$B,Data!$C29)</f>
        <v>89130</v>
      </c>
      <c r="H29" s="11" t="str">
        <f t="shared" si="1"/>
        <v/>
      </c>
    </row>
    <row r="30" spans="1:9" x14ac:dyDescent="0.2">
      <c r="A30" s="32" t="s">
        <v>28</v>
      </c>
      <c r="B30" s="32" t="s">
        <v>108</v>
      </c>
      <c r="C30" s="35">
        <f t="shared" si="0"/>
        <v>0</v>
      </c>
      <c r="D30" s="36">
        <f>[1]Data!B30</f>
        <v>0</v>
      </c>
      <c r="F30" s="36">
        <f>SUMIFS(SPEW_Pig_iron_production!AC:AC,SPEW_Pig_iron_production!$B:$B,Data!$C30)</f>
        <v>0</v>
      </c>
      <c r="H30" s="11" t="str">
        <f t="shared" si="1"/>
        <v/>
      </c>
    </row>
    <row r="31" spans="1:9" x14ac:dyDescent="0.2">
      <c r="A31" s="32" t="s">
        <v>29</v>
      </c>
      <c r="B31" s="32" t="s">
        <v>109</v>
      </c>
      <c r="C31" s="35">
        <f t="shared" si="0"/>
        <v>3644.4029657282108</v>
      </c>
      <c r="D31" s="36">
        <f>[1]Data!B31</f>
        <v>3568</v>
      </c>
      <c r="F31" s="36">
        <f>SUMIFS(SPEW_Pig_iron_production!AC:AC,SPEW_Pig_iron_production!$B:$B,Data!$C31)</f>
        <v>3568</v>
      </c>
      <c r="H31" s="11" t="str">
        <f t="shared" si="1"/>
        <v/>
      </c>
    </row>
    <row r="32" spans="1:9" x14ac:dyDescent="0.2">
      <c r="A32" s="32" t="s">
        <v>30</v>
      </c>
      <c r="B32" s="32" t="s">
        <v>110</v>
      </c>
      <c r="C32" s="35">
        <f t="shared" si="0"/>
        <v>61.284803235339872</v>
      </c>
      <c r="D32" s="36">
        <f>[1]Data!B32</f>
        <v>60</v>
      </c>
      <c r="F32" s="36">
        <f>SUMIFS(SPEW_Pig_iron_production!AC:AC,SPEW_Pig_iron_production!$B:$B,Data!$C32)</f>
        <v>0</v>
      </c>
      <c r="H32" s="11" t="str">
        <f t="shared" si="1"/>
        <v>SPEW</v>
      </c>
    </row>
    <row r="33" spans="1:8" x14ac:dyDescent="0.2">
      <c r="A33" s="32" t="s">
        <v>31</v>
      </c>
      <c r="B33" s="32" t="s">
        <v>111</v>
      </c>
      <c r="C33" s="35">
        <f t="shared" si="0"/>
        <v>3716.9233162233627</v>
      </c>
      <c r="D33" s="36">
        <f>[1]Data!B33</f>
        <v>3639</v>
      </c>
      <c r="F33" s="36">
        <f>SUMIFS(SPEW_Pig_iron_production!AC:AC,SPEW_Pig_iron_production!$B:$B,Data!$C33)</f>
        <v>5330</v>
      </c>
      <c r="H33" s="11" t="str">
        <f t="shared" si="1"/>
        <v/>
      </c>
    </row>
    <row r="34" spans="1:8" x14ac:dyDescent="0.2">
      <c r="A34" s="32" t="s">
        <v>32</v>
      </c>
      <c r="B34" s="32" t="s">
        <v>112</v>
      </c>
      <c r="C34" s="35">
        <f t="shared" si="0"/>
        <v>11.235547259812309</v>
      </c>
      <c r="D34" s="36">
        <f>[1]Data!B34</f>
        <v>11</v>
      </c>
      <c r="F34" s="36">
        <f>SUMIFS(SPEW_Pig_iron_production!AC:AC,SPEW_Pig_iron_production!$B:$B,Data!$C34)</f>
        <v>15.4</v>
      </c>
      <c r="H34" s="11" t="str">
        <f t="shared" si="1"/>
        <v/>
      </c>
    </row>
    <row r="35" spans="1:8" x14ac:dyDescent="0.2">
      <c r="A35" s="32" t="s">
        <v>33</v>
      </c>
      <c r="B35" s="32" t="s">
        <v>113</v>
      </c>
      <c r="C35" s="35">
        <f t="shared" si="0"/>
        <v>4420.677140042515</v>
      </c>
      <c r="D35" s="36">
        <f>[1]Data!B35</f>
        <v>4328</v>
      </c>
      <c r="F35" s="36">
        <f>SUMIFS(SPEW_Pig_iron_production!AC:AC,SPEW_Pig_iron_production!$B:$B,Data!$C35)</f>
        <v>4328</v>
      </c>
      <c r="H35" s="11" t="str">
        <f t="shared" si="1"/>
        <v/>
      </c>
    </row>
    <row r="36" spans="1:8" x14ac:dyDescent="0.2">
      <c r="A36" s="32" t="s">
        <v>34</v>
      </c>
      <c r="B36" s="32" t="s">
        <v>114</v>
      </c>
      <c r="C36" s="35">
        <f t="shared" ref="C36:C58" si="2">$D36/$D$65*C$68</f>
        <v>0</v>
      </c>
      <c r="D36" s="36">
        <f>[1]Data!B36</f>
        <v>0</v>
      </c>
      <c r="F36" s="36">
        <f>SUMIFS(SPEW_Pig_iron_production!AC:AC,SPEW_Pig_iron_production!$B:$B,Data!$C36)</f>
        <v>0</v>
      </c>
      <c r="H36" s="11" t="str">
        <f t="shared" si="1"/>
        <v/>
      </c>
    </row>
    <row r="37" spans="1:8" x14ac:dyDescent="0.2">
      <c r="A37" s="32" t="s">
        <v>35</v>
      </c>
      <c r="B37" s="32" t="s">
        <v>83</v>
      </c>
      <c r="C37" s="35">
        <f t="shared" si="2"/>
        <v>3064.2401617669934</v>
      </c>
      <c r="D37" s="36">
        <f>[1]Data!B37</f>
        <v>3000</v>
      </c>
      <c r="F37" s="36">
        <f>SUMIFS(SPEW_Pig_iron_production!AC:AC,SPEW_Pig_iron_production!$B:$B,Data!$C37)</f>
        <v>5470</v>
      </c>
      <c r="H37" s="11" t="str">
        <f t="shared" si="1"/>
        <v/>
      </c>
    </row>
    <row r="38" spans="1:8" x14ac:dyDescent="0.2">
      <c r="A38" s="32" t="s">
        <v>36</v>
      </c>
      <c r="B38" s="32" t="s">
        <v>115</v>
      </c>
      <c r="C38" s="35">
        <f t="shared" si="2"/>
        <v>631.23347332400056</v>
      </c>
      <c r="D38" s="36">
        <f>[1]Data!B38</f>
        <v>618</v>
      </c>
      <c r="F38" s="36">
        <f>SUMIFS(SPEW_Pig_iron_production!AC:AC,SPEW_Pig_iron_production!$B:$B,Data!$C38)</f>
        <v>865.5</v>
      </c>
      <c r="H38" s="11" t="str">
        <f t="shared" si="1"/>
        <v/>
      </c>
    </row>
    <row r="39" spans="1:8" x14ac:dyDescent="0.2">
      <c r="A39" s="32" t="s">
        <v>37</v>
      </c>
      <c r="B39" s="32" t="s">
        <v>116</v>
      </c>
      <c r="C39" s="35">
        <f t="shared" si="2"/>
        <v>0</v>
      </c>
      <c r="D39" s="36">
        <f>[1]Data!B39</f>
        <v>0</v>
      </c>
      <c r="F39" s="36">
        <f>SUMIFS(SPEW_Pig_iron_production!AC:AC,SPEW_Pig_iron_production!$B:$B,Data!$C39)</f>
        <v>0</v>
      </c>
      <c r="H39" s="11" t="str">
        <f t="shared" si="1"/>
        <v/>
      </c>
    </row>
    <row r="40" spans="1:8" x14ac:dyDescent="0.2">
      <c r="A40" s="32" t="s">
        <v>38</v>
      </c>
      <c r="B40" s="32" t="s">
        <v>117</v>
      </c>
      <c r="C40" s="35">
        <f t="shared" si="2"/>
        <v>0</v>
      </c>
      <c r="D40" s="36">
        <f>[1]Data!B40</f>
        <v>0</v>
      </c>
      <c r="F40" s="36">
        <f>SUMIFS(SPEW_Pig_iron_production!AC:AC,SPEW_Pig_iron_production!$B:$B,Data!$C40)</f>
        <v>0</v>
      </c>
      <c r="H40" s="11" t="str">
        <f t="shared" si="1"/>
        <v/>
      </c>
    </row>
    <row r="41" spans="1:8" x14ac:dyDescent="0.2">
      <c r="A41" s="32" t="s">
        <v>39</v>
      </c>
      <c r="B41" s="32" t="s">
        <v>118</v>
      </c>
      <c r="C41" s="35">
        <f t="shared" si="2"/>
        <v>267.61030746098407</v>
      </c>
      <c r="D41" s="36">
        <f>[1]Data!B41</f>
        <v>262</v>
      </c>
      <c r="F41" s="36">
        <f>SUMIFS(SPEW_Pig_iron_production!AC:AC,SPEW_Pig_iron_production!$B:$B,Data!$C41)</f>
        <v>263</v>
      </c>
      <c r="H41" s="11" t="str">
        <f t="shared" si="1"/>
        <v/>
      </c>
    </row>
    <row r="42" spans="1:8" x14ac:dyDescent="0.2">
      <c r="A42" s="32" t="s">
        <v>40</v>
      </c>
      <c r="B42" s="32" t="s">
        <v>119</v>
      </c>
      <c r="C42" s="35">
        <f t="shared" si="2"/>
        <v>11621.641520194949</v>
      </c>
      <c r="D42" s="36">
        <f>[1]Data!B42</f>
        <v>11378</v>
      </c>
      <c r="F42" s="36">
        <f>SUMIFS(SPEW_Pig_iron_production!AC:AC,SPEW_Pig_iron_production!$B:$B,Data!$C42)</f>
        <v>11682</v>
      </c>
      <c r="H42" s="11" t="str">
        <f t="shared" si="1"/>
        <v/>
      </c>
    </row>
    <row r="43" spans="1:8" x14ac:dyDescent="0.2">
      <c r="A43" s="32" t="s">
        <v>41</v>
      </c>
      <c r="B43" s="32" t="s">
        <v>120</v>
      </c>
      <c r="C43" s="35">
        <f t="shared" si="2"/>
        <v>377.92295328459585</v>
      </c>
      <c r="D43" s="36">
        <f>[1]Data!B43</f>
        <v>370</v>
      </c>
      <c r="F43" s="36">
        <f>SUMIFS(SPEW_Pig_iron_production!AC:AC,SPEW_Pig_iron_production!$B:$B,Data!$C43)</f>
        <v>488.8</v>
      </c>
      <c r="H43" s="11" t="str">
        <f t="shared" si="1"/>
        <v/>
      </c>
    </row>
    <row r="44" spans="1:8" x14ac:dyDescent="0.2">
      <c r="A44" s="32" t="s">
        <v>42</v>
      </c>
      <c r="B44" s="32" t="s">
        <v>121</v>
      </c>
      <c r="C44" s="35">
        <f t="shared" si="2"/>
        <v>9204.9774459480486</v>
      </c>
      <c r="D44" s="36">
        <f>[1]Data!B44</f>
        <v>9012</v>
      </c>
      <c r="F44" s="36">
        <f>SUMIFS(SPEW_Pig_iron_production!AC:AC,SPEW_Pig_iron_production!$B:$B,Data!$C44)</f>
        <v>9013</v>
      </c>
      <c r="H44" s="11" t="str">
        <f t="shared" si="1"/>
        <v/>
      </c>
    </row>
    <row r="45" spans="1:8" x14ac:dyDescent="0.2">
      <c r="A45" s="32" t="s">
        <v>43</v>
      </c>
      <c r="B45" s="32" t="s">
        <v>122</v>
      </c>
      <c r="C45" s="35">
        <f t="shared" si="2"/>
        <v>0</v>
      </c>
      <c r="D45" s="36">
        <f>[1]Data!B45</f>
        <v>0</v>
      </c>
      <c r="F45" s="36">
        <f>SUMIFS(SPEW_Pig_iron_production!AC:AC,SPEW_Pig_iron_production!$B:$B,Data!$C45)</f>
        <v>0</v>
      </c>
      <c r="H45" s="11" t="str">
        <f t="shared" si="1"/>
        <v/>
      </c>
    </row>
    <row r="46" spans="1:8" x14ac:dyDescent="0.2">
      <c r="A46" s="32" t="s">
        <v>44</v>
      </c>
      <c r="B46" s="32" t="s">
        <v>79</v>
      </c>
      <c r="C46" s="35">
        <f t="shared" si="2"/>
        <v>109580.29242494945</v>
      </c>
      <c r="D46" s="36">
        <f>[1]Data!B46</f>
        <v>107283</v>
      </c>
      <c r="F46" s="36">
        <f>SUMIFS(SPEW_Pig_iron_production!AC:AC,SPEW_Pig_iron_production!$B:$B,Data!$C46)</f>
        <v>107000</v>
      </c>
      <c r="H46" s="11" t="str">
        <f t="shared" si="1"/>
        <v/>
      </c>
    </row>
    <row r="47" spans="1:8" x14ac:dyDescent="0.2">
      <c r="A47" s="32" t="s">
        <v>45</v>
      </c>
      <c r="B47" s="32" t="s">
        <v>123</v>
      </c>
      <c r="C47" s="35">
        <f t="shared" si="2"/>
        <v>0</v>
      </c>
      <c r="D47" s="36">
        <f>[1]Data!B47</f>
        <v>0</v>
      </c>
      <c r="F47" s="36">
        <f>SUMIFS(SPEW_Pig_iron_production!AC:AC,SPEW_Pig_iron_production!$B:$B,Data!$C47)</f>
        <v>0</v>
      </c>
      <c r="H47" s="11" t="str">
        <f t="shared" si="1"/>
        <v/>
      </c>
    </row>
    <row r="48" spans="1:8" x14ac:dyDescent="0.2">
      <c r="A48" s="32" t="s">
        <v>46</v>
      </c>
      <c r="B48" s="32" t="s">
        <v>80</v>
      </c>
      <c r="C48" s="35">
        <f t="shared" si="2"/>
        <v>0</v>
      </c>
      <c r="D48" s="36">
        <f>[1]Data!B48</f>
        <v>0</v>
      </c>
      <c r="F48" s="36">
        <f>SUMIFS(SPEW_Pig_iron_production!AC:AC,SPEW_Pig_iron_production!$B:$B,Data!$C48)</f>
        <v>0</v>
      </c>
      <c r="H48" s="11" t="str">
        <f t="shared" si="1"/>
        <v/>
      </c>
    </row>
    <row r="49" spans="1:8" x14ac:dyDescent="0.2">
      <c r="A49" s="32" t="s">
        <v>47</v>
      </c>
      <c r="B49" s="32" t="s">
        <v>124</v>
      </c>
      <c r="C49" s="35">
        <f t="shared" si="2"/>
        <v>7372.5618292113859</v>
      </c>
      <c r="D49" s="36">
        <f>[1]Data!B49</f>
        <v>7218</v>
      </c>
      <c r="F49" s="36">
        <f>SUMIFS(SPEW_Pig_iron_production!AC:AC,SPEW_Pig_iron_production!$B:$B,Data!$C49)</f>
        <v>8847</v>
      </c>
      <c r="H49" s="11" t="str">
        <f t="shared" si="1"/>
        <v/>
      </c>
    </row>
    <row r="50" spans="1:8" x14ac:dyDescent="0.2">
      <c r="A50" s="32" t="s">
        <v>48</v>
      </c>
      <c r="B50" s="32" t="s">
        <v>81</v>
      </c>
      <c r="C50" s="35">
        <f t="shared" si="2"/>
        <v>5701.5295276611187</v>
      </c>
      <c r="D50" s="36">
        <f>[1]Data!B50</f>
        <v>5582</v>
      </c>
      <c r="F50" s="36">
        <f>SUMIFS(SPEW_Pig_iron_production!AC:AC,SPEW_Pig_iron_production!$B:$B,Data!$C50)</f>
        <v>5686</v>
      </c>
      <c r="H50" s="11" t="str">
        <f t="shared" si="1"/>
        <v/>
      </c>
    </row>
    <row r="51" spans="1:8" x14ac:dyDescent="0.2">
      <c r="A51" s="32" t="s">
        <v>49</v>
      </c>
      <c r="B51" s="32" t="s">
        <v>125</v>
      </c>
      <c r="C51" s="35">
        <f t="shared" si="2"/>
        <v>6529.8957847254624</v>
      </c>
      <c r="D51" s="36">
        <f>[1]Data!B51</f>
        <v>6393</v>
      </c>
      <c r="F51" s="36">
        <f>SUMIFS(SPEW_Pig_iron_production!AC:AC,SPEW_Pig_iron_production!$B:$B,Data!$C51)</f>
        <v>6364</v>
      </c>
      <c r="H51" s="11" t="str">
        <f t="shared" si="1"/>
        <v/>
      </c>
    </row>
    <row r="52" spans="1:8" x14ac:dyDescent="0.2">
      <c r="A52" s="32" t="s">
        <v>50</v>
      </c>
      <c r="B52" s="32" t="s">
        <v>126</v>
      </c>
      <c r="C52" s="35">
        <f t="shared" si="2"/>
        <v>2487.141597967543</v>
      </c>
      <c r="D52" s="36">
        <f>[1]Data!B52</f>
        <v>2435</v>
      </c>
      <c r="F52" s="36">
        <f>SUMIFS(SPEW_Pig_iron_production!AC:AC,SPEW_Pig_iron_production!$B:$B,Data!$C52)</f>
        <v>2596</v>
      </c>
      <c r="H52" s="11" t="str">
        <f t="shared" si="1"/>
        <v/>
      </c>
    </row>
    <row r="53" spans="1:8" x14ac:dyDescent="0.2">
      <c r="A53" s="32" t="s">
        <v>51</v>
      </c>
      <c r="B53" s="32" t="s">
        <v>127</v>
      </c>
      <c r="C53" s="35">
        <f t="shared" si="2"/>
        <v>33.706641779436929</v>
      </c>
      <c r="D53" s="36">
        <f>[1]Data!B53</f>
        <v>33</v>
      </c>
      <c r="F53" s="36">
        <f>SUMIFS(SPEW_Pig_iron_production!AC:AC,SPEW_Pig_iron_production!$B:$B,Data!$C53)</f>
        <v>33</v>
      </c>
      <c r="H53" s="11" t="str">
        <f t="shared" si="1"/>
        <v/>
      </c>
    </row>
    <row r="54" spans="1:8" x14ac:dyDescent="0.2">
      <c r="A54" s="32" t="s">
        <v>52</v>
      </c>
      <c r="B54" s="32" t="s">
        <v>82</v>
      </c>
      <c r="C54" s="35">
        <f t="shared" si="2"/>
        <v>1775.216467050345</v>
      </c>
      <c r="D54" s="36">
        <f>[1]Data!B54</f>
        <v>1738</v>
      </c>
      <c r="F54" s="36">
        <f>SUMIFS(SPEW_Pig_iron_production!AC:AC,SPEW_Pig_iron_production!$B:$B,Data!$C54)</f>
        <v>236</v>
      </c>
      <c r="H54" s="11" t="str">
        <f t="shared" si="1"/>
        <v/>
      </c>
    </row>
    <row r="55" spans="1:8" x14ac:dyDescent="0.2">
      <c r="A55" s="32" t="s">
        <v>53</v>
      </c>
      <c r="B55" s="32" t="s">
        <v>128</v>
      </c>
      <c r="C55" s="35">
        <f t="shared" si="2"/>
        <v>156.27624825011668</v>
      </c>
      <c r="D55" s="36">
        <f>[1]Data!B55</f>
        <v>153</v>
      </c>
      <c r="F55" s="36">
        <f>SUMIFS(SPEW_Pig_iron_production!AC:AC,SPEW_Pig_iron_production!$B:$B,Data!$C55)</f>
        <v>152</v>
      </c>
      <c r="H55" s="11" t="str">
        <f t="shared" si="1"/>
        <v/>
      </c>
    </row>
    <row r="56" spans="1:8" x14ac:dyDescent="0.2">
      <c r="A56" s="32" t="s">
        <v>54</v>
      </c>
      <c r="B56" s="32" t="s">
        <v>129</v>
      </c>
      <c r="C56" s="35">
        <f t="shared" si="2"/>
        <v>2185.8246487271222</v>
      </c>
      <c r="D56" s="36">
        <f>[1]Data!B56</f>
        <v>2140</v>
      </c>
      <c r="F56" s="36">
        <f>SUMIFS(SPEW_Pig_iron_production!AC:AC,SPEW_Pig_iron_production!$B:$B,Data!$C56)</f>
        <v>2104</v>
      </c>
      <c r="H56" s="11" t="str">
        <f t="shared" si="1"/>
        <v/>
      </c>
    </row>
    <row r="57" spans="1:8" x14ac:dyDescent="0.2">
      <c r="A57" s="32" t="s">
        <v>55</v>
      </c>
      <c r="B57" s="32" t="s">
        <v>130</v>
      </c>
      <c r="C57" s="35">
        <f t="shared" si="2"/>
        <v>0</v>
      </c>
      <c r="D57" s="36">
        <f>[1]Data!B57</f>
        <v>0</v>
      </c>
      <c r="F57" s="36">
        <f>SUMIFS(SPEW_Pig_iron_production!AC:AC,SPEW_Pig_iron_production!$B:$B,Data!$C57)</f>
        <v>0</v>
      </c>
      <c r="H57" s="11" t="str">
        <f t="shared" si="1"/>
        <v/>
      </c>
    </row>
    <row r="58" spans="1:8" x14ac:dyDescent="0.2">
      <c r="A58" s="32" t="s">
        <v>56</v>
      </c>
      <c r="B58" s="32" t="s">
        <v>131</v>
      </c>
      <c r="C58" s="35">
        <f t="shared" si="2"/>
        <v>6398.1334577694824</v>
      </c>
      <c r="D58" s="36">
        <f>[1]Data!B58</f>
        <v>6264</v>
      </c>
      <c r="F58" s="36">
        <f>SUMIFS(SPEW_Pig_iron_production!AC:AC,SPEW_Pig_iron_production!$B:$B,Data!$C58)</f>
        <v>6315</v>
      </c>
      <c r="H58" s="11" t="str">
        <f t="shared" si="1"/>
        <v/>
      </c>
    </row>
    <row r="59" spans="1:8" x14ac:dyDescent="0.2">
      <c r="A59" s="32" t="s">
        <v>57</v>
      </c>
      <c r="B59" s="32" t="s">
        <v>132</v>
      </c>
      <c r="C59" s="36">
        <f>LOOKUP(C$3,'[2]Pig Iron'!$A$7:$A$120,'[2]Pig Iron'!$B$7:$B$120)/1000</f>
        <v>78900</v>
      </c>
      <c r="D59" s="36">
        <f>[1]Data!B59</f>
        <v>62343</v>
      </c>
      <c r="F59" s="36">
        <f>SUMIFS(SPEW_Pig_iron_production!AC:AC,SPEW_Pig_iron_production!$B:$B,Data!$C59)</f>
        <v>62332</v>
      </c>
      <c r="H59" s="11" t="str">
        <f t="shared" si="1"/>
        <v/>
      </c>
    </row>
    <row r="60" spans="1:8" x14ac:dyDescent="0.2">
      <c r="A60" s="32" t="s">
        <v>58</v>
      </c>
      <c r="B60" s="32" t="s">
        <v>133</v>
      </c>
      <c r="C60" s="35">
        <f>$D60/$D$65*C$68</f>
        <v>508.66386685332088</v>
      </c>
      <c r="D60" s="36">
        <f>[1]Data!B60</f>
        <v>498</v>
      </c>
      <c r="F60" s="36">
        <f>SUMIFS(SPEW_Pig_iron_production!AC:AC,SPEW_Pig_iron_production!$B:$B,Data!$C60)</f>
        <v>559</v>
      </c>
      <c r="H60" s="11" t="str">
        <f t="shared" si="1"/>
        <v/>
      </c>
    </row>
    <row r="61" spans="1:8" x14ac:dyDescent="0.2">
      <c r="A61" s="32" t="s">
        <v>59</v>
      </c>
      <c r="B61" s="32" t="s">
        <v>134</v>
      </c>
      <c r="C61" s="35">
        <f>$D61/$D$65*C$68</f>
        <v>0</v>
      </c>
      <c r="D61" s="36">
        <f>[1]Data!B61</f>
        <v>0</v>
      </c>
      <c r="F61" s="36">
        <f>SUMIFS(SPEW_Pig_iron_production!AC:AC,SPEW_Pig_iron_production!$B:$B,Data!$C61)</f>
        <v>0</v>
      </c>
      <c r="H61" s="11" t="str">
        <f t="shared" si="1"/>
        <v/>
      </c>
    </row>
    <row r="62" spans="1:8" x14ac:dyDescent="0.2">
      <c r="A62" s="32" t="s">
        <v>60</v>
      </c>
      <c r="B62" s="32" t="s">
        <v>76</v>
      </c>
      <c r="C62" s="35">
        <f>$D62/$D$65*C$68</f>
        <v>2488.1630113547985</v>
      </c>
      <c r="D62" s="36">
        <f>[1]Data!B62</f>
        <v>2436</v>
      </c>
      <c r="F62" s="36">
        <f>SUMIFS(SPEW_Pig_iron_production!AC:AC,SPEW_Pig_iron_production!$B:$B,Data!$C62)</f>
        <v>2668</v>
      </c>
      <c r="H62" s="11" t="str">
        <f t="shared" si="1"/>
        <v/>
      </c>
    </row>
    <row r="63" spans="1:8" x14ac:dyDescent="0.2">
      <c r="A63" s="37" t="s">
        <v>61</v>
      </c>
      <c r="B63" s="32" t="s">
        <v>135</v>
      </c>
      <c r="C63" s="38">
        <f>$D63/$D$65*C$68</f>
        <v>802.83092238295217</v>
      </c>
      <c r="D63" s="39">
        <f>[1]Data!B63</f>
        <v>786</v>
      </c>
      <c r="F63" s="36">
        <f>SUMIFS(SPEW_Pig_iron_production!AC:AC,SPEW_Pig_iron_production!$B:$B,Data!$C63)</f>
        <v>612</v>
      </c>
      <c r="H63" s="11" t="str">
        <f t="shared" si="1"/>
        <v/>
      </c>
    </row>
    <row r="64" spans="1:8" x14ac:dyDescent="0.2">
      <c r="A64" s="32" t="s">
        <v>62</v>
      </c>
      <c r="C64" s="36">
        <f t="shared" ref="C64:F64" si="3">SUM(C4:C63)</f>
        <v>532000</v>
      </c>
      <c r="D64" s="36">
        <f t="shared" si="3"/>
        <v>505944</v>
      </c>
      <c r="F64" s="36">
        <f t="shared" si="3"/>
        <v>478733.7</v>
      </c>
    </row>
    <row r="65" spans="1:6" x14ac:dyDescent="0.2">
      <c r="A65" s="32" t="s">
        <v>69</v>
      </c>
      <c r="C65" s="36">
        <f>C64-C59</f>
        <v>453100</v>
      </c>
      <c r="D65" s="36">
        <f>D64-D59</f>
        <v>443601</v>
      </c>
      <c r="F65" s="36">
        <f>SUM(SPEW_Pig_iron_production!AC3:AC69)</f>
        <v>478787.5</v>
      </c>
    </row>
    <row r="66" spans="1:6" x14ac:dyDescent="0.2">
      <c r="D66" s="36"/>
    </row>
    <row r="67" spans="1:6" x14ac:dyDescent="0.2">
      <c r="A67" s="32" t="s">
        <v>64</v>
      </c>
      <c r="C67" s="36">
        <f>LOOKUP(C$3,'[2]Pig Iron'!$A$7:$A$120,'[2]Pig Iron'!$I$7:$I$120)/1000</f>
        <v>532000</v>
      </c>
      <c r="D67" s="36">
        <f>LOOKUP(D$3,'[2]Pig Iron'!$A$7:$A$120,'[2]Pig Iron'!$I$7:$I$120)/1000</f>
        <v>514000</v>
      </c>
    </row>
    <row r="68" spans="1:6" x14ac:dyDescent="0.2">
      <c r="A68" s="32" t="s">
        <v>68</v>
      </c>
      <c r="C68" s="36">
        <f t="shared" ref="C68" si="4">C67-C59</f>
        <v>453100</v>
      </c>
      <c r="D68" s="36">
        <f>D67-D59</f>
        <v>451657</v>
      </c>
    </row>
    <row r="69" spans="1:6" x14ac:dyDescent="0.2">
      <c r="D69" s="36"/>
    </row>
    <row r="70" spans="1:6" x14ac:dyDescent="0.2">
      <c r="A70" s="32" t="s">
        <v>65</v>
      </c>
      <c r="C70" s="36">
        <f>LOOKUP(C$3,'[2]Pig Iron'!$A$7:$A$120,'[2]Pig Iron'!$B$7:$B$120)/1000</f>
        <v>78900</v>
      </c>
      <c r="D70" s="36">
        <f>LOOKUP(D$3,'[2]Pig Iron'!$A$7:$A$120,'[2]Pig Iron'!$B$7:$B$120)/1000</f>
        <v>62300</v>
      </c>
    </row>
    <row r="71" spans="1:6" x14ac:dyDescent="0.2">
      <c r="A71" s="32" t="s">
        <v>66</v>
      </c>
      <c r="C71" s="36">
        <f>LOOKUP(C$3,'[2]Pig Iron'!$A$7:$A$120,'[2]Pig Iron'!$B$7:$B$120)/1000</f>
        <v>78900</v>
      </c>
      <c r="D71" s="36">
        <f>[1]Data!B59</f>
        <v>62343</v>
      </c>
    </row>
    <row r="72" spans="1:6" x14ac:dyDescent="0.2">
      <c r="A72" s="32" t="s">
        <v>67</v>
      </c>
      <c r="D72" s="40">
        <f>D71/D70</f>
        <v>1.0006902086677367</v>
      </c>
    </row>
    <row r="73" spans="1:6" x14ac:dyDescent="0.2">
      <c r="D73" s="36"/>
    </row>
    <row r="74" spans="1:6" x14ac:dyDescent="0.2">
      <c r="A74" s="32" t="s">
        <v>136</v>
      </c>
      <c r="D74" s="36"/>
    </row>
    <row r="75" spans="1:6" x14ac:dyDescent="0.2">
      <c r="A75" s="32" t="str">
        <f>A9</f>
        <v>Belgium</v>
      </c>
      <c r="B75" s="32" t="str">
        <f>B9</f>
        <v>bel</v>
      </c>
      <c r="D75" s="36">
        <f>D9</f>
        <v>9844</v>
      </c>
    </row>
    <row r="76" spans="1:6" x14ac:dyDescent="0.2">
      <c r="A76" s="32" t="str">
        <f>A22</f>
        <v>France</v>
      </c>
      <c r="B76" s="32" t="str">
        <f>B22</f>
        <v>fra</v>
      </c>
      <c r="D76" s="36">
        <f>D22</f>
        <v>18677</v>
      </c>
    </row>
    <row r="77" spans="1:6" x14ac:dyDescent="0.2">
      <c r="A77" s="32" t="str">
        <f>A23</f>
        <v>Germany</v>
      </c>
      <c r="B77" s="32" t="str">
        <f>B23</f>
        <v>deu</v>
      </c>
      <c r="D77" s="36">
        <f>D23</f>
        <v>33609</v>
      </c>
    </row>
    <row r="78" spans="1:6" x14ac:dyDescent="0.2">
      <c r="A78" s="32" t="str">
        <f>A28</f>
        <v>Italy</v>
      </c>
      <c r="B78" s="32" t="str">
        <f>B28</f>
        <v>ita</v>
      </c>
      <c r="D78" s="36">
        <f>D28</f>
        <v>12149</v>
      </c>
    </row>
    <row r="79" spans="1:6" x14ac:dyDescent="0.2">
      <c r="A79" s="32" t="str">
        <f>A42</f>
        <v>Poland</v>
      </c>
      <c r="B79" s="32" t="str">
        <f>B42</f>
        <v>pol</v>
      </c>
      <c r="D79" s="36">
        <f>D42</f>
        <v>11378</v>
      </c>
    </row>
    <row r="80" spans="1:6" x14ac:dyDescent="0.2">
      <c r="A80" s="32" t="s">
        <v>138</v>
      </c>
      <c r="D80" s="36">
        <f>D81-SUM(D75:D79)</f>
        <v>22343</v>
      </c>
    </row>
    <row r="81" spans="1:4" x14ac:dyDescent="0.2">
      <c r="A81" s="32" t="s">
        <v>137</v>
      </c>
      <c r="D81" s="36">
        <v>108000</v>
      </c>
    </row>
    <row r="82" spans="1:4" x14ac:dyDescent="0.2">
      <c r="D82" s="36"/>
    </row>
  </sheetData>
  <pageMargins left="0.78749999999999998" right="0.78749999999999998" top="1.05277777777778" bottom="1.05277777777778" header="0.78749999999999998" footer="0.78749999999999998"/>
  <pageSetup orientation="portrait" useFirstPageNumber="1" horizontalDpi="4294967292" verticalDpi="4294967292"/>
  <headerFooter>
    <oddHeader>&amp;C&amp;"Times New Roman,Regular"&amp;12&amp;A</oddHeader>
    <oddFooter>&amp;C&amp;"Times New Roman,Regular"&amp;12Page &amp;P</oddFooter>
  </headerFooter>
  <legacyDrawing r:id="rId1"/>
  <extLst>
    <ext xmlns:mx="http://schemas.microsoft.com/office/mac/excel/2008/main" uri="{64002731-A6B0-56B0-2670-7721B7C09600}">
      <mx:PLV Mode="0" OnePage="0" WScale="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7"/>
  <sheetViews>
    <sheetView workbookViewId="0"/>
  </sheetViews>
  <sheetFormatPr baseColWidth="10" defaultRowHeight="15" x14ac:dyDescent="0.2"/>
  <cols>
    <col min="1" max="1" width="17.83203125" customWidth="1"/>
  </cols>
  <sheetData>
    <row r="1" spans="1:2" x14ac:dyDescent="0.2">
      <c r="A1" t="s">
        <v>63</v>
      </c>
    </row>
    <row r="2" spans="1:2" x14ac:dyDescent="0.2">
      <c r="A2" s="50" t="s">
        <v>305</v>
      </c>
      <c r="B2" t="s">
        <v>306</v>
      </c>
    </row>
    <row r="4" spans="1:2" x14ac:dyDescent="0.2">
      <c r="A4" t="s">
        <v>72</v>
      </c>
      <c r="B4" t="s">
        <v>71</v>
      </c>
    </row>
    <row r="6" spans="1:2" x14ac:dyDescent="0.2">
      <c r="A6" t="s">
        <v>73</v>
      </c>
    </row>
    <row r="7" spans="1:2" x14ac:dyDescent="0.2">
      <c r="A7" t="s">
        <v>74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69"/>
  <sheetViews>
    <sheetView topLeftCell="O1" workbookViewId="0">
      <selection activeCell="C2" sqref="C2:Q2"/>
    </sheetView>
  </sheetViews>
  <sheetFormatPr baseColWidth="10" defaultRowHeight="16" x14ac:dyDescent="0.2"/>
  <cols>
    <col min="1" max="2" width="10.83203125" style="12"/>
    <col min="3" max="17" width="6.33203125" style="12" customWidth="1"/>
    <col min="18" max="16384" width="10.83203125" style="12"/>
  </cols>
  <sheetData>
    <row r="1" spans="1:37" x14ac:dyDescent="0.2">
      <c r="A1" s="12" t="s">
        <v>139</v>
      </c>
      <c r="B1" s="12" t="s">
        <v>75</v>
      </c>
      <c r="C1" s="12" t="s">
        <v>290</v>
      </c>
      <c r="D1" s="12" t="s">
        <v>291</v>
      </c>
      <c r="E1" s="12" t="s">
        <v>292</v>
      </c>
      <c r="F1" s="12" t="s">
        <v>293</v>
      </c>
      <c r="G1" s="12" t="s">
        <v>294</v>
      </c>
      <c r="H1" s="12" t="s">
        <v>295</v>
      </c>
      <c r="I1" s="12" t="s">
        <v>296</v>
      </c>
      <c r="J1" s="12" t="s">
        <v>297</v>
      </c>
      <c r="K1" s="12" t="s">
        <v>298</v>
      </c>
      <c r="L1" s="12" t="s">
        <v>299</v>
      </c>
      <c r="M1" s="12" t="s">
        <v>300</v>
      </c>
      <c r="N1" s="12" t="s">
        <v>301</v>
      </c>
      <c r="O1" s="12" t="s">
        <v>302</v>
      </c>
      <c r="P1" s="12" t="s">
        <v>303</v>
      </c>
      <c r="Q1" s="12" t="s">
        <v>304</v>
      </c>
      <c r="R1" s="12" t="s">
        <v>140</v>
      </c>
      <c r="S1" s="12" t="s">
        <v>141</v>
      </c>
      <c r="T1" s="12" t="s">
        <v>142</v>
      </c>
      <c r="U1" s="12" t="s">
        <v>143</v>
      </c>
      <c r="V1" s="12" t="s">
        <v>144</v>
      </c>
      <c r="W1" s="12" t="s">
        <v>145</v>
      </c>
      <c r="X1" s="12" t="s">
        <v>146</v>
      </c>
      <c r="Y1" s="12" t="s">
        <v>147</v>
      </c>
      <c r="Z1" s="12" t="s">
        <v>148</v>
      </c>
      <c r="AA1" s="12" t="s">
        <v>149</v>
      </c>
      <c r="AB1" s="12" t="s">
        <v>150</v>
      </c>
      <c r="AC1" s="12" t="s">
        <v>151</v>
      </c>
      <c r="AD1" s="12" t="s">
        <v>152</v>
      </c>
      <c r="AE1" s="12" t="s">
        <v>153</v>
      </c>
      <c r="AF1" s="12" t="s">
        <v>154</v>
      </c>
      <c r="AG1" s="12" t="s">
        <v>155</v>
      </c>
      <c r="AJ1" s="12" t="s">
        <v>151</v>
      </c>
      <c r="AK1" s="42" t="s">
        <v>283</v>
      </c>
    </row>
    <row r="2" spans="1:37" x14ac:dyDescent="0.2">
      <c r="A2" s="12" t="s">
        <v>156</v>
      </c>
      <c r="B2" s="12" t="s">
        <v>85</v>
      </c>
      <c r="AF2" s="12">
        <v>10</v>
      </c>
      <c r="AG2" s="12">
        <v>10</v>
      </c>
      <c r="AJ2" s="41" t="str">
        <f>IF(AND(SUMIFS(Data!$CP:$CP,Data!$C:$C,SPEW_Pig_iron_production!$B2)=0,AC2&lt;&gt;0),"Additional","")</f>
        <v/>
      </c>
      <c r="AK2" s="41" t="str">
        <f>IF(AND(SUMIFS(Data!$DJ:$DJ,Data!$C:$C,SPEW_Pig_iron_production!$B2)=0,AG2&lt;&gt;0),"Additional","")</f>
        <v>Additional</v>
      </c>
    </row>
    <row r="3" spans="1:37" x14ac:dyDescent="0.2">
      <c r="A3" s="12" t="s">
        <v>157</v>
      </c>
      <c r="B3" s="12" t="s">
        <v>86</v>
      </c>
      <c r="C3" s="12" t="s">
        <v>289</v>
      </c>
      <c r="D3" s="12" t="s">
        <v>289</v>
      </c>
      <c r="E3" s="12" t="s">
        <v>289</v>
      </c>
      <c r="F3" s="12" t="s">
        <v>289</v>
      </c>
      <c r="G3" s="12" t="s">
        <v>289</v>
      </c>
      <c r="H3" s="12" t="s">
        <v>289</v>
      </c>
      <c r="I3" s="12" t="s">
        <v>289</v>
      </c>
      <c r="J3" s="12" t="s">
        <v>289</v>
      </c>
      <c r="K3" s="12" t="s">
        <v>289</v>
      </c>
      <c r="L3" s="12" t="s">
        <v>289</v>
      </c>
      <c r="M3" s="12" t="s">
        <v>289</v>
      </c>
      <c r="N3" s="12" t="s">
        <v>289</v>
      </c>
      <c r="O3" s="12" t="s">
        <v>289</v>
      </c>
      <c r="P3" s="12" t="s">
        <v>289</v>
      </c>
      <c r="Q3" s="12" t="s">
        <v>289</v>
      </c>
      <c r="AA3" s="12">
        <v>409</v>
      </c>
      <c r="AB3" s="12">
        <v>399</v>
      </c>
      <c r="AC3" s="12">
        <v>669</v>
      </c>
      <c r="AD3" s="12">
        <v>1477</v>
      </c>
      <c r="AE3" s="12">
        <v>1054</v>
      </c>
      <c r="AF3" s="12">
        <v>940</v>
      </c>
      <c r="AG3" s="12">
        <v>1100</v>
      </c>
      <c r="AJ3" s="41" t="str">
        <f>IF(AND(SUMIFS(Data!$CP:$CP,Data!$C:$C,SPEW_Pig_iron_production!$B3)=0,AC3&lt;&gt;0),"Additional","")</f>
        <v/>
      </c>
      <c r="AK3" s="41" t="str">
        <f>IF(AND(SUMIFS(Data!$DJ:$DJ,Data!$C:$C,SPEW_Pig_iron_production!$B3)=0,AG3&lt;&gt;0),"Additional","")</f>
        <v/>
      </c>
    </row>
    <row r="4" spans="1:37" x14ac:dyDescent="0.2">
      <c r="A4" s="12" t="s">
        <v>158</v>
      </c>
      <c r="B4" s="12" t="s">
        <v>87</v>
      </c>
      <c r="C4" s="12" t="s">
        <v>289</v>
      </c>
      <c r="D4" s="12" t="s">
        <v>289</v>
      </c>
      <c r="E4" s="12" t="s">
        <v>289</v>
      </c>
      <c r="F4" s="12" t="s">
        <v>289</v>
      </c>
      <c r="G4" s="12" t="s">
        <v>289</v>
      </c>
      <c r="H4" s="12" t="s">
        <v>289</v>
      </c>
      <c r="I4" s="12" t="s">
        <v>289</v>
      </c>
      <c r="J4" s="12" t="s">
        <v>289</v>
      </c>
      <c r="K4" s="12" t="s">
        <v>289</v>
      </c>
      <c r="L4" s="12" t="s">
        <v>289</v>
      </c>
      <c r="M4" s="12" t="s">
        <v>289</v>
      </c>
      <c r="N4" s="12" t="s">
        <v>289</v>
      </c>
      <c r="O4" s="12" t="s">
        <v>289</v>
      </c>
      <c r="P4" s="12" t="s">
        <v>289</v>
      </c>
      <c r="Q4" s="12" t="s">
        <v>289</v>
      </c>
      <c r="V4" s="12">
        <v>3</v>
      </c>
      <c r="W4" s="12">
        <v>18</v>
      </c>
      <c r="X4" s="12">
        <v>35</v>
      </c>
      <c r="Y4" s="12">
        <v>181</v>
      </c>
      <c r="Z4" s="12">
        <v>663</v>
      </c>
      <c r="AA4" s="12">
        <v>815</v>
      </c>
      <c r="AB4" s="12">
        <v>1088</v>
      </c>
      <c r="AC4" s="12">
        <v>1080</v>
      </c>
      <c r="AD4" s="12">
        <v>1351</v>
      </c>
      <c r="AE4" s="12">
        <v>1883</v>
      </c>
      <c r="AF4" s="12">
        <v>1568</v>
      </c>
      <c r="AG4" s="12">
        <v>2183</v>
      </c>
      <c r="AJ4" s="41" t="str">
        <f>IF(AND(SUMIFS(Data!$CP:$CP,Data!$C:$C,SPEW_Pig_iron_production!$B4)=0,AC4&lt;&gt;0),"Additional","")</f>
        <v/>
      </c>
      <c r="AK4" s="41" t="str">
        <f>IF(AND(SUMIFS(Data!$DJ:$DJ,Data!$C:$C,SPEW_Pig_iron_production!$B4)=0,AG4&lt;&gt;0),"Additional","")</f>
        <v/>
      </c>
    </row>
    <row r="5" spans="1:37" x14ac:dyDescent="0.2">
      <c r="A5" s="12" t="s">
        <v>159</v>
      </c>
      <c r="B5" s="12" t="s">
        <v>88</v>
      </c>
      <c r="C5" s="12" t="s">
        <v>289</v>
      </c>
      <c r="D5" s="12" t="s">
        <v>289</v>
      </c>
      <c r="E5" s="12" t="s">
        <v>289</v>
      </c>
      <c r="F5" s="12" t="s">
        <v>289</v>
      </c>
      <c r="G5" s="12" t="s">
        <v>289</v>
      </c>
      <c r="H5" s="12" t="s">
        <v>289</v>
      </c>
      <c r="I5" s="12" t="s">
        <v>289</v>
      </c>
      <c r="J5" s="12" t="s">
        <v>289</v>
      </c>
      <c r="K5" s="12" t="s">
        <v>289</v>
      </c>
      <c r="L5" s="12" t="s">
        <v>289</v>
      </c>
      <c r="M5" s="12" t="s">
        <v>289</v>
      </c>
      <c r="N5" s="12" t="s">
        <v>289</v>
      </c>
      <c r="O5" s="12">
        <v>41</v>
      </c>
      <c r="P5" s="12">
        <v>149</v>
      </c>
      <c r="Q5" s="12">
        <v>350</v>
      </c>
      <c r="R5" s="12">
        <v>446</v>
      </c>
      <c r="S5" s="12">
        <v>313</v>
      </c>
      <c r="T5" s="12">
        <v>710</v>
      </c>
      <c r="U5" s="12">
        <v>1231</v>
      </c>
      <c r="V5" s="12">
        <v>1136</v>
      </c>
      <c r="W5" s="12">
        <v>1115</v>
      </c>
      <c r="X5" s="12">
        <v>1899</v>
      </c>
      <c r="Y5" s="12">
        <v>2698</v>
      </c>
      <c r="Z5" s="12">
        <v>3999</v>
      </c>
      <c r="AA5" s="12">
        <v>5769</v>
      </c>
      <c r="AB5" s="12">
        <v>7531</v>
      </c>
      <c r="AC5" s="12">
        <v>7313</v>
      </c>
      <c r="AD5" s="12">
        <v>5387</v>
      </c>
      <c r="AE5" s="12">
        <v>5599</v>
      </c>
      <c r="AF5" s="12">
        <v>7475</v>
      </c>
      <c r="AG5" s="12">
        <v>7049</v>
      </c>
      <c r="AJ5" s="41" t="str">
        <f>IF(AND(SUMIFS(Data!$CP:$CP,Data!$C:$C,SPEW_Pig_iron_production!$B5)=0,AC5&lt;&gt;0),"Additional","")</f>
        <v/>
      </c>
      <c r="AK5" s="41" t="str">
        <f>IF(AND(SUMIFS(Data!$DJ:$DJ,Data!$C:$C,SPEW_Pig_iron_production!$B5)=0,AG5&lt;&gt;0),"Additional","")</f>
        <v/>
      </c>
    </row>
    <row r="6" spans="1:37" x14ac:dyDescent="0.2">
      <c r="A6" s="12" t="s">
        <v>160</v>
      </c>
      <c r="B6" s="12" t="s">
        <v>89</v>
      </c>
      <c r="C6" s="12" t="s">
        <v>289</v>
      </c>
      <c r="D6" s="12" t="s">
        <v>289</v>
      </c>
      <c r="E6" s="12" t="s">
        <v>289</v>
      </c>
      <c r="F6" s="12" t="s">
        <v>289</v>
      </c>
      <c r="G6" s="12" t="s">
        <v>289</v>
      </c>
      <c r="H6" s="12" t="s">
        <v>289</v>
      </c>
      <c r="I6" s="12" t="s">
        <v>289</v>
      </c>
      <c r="J6" s="12" t="s">
        <v>289</v>
      </c>
      <c r="K6" s="12" t="s">
        <v>289</v>
      </c>
      <c r="L6" s="12" t="s">
        <v>289</v>
      </c>
      <c r="M6" s="12" t="s">
        <v>289</v>
      </c>
      <c r="N6" s="12" t="s">
        <v>289</v>
      </c>
      <c r="O6" s="12" t="s">
        <v>289</v>
      </c>
      <c r="P6" s="12" t="s">
        <v>289</v>
      </c>
      <c r="Q6" s="12">
        <v>100</v>
      </c>
      <c r="R6" s="12">
        <v>380</v>
      </c>
      <c r="S6" s="12">
        <v>297</v>
      </c>
      <c r="T6" s="12">
        <v>193</v>
      </c>
      <c r="U6" s="12">
        <v>679</v>
      </c>
      <c r="V6" s="12">
        <v>102</v>
      </c>
      <c r="W6" s="12">
        <v>883</v>
      </c>
      <c r="X6" s="12">
        <v>1506</v>
      </c>
      <c r="Y6" s="12">
        <v>2232</v>
      </c>
      <c r="Z6" s="12">
        <v>2200</v>
      </c>
      <c r="AA6" s="12">
        <v>2964</v>
      </c>
      <c r="AB6" s="12">
        <v>3056</v>
      </c>
      <c r="AC6" s="12">
        <v>3485</v>
      </c>
      <c r="AD6" s="12">
        <v>3704</v>
      </c>
      <c r="AE6" s="12">
        <v>3452</v>
      </c>
      <c r="AF6" s="12">
        <v>3878</v>
      </c>
      <c r="AG6" s="12">
        <v>4318</v>
      </c>
      <c r="AJ6" s="41" t="str">
        <f>IF(AND(SUMIFS(Data!$CP:$CP,Data!$C:$C,SPEW_Pig_iron_production!$B6)=0,AC6&lt;&gt;0),"Additional","")</f>
        <v/>
      </c>
      <c r="AK6" s="41" t="str">
        <f>IF(AND(SUMIFS(Data!$DJ:$DJ,Data!$C:$C,SPEW_Pig_iron_production!$B6)=0,AG6&lt;&gt;0),"Additional","")</f>
        <v/>
      </c>
    </row>
    <row r="7" spans="1:37" x14ac:dyDescent="0.2">
      <c r="A7" s="12" t="s">
        <v>161</v>
      </c>
      <c r="B7" s="12" t="s">
        <v>90</v>
      </c>
      <c r="C7" s="12">
        <v>145</v>
      </c>
      <c r="D7" s="12">
        <v>294</v>
      </c>
      <c r="E7" s="12">
        <v>320</v>
      </c>
      <c r="F7" s="12">
        <v>471</v>
      </c>
      <c r="G7" s="12">
        <v>565</v>
      </c>
      <c r="H7" s="12">
        <v>542</v>
      </c>
      <c r="I7" s="12">
        <v>608</v>
      </c>
      <c r="J7" s="12">
        <v>713</v>
      </c>
      <c r="K7" s="12">
        <v>788</v>
      </c>
      <c r="L7" s="12">
        <v>829</v>
      </c>
      <c r="M7" s="12">
        <v>1019</v>
      </c>
      <c r="N7" s="12">
        <v>1311</v>
      </c>
      <c r="O7" s="12">
        <v>1852</v>
      </c>
      <c r="P7" s="12">
        <v>68</v>
      </c>
      <c r="Q7" s="12">
        <v>1116</v>
      </c>
      <c r="R7" s="12">
        <v>2543</v>
      </c>
      <c r="S7" s="12">
        <v>3365</v>
      </c>
      <c r="T7" s="12">
        <v>3030</v>
      </c>
      <c r="U7" s="12">
        <v>1790</v>
      </c>
      <c r="V7" s="12">
        <v>735</v>
      </c>
      <c r="W7" s="12">
        <v>3695</v>
      </c>
      <c r="X7" s="12">
        <v>5385</v>
      </c>
      <c r="Y7" s="12">
        <v>6553</v>
      </c>
      <c r="Z7" s="12">
        <v>8367</v>
      </c>
      <c r="AA7" s="12">
        <v>10845</v>
      </c>
      <c r="AB7" s="12">
        <v>9081</v>
      </c>
      <c r="AC7" s="12">
        <v>9845</v>
      </c>
      <c r="AD7" s="12">
        <v>8719</v>
      </c>
      <c r="AE7" s="12">
        <v>9416</v>
      </c>
      <c r="AF7" s="12">
        <v>9199</v>
      </c>
      <c r="AG7" s="12">
        <v>8471</v>
      </c>
      <c r="AJ7" s="41" t="str">
        <f>IF(AND(SUMIFS(Data!$CP:$CP,Data!$C:$C,SPEW_Pig_iron_production!$B7)=0,AC7&lt;&gt;0),"Additional","")</f>
        <v/>
      </c>
      <c r="AK7" s="41" t="str">
        <f>IF(AND(SUMIFS(Data!$DJ:$DJ,Data!$C:$C,SPEW_Pig_iron_production!$B7)=0,AG7&lt;&gt;0),"Additional","")</f>
        <v/>
      </c>
    </row>
    <row r="8" spans="1:37" x14ac:dyDescent="0.2">
      <c r="A8" s="12" t="s">
        <v>162</v>
      </c>
      <c r="B8" s="12" t="s">
        <v>91</v>
      </c>
      <c r="C8" s="12" t="s">
        <v>289</v>
      </c>
      <c r="D8" s="12" t="s">
        <v>289</v>
      </c>
      <c r="E8" s="12" t="s">
        <v>289</v>
      </c>
      <c r="F8" s="12" t="s">
        <v>289</v>
      </c>
      <c r="G8" s="12" t="s">
        <v>289</v>
      </c>
      <c r="H8" s="12" t="s">
        <v>289</v>
      </c>
      <c r="I8" s="12" t="s">
        <v>289</v>
      </c>
      <c r="J8" s="12" t="s">
        <v>289</v>
      </c>
      <c r="K8" s="12" t="s">
        <v>289</v>
      </c>
      <c r="L8" s="12" t="s">
        <v>289</v>
      </c>
      <c r="M8" s="12" t="s">
        <v>289</v>
      </c>
      <c r="N8" s="12" t="s">
        <v>289</v>
      </c>
      <c r="O8" s="12" t="s">
        <v>289</v>
      </c>
      <c r="P8" s="12" t="s">
        <v>289</v>
      </c>
      <c r="Q8" s="12" t="s">
        <v>289</v>
      </c>
      <c r="AF8" s="12">
        <v>140.1</v>
      </c>
      <c r="AG8" s="12">
        <v>140.1</v>
      </c>
      <c r="AJ8" s="41" t="str">
        <f>IF(AND(SUMIFS(Data!$CP:$CP,Data!$C:$C,SPEW_Pig_iron_production!$B8)=0,AC8&lt;&gt;0),"Additional","")</f>
        <v/>
      </c>
      <c r="AK8" s="41" t="str">
        <f>IF(AND(SUMIFS(Data!$DJ:$DJ,Data!$C:$C,SPEW_Pig_iron_production!$B8)=0,AG8&lt;&gt;0),"Additional","")</f>
        <v>Additional</v>
      </c>
    </row>
    <row r="9" spans="1:37" x14ac:dyDescent="0.2">
      <c r="A9" s="12" t="s">
        <v>163</v>
      </c>
      <c r="B9" s="12" t="s">
        <v>92</v>
      </c>
      <c r="C9" s="12" t="s">
        <v>289</v>
      </c>
      <c r="D9" s="12" t="s">
        <v>289</v>
      </c>
      <c r="E9" s="12" t="s">
        <v>289</v>
      </c>
      <c r="F9" s="12" t="s">
        <v>289</v>
      </c>
      <c r="G9" s="12" t="s">
        <v>289</v>
      </c>
      <c r="H9" s="12" t="s">
        <v>289</v>
      </c>
      <c r="I9" s="12" t="s">
        <v>289</v>
      </c>
      <c r="J9" s="12" t="s">
        <v>289</v>
      </c>
      <c r="K9" s="12" t="s">
        <v>289</v>
      </c>
      <c r="L9" s="12" t="s">
        <v>289</v>
      </c>
      <c r="M9" s="12" t="s">
        <v>289</v>
      </c>
      <c r="N9" s="12" t="s">
        <v>289</v>
      </c>
      <c r="O9" s="12" t="s">
        <v>289</v>
      </c>
      <c r="P9" s="12" t="s">
        <v>289</v>
      </c>
      <c r="Q9" s="12" t="s">
        <v>289</v>
      </c>
      <c r="R9" s="12">
        <v>30</v>
      </c>
      <c r="S9" s="12">
        <v>35</v>
      </c>
      <c r="T9" s="12">
        <v>64</v>
      </c>
      <c r="U9" s="12">
        <v>186</v>
      </c>
      <c r="V9" s="12">
        <v>260</v>
      </c>
      <c r="W9" s="12">
        <v>729</v>
      </c>
      <c r="X9" s="12">
        <v>1087</v>
      </c>
      <c r="Y9" s="12">
        <v>1783</v>
      </c>
      <c r="Z9" s="12">
        <v>2590</v>
      </c>
      <c r="AA9" s="12">
        <v>4296</v>
      </c>
      <c r="AB9" s="12">
        <v>7393</v>
      </c>
      <c r="AC9" s="12">
        <v>13116</v>
      </c>
      <c r="AD9" s="12">
        <v>19420</v>
      </c>
      <c r="AE9" s="12">
        <v>21141</v>
      </c>
      <c r="AF9" s="12">
        <v>25021</v>
      </c>
      <c r="AG9" s="12">
        <v>27723</v>
      </c>
      <c r="AJ9" s="41" t="str">
        <f>IF(AND(SUMIFS(Data!$CP:$CP,Data!$C:$C,SPEW_Pig_iron_production!$B9)=0,AC9&lt;&gt;0),"Additional","")</f>
        <v/>
      </c>
      <c r="AK9" s="41" t="str">
        <f>IF(AND(SUMIFS(Data!$DJ:$DJ,Data!$C:$C,SPEW_Pig_iron_production!$B9)=0,AG9&lt;&gt;0),"Additional","")</f>
        <v/>
      </c>
    </row>
    <row r="10" spans="1:37" x14ac:dyDescent="0.2">
      <c r="A10" s="12" t="s">
        <v>164</v>
      </c>
      <c r="B10" s="12" t="s">
        <v>93</v>
      </c>
      <c r="C10" s="12" t="s">
        <v>289</v>
      </c>
      <c r="D10" s="12" t="s">
        <v>289</v>
      </c>
      <c r="E10" s="12" t="s">
        <v>289</v>
      </c>
      <c r="F10" s="12" t="s">
        <v>289</v>
      </c>
      <c r="G10" s="12" t="s">
        <v>289</v>
      </c>
      <c r="H10" s="12" t="s">
        <v>289</v>
      </c>
      <c r="I10" s="12" t="s">
        <v>289</v>
      </c>
      <c r="J10" s="12" t="s">
        <v>289</v>
      </c>
      <c r="K10" s="12" t="s">
        <v>289</v>
      </c>
      <c r="L10" s="12" t="s">
        <v>289</v>
      </c>
      <c r="M10" s="12" t="s">
        <v>289</v>
      </c>
      <c r="N10" s="12" t="s">
        <v>289</v>
      </c>
      <c r="O10" s="12" t="s">
        <v>289</v>
      </c>
      <c r="P10" s="12" t="s">
        <v>289</v>
      </c>
      <c r="Q10" s="12" t="s">
        <v>289</v>
      </c>
      <c r="W10" s="12">
        <v>3</v>
      </c>
      <c r="X10" s="12">
        <v>8</v>
      </c>
      <c r="Y10" s="12">
        <v>192</v>
      </c>
      <c r="Z10" s="12">
        <v>695</v>
      </c>
      <c r="AA10" s="12">
        <v>1252</v>
      </c>
      <c r="AB10" s="12">
        <v>1560</v>
      </c>
      <c r="AC10" s="12">
        <v>1583</v>
      </c>
      <c r="AD10" s="12">
        <v>1754</v>
      </c>
      <c r="AE10" s="12">
        <v>943</v>
      </c>
      <c r="AF10" s="12">
        <v>1607</v>
      </c>
      <c r="AG10" s="12">
        <v>1220</v>
      </c>
      <c r="AJ10" s="41" t="str">
        <f>IF(AND(SUMIFS(Data!$CP:$CP,Data!$C:$C,SPEW_Pig_iron_production!$B10)=0,AC10&lt;&gt;0),"Additional","")</f>
        <v/>
      </c>
      <c r="AK10" s="41" t="str">
        <f>IF(AND(SUMIFS(Data!$DJ:$DJ,Data!$C:$C,SPEW_Pig_iron_production!$B10)=0,AG10&lt;&gt;0),"Additional","")</f>
        <v/>
      </c>
    </row>
    <row r="11" spans="1:37" x14ac:dyDescent="0.2">
      <c r="A11" s="12" t="s">
        <v>165</v>
      </c>
      <c r="B11" s="12" t="s">
        <v>94</v>
      </c>
      <c r="C11" s="12" t="s">
        <v>289</v>
      </c>
      <c r="D11" s="12" t="s">
        <v>289</v>
      </c>
      <c r="E11" s="12" t="s">
        <v>289</v>
      </c>
      <c r="F11" s="12" t="s">
        <v>289</v>
      </c>
      <c r="G11" s="12" t="s">
        <v>289</v>
      </c>
      <c r="H11" s="12" t="s">
        <v>289</v>
      </c>
      <c r="I11" s="12" t="s">
        <v>289</v>
      </c>
      <c r="J11" s="12" t="s">
        <v>289</v>
      </c>
      <c r="K11" s="12">
        <v>20</v>
      </c>
      <c r="L11" s="12">
        <v>39</v>
      </c>
      <c r="M11" s="12">
        <v>90</v>
      </c>
      <c r="N11" s="12">
        <v>477</v>
      </c>
      <c r="O11" s="12">
        <v>726</v>
      </c>
      <c r="P11" s="12">
        <v>829</v>
      </c>
      <c r="Q11" s="12">
        <v>1015</v>
      </c>
      <c r="R11" s="12">
        <v>606</v>
      </c>
      <c r="S11" s="12">
        <v>825</v>
      </c>
      <c r="T11" s="12">
        <v>667</v>
      </c>
      <c r="U11" s="12">
        <v>1323</v>
      </c>
      <c r="V11" s="12">
        <v>1769</v>
      </c>
      <c r="W11" s="12">
        <v>2266</v>
      </c>
      <c r="X11" s="12">
        <v>3089</v>
      </c>
      <c r="Y11" s="12">
        <v>4025</v>
      </c>
      <c r="Z11" s="12">
        <v>6582</v>
      </c>
      <c r="AA11" s="12">
        <v>8424</v>
      </c>
      <c r="AB11" s="12">
        <v>9309</v>
      </c>
      <c r="AC11" s="12">
        <v>11182</v>
      </c>
      <c r="AD11" s="12">
        <v>9887</v>
      </c>
      <c r="AE11" s="12">
        <v>7346</v>
      </c>
      <c r="AF11" s="12">
        <v>8464</v>
      </c>
      <c r="AG11" s="12">
        <v>8904</v>
      </c>
      <c r="AJ11" s="41" t="str">
        <f>IF(AND(SUMIFS(Data!$CP:$CP,Data!$C:$C,SPEW_Pig_iron_production!$B11)=0,AC11&lt;&gt;0),"Additional","")</f>
        <v/>
      </c>
      <c r="AK11" s="41" t="str">
        <f>IF(AND(SUMIFS(Data!$DJ:$DJ,Data!$C:$C,SPEW_Pig_iron_production!$B11)=0,AG11&lt;&gt;0),"Additional","")</f>
        <v/>
      </c>
    </row>
    <row r="12" spans="1:37" x14ac:dyDescent="0.2">
      <c r="A12" s="12" t="s">
        <v>166</v>
      </c>
      <c r="B12" s="12" t="s">
        <v>95</v>
      </c>
      <c r="C12" s="12" t="s">
        <v>289</v>
      </c>
      <c r="D12" s="12" t="s">
        <v>289</v>
      </c>
      <c r="E12" s="12" t="s">
        <v>289</v>
      </c>
      <c r="F12" s="12" t="s">
        <v>289</v>
      </c>
      <c r="G12" s="12" t="s">
        <v>289</v>
      </c>
      <c r="H12" s="12" t="s">
        <v>289</v>
      </c>
      <c r="I12" s="12" t="s">
        <v>289</v>
      </c>
      <c r="J12" s="12" t="s">
        <v>289</v>
      </c>
      <c r="K12" s="12" t="s">
        <v>289</v>
      </c>
      <c r="L12" s="12" t="s">
        <v>289</v>
      </c>
      <c r="M12" s="12" t="s">
        <v>289</v>
      </c>
      <c r="N12" s="12" t="s">
        <v>289</v>
      </c>
      <c r="O12" s="12" t="s">
        <v>289</v>
      </c>
      <c r="P12" s="12" t="s">
        <v>289</v>
      </c>
      <c r="Q12" s="12" t="s">
        <v>289</v>
      </c>
      <c r="U12" s="12">
        <v>7</v>
      </c>
      <c r="V12" s="12">
        <v>14</v>
      </c>
      <c r="W12" s="12">
        <v>110</v>
      </c>
      <c r="X12" s="12">
        <v>256</v>
      </c>
      <c r="Y12" s="12">
        <v>266</v>
      </c>
      <c r="Z12" s="12">
        <v>309</v>
      </c>
      <c r="AA12" s="12">
        <v>481</v>
      </c>
      <c r="AB12" s="12">
        <v>439</v>
      </c>
      <c r="AC12" s="12">
        <v>708</v>
      </c>
      <c r="AD12" s="12">
        <v>587</v>
      </c>
      <c r="AE12" s="12">
        <v>675</v>
      </c>
      <c r="AF12" s="12">
        <v>855</v>
      </c>
      <c r="AG12" s="12">
        <v>1026</v>
      </c>
      <c r="AJ12" s="41" t="str">
        <f>IF(AND(SUMIFS(Data!$CP:$CP,Data!$C:$C,SPEW_Pig_iron_production!$B12)=0,AC12&lt;&gt;0),"Additional","")</f>
        <v/>
      </c>
      <c r="AK12" s="41" t="str">
        <f>IF(AND(SUMIFS(Data!$DJ:$DJ,Data!$C:$C,SPEW_Pig_iron_production!$B12)=0,AG12&lt;&gt;0),"Additional","")</f>
        <v/>
      </c>
    </row>
    <row r="13" spans="1:37" x14ac:dyDescent="0.2">
      <c r="A13" s="12" t="s">
        <v>167</v>
      </c>
      <c r="B13" s="12" t="s">
        <v>96</v>
      </c>
      <c r="C13" s="12" t="s">
        <v>289</v>
      </c>
      <c r="D13" s="12" t="s">
        <v>289</v>
      </c>
      <c r="E13" s="12" t="s">
        <v>289</v>
      </c>
      <c r="F13" s="12" t="s">
        <v>289</v>
      </c>
      <c r="G13" s="12" t="s">
        <v>289</v>
      </c>
      <c r="H13" s="12" t="s">
        <v>289</v>
      </c>
      <c r="I13" s="12" t="s">
        <v>289</v>
      </c>
      <c r="J13" s="12" t="s">
        <v>289</v>
      </c>
      <c r="K13" s="12" t="s">
        <v>289</v>
      </c>
      <c r="L13" s="12" t="s">
        <v>289</v>
      </c>
      <c r="M13" s="12" t="s">
        <v>289</v>
      </c>
      <c r="N13" s="12" t="s">
        <v>289</v>
      </c>
      <c r="O13" s="12" t="s">
        <v>289</v>
      </c>
      <c r="P13" s="12">
        <v>166</v>
      </c>
      <c r="Q13" s="12">
        <v>259</v>
      </c>
      <c r="R13" s="12">
        <v>193</v>
      </c>
      <c r="S13" s="12">
        <v>376</v>
      </c>
      <c r="T13" s="12">
        <v>648</v>
      </c>
      <c r="U13" s="12">
        <v>1106</v>
      </c>
      <c r="V13" s="12">
        <v>213</v>
      </c>
      <c r="W13" s="12">
        <v>900</v>
      </c>
      <c r="X13" s="12">
        <v>3872</v>
      </c>
      <c r="Y13" s="12">
        <v>27160</v>
      </c>
      <c r="Z13" s="12">
        <v>10770</v>
      </c>
      <c r="AA13" s="12">
        <v>17060</v>
      </c>
      <c r="AB13" s="12">
        <v>24490</v>
      </c>
      <c r="AC13" s="12">
        <v>38020</v>
      </c>
      <c r="AD13" s="12">
        <v>43840</v>
      </c>
      <c r="AE13" s="12">
        <v>62380</v>
      </c>
      <c r="AF13" s="12">
        <v>105286</v>
      </c>
      <c r="AG13" s="12">
        <v>131034</v>
      </c>
      <c r="AJ13" s="41" t="str">
        <f>IF(AND(SUMIFS(Data!$CP:$CP,Data!$C:$C,SPEW_Pig_iron_production!$B13)=0,AC13&lt;&gt;0),"Additional","")</f>
        <v/>
      </c>
      <c r="AK13" s="41" t="str">
        <f>IF(AND(SUMIFS(Data!$DJ:$DJ,Data!$C:$C,SPEW_Pig_iron_production!$B13)=0,AG13&lt;&gt;0),"Additional","")</f>
        <v/>
      </c>
    </row>
    <row r="14" spans="1:37" x14ac:dyDescent="0.2">
      <c r="A14" s="12" t="s">
        <v>168</v>
      </c>
      <c r="B14" s="12" t="s">
        <v>82</v>
      </c>
      <c r="C14" s="12" t="s">
        <v>289</v>
      </c>
      <c r="D14" s="12" t="s">
        <v>289</v>
      </c>
      <c r="E14" s="12" t="s">
        <v>289</v>
      </c>
      <c r="F14" s="12" t="s">
        <v>289</v>
      </c>
      <c r="G14" s="12" t="s">
        <v>289</v>
      </c>
      <c r="H14" s="12" t="s">
        <v>289</v>
      </c>
      <c r="I14" s="12" t="s">
        <v>289</v>
      </c>
      <c r="J14" s="12" t="s">
        <v>289</v>
      </c>
      <c r="K14" s="12" t="s">
        <v>289</v>
      </c>
      <c r="L14" s="12" t="s">
        <v>289</v>
      </c>
      <c r="M14" s="12" t="s">
        <v>289</v>
      </c>
      <c r="N14" s="12" t="s">
        <v>289</v>
      </c>
      <c r="O14" s="12" t="s">
        <v>289</v>
      </c>
      <c r="P14" s="12" t="s">
        <v>289</v>
      </c>
      <c r="Q14" s="12" t="s">
        <v>289</v>
      </c>
      <c r="X14" s="12">
        <v>16</v>
      </c>
      <c r="Y14" s="12">
        <v>24</v>
      </c>
      <c r="Z14" s="12">
        <v>72</v>
      </c>
      <c r="AA14" s="12">
        <v>96</v>
      </c>
      <c r="AB14" s="12">
        <v>93</v>
      </c>
      <c r="AC14" s="12">
        <v>236</v>
      </c>
      <c r="AD14" s="12">
        <v>226</v>
      </c>
      <c r="AE14" s="12">
        <v>60</v>
      </c>
      <c r="AF14" s="12">
        <v>6056</v>
      </c>
      <c r="AG14" s="12">
        <v>9618</v>
      </c>
      <c r="AJ14" s="41" t="str">
        <f>IF(AND(SUMIFS(Data!$CP:$CP,Data!$C:$C,SPEW_Pig_iron_production!$B14)=0,AC14&lt;&gt;0),"Additional","")</f>
        <v/>
      </c>
      <c r="AK14" s="41" t="str">
        <f>IF(AND(SUMIFS(Data!$DJ:$DJ,Data!$C:$C,SPEW_Pig_iron_production!$B14)=0,AG14&lt;&gt;0),"Additional","")</f>
        <v/>
      </c>
    </row>
    <row r="15" spans="1:37" x14ac:dyDescent="0.2">
      <c r="A15" s="12" t="s">
        <v>169</v>
      </c>
      <c r="B15" s="12" t="s">
        <v>97</v>
      </c>
      <c r="C15" s="12" t="s">
        <v>289</v>
      </c>
      <c r="D15" s="12" t="s">
        <v>289</v>
      </c>
      <c r="E15" s="12" t="s">
        <v>289</v>
      </c>
      <c r="F15" s="12" t="s">
        <v>289</v>
      </c>
      <c r="G15" s="12" t="s">
        <v>289</v>
      </c>
      <c r="H15" s="12" t="s">
        <v>289</v>
      </c>
      <c r="I15" s="12" t="s">
        <v>289</v>
      </c>
      <c r="J15" s="12" t="s">
        <v>289</v>
      </c>
      <c r="K15" s="12" t="s">
        <v>289</v>
      </c>
      <c r="L15" s="12" t="s">
        <v>289</v>
      </c>
      <c r="M15" s="12" t="s">
        <v>289</v>
      </c>
      <c r="N15" s="12" t="s">
        <v>289</v>
      </c>
      <c r="O15" s="12" t="s">
        <v>289</v>
      </c>
      <c r="P15" s="12" t="s">
        <v>289</v>
      </c>
      <c r="Q15" s="12" t="s">
        <v>289</v>
      </c>
      <c r="X15" s="12">
        <v>99</v>
      </c>
      <c r="Y15" s="12">
        <v>280</v>
      </c>
      <c r="Z15" s="12">
        <v>199</v>
      </c>
      <c r="AA15" s="12">
        <v>229</v>
      </c>
      <c r="AB15" s="12">
        <v>294</v>
      </c>
      <c r="AC15" s="12">
        <v>280</v>
      </c>
      <c r="AD15" s="12">
        <v>235</v>
      </c>
      <c r="AE15" s="12">
        <v>323</v>
      </c>
      <c r="AF15" s="12">
        <v>313</v>
      </c>
      <c r="AG15" s="12">
        <v>285</v>
      </c>
      <c r="AJ15" s="41" t="str">
        <f>IF(AND(SUMIFS(Data!$CP:$CP,Data!$C:$C,SPEW_Pig_iron_production!$B15)=0,AC15&lt;&gt;0),"Additional","")</f>
        <v/>
      </c>
      <c r="AK15" s="41" t="str">
        <f>IF(AND(SUMIFS(Data!$DJ:$DJ,Data!$C:$C,SPEW_Pig_iron_production!$B15)=0,AG15&lt;&gt;0),"Additional","")</f>
        <v/>
      </c>
    </row>
    <row r="16" spans="1:37" x14ac:dyDescent="0.2">
      <c r="A16" s="12" t="s">
        <v>170</v>
      </c>
      <c r="B16" s="12" t="s">
        <v>98</v>
      </c>
      <c r="C16" s="12" t="s">
        <v>289</v>
      </c>
      <c r="D16" s="12" t="s">
        <v>289</v>
      </c>
      <c r="E16" s="12" t="s">
        <v>289</v>
      </c>
      <c r="F16" s="12" t="s">
        <v>289</v>
      </c>
      <c r="G16" s="12" t="s">
        <v>289</v>
      </c>
      <c r="H16" s="12" t="s">
        <v>289</v>
      </c>
      <c r="I16" s="12" t="s">
        <v>289</v>
      </c>
      <c r="J16" s="12" t="s">
        <v>289</v>
      </c>
      <c r="K16" s="12" t="s">
        <v>289</v>
      </c>
      <c r="L16" s="12" t="s">
        <v>289</v>
      </c>
      <c r="M16" s="12" t="s">
        <v>289</v>
      </c>
      <c r="N16" s="12" t="s">
        <v>289</v>
      </c>
      <c r="O16" s="12" t="s">
        <v>289</v>
      </c>
      <c r="P16" s="12" t="s">
        <v>289</v>
      </c>
      <c r="Q16" s="12" t="s">
        <v>289</v>
      </c>
      <c r="AF16" s="12">
        <v>5274</v>
      </c>
      <c r="AG16" s="12">
        <v>4621</v>
      </c>
      <c r="AJ16" s="41" t="str">
        <f>IF(AND(SUMIFS(Data!$CP:$CP,Data!$C:$C,SPEW_Pig_iron_production!$B16)=0,AC16&lt;&gt;0),"Additional","")</f>
        <v/>
      </c>
      <c r="AK16" s="41" t="str">
        <f>IF(AND(SUMIFS(Data!$DJ:$DJ,Data!$C:$C,SPEW_Pig_iron_production!$B16)=0,AG16&lt;&gt;0),"Additional","")</f>
        <v/>
      </c>
    </row>
    <row r="17" spans="1:37" x14ac:dyDescent="0.2">
      <c r="A17" s="12" t="s">
        <v>171</v>
      </c>
      <c r="B17" s="12" t="s">
        <v>99</v>
      </c>
      <c r="C17" s="12" t="s">
        <v>289</v>
      </c>
      <c r="D17" s="12" t="s">
        <v>289</v>
      </c>
      <c r="E17" s="12" t="s">
        <v>289</v>
      </c>
      <c r="F17" s="12" t="s">
        <v>289</v>
      </c>
      <c r="G17" s="12" t="s">
        <v>289</v>
      </c>
      <c r="H17" s="12" t="s">
        <v>289</v>
      </c>
      <c r="I17" s="12" t="s">
        <v>289</v>
      </c>
      <c r="J17" s="12" t="s">
        <v>289</v>
      </c>
      <c r="K17" s="12" t="s">
        <v>289</v>
      </c>
      <c r="L17" s="12" t="s">
        <v>289</v>
      </c>
      <c r="M17" s="12" t="s">
        <v>289</v>
      </c>
      <c r="N17" s="12" t="s">
        <v>289</v>
      </c>
      <c r="O17" s="12" t="s">
        <v>289</v>
      </c>
      <c r="P17" s="12" t="s">
        <v>289</v>
      </c>
      <c r="Q17" s="12">
        <v>737</v>
      </c>
      <c r="R17" s="12">
        <v>1166</v>
      </c>
      <c r="S17" s="12">
        <v>1437</v>
      </c>
      <c r="T17" s="12">
        <v>811</v>
      </c>
      <c r="U17" s="12">
        <v>1582</v>
      </c>
      <c r="V17" s="12">
        <v>576</v>
      </c>
      <c r="W17" s="12">
        <v>1951</v>
      </c>
      <c r="X17" s="12">
        <v>2982</v>
      </c>
      <c r="Y17" s="12">
        <v>4696</v>
      </c>
      <c r="Z17" s="12">
        <v>5868</v>
      </c>
      <c r="AA17" s="12">
        <v>7548</v>
      </c>
      <c r="AB17" s="12">
        <v>9281</v>
      </c>
      <c r="AC17" s="12">
        <v>9819</v>
      </c>
      <c r="AD17" s="12">
        <v>9562</v>
      </c>
      <c r="AE17" s="12">
        <v>8640</v>
      </c>
      <c r="AJ17" s="41" t="str">
        <f>IF(AND(SUMIFS(Data!$CP:$CP,Data!$C:$C,SPEW_Pig_iron_production!$B17)=0,AC17&lt;&gt;0),"Additional","")</f>
        <v/>
      </c>
      <c r="AK17" s="41" t="str">
        <f>IF(AND(SUMIFS(Data!$DJ:$DJ,Data!$C:$C,SPEW_Pig_iron_production!$B17)=0,AG17&lt;&gt;0),"Additional","")</f>
        <v/>
      </c>
    </row>
    <row r="18" spans="1:37" x14ac:dyDescent="0.2">
      <c r="A18" s="12" t="s">
        <v>172</v>
      </c>
      <c r="B18" s="12" t="s">
        <v>173</v>
      </c>
      <c r="C18" s="12" t="s">
        <v>289</v>
      </c>
      <c r="D18" s="12" t="s">
        <v>289</v>
      </c>
      <c r="E18" s="12" t="s">
        <v>289</v>
      </c>
      <c r="F18" s="12" t="s">
        <v>289</v>
      </c>
      <c r="G18" s="12" t="s">
        <v>289</v>
      </c>
      <c r="H18" s="12" t="s">
        <v>289</v>
      </c>
      <c r="I18" s="12" t="s">
        <v>289</v>
      </c>
      <c r="J18" s="12" t="s">
        <v>289</v>
      </c>
      <c r="K18" s="12" t="s">
        <v>289</v>
      </c>
      <c r="L18" s="12" t="s">
        <v>289</v>
      </c>
      <c r="M18" s="12" t="s">
        <v>289</v>
      </c>
      <c r="N18" s="12" t="s">
        <v>289</v>
      </c>
      <c r="O18" s="12" t="s">
        <v>289</v>
      </c>
      <c r="P18" s="12" t="s">
        <v>289</v>
      </c>
      <c r="Q18" s="12" t="s">
        <v>289</v>
      </c>
      <c r="V18" s="12">
        <v>12</v>
      </c>
      <c r="W18" s="12">
        <v>51</v>
      </c>
      <c r="X18" s="12">
        <v>55</v>
      </c>
      <c r="Y18" s="12">
        <v>73</v>
      </c>
      <c r="Z18" s="12">
        <v>75</v>
      </c>
      <c r="AA18" s="12">
        <v>68</v>
      </c>
      <c r="AJ18" s="41" t="str">
        <f>IF(AND(SUMIFS(Data!$CP:$CP,Data!$C:$C,SPEW_Pig_iron_production!$B18)=0,AC18&lt;&gt;0),"Additional","")</f>
        <v/>
      </c>
      <c r="AK18" s="41" t="str">
        <f>IF(AND(SUMIFS(Data!$DJ:$DJ,Data!$C:$C,SPEW_Pig_iron_production!$B18)=0,AG18&lt;&gt;0),"Additional","")</f>
        <v/>
      </c>
    </row>
    <row r="19" spans="1:37" x14ac:dyDescent="0.2">
      <c r="A19" s="12" t="s">
        <v>174</v>
      </c>
      <c r="B19" s="12" t="s">
        <v>100</v>
      </c>
      <c r="C19" s="12" t="s">
        <v>289</v>
      </c>
      <c r="D19" s="12" t="s">
        <v>289</v>
      </c>
      <c r="E19" s="12" t="s">
        <v>289</v>
      </c>
      <c r="F19" s="12" t="s">
        <v>289</v>
      </c>
      <c r="G19" s="12" t="s">
        <v>289</v>
      </c>
      <c r="H19" s="12" t="s">
        <v>289</v>
      </c>
      <c r="I19" s="12" t="s">
        <v>289</v>
      </c>
      <c r="J19" s="12" t="s">
        <v>289</v>
      </c>
      <c r="K19" s="12" t="s">
        <v>289</v>
      </c>
      <c r="L19" s="12" t="s">
        <v>289</v>
      </c>
      <c r="M19" s="12" t="s">
        <v>289</v>
      </c>
      <c r="N19" s="12" t="s">
        <v>289</v>
      </c>
      <c r="O19" s="12" t="s">
        <v>289</v>
      </c>
      <c r="P19" s="12" t="s">
        <v>289</v>
      </c>
      <c r="Q19" s="12" t="s">
        <v>289</v>
      </c>
      <c r="Y19" s="12">
        <v>143</v>
      </c>
      <c r="Z19" s="12">
        <v>200</v>
      </c>
      <c r="AA19" s="12">
        <v>300</v>
      </c>
      <c r="AB19" s="12">
        <v>420</v>
      </c>
      <c r="AC19" s="12">
        <v>254</v>
      </c>
      <c r="AD19" s="12">
        <v>93</v>
      </c>
      <c r="AE19" s="12">
        <v>110</v>
      </c>
      <c r="AF19" s="12">
        <v>1062</v>
      </c>
      <c r="AG19" s="12">
        <v>1400</v>
      </c>
      <c r="AJ19" s="41" t="str">
        <f>IF(AND(SUMIFS(Data!$CP:$CP,Data!$C:$C,SPEW_Pig_iron_production!$B19)=0,AC19&lt;&gt;0),"Additional","")</f>
        <v/>
      </c>
      <c r="AK19" s="41" t="str">
        <f>IF(AND(SUMIFS(Data!$DJ:$DJ,Data!$C:$C,SPEW_Pig_iron_production!$B19)=0,AG19&lt;&gt;0),"Additional","")</f>
        <v/>
      </c>
    </row>
    <row r="20" spans="1:37" x14ac:dyDescent="0.2">
      <c r="A20" s="12" t="s">
        <v>175</v>
      </c>
      <c r="B20" s="12" t="s">
        <v>101</v>
      </c>
      <c r="C20" s="12">
        <v>5</v>
      </c>
      <c r="D20" s="12">
        <v>11</v>
      </c>
      <c r="E20" s="12">
        <v>15</v>
      </c>
      <c r="F20" s="12">
        <v>14</v>
      </c>
      <c r="G20" s="12">
        <v>20</v>
      </c>
      <c r="H20" s="12">
        <v>21</v>
      </c>
      <c r="I20" s="12">
        <v>22</v>
      </c>
      <c r="J20" s="12">
        <v>24</v>
      </c>
      <c r="K20" s="12">
        <v>24</v>
      </c>
      <c r="L20" s="12">
        <v>23</v>
      </c>
      <c r="M20" s="12">
        <v>31</v>
      </c>
      <c r="N20" s="12">
        <v>22</v>
      </c>
      <c r="O20" s="12">
        <v>8</v>
      </c>
      <c r="P20" s="12">
        <v>8</v>
      </c>
      <c r="Q20" s="12">
        <v>10</v>
      </c>
      <c r="R20" s="12">
        <v>11</v>
      </c>
      <c r="S20" s="12">
        <v>3</v>
      </c>
      <c r="T20" s="12">
        <v>6</v>
      </c>
      <c r="U20" s="12">
        <v>25</v>
      </c>
      <c r="V20" s="12">
        <v>35</v>
      </c>
      <c r="W20" s="12">
        <v>64</v>
      </c>
      <c r="X20" s="12">
        <v>114</v>
      </c>
      <c r="Y20" s="12">
        <v>137</v>
      </c>
      <c r="Z20" s="12">
        <v>940</v>
      </c>
      <c r="AA20" s="12">
        <v>1164</v>
      </c>
      <c r="AB20" s="12">
        <v>1368</v>
      </c>
      <c r="AC20" s="12">
        <v>2072</v>
      </c>
      <c r="AD20" s="12">
        <v>2023</v>
      </c>
      <c r="AE20" s="12">
        <v>2283</v>
      </c>
      <c r="AF20" s="12">
        <v>2242</v>
      </c>
      <c r="AG20" s="12">
        <v>2983</v>
      </c>
      <c r="AJ20" s="41" t="str">
        <f>IF(AND(SUMIFS(Data!$CP:$CP,Data!$C:$C,SPEW_Pig_iron_production!$B20)=0,AC20&lt;&gt;0),"Additional","")</f>
        <v/>
      </c>
      <c r="AK20" s="41" t="str">
        <f>IF(AND(SUMIFS(Data!$DJ:$DJ,Data!$C:$C,SPEW_Pig_iron_production!$B20)=0,AG20&lt;&gt;0),"Additional","")</f>
        <v/>
      </c>
    </row>
    <row r="21" spans="1:37" x14ac:dyDescent="0.2">
      <c r="A21" s="12" t="s">
        <v>176</v>
      </c>
      <c r="B21" s="12" t="s">
        <v>102</v>
      </c>
      <c r="C21" s="12">
        <v>406</v>
      </c>
      <c r="D21" s="12">
        <v>849</v>
      </c>
      <c r="E21" s="12">
        <v>898</v>
      </c>
      <c r="F21" s="12">
        <v>1204</v>
      </c>
      <c r="G21" s="12">
        <v>1178</v>
      </c>
      <c r="H21" s="12">
        <v>1448</v>
      </c>
      <c r="I21" s="12">
        <v>1725</v>
      </c>
      <c r="J21" s="12">
        <v>1631</v>
      </c>
      <c r="K21" s="12">
        <v>1962</v>
      </c>
      <c r="L21" s="12">
        <v>2004</v>
      </c>
      <c r="M21" s="12">
        <v>2714</v>
      </c>
      <c r="N21" s="12">
        <v>3077</v>
      </c>
      <c r="O21" s="12">
        <v>4038</v>
      </c>
      <c r="P21" s="12">
        <v>584</v>
      </c>
      <c r="Q21" s="12">
        <v>3434</v>
      </c>
      <c r="R21" s="12">
        <v>8494</v>
      </c>
      <c r="S21" s="12">
        <v>10035</v>
      </c>
      <c r="T21" s="12">
        <v>5789</v>
      </c>
      <c r="U21" s="12">
        <v>3683</v>
      </c>
      <c r="V21" s="12">
        <v>1177</v>
      </c>
      <c r="W21" s="12">
        <v>7761</v>
      </c>
      <c r="X21" s="12">
        <v>10960</v>
      </c>
      <c r="Y21" s="12">
        <v>14145</v>
      </c>
      <c r="Z21" s="12">
        <v>15770</v>
      </c>
      <c r="AA21" s="12">
        <v>19228</v>
      </c>
      <c r="AB21" s="12">
        <v>17921</v>
      </c>
      <c r="AC21" s="12">
        <v>19159</v>
      </c>
      <c r="AD21" s="12">
        <v>15405</v>
      </c>
      <c r="AE21" s="12">
        <v>14412</v>
      </c>
      <c r="AF21" s="12">
        <v>12760</v>
      </c>
      <c r="AG21" s="12">
        <v>13916</v>
      </c>
      <c r="AJ21" s="41" t="str">
        <f>IF(AND(SUMIFS(Data!$CP:$CP,Data!$C:$C,SPEW_Pig_iron_production!$B21)=0,AC21&lt;&gt;0),"Additional","")</f>
        <v/>
      </c>
      <c r="AK21" s="41" t="str">
        <f>IF(AND(SUMIFS(Data!$DJ:$DJ,Data!$C:$C,SPEW_Pig_iron_production!$B21)=0,AG21&lt;&gt;0),"Additional","")</f>
        <v/>
      </c>
    </row>
    <row r="22" spans="1:37" x14ac:dyDescent="0.2">
      <c r="A22" s="12" t="s">
        <v>177</v>
      </c>
      <c r="B22" s="12" t="s">
        <v>178</v>
      </c>
      <c r="C22" s="12" t="s">
        <v>289</v>
      </c>
      <c r="D22" s="12" t="s">
        <v>289</v>
      </c>
      <c r="E22" s="12" t="s">
        <v>289</v>
      </c>
      <c r="F22" s="12" t="s">
        <v>289</v>
      </c>
      <c r="G22" s="12" t="s">
        <v>289</v>
      </c>
      <c r="H22" s="12" t="s">
        <v>289</v>
      </c>
      <c r="I22" s="12" t="s">
        <v>289</v>
      </c>
      <c r="J22" s="12" t="s">
        <v>289</v>
      </c>
      <c r="K22" s="12" t="s">
        <v>289</v>
      </c>
      <c r="L22" s="12" t="s">
        <v>289</v>
      </c>
      <c r="M22" s="12" t="s">
        <v>289</v>
      </c>
      <c r="N22" s="12" t="s">
        <v>289</v>
      </c>
      <c r="O22" s="12" t="s">
        <v>289</v>
      </c>
      <c r="P22" s="12" t="s">
        <v>289</v>
      </c>
      <c r="Q22" s="12" t="s">
        <v>289</v>
      </c>
      <c r="AF22" s="12">
        <v>2.8</v>
      </c>
      <c r="AJ22" s="41" t="str">
        <f>IF(AND(SUMIFS(Data!$CP:$CP,Data!$C:$C,SPEW_Pig_iron_production!$B22)=0,AC22&lt;&gt;0),"Additional","")</f>
        <v/>
      </c>
      <c r="AK22" s="41" t="str">
        <f>IF(AND(SUMIFS(Data!$DJ:$DJ,Data!$C:$C,SPEW_Pig_iron_production!$B22)=0,AG22&lt;&gt;0),"Additional","")</f>
        <v/>
      </c>
    </row>
    <row r="23" spans="1:37" x14ac:dyDescent="0.2">
      <c r="A23" s="12" t="s">
        <v>179</v>
      </c>
      <c r="B23" s="12" t="s">
        <v>103</v>
      </c>
      <c r="C23" s="12">
        <v>210</v>
      </c>
      <c r="D23" s="12">
        <v>420</v>
      </c>
      <c r="E23" s="12">
        <v>529</v>
      </c>
      <c r="F23" s="12">
        <v>988</v>
      </c>
      <c r="G23" s="12">
        <v>1261</v>
      </c>
      <c r="H23" s="12">
        <v>1759</v>
      </c>
      <c r="I23" s="12">
        <v>2468</v>
      </c>
      <c r="J23" s="12">
        <v>3268</v>
      </c>
      <c r="K23" s="12">
        <v>4100</v>
      </c>
      <c r="L23" s="12">
        <v>4770</v>
      </c>
      <c r="M23" s="12">
        <v>7550</v>
      </c>
      <c r="N23" s="12">
        <v>9507</v>
      </c>
      <c r="O23" s="12">
        <v>13111</v>
      </c>
      <c r="P23" s="12">
        <v>10190</v>
      </c>
      <c r="Q23" s="12">
        <v>7044</v>
      </c>
      <c r="R23" s="12">
        <v>10177</v>
      </c>
      <c r="S23" s="12">
        <v>9695</v>
      </c>
      <c r="T23" s="12">
        <v>12846</v>
      </c>
      <c r="U23" s="12">
        <v>13955</v>
      </c>
      <c r="V23" s="12">
        <v>8263.7999999999993</v>
      </c>
      <c r="AJ23" s="41" t="str">
        <f>IF(AND(SUMIFS(Data!$CP:$CP,Data!$C:$C,SPEW_Pig_iron_production!$B23)=0,AC23&lt;&gt;0),"Additional","")</f>
        <v/>
      </c>
      <c r="AK23" s="41" t="str">
        <f>IF(AND(SUMIFS(Data!$DJ:$DJ,Data!$C:$C,SPEW_Pig_iron_production!$B23)=0,AG23&lt;&gt;0),"Additional","")</f>
        <v/>
      </c>
    </row>
    <row r="24" spans="1:37" x14ac:dyDescent="0.2">
      <c r="A24" s="12" t="s">
        <v>180</v>
      </c>
      <c r="B24" s="12" t="s">
        <v>103</v>
      </c>
      <c r="C24" s="12" t="s">
        <v>289</v>
      </c>
      <c r="D24" s="12" t="s">
        <v>289</v>
      </c>
      <c r="E24" s="12" t="s">
        <v>289</v>
      </c>
      <c r="F24" s="12" t="s">
        <v>289</v>
      </c>
      <c r="G24" s="12" t="s">
        <v>289</v>
      </c>
      <c r="H24" s="12" t="s">
        <v>289</v>
      </c>
      <c r="I24" s="12" t="s">
        <v>289</v>
      </c>
      <c r="J24" s="12" t="s">
        <v>289</v>
      </c>
      <c r="K24" s="12" t="s">
        <v>289</v>
      </c>
      <c r="L24" s="12" t="s">
        <v>289</v>
      </c>
      <c r="M24" s="12" t="s">
        <v>289</v>
      </c>
      <c r="N24" s="12" t="s">
        <v>289</v>
      </c>
      <c r="O24" s="12" t="s">
        <v>289</v>
      </c>
      <c r="P24" s="12" t="s">
        <v>289</v>
      </c>
      <c r="Q24" s="12" t="s">
        <v>289</v>
      </c>
      <c r="W24" s="12">
        <v>337</v>
      </c>
      <c r="X24" s="12">
        <v>1517</v>
      </c>
      <c r="Y24" s="12">
        <v>1995</v>
      </c>
      <c r="Z24" s="12">
        <v>2338</v>
      </c>
      <c r="AA24" s="12">
        <v>1994</v>
      </c>
      <c r="AB24" s="12">
        <v>2456</v>
      </c>
      <c r="AJ24" s="41" t="str">
        <f>IF(AND(SUMIFS(Data!$CP:$CP,Data!$C:$C,SPEW_Pig_iron_production!$B24)=0,AC24&lt;&gt;0),"Additional","")</f>
        <v/>
      </c>
      <c r="AK24" s="41" t="str">
        <f>IF(AND(SUMIFS(Data!$DJ:$DJ,Data!$C:$C,SPEW_Pig_iron_production!$B24)=0,AG24&lt;&gt;0),"Additional","")</f>
        <v/>
      </c>
    </row>
    <row r="25" spans="1:37" x14ac:dyDescent="0.2">
      <c r="A25" s="12" t="s">
        <v>181</v>
      </c>
      <c r="B25" s="12" t="s">
        <v>103</v>
      </c>
      <c r="C25" s="12" t="s">
        <v>289</v>
      </c>
      <c r="D25" s="12" t="s">
        <v>289</v>
      </c>
      <c r="E25" s="12" t="s">
        <v>289</v>
      </c>
      <c r="F25" s="12" t="s">
        <v>289</v>
      </c>
      <c r="G25" s="12" t="s">
        <v>289</v>
      </c>
      <c r="H25" s="12" t="s">
        <v>289</v>
      </c>
      <c r="I25" s="12" t="s">
        <v>289</v>
      </c>
      <c r="J25" s="12" t="s">
        <v>289</v>
      </c>
      <c r="K25" s="12" t="s">
        <v>289</v>
      </c>
      <c r="L25" s="12" t="s">
        <v>289</v>
      </c>
      <c r="M25" s="12" t="s">
        <v>289</v>
      </c>
      <c r="N25" s="12" t="s">
        <v>289</v>
      </c>
      <c r="O25" s="12" t="s">
        <v>289</v>
      </c>
      <c r="P25" s="12" t="s">
        <v>289</v>
      </c>
      <c r="Q25" s="12" t="s">
        <v>289</v>
      </c>
      <c r="W25" s="12">
        <v>9473</v>
      </c>
      <c r="X25" s="12">
        <v>16482</v>
      </c>
      <c r="Y25" s="12">
        <v>25739</v>
      </c>
      <c r="Z25" s="12">
        <v>26990</v>
      </c>
      <c r="AA25" s="12">
        <v>33627</v>
      </c>
      <c r="AB25" s="12">
        <v>30074</v>
      </c>
      <c r="AJ25" s="41" t="str">
        <f>IF(AND(SUMIFS(Data!$CP:$CP,Data!$C:$C,SPEW_Pig_iron_production!$B25)=0,AC25&lt;&gt;0),"Additional","")</f>
        <v/>
      </c>
      <c r="AK25" s="41" t="str">
        <f>IF(AND(SUMIFS(Data!$DJ:$DJ,Data!$C:$C,SPEW_Pig_iron_production!$B25)=0,AG25&lt;&gt;0),"Additional","")</f>
        <v/>
      </c>
    </row>
    <row r="26" spans="1:37" x14ac:dyDescent="0.2">
      <c r="A26" s="12" t="s">
        <v>182</v>
      </c>
      <c r="B26" s="12" t="s">
        <v>104</v>
      </c>
      <c r="C26" s="12" t="s">
        <v>289</v>
      </c>
      <c r="D26" s="12">
        <v>63</v>
      </c>
      <c r="E26" s="12">
        <v>88</v>
      </c>
      <c r="F26" s="12">
        <v>101</v>
      </c>
      <c r="G26" s="12">
        <v>124</v>
      </c>
      <c r="H26" s="12">
        <v>160</v>
      </c>
      <c r="I26" s="12">
        <v>144</v>
      </c>
      <c r="J26" s="12">
        <v>216</v>
      </c>
      <c r="K26" s="12">
        <v>299</v>
      </c>
      <c r="L26" s="12">
        <v>349</v>
      </c>
      <c r="M26" s="12">
        <v>456</v>
      </c>
      <c r="N26" s="12">
        <v>421</v>
      </c>
      <c r="O26" s="12">
        <v>502</v>
      </c>
      <c r="P26" s="12">
        <v>388</v>
      </c>
      <c r="Q26" s="12">
        <v>306.7</v>
      </c>
      <c r="R26" s="12">
        <v>93</v>
      </c>
      <c r="S26" s="12">
        <v>257</v>
      </c>
      <c r="T26" s="12">
        <v>186</v>
      </c>
      <c r="U26" s="12">
        <v>427</v>
      </c>
      <c r="V26" s="12">
        <v>44</v>
      </c>
      <c r="W26" s="12">
        <v>465</v>
      </c>
      <c r="X26" s="12">
        <v>883</v>
      </c>
      <c r="Y26" s="12">
        <v>1259</v>
      </c>
      <c r="Z26" s="12">
        <v>1584</v>
      </c>
      <c r="AA26" s="12">
        <v>1835</v>
      </c>
      <c r="AB26" s="12">
        <v>2229</v>
      </c>
      <c r="AC26" s="12">
        <v>2227</v>
      </c>
      <c r="AD26" s="12">
        <v>2109</v>
      </c>
      <c r="AE26" s="12">
        <v>1682</v>
      </c>
      <c r="AF26" s="12">
        <v>1515</v>
      </c>
      <c r="AG26" s="12">
        <v>1340</v>
      </c>
      <c r="AJ26" s="41" t="str">
        <f>IF(AND(SUMIFS(Data!$CP:$CP,Data!$C:$C,SPEW_Pig_iron_production!$B26)=0,AC26&lt;&gt;0),"Additional","")</f>
        <v/>
      </c>
      <c r="AK26" s="41" t="str">
        <f>IF(AND(SUMIFS(Data!$DJ:$DJ,Data!$C:$C,SPEW_Pig_iron_production!$B26)=0,AG26&lt;&gt;0),"Additional","")</f>
        <v/>
      </c>
    </row>
    <row r="27" spans="1:37" x14ac:dyDescent="0.2">
      <c r="A27" s="12" t="s">
        <v>183</v>
      </c>
      <c r="B27" s="12" t="s">
        <v>105</v>
      </c>
      <c r="C27" s="12" t="s">
        <v>289</v>
      </c>
      <c r="D27" s="12" t="s">
        <v>289</v>
      </c>
      <c r="E27" s="12" t="s">
        <v>289</v>
      </c>
      <c r="F27" s="12" t="s">
        <v>289</v>
      </c>
      <c r="G27" s="12" t="s">
        <v>289</v>
      </c>
      <c r="H27" s="12" t="s">
        <v>289</v>
      </c>
      <c r="I27" s="12" t="s">
        <v>289</v>
      </c>
      <c r="J27" s="12" t="s">
        <v>289</v>
      </c>
      <c r="K27" s="12" t="s">
        <v>289</v>
      </c>
      <c r="L27" s="12" t="s">
        <v>289</v>
      </c>
      <c r="M27" s="12" t="s">
        <v>289</v>
      </c>
      <c r="N27" s="12" t="s">
        <v>289</v>
      </c>
      <c r="O27" s="12" t="s">
        <v>289</v>
      </c>
      <c r="P27" s="12">
        <v>229.3</v>
      </c>
      <c r="Q27" s="12">
        <v>317</v>
      </c>
      <c r="R27" s="12">
        <v>902</v>
      </c>
      <c r="S27" s="12">
        <v>1199</v>
      </c>
      <c r="T27" s="12">
        <v>1490</v>
      </c>
      <c r="U27" s="12">
        <v>2044</v>
      </c>
      <c r="V27" s="12">
        <v>1428</v>
      </c>
      <c r="W27" s="12">
        <v>1708</v>
      </c>
      <c r="X27" s="12">
        <v>1925</v>
      </c>
      <c r="Y27" s="12">
        <v>4275</v>
      </c>
      <c r="Z27" s="12">
        <v>7124</v>
      </c>
      <c r="AA27" s="12">
        <v>7118</v>
      </c>
      <c r="AB27" s="12">
        <v>8558</v>
      </c>
      <c r="AC27" s="12">
        <v>8718</v>
      </c>
      <c r="AD27" s="12">
        <v>10014</v>
      </c>
      <c r="AE27" s="12">
        <v>12645</v>
      </c>
      <c r="AF27" s="12">
        <v>19025</v>
      </c>
      <c r="AG27" s="12">
        <v>21321</v>
      </c>
      <c r="AJ27" s="41" t="str">
        <f>IF(AND(SUMIFS(Data!$CP:$CP,Data!$C:$C,SPEW_Pig_iron_production!$B27)=0,AC27&lt;&gt;0),"Additional","")</f>
        <v/>
      </c>
      <c r="AK27" s="41" t="str">
        <f>IF(AND(SUMIFS(Data!$DJ:$DJ,Data!$C:$C,SPEW_Pig_iron_production!$B27)=0,AG27&lt;&gt;0),"Additional","")</f>
        <v/>
      </c>
    </row>
    <row r="28" spans="1:37" x14ac:dyDescent="0.2">
      <c r="A28" s="12" t="s">
        <v>184</v>
      </c>
      <c r="B28" s="12" t="s">
        <v>77</v>
      </c>
      <c r="C28" s="12" t="s">
        <v>289</v>
      </c>
      <c r="D28" s="12" t="s">
        <v>289</v>
      </c>
      <c r="E28" s="12" t="s">
        <v>289</v>
      </c>
      <c r="F28" s="12" t="s">
        <v>289</v>
      </c>
      <c r="G28" s="12" t="s">
        <v>289</v>
      </c>
      <c r="H28" s="12" t="s">
        <v>289</v>
      </c>
      <c r="I28" s="12" t="s">
        <v>289</v>
      </c>
      <c r="J28" s="12" t="s">
        <v>289</v>
      </c>
      <c r="K28" s="12" t="s">
        <v>289</v>
      </c>
      <c r="L28" s="12" t="s">
        <v>289</v>
      </c>
      <c r="M28" s="12" t="s">
        <v>289</v>
      </c>
      <c r="N28" s="12" t="s">
        <v>289</v>
      </c>
      <c r="O28" s="12" t="s">
        <v>289</v>
      </c>
      <c r="P28" s="12" t="s">
        <v>289</v>
      </c>
      <c r="Q28" s="12" t="s">
        <v>289</v>
      </c>
      <c r="AB28" s="12">
        <v>1000</v>
      </c>
      <c r="AC28" s="12">
        <v>1396</v>
      </c>
      <c r="AD28" s="12">
        <v>1372</v>
      </c>
      <c r="AE28" s="12">
        <v>1267</v>
      </c>
      <c r="AF28" s="12">
        <v>1532</v>
      </c>
      <c r="AG28" s="12">
        <v>2202</v>
      </c>
      <c r="AJ28" s="41" t="str">
        <f>IF(AND(SUMIFS(Data!$CP:$CP,Data!$C:$C,SPEW_Pig_iron_production!$B28)=0,AC28&lt;&gt;0),"Additional","")</f>
        <v/>
      </c>
      <c r="AK28" s="41" t="str">
        <f>IF(AND(SUMIFS(Data!$DJ:$DJ,Data!$C:$C,SPEW_Pig_iron_production!$B28)=0,AG28&lt;&gt;0),"Additional","")</f>
        <v/>
      </c>
    </row>
    <row r="29" spans="1:37" x14ac:dyDescent="0.2">
      <c r="A29" s="12" t="s">
        <v>185</v>
      </c>
      <c r="B29" s="12" t="s">
        <v>106</v>
      </c>
      <c r="C29" s="12" t="s">
        <v>289</v>
      </c>
      <c r="D29" s="12" t="s">
        <v>289</v>
      </c>
      <c r="E29" s="12" t="s">
        <v>289</v>
      </c>
      <c r="F29" s="12">
        <v>17</v>
      </c>
      <c r="G29" s="12">
        <v>20</v>
      </c>
      <c r="H29" s="12">
        <v>28</v>
      </c>
      <c r="I29" s="12">
        <v>17</v>
      </c>
      <c r="J29" s="12">
        <v>16</v>
      </c>
      <c r="K29" s="12">
        <v>14</v>
      </c>
      <c r="L29" s="12">
        <v>9</v>
      </c>
      <c r="M29" s="12">
        <v>24</v>
      </c>
      <c r="N29" s="12">
        <v>143</v>
      </c>
      <c r="O29" s="12">
        <v>353</v>
      </c>
      <c r="P29" s="12">
        <v>378</v>
      </c>
      <c r="Q29" s="12">
        <v>88</v>
      </c>
      <c r="R29" s="12">
        <v>482</v>
      </c>
      <c r="S29" s="12">
        <v>537</v>
      </c>
      <c r="T29" s="12">
        <v>633</v>
      </c>
      <c r="U29" s="12">
        <v>1062</v>
      </c>
      <c r="V29" s="12">
        <v>65</v>
      </c>
      <c r="W29" s="12">
        <v>504</v>
      </c>
      <c r="X29" s="12">
        <v>1625</v>
      </c>
      <c r="Y29" s="12">
        <v>2683</v>
      </c>
      <c r="Z29" s="12">
        <v>5488</v>
      </c>
      <c r="AA29" s="12">
        <v>8332</v>
      </c>
      <c r="AB29" s="12">
        <v>11350</v>
      </c>
      <c r="AC29" s="12">
        <v>12150</v>
      </c>
      <c r="AD29" s="12">
        <v>12062</v>
      </c>
      <c r="AE29" s="12">
        <v>12024</v>
      </c>
      <c r="AF29" s="12">
        <v>11663</v>
      </c>
      <c r="AG29" s="12">
        <v>11223</v>
      </c>
      <c r="AJ29" s="41" t="str">
        <f>IF(AND(SUMIFS(Data!$CP:$CP,Data!$C:$C,SPEW_Pig_iron_production!$B29)=0,AC29&lt;&gt;0),"Additional","")</f>
        <v/>
      </c>
      <c r="AK29" s="41" t="str">
        <f>IF(AND(SUMIFS(Data!$DJ:$DJ,Data!$C:$C,SPEW_Pig_iron_production!$B29)=0,AG29&lt;&gt;0),"Additional","")</f>
        <v/>
      </c>
    </row>
    <row r="30" spans="1:37" x14ac:dyDescent="0.2">
      <c r="A30" s="12" t="s">
        <v>186</v>
      </c>
      <c r="B30" s="12" t="s">
        <v>107</v>
      </c>
      <c r="C30" s="12" t="s">
        <v>289</v>
      </c>
      <c r="D30" s="12" t="s">
        <v>289</v>
      </c>
      <c r="E30" s="12" t="s">
        <v>289</v>
      </c>
      <c r="F30" s="12" t="s">
        <v>289</v>
      </c>
      <c r="G30" s="12" t="s">
        <v>289</v>
      </c>
      <c r="H30" s="12" t="s">
        <v>289</v>
      </c>
      <c r="I30" s="12" t="s">
        <v>289</v>
      </c>
      <c r="J30" s="12" t="s">
        <v>289</v>
      </c>
      <c r="K30" s="12" t="s">
        <v>289</v>
      </c>
      <c r="L30" s="12" t="s">
        <v>289</v>
      </c>
      <c r="M30" s="12" t="s">
        <v>289</v>
      </c>
      <c r="N30" s="12" t="s">
        <v>289</v>
      </c>
      <c r="O30" s="12" t="s">
        <v>289</v>
      </c>
      <c r="P30" s="12" t="s">
        <v>289</v>
      </c>
      <c r="Q30" s="12" t="s">
        <v>289</v>
      </c>
      <c r="AB30" s="12">
        <v>89311</v>
      </c>
      <c r="AC30" s="12">
        <v>89130</v>
      </c>
      <c r="AD30" s="12">
        <v>82134</v>
      </c>
      <c r="AE30" s="12">
        <v>80229</v>
      </c>
      <c r="AF30" s="12">
        <v>74905</v>
      </c>
      <c r="AG30" s="12">
        <v>81071</v>
      </c>
      <c r="AJ30" s="41" t="str">
        <f>IF(AND(SUMIFS(Data!$CP:$CP,Data!$C:$C,SPEW_Pig_iron_production!$B30)=0,AC30&lt;&gt;0),"Additional","")</f>
        <v/>
      </c>
      <c r="AK30" s="41" t="str">
        <f>IF(AND(SUMIFS(Data!$DJ:$DJ,Data!$C:$C,SPEW_Pig_iron_production!$B30)=0,AG30&lt;&gt;0),"Additional","")</f>
        <v/>
      </c>
    </row>
    <row r="31" spans="1:37" x14ac:dyDescent="0.2">
      <c r="A31" s="12" t="s">
        <v>187</v>
      </c>
      <c r="B31" s="12" t="s">
        <v>107</v>
      </c>
      <c r="C31" s="12" t="s">
        <v>289</v>
      </c>
      <c r="D31" s="12" t="s">
        <v>289</v>
      </c>
      <c r="E31" s="12" t="s">
        <v>289</v>
      </c>
      <c r="F31" s="12" t="s">
        <v>289</v>
      </c>
      <c r="G31" s="12" t="s">
        <v>289</v>
      </c>
      <c r="H31" s="12" t="s">
        <v>289</v>
      </c>
      <c r="I31" s="12" t="s">
        <v>289</v>
      </c>
      <c r="J31" s="12" t="s">
        <v>289</v>
      </c>
      <c r="K31" s="12" t="s">
        <v>289</v>
      </c>
      <c r="L31" s="12">
        <v>31</v>
      </c>
      <c r="M31" s="12">
        <v>30</v>
      </c>
      <c r="N31" s="12">
        <v>55</v>
      </c>
      <c r="O31" s="12">
        <v>72</v>
      </c>
      <c r="P31" s="12">
        <v>321</v>
      </c>
      <c r="Q31" s="12">
        <v>530</v>
      </c>
      <c r="R31" s="12">
        <v>697</v>
      </c>
      <c r="S31" s="12">
        <v>1188</v>
      </c>
      <c r="T31" s="12">
        <v>1965</v>
      </c>
      <c r="U31" s="12">
        <v>3658</v>
      </c>
      <c r="V31" s="12">
        <v>984</v>
      </c>
      <c r="W31" s="12">
        <v>2299</v>
      </c>
      <c r="X31" s="12">
        <v>5426</v>
      </c>
      <c r="Y31" s="12">
        <v>12341</v>
      </c>
      <c r="Z31" s="12">
        <v>28160</v>
      </c>
      <c r="AA31" s="12">
        <v>69714</v>
      </c>
      <c r="AJ31" s="41" t="str">
        <f>IF(AND(SUMIFS(Data!$CP:$CP,Data!$C:$C,SPEW_Pig_iron_production!$B31)=0,AC31&lt;&gt;0),"Additional","")</f>
        <v/>
      </c>
      <c r="AK31" s="41" t="str">
        <f>IF(AND(SUMIFS(Data!$DJ:$DJ,Data!$C:$C,SPEW_Pig_iron_production!$B31)=0,AG31&lt;&gt;0),"Additional","")</f>
        <v/>
      </c>
    </row>
    <row r="32" spans="1:37" x14ac:dyDescent="0.2">
      <c r="A32" s="12" t="s">
        <v>188</v>
      </c>
      <c r="B32" s="12" t="s">
        <v>108</v>
      </c>
      <c r="C32" s="12" t="s">
        <v>289</v>
      </c>
      <c r="D32" s="12" t="s">
        <v>289</v>
      </c>
      <c r="E32" s="12" t="s">
        <v>289</v>
      </c>
      <c r="F32" s="12" t="s">
        <v>289</v>
      </c>
      <c r="G32" s="12" t="s">
        <v>289</v>
      </c>
      <c r="H32" s="12" t="s">
        <v>289</v>
      </c>
      <c r="I32" s="12" t="s">
        <v>289</v>
      </c>
      <c r="J32" s="12" t="s">
        <v>289</v>
      </c>
      <c r="K32" s="12" t="s">
        <v>289</v>
      </c>
      <c r="L32" s="12" t="s">
        <v>289</v>
      </c>
      <c r="M32" s="12" t="s">
        <v>289</v>
      </c>
      <c r="N32" s="12" t="s">
        <v>289</v>
      </c>
      <c r="O32" s="12" t="s">
        <v>289</v>
      </c>
      <c r="P32" s="12" t="s">
        <v>289</v>
      </c>
      <c r="Q32" s="12" t="s">
        <v>289</v>
      </c>
      <c r="AF32" s="12">
        <v>2592</v>
      </c>
      <c r="AG32" s="12">
        <v>4010</v>
      </c>
      <c r="AJ32" s="41" t="str">
        <f>IF(AND(SUMIFS(Data!$CP:$CP,Data!$C:$C,SPEW_Pig_iron_production!$B32)=0,AC32&lt;&gt;0),"Additional","")</f>
        <v/>
      </c>
      <c r="AK32" s="41" t="str">
        <f>IF(AND(SUMIFS(Data!$DJ:$DJ,Data!$C:$C,SPEW_Pig_iron_production!$B32)=0,AG32&lt;&gt;0),"Additional","")</f>
        <v/>
      </c>
    </row>
    <row r="33" spans="1:37" x14ac:dyDescent="0.2">
      <c r="A33" s="12" t="s">
        <v>189</v>
      </c>
      <c r="B33" s="12" t="s">
        <v>83</v>
      </c>
      <c r="C33" s="12" t="s">
        <v>289</v>
      </c>
      <c r="D33" s="12" t="s">
        <v>289</v>
      </c>
      <c r="E33" s="12" t="s">
        <v>289</v>
      </c>
      <c r="F33" s="12" t="s">
        <v>289</v>
      </c>
      <c r="G33" s="12" t="s">
        <v>289</v>
      </c>
      <c r="H33" s="12" t="s">
        <v>289</v>
      </c>
      <c r="I33" s="12" t="s">
        <v>289</v>
      </c>
      <c r="J33" s="12" t="s">
        <v>289</v>
      </c>
      <c r="K33" s="12" t="s">
        <v>289</v>
      </c>
      <c r="L33" s="12" t="s">
        <v>289</v>
      </c>
      <c r="M33" s="12" t="s">
        <v>289</v>
      </c>
      <c r="N33" s="12" t="s">
        <v>289</v>
      </c>
      <c r="O33" s="12" t="s">
        <v>289</v>
      </c>
      <c r="P33" s="12" t="s">
        <v>289</v>
      </c>
      <c r="Q33" s="12" t="s">
        <v>289</v>
      </c>
      <c r="W33" s="12">
        <v>197.2</v>
      </c>
      <c r="X33" s="12">
        <v>118</v>
      </c>
      <c r="Y33" s="12">
        <v>872</v>
      </c>
      <c r="Z33" s="12">
        <v>1485</v>
      </c>
      <c r="AA33" s="12">
        <v>2400</v>
      </c>
      <c r="AB33" s="12">
        <v>4240</v>
      </c>
      <c r="AC33" s="12">
        <v>5470</v>
      </c>
      <c r="AD33" s="12">
        <v>5870</v>
      </c>
      <c r="AE33" s="12">
        <v>6500</v>
      </c>
      <c r="AF33" s="12">
        <v>500</v>
      </c>
      <c r="AG33" s="12">
        <v>250</v>
      </c>
      <c r="AJ33" s="41" t="str">
        <f>IF(AND(SUMIFS(Data!$CP:$CP,Data!$C:$C,SPEW_Pig_iron_production!$B33)=0,AC33&lt;&gt;0),"Additional","")</f>
        <v/>
      </c>
      <c r="AK33" s="41" t="str">
        <f>IF(AND(SUMIFS(Data!$DJ:$DJ,Data!$C:$C,SPEW_Pig_iron_production!$B33)=0,AG33&lt;&gt;0),"Additional","")</f>
        <v/>
      </c>
    </row>
    <row r="34" spans="1:37" x14ac:dyDescent="0.2">
      <c r="A34" s="12" t="s">
        <v>190</v>
      </c>
      <c r="B34" s="12" t="s">
        <v>81</v>
      </c>
      <c r="C34" s="12" t="s">
        <v>289</v>
      </c>
      <c r="D34" s="12" t="s">
        <v>289</v>
      </c>
      <c r="E34" s="12" t="s">
        <v>289</v>
      </c>
      <c r="F34" s="12" t="s">
        <v>289</v>
      </c>
      <c r="G34" s="12" t="s">
        <v>289</v>
      </c>
      <c r="H34" s="12" t="s">
        <v>289</v>
      </c>
      <c r="I34" s="12" t="s">
        <v>289</v>
      </c>
      <c r="J34" s="12" t="s">
        <v>289</v>
      </c>
      <c r="K34" s="12" t="s">
        <v>289</v>
      </c>
      <c r="L34" s="12" t="s">
        <v>289</v>
      </c>
      <c r="M34" s="12" t="s">
        <v>289</v>
      </c>
      <c r="N34" s="12" t="s">
        <v>289</v>
      </c>
      <c r="O34" s="12" t="s">
        <v>289</v>
      </c>
      <c r="P34" s="12" t="s">
        <v>289</v>
      </c>
      <c r="Q34" s="12" t="s">
        <v>289</v>
      </c>
      <c r="AA34" s="12">
        <v>35</v>
      </c>
      <c r="AB34" s="12">
        <v>1228</v>
      </c>
      <c r="AC34" s="12">
        <v>5686</v>
      </c>
      <c r="AD34" s="12">
        <v>8938</v>
      </c>
      <c r="AE34" s="12">
        <v>15339</v>
      </c>
      <c r="AF34" s="12">
        <v>22344</v>
      </c>
      <c r="AG34" s="12">
        <v>24937</v>
      </c>
      <c r="AJ34" s="41" t="str">
        <f>IF(AND(SUMIFS(Data!$CP:$CP,Data!$C:$C,SPEW_Pig_iron_production!$B34)=0,AC34&lt;&gt;0),"Additional","")</f>
        <v/>
      </c>
      <c r="AK34" s="41" t="str">
        <f>IF(AND(SUMIFS(Data!$DJ:$DJ,Data!$C:$C,SPEW_Pig_iron_production!$B34)=0,AG34&lt;&gt;0),"Additional","")</f>
        <v/>
      </c>
    </row>
    <row r="35" spans="1:37" x14ac:dyDescent="0.2">
      <c r="A35" s="12" t="s">
        <v>191</v>
      </c>
      <c r="B35" s="12" t="s">
        <v>109</v>
      </c>
      <c r="C35" s="12">
        <v>13</v>
      </c>
      <c r="D35" s="12">
        <v>17</v>
      </c>
      <c r="E35" s="12">
        <v>10.3</v>
      </c>
      <c r="F35" s="12">
        <v>27</v>
      </c>
      <c r="G35" s="12">
        <v>130</v>
      </c>
      <c r="H35" s="12">
        <v>270</v>
      </c>
      <c r="I35" s="12">
        <v>261</v>
      </c>
      <c r="J35" s="12">
        <v>420</v>
      </c>
      <c r="K35" s="12">
        <v>560</v>
      </c>
      <c r="L35" s="12">
        <v>695</v>
      </c>
      <c r="M35" s="12">
        <v>971</v>
      </c>
      <c r="N35" s="12">
        <v>1368</v>
      </c>
      <c r="O35" s="12">
        <v>1683</v>
      </c>
      <c r="P35" s="12">
        <v>1591</v>
      </c>
      <c r="Q35" s="12">
        <v>693</v>
      </c>
      <c r="R35" s="12">
        <v>2363</v>
      </c>
      <c r="S35" s="12">
        <v>2473</v>
      </c>
      <c r="T35" s="12">
        <v>1872</v>
      </c>
      <c r="U35" s="12">
        <v>1059</v>
      </c>
      <c r="V35" s="12">
        <v>317</v>
      </c>
      <c r="W35" s="12">
        <v>2499</v>
      </c>
      <c r="X35" s="12">
        <v>3085</v>
      </c>
      <c r="Y35" s="12">
        <v>3786</v>
      </c>
      <c r="Z35" s="12">
        <v>4145</v>
      </c>
      <c r="AA35" s="12">
        <v>4814</v>
      </c>
      <c r="AB35" s="12">
        <v>3889</v>
      </c>
      <c r="AC35" s="12">
        <v>3568</v>
      </c>
      <c r="AD35" s="12">
        <v>2754</v>
      </c>
      <c r="AE35" s="12">
        <v>2645</v>
      </c>
      <c r="AF35" s="12">
        <v>1028</v>
      </c>
      <c r="AJ35" s="41" t="str">
        <f>IF(AND(SUMIFS(Data!$CP:$CP,Data!$C:$C,SPEW_Pig_iron_production!$B35)=0,AC35&lt;&gt;0),"Additional","")</f>
        <v/>
      </c>
      <c r="AK35" s="41" t="str">
        <f>IF(AND(SUMIFS(Data!$DJ:$DJ,Data!$C:$C,SPEW_Pig_iron_production!$B35)=0,AG35&lt;&gt;0),"Additional","")</f>
        <v/>
      </c>
    </row>
    <row r="36" spans="1:37" x14ac:dyDescent="0.2">
      <c r="A36" s="12" t="s">
        <v>192</v>
      </c>
      <c r="B36" s="12" t="s">
        <v>193</v>
      </c>
      <c r="C36" s="12" t="s">
        <v>289</v>
      </c>
      <c r="D36" s="12" t="s">
        <v>289</v>
      </c>
      <c r="E36" s="12" t="s">
        <v>289</v>
      </c>
      <c r="F36" s="12" t="s">
        <v>289</v>
      </c>
      <c r="G36" s="12" t="s">
        <v>289</v>
      </c>
      <c r="H36" s="12" t="s">
        <v>289</v>
      </c>
      <c r="I36" s="12" t="s">
        <v>289</v>
      </c>
      <c r="J36" s="12" t="s">
        <v>289</v>
      </c>
      <c r="K36" s="12" t="s">
        <v>289</v>
      </c>
      <c r="L36" s="12" t="s">
        <v>289</v>
      </c>
      <c r="M36" s="12" t="s">
        <v>289</v>
      </c>
      <c r="N36" s="12" t="s">
        <v>289</v>
      </c>
      <c r="O36" s="12" t="s">
        <v>289</v>
      </c>
      <c r="P36" s="12" t="s">
        <v>289</v>
      </c>
      <c r="Q36" s="12" t="s">
        <v>289</v>
      </c>
      <c r="AF36" s="12">
        <v>28</v>
      </c>
      <c r="AJ36" s="41" t="str">
        <f>IF(AND(SUMIFS(Data!$CP:$CP,Data!$C:$C,SPEW_Pig_iron_production!$B36)=0,AC36&lt;&gt;0),"Additional","")</f>
        <v/>
      </c>
      <c r="AK36" s="41" t="str">
        <f>IF(AND(SUMIFS(Data!$DJ:$DJ,Data!$C:$C,SPEW_Pig_iron_production!$B36)=0,AG36&lt;&gt;0),"Additional","")</f>
        <v/>
      </c>
    </row>
    <row r="37" spans="1:37" x14ac:dyDescent="0.2">
      <c r="A37" s="12" t="s">
        <v>194</v>
      </c>
      <c r="B37" s="12" t="s">
        <v>110</v>
      </c>
      <c r="C37" s="12" t="s">
        <v>289</v>
      </c>
      <c r="D37" s="12" t="s">
        <v>289</v>
      </c>
      <c r="E37" s="12" t="s">
        <v>289</v>
      </c>
      <c r="F37" s="12" t="s">
        <v>289</v>
      </c>
      <c r="G37" s="12" t="s">
        <v>289</v>
      </c>
      <c r="H37" s="12" t="s">
        <v>289</v>
      </c>
      <c r="I37" s="12" t="s">
        <v>289</v>
      </c>
      <c r="J37" s="12" t="s">
        <v>289</v>
      </c>
      <c r="K37" s="12" t="s">
        <v>289</v>
      </c>
      <c r="L37" s="12" t="s">
        <v>289</v>
      </c>
      <c r="M37" s="12" t="s">
        <v>289</v>
      </c>
      <c r="N37" s="12" t="s">
        <v>289</v>
      </c>
      <c r="O37" s="12" t="s">
        <v>289</v>
      </c>
      <c r="P37" s="12" t="s">
        <v>289</v>
      </c>
      <c r="Q37" s="12" t="s">
        <v>289</v>
      </c>
      <c r="AF37" s="12">
        <v>50</v>
      </c>
      <c r="AJ37" s="41" t="str">
        <f>IF(AND(SUMIFS(Data!$CP:$CP,Data!$C:$C,SPEW_Pig_iron_production!$B37)=0,AC37&lt;&gt;0),"Additional","")</f>
        <v/>
      </c>
      <c r="AK37" s="41" t="str">
        <f>IF(AND(SUMIFS(Data!$DJ:$DJ,Data!$C:$C,SPEW_Pig_iron_production!$B37)=0,AG37&lt;&gt;0),"Additional","")</f>
        <v/>
      </c>
    </row>
    <row r="38" spans="1:37" x14ac:dyDescent="0.2">
      <c r="A38" s="12" t="s">
        <v>195</v>
      </c>
      <c r="B38" s="12" t="s">
        <v>111</v>
      </c>
      <c r="C38" s="12" t="s">
        <v>289</v>
      </c>
      <c r="D38" s="12" t="s">
        <v>289</v>
      </c>
      <c r="E38" s="12" t="s">
        <v>289</v>
      </c>
      <c r="F38" s="12" t="s">
        <v>289</v>
      </c>
      <c r="G38" s="12" t="s">
        <v>289</v>
      </c>
      <c r="H38" s="12" t="s">
        <v>289</v>
      </c>
      <c r="I38" s="12" t="s">
        <v>289</v>
      </c>
      <c r="J38" s="12" t="s">
        <v>289</v>
      </c>
      <c r="K38" s="12" t="s">
        <v>289</v>
      </c>
      <c r="L38" s="12" t="s">
        <v>289</v>
      </c>
      <c r="M38" s="12" t="s">
        <v>289</v>
      </c>
      <c r="N38" s="12" t="s">
        <v>289</v>
      </c>
      <c r="O38" s="12">
        <v>45</v>
      </c>
      <c r="P38" s="12">
        <v>43.6</v>
      </c>
      <c r="Q38" s="12">
        <v>42.1</v>
      </c>
      <c r="R38" s="12">
        <v>49</v>
      </c>
      <c r="S38" s="12">
        <v>58</v>
      </c>
      <c r="T38" s="12">
        <v>63</v>
      </c>
      <c r="U38" s="12">
        <v>92</v>
      </c>
      <c r="V38" s="12">
        <v>210</v>
      </c>
      <c r="W38" s="12">
        <v>227</v>
      </c>
      <c r="X38" s="12">
        <v>312</v>
      </c>
      <c r="Y38" s="12">
        <v>683</v>
      </c>
      <c r="Z38" s="12">
        <v>985</v>
      </c>
      <c r="AA38" s="12">
        <v>2353</v>
      </c>
      <c r="AB38" s="12">
        <v>3082</v>
      </c>
      <c r="AC38" s="12">
        <v>5330</v>
      </c>
      <c r="AD38" s="12">
        <v>5331</v>
      </c>
      <c r="AE38" s="12">
        <v>6170</v>
      </c>
      <c r="AF38" s="12">
        <v>4142</v>
      </c>
      <c r="AG38" s="12">
        <v>4856</v>
      </c>
      <c r="AJ38" s="41" t="str">
        <f>IF(AND(SUMIFS(Data!$CP:$CP,Data!$C:$C,SPEW_Pig_iron_production!$B38)=0,AC38&lt;&gt;0),"Additional","")</f>
        <v/>
      </c>
      <c r="AK38" s="41" t="str">
        <f>IF(AND(SUMIFS(Data!$DJ:$DJ,Data!$C:$C,SPEW_Pig_iron_production!$B38)=0,AG38&lt;&gt;0),"Additional","")</f>
        <v/>
      </c>
    </row>
    <row r="39" spans="1:37" x14ac:dyDescent="0.2">
      <c r="A39" s="12" t="s">
        <v>196</v>
      </c>
      <c r="B39" s="12" t="s">
        <v>112</v>
      </c>
      <c r="C39" s="12" t="s">
        <v>289</v>
      </c>
      <c r="D39" s="12" t="s">
        <v>289</v>
      </c>
      <c r="E39" s="12" t="s">
        <v>289</v>
      </c>
      <c r="F39" s="12" t="s">
        <v>289</v>
      </c>
      <c r="G39" s="12" t="s">
        <v>289</v>
      </c>
      <c r="H39" s="12" t="s">
        <v>289</v>
      </c>
      <c r="I39" s="12" t="s">
        <v>289</v>
      </c>
      <c r="J39" s="12" t="s">
        <v>289</v>
      </c>
      <c r="K39" s="12" t="s">
        <v>289</v>
      </c>
      <c r="L39" s="12" t="s">
        <v>289</v>
      </c>
      <c r="M39" s="12" t="s">
        <v>289</v>
      </c>
      <c r="N39" s="12" t="s">
        <v>289</v>
      </c>
      <c r="O39" s="12" t="s">
        <v>289</v>
      </c>
      <c r="P39" s="12" t="s">
        <v>289</v>
      </c>
      <c r="Q39" s="12" t="s">
        <v>289</v>
      </c>
      <c r="AC39" s="12">
        <v>15.4</v>
      </c>
      <c r="AD39" s="12">
        <v>21</v>
      </c>
      <c r="AE39" s="12">
        <v>21</v>
      </c>
      <c r="AF39" s="12">
        <v>15</v>
      </c>
      <c r="AG39" s="12">
        <v>15</v>
      </c>
      <c r="AJ39" s="41" t="str">
        <f>IF(AND(SUMIFS(Data!$CP:$CP,Data!$C:$C,SPEW_Pig_iron_production!$B39)=0,AC39&lt;&gt;0),"Additional","")</f>
        <v/>
      </c>
      <c r="AK39" s="41" t="str">
        <f>IF(AND(SUMIFS(Data!$DJ:$DJ,Data!$C:$C,SPEW_Pig_iron_production!$B39)=0,AG39&lt;&gt;0),"Additional","")</f>
        <v/>
      </c>
    </row>
    <row r="40" spans="1:37" x14ac:dyDescent="0.2">
      <c r="A40" s="12" t="s">
        <v>197</v>
      </c>
      <c r="B40" s="12" t="s">
        <v>198</v>
      </c>
      <c r="C40" s="12" t="s">
        <v>289</v>
      </c>
      <c r="D40" s="12" t="s">
        <v>289</v>
      </c>
      <c r="E40" s="12" t="s">
        <v>289</v>
      </c>
      <c r="F40" s="12" t="s">
        <v>289</v>
      </c>
      <c r="G40" s="12" t="s">
        <v>289</v>
      </c>
      <c r="H40" s="12" t="s">
        <v>289</v>
      </c>
      <c r="I40" s="12" t="s">
        <v>289</v>
      </c>
      <c r="J40" s="12" t="s">
        <v>289</v>
      </c>
      <c r="K40" s="12" t="s">
        <v>289</v>
      </c>
      <c r="L40" s="12" t="s">
        <v>289</v>
      </c>
      <c r="M40" s="12" t="s">
        <v>289</v>
      </c>
      <c r="N40" s="12" t="s">
        <v>289</v>
      </c>
      <c r="O40" s="12" t="s">
        <v>289</v>
      </c>
      <c r="P40" s="12" t="s">
        <v>289</v>
      </c>
      <c r="Q40" s="12" t="s">
        <v>289</v>
      </c>
      <c r="AF40" s="12">
        <v>1.4</v>
      </c>
      <c r="AG40" s="12">
        <v>2.8</v>
      </c>
      <c r="AJ40" s="41" t="str">
        <f>IF(AND(SUMIFS(Data!$CP:$CP,Data!$C:$C,SPEW_Pig_iron_production!$B40)=0,AC40&lt;&gt;0),"Additional","")</f>
        <v/>
      </c>
      <c r="AK40" s="41" t="str">
        <f>IF(AND(SUMIFS(Data!$DJ:$DJ,Data!$C:$C,SPEW_Pig_iron_production!$B40)=0,AG40&lt;&gt;0),"Additional","")</f>
        <v>Additional</v>
      </c>
    </row>
    <row r="41" spans="1:37" x14ac:dyDescent="0.2">
      <c r="A41" s="12" t="s">
        <v>199</v>
      </c>
      <c r="B41" s="12" t="s">
        <v>113</v>
      </c>
      <c r="C41" s="12" t="s">
        <v>289</v>
      </c>
      <c r="D41" s="12" t="s">
        <v>289</v>
      </c>
      <c r="E41" s="12" t="s">
        <v>289</v>
      </c>
      <c r="F41" s="12" t="s">
        <v>289</v>
      </c>
      <c r="G41" s="12" t="s">
        <v>289</v>
      </c>
      <c r="H41" s="12" t="s">
        <v>289</v>
      </c>
      <c r="I41" s="12" t="s">
        <v>289</v>
      </c>
      <c r="J41" s="12" t="s">
        <v>289</v>
      </c>
      <c r="K41" s="12" t="s">
        <v>289</v>
      </c>
      <c r="L41" s="12" t="s">
        <v>289</v>
      </c>
      <c r="M41" s="12" t="s">
        <v>289</v>
      </c>
      <c r="N41" s="12" t="s">
        <v>289</v>
      </c>
      <c r="O41" s="12" t="s">
        <v>289</v>
      </c>
      <c r="P41" s="12" t="s">
        <v>289</v>
      </c>
      <c r="Q41" s="12" t="s">
        <v>289</v>
      </c>
      <c r="R41" s="12">
        <v>118</v>
      </c>
      <c r="S41" s="12">
        <v>273</v>
      </c>
      <c r="T41" s="12">
        <v>254</v>
      </c>
      <c r="U41" s="12">
        <v>169</v>
      </c>
      <c r="V41" s="12">
        <v>25</v>
      </c>
      <c r="W41" s="12">
        <v>454</v>
      </c>
      <c r="X41" s="12">
        <v>670</v>
      </c>
      <c r="Y41" s="12">
        <v>1346</v>
      </c>
      <c r="Z41" s="12">
        <v>2364</v>
      </c>
      <c r="AA41" s="12">
        <v>3594</v>
      </c>
      <c r="AB41" s="12">
        <v>3970</v>
      </c>
      <c r="AC41" s="12">
        <v>4328</v>
      </c>
      <c r="AD41" s="12">
        <v>4819</v>
      </c>
      <c r="AE41" s="12">
        <v>4960</v>
      </c>
      <c r="AF41" s="12">
        <v>5530</v>
      </c>
      <c r="AG41" s="12">
        <v>4970</v>
      </c>
      <c r="AJ41" s="41" t="str">
        <f>IF(AND(SUMIFS(Data!$CP:$CP,Data!$C:$C,SPEW_Pig_iron_production!$B41)=0,AC41&lt;&gt;0),"Additional","")</f>
        <v/>
      </c>
      <c r="AK41" s="41" t="str">
        <f>IF(AND(SUMIFS(Data!$DJ:$DJ,Data!$C:$C,SPEW_Pig_iron_production!$B41)=0,AG41&lt;&gt;0),"Additional","")</f>
        <v/>
      </c>
    </row>
    <row r="42" spans="1:37" x14ac:dyDescent="0.2">
      <c r="A42" s="12" t="s">
        <v>200</v>
      </c>
      <c r="B42" s="12" t="s">
        <v>114</v>
      </c>
      <c r="C42" s="12" t="s">
        <v>289</v>
      </c>
      <c r="D42" s="12" t="s">
        <v>289</v>
      </c>
      <c r="E42" s="12" t="s">
        <v>289</v>
      </c>
      <c r="F42" s="12" t="s">
        <v>289</v>
      </c>
      <c r="G42" s="12" t="s">
        <v>289</v>
      </c>
      <c r="H42" s="12" t="s">
        <v>289</v>
      </c>
      <c r="I42" s="12" t="s">
        <v>289</v>
      </c>
      <c r="J42" s="12" t="s">
        <v>289</v>
      </c>
      <c r="K42" s="12" t="s">
        <v>289</v>
      </c>
      <c r="L42" s="12" t="s">
        <v>289</v>
      </c>
      <c r="M42" s="12" t="s">
        <v>289</v>
      </c>
      <c r="N42" s="12" t="s">
        <v>289</v>
      </c>
      <c r="O42" s="12" t="s">
        <v>289</v>
      </c>
      <c r="P42" s="12" t="s">
        <v>289</v>
      </c>
      <c r="Q42" s="12" t="s">
        <v>289</v>
      </c>
      <c r="AF42" s="12">
        <v>626</v>
      </c>
      <c r="AG42" s="12">
        <v>603</v>
      </c>
      <c r="AJ42" s="41" t="str">
        <f>IF(AND(SUMIFS(Data!$CP:$CP,Data!$C:$C,SPEW_Pig_iron_production!$B42)=0,AC42&lt;&gt;0),"Additional","")</f>
        <v/>
      </c>
      <c r="AK42" s="41" t="str">
        <f>IF(AND(SUMIFS(Data!$DJ:$DJ,Data!$C:$C,SPEW_Pig_iron_production!$B42)=0,AG42&lt;&gt;0),"Additional","")</f>
        <v/>
      </c>
    </row>
    <row r="43" spans="1:37" x14ac:dyDescent="0.2">
      <c r="A43" s="12" t="s">
        <v>201</v>
      </c>
      <c r="B43" s="12" t="s">
        <v>115</v>
      </c>
      <c r="C43" s="12" t="s">
        <v>289</v>
      </c>
      <c r="D43" s="12" t="s">
        <v>289</v>
      </c>
      <c r="E43" s="12" t="s">
        <v>289</v>
      </c>
      <c r="F43" s="12" t="s">
        <v>289</v>
      </c>
      <c r="G43" s="12" t="s">
        <v>289</v>
      </c>
      <c r="H43" s="12" t="s">
        <v>289</v>
      </c>
      <c r="I43" s="12" t="s">
        <v>289</v>
      </c>
      <c r="J43" s="12" t="s">
        <v>289</v>
      </c>
      <c r="K43" s="12" t="s">
        <v>289</v>
      </c>
      <c r="L43" s="12" t="s">
        <v>289</v>
      </c>
      <c r="M43" s="12" t="s">
        <v>289</v>
      </c>
      <c r="N43" s="12" t="s">
        <v>289</v>
      </c>
      <c r="O43" s="12" t="s">
        <v>289</v>
      </c>
      <c r="P43" s="12" t="s">
        <v>289</v>
      </c>
      <c r="Q43" s="12" t="s">
        <v>289</v>
      </c>
      <c r="AC43" s="12">
        <v>865.5</v>
      </c>
      <c r="AD43" s="12">
        <v>854.3</v>
      </c>
      <c r="AE43" s="12">
        <v>75.599999999999994</v>
      </c>
      <c r="AF43" s="12">
        <v>98</v>
      </c>
      <c r="AG43" s="12">
        <v>98</v>
      </c>
      <c r="AJ43" s="41" t="str">
        <f>IF(AND(SUMIFS(Data!$CP:$CP,Data!$C:$C,SPEW_Pig_iron_production!$B43)=0,AC43&lt;&gt;0),"Additional","")</f>
        <v/>
      </c>
      <c r="AK43" s="41" t="str">
        <f>IF(AND(SUMIFS(Data!$DJ:$DJ,Data!$C:$C,SPEW_Pig_iron_production!$B43)=0,AG43&lt;&gt;0),"Additional","")</f>
        <v/>
      </c>
    </row>
    <row r="44" spans="1:37" x14ac:dyDescent="0.2">
      <c r="A44" s="12" t="s">
        <v>202</v>
      </c>
      <c r="B44" s="12" t="s">
        <v>116</v>
      </c>
      <c r="C44" s="12" t="s">
        <v>289</v>
      </c>
      <c r="D44" s="12" t="s">
        <v>289</v>
      </c>
      <c r="E44" s="12" t="s">
        <v>289</v>
      </c>
      <c r="F44" s="12" t="s">
        <v>289</v>
      </c>
      <c r="G44" s="12" t="s">
        <v>289</v>
      </c>
      <c r="H44" s="12" t="s">
        <v>289</v>
      </c>
      <c r="I44" s="12" t="s">
        <v>289</v>
      </c>
      <c r="J44" s="12" t="s">
        <v>289</v>
      </c>
      <c r="K44" s="12" t="s">
        <v>289</v>
      </c>
      <c r="L44" s="12" t="s">
        <v>289</v>
      </c>
      <c r="M44" s="12" t="s">
        <v>289</v>
      </c>
      <c r="N44" s="12" t="s">
        <v>289</v>
      </c>
      <c r="O44" s="12" t="s">
        <v>289</v>
      </c>
      <c r="P44" s="12" t="s">
        <v>289</v>
      </c>
      <c r="Q44" s="12" t="s">
        <v>289</v>
      </c>
      <c r="AD44" s="12">
        <v>988.8</v>
      </c>
      <c r="AE44" s="12">
        <v>1278.7</v>
      </c>
      <c r="AF44" s="12">
        <v>1044</v>
      </c>
      <c r="AG44" s="12">
        <v>1000</v>
      </c>
      <c r="AJ44" s="41" t="str">
        <f>IF(AND(SUMIFS(Data!$CP:$CP,Data!$C:$C,SPEW_Pig_iron_production!$B44)=0,AC44&lt;&gt;0),"Additional","")</f>
        <v/>
      </c>
      <c r="AK44" s="41" t="str">
        <f>IF(AND(SUMIFS(Data!$DJ:$DJ,Data!$C:$C,SPEW_Pig_iron_production!$B44)=0,AG44&lt;&gt;0),"Additional","")</f>
        <v/>
      </c>
    </row>
    <row r="45" spans="1:37" x14ac:dyDescent="0.2">
      <c r="A45" s="12" t="s">
        <v>203</v>
      </c>
      <c r="B45" s="12" t="s">
        <v>117</v>
      </c>
      <c r="C45" s="12" t="s">
        <v>289</v>
      </c>
      <c r="D45" s="12" t="s">
        <v>289</v>
      </c>
      <c r="E45" s="12" t="s">
        <v>289</v>
      </c>
      <c r="F45" s="12" t="s">
        <v>289</v>
      </c>
      <c r="G45" s="12" t="s">
        <v>289</v>
      </c>
      <c r="H45" s="12" t="s">
        <v>289</v>
      </c>
      <c r="I45" s="12" t="s">
        <v>289</v>
      </c>
      <c r="J45" s="12" t="s">
        <v>289</v>
      </c>
      <c r="K45" s="12" t="s">
        <v>289</v>
      </c>
      <c r="L45" s="12" t="s">
        <v>289</v>
      </c>
      <c r="M45" s="12" t="s">
        <v>289</v>
      </c>
      <c r="N45" s="12" t="s">
        <v>289</v>
      </c>
      <c r="O45" s="12" t="s">
        <v>289</v>
      </c>
      <c r="P45" s="12" t="s">
        <v>289</v>
      </c>
      <c r="Q45" s="12" t="s">
        <v>289</v>
      </c>
      <c r="AF45" s="12">
        <v>103</v>
      </c>
      <c r="AG45" s="12">
        <v>82</v>
      </c>
      <c r="AJ45" s="41" t="str">
        <f>IF(AND(SUMIFS(Data!$CP:$CP,Data!$C:$C,SPEW_Pig_iron_production!$B45)=0,AC45&lt;&gt;0),"Additional","")</f>
        <v/>
      </c>
      <c r="AK45" s="41" t="str">
        <f>IF(AND(SUMIFS(Data!$DJ:$DJ,Data!$C:$C,SPEW_Pig_iron_production!$B45)=0,AG45&lt;&gt;0),"Additional","")</f>
        <v/>
      </c>
    </row>
    <row r="46" spans="1:37" x14ac:dyDescent="0.2">
      <c r="A46" s="12" t="s">
        <v>204</v>
      </c>
      <c r="B46" s="12" t="s">
        <v>118</v>
      </c>
      <c r="C46" s="12" t="s">
        <v>289</v>
      </c>
      <c r="D46" s="12" t="s">
        <v>289</v>
      </c>
      <c r="E46" s="12" t="s">
        <v>289</v>
      </c>
      <c r="F46" s="12" t="s">
        <v>289</v>
      </c>
      <c r="G46" s="12" t="s">
        <v>289</v>
      </c>
      <c r="H46" s="12" t="s">
        <v>289</v>
      </c>
      <c r="I46" s="12" t="s">
        <v>289</v>
      </c>
      <c r="J46" s="12" t="s">
        <v>289</v>
      </c>
      <c r="K46" s="12" t="s">
        <v>289</v>
      </c>
      <c r="L46" s="12" t="s">
        <v>289</v>
      </c>
      <c r="M46" s="12" t="s">
        <v>289</v>
      </c>
      <c r="N46" s="12" t="s">
        <v>289</v>
      </c>
      <c r="O46" s="12" t="s">
        <v>289</v>
      </c>
      <c r="P46" s="12" t="s">
        <v>289</v>
      </c>
      <c r="Q46" s="12" t="s">
        <v>289</v>
      </c>
      <c r="Y46" s="12">
        <v>39</v>
      </c>
      <c r="Z46" s="12">
        <v>20</v>
      </c>
      <c r="AA46" s="12">
        <v>77</v>
      </c>
      <c r="AB46" s="12">
        <v>308</v>
      </c>
      <c r="AC46" s="12">
        <v>263</v>
      </c>
      <c r="AD46" s="12">
        <v>207</v>
      </c>
      <c r="AE46" s="12">
        <v>93</v>
      </c>
      <c r="AF46" s="12">
        <v>247</v>
      </c>
      <c r="AG46" s="12">
        <v>327</v>
      </c>
      <c r="AJ46" s="41" t="str">
        <f>IF(AND(SUMIFS(Data!$CP:$CP,Data!$C:$C,SPEW_Pig_iron_production!$B46)=0,AC46&lt;&gt;0),"Additional","")</f>
        <v/>
      </c>
      <c r="AK46" s="41" t="str">
        <f>IF(AND(SUMIFS(Data!$DJ:$DJ,Data!$C:$C,SPEW_Pig_iron_production!$B46)=0,AG46&lt;&gt;0),"Additional","")</f>
        <v/>
      </c>
    </row>
    <row r="47" spans="1:37" x14ac:dyDescent="0.2">
      <c r="A47" s="12" t="s">
        <v>205</v>
      </c>
      <c r="B47" s="12" t="s">
        <v>206</v>
      </c>
      <c r="C47" s="12" t="s">
        <v>289</v>
      </c>
      <c r="D47" s="12" t="s">
        <v>289</v>
      </c>
      <c r="E47" s="12" t="s">
        <v>289</v>
      </c>
      <c r="F47" s="12" t="s">
        <v>289</v>
      </c>
      <c r="G47" s="12" t="s">
        <v>289</v>
      </c>
      <c r="H47" s="12" t="s">
        <v>289</v>
      </c>
      <c r="I47" s="12" t="s">
        <v>289</v>
      </c>
      <c r="J47" s="12" t="s">
        <v>289</v>
      </c>
      <c r="K47" s="12" t="s">
        <v>289</v>
      </c>
      <c r="L47" s="12" t="s">
        <v>289</v>
      </c>
      <c r="M47" s="12" t="s">
        <v>289</v>
      </c>
      <c r="N47" s="12" t="s">
        <v>289</v>
      </c>
      <c r="O47" s="12" t="s">
        <v>289</v>
      </c>
      <c r="P47" s="12" t="s">
        <v>289</v>
      </c>
      <c r="Q47" s="12" t="s">
        <v>289</v>
      </c>
      <c r="AC47" s="12">
        <v>30</v>
      </c>
      <c r="AD47" s="12">
        <v>71</v>
      </c>
      <c r="AE47" s="12">
        <v>66</v>
      </c>
      <c r="AJ47" s="41" t="str">
        <f>IF(AND(SUMIFS(Data!$CP:$CP,Data!$C:$C,SPEW_Pig_iron_production!$B47)=0,AC47&lt;&gt;0),"Additional","")</f>
        <v>Additional</v>
      </c>
      <c r="AK47" s="41" t="str">
        <f>IF(AND(SUMIFS(Data!$DJ:$DJ,Data!$C:$C,SPEW_Pig_iron_production!$B47)=0,AG47&lt;&gt;0),"Additional","")</f>
        <v/>
      </c>
    </row>
    <row r="48" spans="1:37" x14ac:dyDescent="0.2">
      <c r="A48" s="12" t="s">
        <v>207</v>
      </c>
      <c r="B48" s="12" t="s">
        <v>119</v>
      </c>
      <c r="C48" s="12" t="s">
        <v>289</v>
      </c>
      <c r="D48" s="12" t="s">
        <v>289</v>
      </c>
      <c r="E48" s="12" t="s">
        <v>289</v>
      </c>
      <c r="F48" s="12" t="s">
        <v>289</v>
      </c>
      <c r="G48" s="12" t="s">
        <v>289</v>
      </c>
      <c r="H48" s="12" t="s">
        <v>289</v>
      </c>
      <c r="I48" s="12" t="s">
        <v>289</v>
      </c>
      <c r="J48" s="12" t="s">
        <v>289</v>
      </c>
      <c r="K48" s="12" t="s">
        <v>289</v>
      </c>
      <c r="L48" s="12" t="s">
        <v>289</v>
      </c>
      <c r="M48" s="12" t="s">
        <v>289</v>
      </c>
      <c r="N48" s="12" t="s">
        <v>289</v>
      </c>
      <c r="O48" s="12" t="s">
        <v>289</v>
      </c>
      <c r="P48" s="12" t="s">
        <v>289</v>
      </c>
      <c r="Q48" s="12">
        <v>412</v>
      </c>
      <c r="R48" s="12">
        <v>315</v>
      </c>
      <c r="S48" s="12">
        <v>478</v>
      </c>
      <c r="T48" s="12">
        <v>396</v>
      </c>
      <c r="U48" s="12">
        <v>915</v>
      </c>
      <c r="V48" s="12">
        <v>219</v>
      </c>
      <c r="W48" s="12">
        <v>1533</v>
      </c>
      <c r="X48" s="12">
        <v>3112</v>
      </c>
      <c r="Y48" s="12">
        <v>4563</v>
      </c>
      <c r="Z48" s="12">
        <v>5760</v>
      </c>
      <c r="AA48" s="12">
        <v>7111</v>
      </c>
      <c r="AB48" s="12">
        <v>7926</v>
      </c>
      <c r="AC48" s="12">
        <v>11682</v>
      </c>
      <c r="AD48" s="12">
        <v>9613</v>
      </c>
      <c r="AE48" s="12">
        <v>8640</v>
      </c>
      <c r="AF48" s="12">
        <v>7373</v>
      </c>
      <c r="AG48" s="12">
        <v>6492</v>
      </c>
      <c r="AJ48" s="41" t="str">
        <f>IF(AND(SUMIFS(Data!$CP:$CP,Data!$C:$C,SPEW_Pig_iron_production!$B48)=0,AC48&lt;&gt;0),"Additional","")</f>
        <v/>
      </c>
      <c r="AK48" s="41" t="str">
        <f>IF(AND(SUMIFS(Data!$DJ:$DJ,Data!$C:$C,SPEW_Pig_iron_production!$B48)=0,AG48&lt;&gt;0),"Additional","")</f>
        <v/>
      </c>
    </row>
    <row r="49" spans="1:37" x14ac:dyDescent="0.2">
      <c r="A49" s="12" t="s">
        <v>208</v>
      </c>
      <c r="B49" s="12" t="s">
        <v>120</v>
      </c>
      <c r="C49" s="12" t="s">
        <v>289</v>
      </c>
      <c r="D49" s="12" t="s">
        <v>289</v>
      </c>
      <c r="E49" s="12" t="s">
        <v>289</v>
      </c>
      <c r="F49" s="12" t="s">
        <v>289</v>
      </c>
      <c r="G49" s="12" t="s">
        <v>289</v>
      </c>
      <c r="H49" s="12" t="s">
        <v>289</v>
      </c>
      <c r="I49" s="12" t="s">
        <v>289</v>
      </c>
      <c r="J49" s="12" t="s">
        <v>289</v>
      </c>
      <c r="K49" s="12" t="s">
        <v>289</v>
      </c>
      <c r="L49" s="12" t="s">
        <v>289</v>
      </c>
      <c r="M49" s="12" t="s">
        <v>289</v>
      </c>
      <c r="N49" s="12" t="s">
        <v>289</v>
      </c>
      <c r="O49" s="12" t="s">
        <v>289</v>
      </c>
      <c r="P49" s="12" t="s">
        <v>289</v>
      </c>
      <c r="Q49" s="12" t="s">
        <v>289</v>
      </c>
      <c r="AC49" s="12">
        <v>488.8</v>
      </c>
      <c r="AD49" s="12">
        <v>581.20000000000005</v>
      </c>
      <c r="AE49" s="12">
        <v>470.6</v>
      </c>
      <c r="AF49" s="12">
        <v>415</v>
      </c>
      <c r="AG49" s="12">
        <v>380</v>
      </c>
      <c r="AJ49" s="41" t="str">
        <f>IF(AND(SUMIFS(Data!$CP:$CP,Data!$C:$C,SPEW_Pig_iron_production!$B49)=0,AC49&lt;&gt;0),"Additional","")</f>
        <v/>
      </c>
      <c r="AK49" s="41" t="str">
        <f>IF(AND(SUMIFS(Data!$DJ:$DJ,Data!$C:$C,SPEW_Pig_iron_production!$B49)=0,AG49&lt;&gt;0),"Additional","")</f>
        <v/>
      </c>
    </row>
    <row r="50" spans="1:37" x14ac:dyDescent="0.2">
      <c r="A50" s="12" t="s">
        <v>209</v>
      </c>
      <c r="B50" s="12" t="s">
        <v>121</v>
      </c>
      <c r="C50" s="12" t="s">
        <v>289</v>
      </c>
      <c r="D50" s="12" t="s">
        <v>289</v>
      </c>
      <c r="E50" s="12" t="s">
        <v>289</v>
      </c>
      <c r="F50" s="12" t="s">
        <v>289</v>
      </c>
      <c r="G50" s="12" t="s">
        <v>289</v>
      </c>
      <c r="H50" s="12" t="s">
        <v>289</v>
      </c>
      <c r="I50" s="12" t="s">
        <v>289</v>
      </c>
      <c r="J50" s="12" t="s">
        <v>289</v>
      </c>
      <c r="K50" s="12" t="s">
        <v>289</v>
      </c>
      <c r="L50" s="12" t="s">
        <v>289</v>
      </c>
      <c r="M50" s="12" t="s">
        <v>289</v>
      </c>
      <c r="N50" s="12" t="s">
        <v>289</v>
      </c>
      <c r="O50" s="12" t="s">
        <v>289</v>
      </c>
      <c r="P50" s="12" t="s">
        <v>289</v>
      </c>
      <c r="Q50" s="12">
        <v>19</v>
      </c>
      <c r="R50" s="12">
        <v>64</v>
      </c>
      <c r="S50" s="12">
        <v>69</v>
      </c>
      <c r="T50" s="12">
        <v>82</v>
      </c>
      <c r="U50" s="12">
        <v>122</v>
      </c>
      <c r="V50" s="12">
        <v>54</v>
      </c>
      <c r="W50" s="12">
        <v>320</v>
      </c>
      <c r="X50" s="12">
        <v>570</v>
      </c>
      <c r="Y50" s="12">
        <v>1014</v>
      </c>
      <c r="Z50" s="12">
        <v>2019</v>
      </c>
      <c r="AA50" s="12">
        <v>4210</v>
      </c>
      <c r="AB50" s="12">
        <v>6602</v>
      </c>
      <c r="AC50" s="12">
        <v>9013</v>
      </c>
      <c r="AD50" s="12">
        <v>9212</v>
      </c>
      <c r="AE50" s="12">
        <v>6355</v>
      </c>
      <c r="AF50" s="12">
        <v>4203</v>
      </c>
      <c r="AG50" s="12">
        <v>2985</v>
      </c>
      <c r="AJ50" s="41" t="str">
        <f>IF(AND(SUMIFS(Data!$CP:$CP,Data!$C:$C,SPEW_Pig_iron_production!$B50)=0,AC50&lt;&gt;0),"Additional","")</f>
        <v/>
      </c>
      <c r="AK50" s="41" t="str">
        <f>IF(AND(SUMIFS(Data!$DJ:$DJ,Data!$C:$C,SPEW_Pig_iron_production!$B50)=0,AG50&lt;&gt;0),"Additional","")</f>
        <v/>
      </c>
    </row>
    <row r="51" spans="1:37" x14ac:dyDescent="0.2">
      <c r="A51" s="12" t="s">
        <v>210</v>
      </c>
      <c r="B51" s="12" t="s">
        <v>122</v>
      </c>
      <c r="C51" s="12" t="s">
        <v>289</v>
      </c>
      <c r="D51" s="12" t="s">
        <v>289</v>
      </c>
      <c r="E51" s="12" t="s">
        <v>289</v>
      </c>
      <c r="F51" s="12" t="s">
        <v>289</v>
      </c>
      <c r="G51" s="12" t="s">
        <v>289</v>
      </c>
      <c r="H51" s="12" t="s">
        <v>289</v>
      </c>
      <c r="I51" s="12" t="s">
        <v>289</v>
      </c>
      <c r="J51" s="12" t="s">
        <v>289</v>
      </c>
      <c r="K51" s="12" t="s">
        <v>289</v>
      </c>
      <c r="L51" s="12" t="s">
        <v>289</v>
      </c>
      <c r="M51" s="12" t="s">
        <v>289</v>
      </c>
      <c r="N51" s="12" t="s">
        <v>289</v>
      </c>
      <c r="O51" s="12" t="s">
        <v>289</v>
      </c>
      <c r="P51" s="12" t="s">
        <v>289</v>
      </c>
      <c r="Q51" s="12" t="s">
        <v>289</v>
      </c>
      <c r="AE51" s="12">
        <v>78168.100000000006</v>
      </c>
      <c r="AF51" s="12">
        <v>39675</v>
      </c>
      <c r="AG51" s="12">
        <v>44536</v>
      </c>
      <c r="AJ51" s="41" t="str">
        <f>IF(AND(SUMIFS(Data!$CP:$CP,Data!$C:$C,SPEW_Pig_iron_production!$B51)=0,AC51&lt;&gt;0),"Additional","")</f>
        <v/>
      </c>
      <c r="AK51" s="41" t="str">
        <f>IF(AND(SUMIFS(Data!$DJ:$DJ,Data!$C:$C,SPEW_Pig_iron_production!$B51)=0,AG51&lt;&gt;0),"Additional","")</f>
        <v/>
      </c>
    </row>
    <row r="52" spans="1:37" x14ac:dyDescent="0.2">
      <c r="A52" s="12" t="s">
        <v>211</v>
      </c>
      <c r="B52" s="12" t="s">
        <v>84</v>
      </c>
      <c r="C52" s="12" t="s">
        <v>289</v>
      </c>
      <c r="D52" s="12" t="s">
        <v>289</v>
      </c>
      <c r="E52" s="12" t="s">
        <v>289</v>
      </c>
      <c r="F52" s="12" t="s">
        <v>289</v>
      </c>
      <c r="G52" s="12" t="s">
        <v>289</v>
      </c>
      <c r="H52" s="12" t="s">
        <v>289</v>
      </c>
      <c r="I52" s="12" t="s">
        <v>289</v>
      </c>
      <c r="J52" s="12" t="s">
        <v>289</v>
      </c>
      <c r="K52" s="12" t="s">
        <v>289</v>
      </c>
      <c r="L52" s="12" t="s">
        <v>289</v>
      </c>
      <c r="M52" s="12" t="s">
        <v>289</v>
      </c>
      <c r="N52" s="12" t="s">
        <v>289</v>
      </c>
      <c r="O52" s="12" t="s">
        <v>289</v>
      </c>
      <c r="P52" s="12" t="s">
        <v>289</v>
      </c>
      <c r="Q52" s="12" t="s">
        <v>289</v>
      </c>
      <c r="AF52" s="12">
        <v>152.69999999999999</v>
      </c>
      <c r="AG52" s="12">
        <v>788.5</v>
      </c>
      <c r="AJ52" s="41" t="str">
        <f>IF(AND(SUMIFS(Data!$CP:$CP,Data!$C:$C,SPEW_Pig_iron_production!$B52)=0,AC52&lt;&gt;0),"Additional","")</f>
        <v/>
      </c>
      <c r="AK52" s="41" t="str">
        <f>IF(AND(SUMIFS(Data!$DJ:$DJ,Data!$C:$C,SPEW_Pig_iron_production!$B52)=0,AG52&lt;&gt;0),"Additional","")</f>
        <v/>
      </c>
    </row>
    <row r="53" spans="1:37" x14ac:dyDescent="0.2">
      <c r="A53" s="12" t="s">
        <v>212</v>
      </c>
      <c r="B53" s="12" t="s">
        <v>80</v>
      </c>
      <c r="C53" s="12" t="s">
        <v>289</v>
      </c>
      <c r="D53" s="12" t="s">
        <v>289</v>
      </c>
      <c r="E53" s="12" t="s">
        <v>289</v>
      </c>
      <c r="F53" s="12" t="s">
        <v>289</v>
      </c>
      <c r="G53" s="12" t="s">
        <v>289</v>
      </c>
      <c r="H53" s="12" t="s">
        <v>289</v>
      </c>
      <c r="I53" s="12" t="s">
        <v>289</v>
      </c>
      <c r="J53" s="12" t="s">
        <v>289</v>
      </c>
      <c r="K53" s="12" t="s">
        <v>289</v>
      </c>
      <c r="L53" s="12" t="s">
        <v>289</v>
      </c>
      <c r="M53" s="12" t="s">
        <v>289</v>
      </c>
      <c r="N53" s="12" t="s">
        <v>289</v>
      </c>
      <c r="O53" s="12" t="s">
        <v>289</v>
      </c>
      <c r="P53" s="12" t="s">
        <v>289</v>
      </c>
      <c r="Q53" s="12" t="s">
        <v>289</v>
      </c>
      <c r="AF53" s="12">
        <v>3207</v>
      </c>
      <c r="AG53" s="12">
        <v>3166</v>
      </c>
      <c r="AJ53" s="41" t="str">
        <f>IF(AND(SUMIFS(Data!$CP:$CP,Data!$C:$C,SPEW_Pig_iron_production!$B53)=0,AC53&lt;&gt;0),"Additional","")</f>
        <v/>
      </c>
      <c r="AK53" s="41" t="str">
        <f>IF(AND(SUMIFS(Data!$DJ:$DJ,Data!$C:$C,SPEW_Pig_iron_production!$B53)=0,AG53&lt;&gt;0),"Additional","")</f>
        <v/>
      </c>
    </row>
    <row r="54" spans="1:37" x14ac:dyDescent="0.2">
      <c r="A54" s="12" t="s">
        <v>213</v>
      </c>
      <c r="B54" s="12" t="s">
        <v>124</v>
      </c>
      <c r="C54" s="12" t="s">
        <v>289</v>
      </c>
      <c r="D54" s="12" t="s">
        <v>289</v>
      </c>
      <c r="E54" s="12" t="s">
        <v>289</v>
      </c>
      <c r="F54" s="12" t="s">
        <v>289</v>
      </c>
      <c r="G54" s="12" t="s">
        <v>289</v>
      </c>
      <c r="H54" s="12" t="s">
        <v>289</v>
      </c>
      <c r="I54" s="12" t="s">
        <v>289</v>
      </c>
      <c r="J54" s="12" t="s">
        <v>289</v>
      </c>
      <c r="K54" s="12" t="s">
        <v>289</v>
      </c>
      <c r="L54" s="12" t="s">
        <v>289</v>
      </c>
      <c r="M54" s="12" t="s">
        <v>289</v>
      </c>
      <c r="N54" s="12" t="s">
        <v>289</v>
      </c>
      <c r="O54" s="12" t="s">
        <v>289</v>
      </c>
      <c r="P54" s="12" t="s">
        <v>289</v>
      </c>
      <c r="Q54" s="12" t="s">
        <v>289</v>
      </c>
      <c r="X54" s="12">
        <v>1301</v>
      </c>
      <c r="Y54" s="12">
        <v>2000</v>
      </c>
      <c r="Z54" s="12">
        <v>3603</v>
      </c>
      <c r="AA54" s="12">
        <v>4328</v>
      </c>
      <c r="AB54" s="12">
        <v>5925</v>
      </c>
      <c r="AC54" s="12">
        <v>8847</v>
      </c>
      <c r="AD54" s="12">
        <v>7005</v>
      </c>
      <c r="AE54" s="12">
        <v>6257</v>
      </c>
      <c r="AF54" s="12">
        <v>6224</v>
      </c>
      <c r="AG54" s="12">
        <v>6292</v>
      </c>
      <c r="AJ54" s="41" t="str">
        <f>IF(AND(SUMIFS(Data!$CP:$CP,Data!$C:$C,SPEW_Pig_iron_production!$B54)=0,AC54&lt;&gt;0),"Additional","")</f>
        <v/>
      </c>
      <c r="AK54" s="41" t="str">
        <f>IF(AND(SUMIFS(Data!$DJ:$DJ,Data!$C:$C,SPEW_Pig_iron_production!$B54)=0,AG54&lt;&gt;0),"Additional","")</f>
        <v/>
      </c>
    </row>
    <row r="55" spans="1:37" x14ac:dyDescent="0.2">
      <c r="A55" s="12" t="s">
        <v>214</v>
      </c>
      <c r="B55" s="12" t="s">
        <v>125</v>
      </c>
      <c r="C55" s="12" t="s">
        <v>289</v>
      </c>
      <c r="D55" s="12" t="s">
        <v>289</v>
      </c>
      <c r="E55" s="12">
        <v>21</v>
      </c>
      <c r="F55" s="12">
        <v>50</v>
      </c>
      <c r="G55" s="12">
        <v>54</v>
      </c>
      <c r="H55" s="12">
        <v>37</v>
      </c>
      <c r="I55" s="12">
        <v>86</v>
      </c>
      <c r="J55" s="12">
        <v>159</v>
      </c>
      <c r="K55" s="12">
        <v>192</v>
      </c>
      <c r="L55" s="12">
        <v>236</v>
      </c>
      <c r="M55" s="12">
        <v>310</v>
      </c>
      <c r="N55" s="12">
        <v>390</v>
      </c>
      <c r="O55" s="12">
        <v>373</v>
      </c>
      <c r="P55" s="12">
        <v>440</v>
      </c>
      <c r="Q55" s="12">
        <v>251</v>
      </c>
      <c r="R55" s="12">
        <v>528</v>
      </c>
      <c r="S55" s="12">
        <v>616</v>
      </c>
      <c r="T55" s="12">
        <v>341</v>
      </c>
      <c r="U55" s="12">
        <v>579</v>
      </c>
      <c r="V55" s="12">
        <v>479</v>
      </c>
      <c r="W55" s="12">
        <v>664</v>
      </c>
      <c r="X55" s="12">
        <v>964</v>
      </c>
      <c r="Y55" s="12">
        <v>1886</v>
      </c>
      <c r="Z55" s="12">
        <v>2338</v>
      </c>
      <c r="AA55" s="12">
        <v>4165</v>
      </c>
      <c r="AB55" s="12">
        <v>6842</v>
      </c>
      <c r="AC55" s="12">
        <v>6364</v>
      </c>
      <c r="AD55" s="12">
        <v>5457</v>
      </c>
      <c r="AE55" s="12">
        <v>5733</v>
      </c>
      <c r="AF55" s="12">
        <v>5106</v>
      </c>
      <c r="AG55" s="12">
        <v>4059</v>
      </c>
      <c r="AJ55" s="41" t="str">
        <f>IF(AND(SUMIFS(Data!$CP:$CP,Data!$C:$C,SPEW_Pig_iron_production!$B55)=0,AC55&lt;&gt;0),"Additional","")</f>
        <v/>
      </c>
      <c r="AK55" s="41" t="str">
        <f>IF(AND(SUMIFS(Data!$DJ:$DJ,Data!$C:$C,SPEW_Pig_iron_production!$B55)=0,AG55&lt;&gt;0),"Additional","")</f>
        <v/>
      </c>
    </row>
    <row r="56" spans="1:37" x14ac:dyDescent="0.2">
      <c r="A56" s="12" t="s">
        <v>215</v>
      </c>
      <c r="B56" s="12" t="s">
        <v>126</v>
      </c>
      <c r="C56" s="12">
        <v>142</v>
      </c>
      <c r="D56" s="12">
        <v>188</v>
      </c>
      <c r="E56" s="12">
        <v>185</v>
      </c>
      <c r="F56" s="12">
        <v>227</v>
      </c>
      <c r="G56" s="12">
        <v>300</v>
      </c>
      <c r="H56" s="12">
        <v>351</v>
      </c>
      <c r="I56" s="12">
        <v>406</v>
      </c>
      <c r="J56" s="12">
        <v>465</v>
      </c>
      <c r="K56" s="12">
        <v>456</v>
      </c>
      <c r="L56" s="12">
        <v>463</v>
      </c>
      <c r="M56" s="12">
        <v>526</v>
      </c>
      <c r="N56" s="12">
        <v>539</v>
      </c>
      <c r="O56" s="12">
        <v>604</v>
      </c>
      <c r="P56" s="12">
        <v>777</v>
      </c>
      <c r="Q56" s="12">
        <v>484</v>
      </c>
      <c r="R56" s="12">
        <v>459</v>
      </c>
      <c r="S56" s="12">
        <v>496</v>
      </c>
      <c r="T56" s="12">
        <v>613</v>
      </c>
      <c r="U56" s="12">
        <v>787</v>
      </c>
      <c r="V56" s="12">
        <v>785</v>
      </c>
      <c r="W56" s="12">
        <v>837</v>
      </c>
      <c r="X56" s="12">
        <v>1247</v>
      </c>
      <c r="Y56" s="12">
        <v>1627</v>
      </c>
      <c r="Z56" s="12">
        <v>2451</v>
      </c>
      <c r="AA56" s="12">
        <v>2842</v>
      </c>
      <c r="AB56" s="12">
        <v>3508</v>
      </c>
      <c r="AC56" s="12">
        <v>2596</v>
      </c>
      <c r="AD56" s="12">
        <v>2603</v>
      </c>
      <c r="AE56" s="12">
        <v>2696</v>
      </c>
      <c r="AF56" s="12">
        <v>3020</v>
      </c>
      <c r="AG56" s="12">
        <v>3145</v>
      </c>
      <c r="AJ56" s="41" t="str">
        <f>IF(AND(SUMIFS(Data!$CP:$CP,Data!$C:$C,SPEW_Pig_iron_production!$B56)=0,AC56&lt;&gt;0),"Additional","")</f>
        <v/>
      </c>
      <c r="AK56" s="41" t="str">
        <f>IF(AND(SUMIFS(Data!$DJ:$DJ,Data!$C:$C,SPEW_Pig_iron_production!$B56)=0,AG56&lt;&gt;0),"Additional","")</f>
        <v/>
      </c>
    </row>
    <row r="57" spans="1:37" x14ac:dyDescent="0.2">
      <c r="A57" s="12" t="s">
        <v>216</v>
      </c>
      <c r="B57" s="12" t="s">
        <v>127</v>
      </c>
      <c r="C57" s="12" t="s">
        <v>289</v>
      </c>
      <c r="D57" s="12" t="s">
        <v>289</v>
      </c>
      <c r="E57" s="12" t="s">
        <v>289</v>
      </c>
      <c r="F57" s="12" t="s">
        <v>289</v>
      </c>
      <c r="G57" s="12" t="s">
        <v>289</v>
      </c>
      <c r="H57" s="12" t="s">
        <v>289</v>
      </c>
      <c r="I57" s="12" t="s">
        <v>289</v>
      </c>
      <c r="J57" s="12" t="s">
        <v>289</v>
      </c>
      <c r="K57" s="12" t="s">
        <v>289</v>
      </c>
      <c r="L57" s="12" t="s">
        <v>289</v>
      </c>
      <c r="M57" s="12" t="s">
        <v>289</v>
      </c>
      <c r="N57" s="12" t="s">
        <v>289</v>
      </c>
      <c r="O57" s="12" t="s">
        <v>289</v>
      </c>
      <c r="P57" s="12" t="s">
        <v>289</v>
      </c>
      <c r="Q57" s="12" t="s">
        <v>289</v>
      </c>
      <c r="U57" s="12">
        <v>5</v>
      </c>
      <c r="V57" s="12">
        <v>3</v>
      </c>
      <c r="W57" s="12">
        <v>34</v>
      </c>
      <c r="X57" s="12">
        <v>54</v>
      </c>
      <c r="Y57" s="12">
        <v>50</v>
      </c>
      <c r="Z57" s="12">
        <v>25</v>
      </c>
      <c r="AA57" s="12">
        <v>28</v>
      </c>
      <c r="AB57" s="12">
        <v>35</v>
      </c>
      <c r="AC57" s="12">
        <v>33</v>
      </c>
      <c r="AD57" s="12">
        <v>66</v>
      </c>
      <c r="AE57" s="12">
        <v>129</v>
      </c>
      <c r="AF57" s="12">
        <v>97</v>
      </c>
      <c r="AG57" s="12">
        <v>80</v>
      </c>
      <c r="AJ57" s="41" t="str">
        <f>IF(AND(SUMIFS(Data!$CP:$CP,Data!$C:$C,SPEW_Pig_iron_production!$B57)=0,AC57&lt;&gt;0),"Additional","")</f>
        <v/>
      </c>
      <c r="AK57" s="41" t="str">
        <f>IF(AND(SUMIFS(Data!$DJ:$DJ,Data!$C:$C,SPEW_Pig_iron_production!$B57)=0,AG57&lt;&gt;0),"Additional","")</f>
        <v/>
      </c>
    </row>
    <row r="58" spans="1:37" x14ac:dyDescent="0.2">
      <c r="A58" s="12" t="s">
        <v>217</v>
      </c>
      <c r="B58" s="12" t="s">
        <v>218</v>
      </c>
      <c r="C58" s="12" t="s">
        <v>289</v>
      </c>
      <c r="D58" s="12" t="s">
        <v>289</v>
      </c>
      <c r="E58" s="12" t="s">
        <v>289</v>
      </c>
      <c r="F58" s="12" t="s">
        <v>289</v>
      </c>
      <c r="G58" s="12" t="s">
        <v>289</v>
      </c>
      <c r="H58" s="12" t="s">
        <v>289</v>
      </c>
      <c r="I58" s="12" t="s">
        <v>289</v>
      </c>
      <c r="J58" s="12" t="s">
        <v>289</v>
      </c>
      <c r="K58" s="12" t="s">
        <v>289</v>
      </c>
      <c r="L58" s="12" t="s">
        <v>289</v>
      </c>
      <c r="M58" s="12" t="s">
        <v>289</v>
      </c>
      <c r="N58" s="12" t="s">
        <v>289</v>
      </c>
      <c r="O58" s="12" t="s">
        <v>289</v>
      </c>
      <c r="P58" s="12" t="s">
        <v>289</v>
      </c>
      <c r="Q58" s="12" t="s">
        <v>289</v>
      </c>
      <c r="AC58" s="12">
        <v>23.8</v>
      </c>
      <c r="AJ58" s="41" t="str">
        <f>IF(AND(SUMIFS(Data!$CP:$CP,Data!$C:$C,SPEW_Pig_iron_production!$B58)=0,AC58&lt;&gt;0),"Additional","")</f>
        <v>Additional</v>
      </c>
      <c r="AK58" s="41" t="str">
        <f>IF(AND(SUMIFS(Data!$DJ:$DJ,Data!$C:$C,SPEW_Pig_iron_production!$B58)=0,AG58&lt;&gt;0),"Additional","")</f>
        <v/>
      </c>
    </row>
    <row r="59" spans="1:37" x14ac:dyDescent="0.2">
      <c r="A59" s="12" t="s">
        <v>219</v>
      </c>
      <c r="B59" s="12" t="s">
        <v>128</v>
      </c>
      <c r="C59" s="12" t="s">
        <v>289</v>
      </c>
      <c r="D59" s="12" t="s">
        <v>289</v>
      </c>
      <c r="E59" s="12" t="s">
        <v>289</v>
      </c>
      <c r="F59" s="12" t="s">
        <v>289</v>
      </c>
      <c r="G59" s="12" t="s">
        <v>289</v>
      </c>
      <c r="H59" s="12" t="s">
        <v>289</v>
      </c>
      <c r="I59" s="12" t="s">
        <v>289</v>
      </c>
      <c r="J59" s="12" t="s">
        <v>289</v>
      </c>
      <c r="K59" s="12" t="s">
        <v>289</v>
      </c>
      <c r="L59" s="12" t="s">
        <v>289</v>
      </c>
      <c r="M59" s="12" t="s">
        <v>289</v>
      </c>
      <c r="N59" s="12" t="s">
        <v>289</v>
      </c>
      <c r="O59" s="12" t="s">
        <v>289</v>
      </c>
      <c r="P59" s="12" t="s">
        <v>289</v>
      </c>
      <c r="Q59" s="12" t="s">
        <v>289</v>
      </c>
      <c r="AA59" s="12">
        <v>125</v>
      </c>
      <c r="AB59" s="12">
        <v>148</v>
      </c>
      <c r="AC59" s="12">
        <v>152</v>
      </c>
      <c r="AD59" s="12">
        <v>141</v>
      </c>
      <c r="AE59" s="12">
        <v>140</v>
      </c>
      <c r="AF59" s="12">
        <v>162</v>
      </c>
      <c r="AG59" s="12">
        <v>195</v>
      </c>
      <c r="AJ59" s="41" t="str">
        <f>IF(AND(SUMIFS(Data!$CP:$CP,Data!$C:$C,SPEW_Pig_iron_production!$B59)=0,AC59&lt;&gt;0),"Additional","")</f>
        <v/>
      </c>
      <c r="AK59" s="41" t="str">
        <f>IF(AND(SUMIFS(Data!$DJ:$DJ,Data!$C:$C,SPEW_Pig_iron_production!$B59)=0,AG59&lt;&gt;0),"Additional","")</f>
        <v/>
      </c>
    </row>
    <row r="60" spans="1:37" x14ac:dyDescent="0.2">
      <c r="A60" s="12" t="s">
        <v>220</v>
      </c>
      <c r="B60" s="12" t="s">
        <v>129</v>
      </c>
      <c r="C60" s="12" t="s">
        <v>289</v>
      </c>
      <c r="D60" s="12" t="s">
        <v>289</v>
      </c>
      <c r="E60" s="12" t="s">
        <v>289</v>
      </c>
      <c r="F60" s="12" t="s">
        <v>289</v>
      </c>
      <c r="G60" s="12" t="s">
        <v>289</v>
      </c>
      <c r="H60" s="12" t="s">
        <v>289</v>
      </c>
      <c r="I60" s="12" t="s">
        <v>289</v>
      </c>
      <c r="J60" s="12" t="s">
        <v>289</v>
      </c>
      <c r="K60" s="12" t="s">
        <v>289</v>
      </c>
      <c r="L60" s="12" t="s">
        <v>289</v>
      </c>
      <c r="M60" s="12" t="s">
        <v>289</v>
      </c>
      <c r="N60" s="12" t="s">
        <v>289</v>
      </c>
      <c r="O60" s="12" t="s">
        <v>289</v>
      </c>
      <c r="P60" s="12" t="s">
        <v>289</v>
      </c>
      <c r="Q60" s="12" t="s">
        <v>289</v>
      </c>
      <c r="U60" s="12">
        <v>83</v>
      </c>
      <c r="V60" s="12">
        <v>70</v>
      </c>
      <c r="W60" s="12">
        <v>113</v>
      </c>
      <c r="X60" s="12">
        <v>201</v>
      </c>
      <c r="Y60" s="12">
        <v>248</v>
      </c>
      <c r="Z60" s="12">
        <v>500</v>
      </c>
      <c r="AA60" s="12">
        <v>1298</v>
      </c>
      <c r="AB60" s="12">
        <v>1386</v>
      </c>
      <c r="AC60" s="12">
        <v>2104</v>
      </c>
      <c r="AD60" s="12">
        <v>3478</v>
      </c>
      <c r="AE60" s="12">
        <v>4812</v>
      </c>
      <c r="AF60" s="12">
        <v>4403</v>
      </c>
      <c r="AG60" s="12">
        <v>5333</v>
      </c>
      <c r="AJ60" s="41" t="str">
        <f>IF(AND(SUMIFS(Data!$CP:$CP,Data!$C:$C,SPEW_Pig_iron_production!$B60)=0,AC60&lt;&gt;0),"Additional","")</f>
        <v/>
      </c>
      <c r="AK60" s="41" t="str">
        <f>IF(AND(SUMIFS(Data!$DJ:$DJ,Data!$C:$C,SPEW_Pig_iron_production!$B60)=0,AG60&lt;&gt;0),"Additional","")</f>
        <v/>
      </c>
    </row>
    <row r="61" spans="1:37" x14ac:dyDescent="0.2">
      <c r="A61" s="12" t="s">
        <v>221</v>
      </c>
      <c r="B61" s="12" t="s">
        <v>130</v>
      </c>
      <c r="C61" s="12" t="s">
        <v>289</v>
      </c>
      <c r="D61" s="12" t="s">
        <v>289</v>
      </c>
      <c r="E61" s="12" t="s">
        <v>289</v>
      </c>
      <c r="F61" s="12" t="s">
        <v>289</v>
      </c>
      <c r="G61" s="12" t="s">
        <v>289</v>
      </c>
      <c r="H61" s="12" t="s">
        <v>289</v>
      </c>
      <c r="I61" s="12" t="s">
        <v>289</v>
      </c>
      <c r="J61" s="12" t="s">
        <v>289</v>
      </c>
      <c r="K61" s="12" t="s">
        <v>289</v>
      </c>
      <c r="L61" s="12" t="s">
        <v>289</v>
      </c>
      <c r="M61" s="12" t="s">
        <v>289</v>
      </c>
      <c r="N61" s="12" t="s">
        <v>289</v>
      </c>
      <c r="O61" s="12" t="s">
        <v>289</v>
      </c>
      <c r="P61" s="12" t="s">
        <v>289</v>
      </c>
      <c r="Q61" s="12" t="s">
        <v>289</v>
      </c>
      <c r="AE61" s="12">
        <v>58691.9</v>
      </c>
      <c r="AF61" s="12">
        <v>17904</v>
      </c>
      <c r="AG61" s="12">
        <v>25697</v>
      </c>
      <c r="AJ61" s="41" t="str">
        <f>IF(AND(SUMIFS(Data!$CP:$CP,Data!$C:$C,SPEW_Pig_iron_production!$B61)=0,AC61&lt;&gt;0),"Additional","")</f>
        <v/>
      </c>
      <c r="AK61" s="41" t="str">
        <f>IF(AND(SUMIFS(Data!$DJ:$DJ,Data!$C:$C,SPEW_Pig_iron_production!$B61)=0,AG61&lt;&gt;0),"Additional","")</f>
        <v/>
      </c>
    </row>
    <row r="62" spans="1:37" x14ac:dyDescent="0.2">
      <c r="A62" s="12" t="s">
        <v>222</v>
      </c>
      <c r="B62" s="12" t="s">
        <v>131</v>
      </c>
      <c r="C62" s="12">
        <v>2285</v>
      </c>
      <c r="D62" s="12">
        <v>3269</v>
      </c>
      <c r="E62" s="12">
        <v>3888</v>
      </c>
      <c r="F62" s="12">
        <v>4895</v>
      </c>
      <c r="G62" s="12">
        <v>6059</v>
      </c>
      <c r="H62" s="12">
        <v>6466</v>
      </c>
      <c r="I62" s="12">
        <v>7845</v>
      </c>
      <c r="J62" s="12">
        <v>7533</v>
      </c>
      <c r="K62" s="12">
        <v>8157</v>
      </c>
      <c r="L62" s="12">
        <v>8021</v>
      </c>
      <c r="M62" s="12">
        <v>9102</v>
      </c>
      <c r="N62" s="12">
        <v>9763</v>
      </c>
      <c r="O62" s="12">
        <v>10169</v>
      </c>
      <c r="P62" s="12">
        <v>8930</v>
      </c>
      <c r="Q62" s="12">
        <v>8157</v>
      </c>
      <c r="R62" s="12">
        <v>6359</v>
      </c>
      <c r="S62" s="12">
        <v>6288</v>
      </c>
      <c r="T62" s="12">
        <v>6522</v>
      </c>
      <c r="U62" s="12">
        <v>8432</v>
      </c>
      <c r="V62" s="12">
        <v>7221</v>
      </c>
      <c r="W62" s="12">
        <v>9786</v>
      </c>
      <c r="X62" s="12">
        <v>12668</v>
      </c>
      <c r="Y62" s="12">
        <v>16014</v>
      </c>
      <c r="Z62" s="12">
        <v>17739</v>
      </c>
      <c r="AA62" s="12">
        <v>17669</v>
      </c>
      <c r="AB62" s="12">
        <v>12129</v>
      </c>
      <c r="AC62" s="12">
        <v>6315</v>
      </c>
      <c r="AD62" s="12">
        <v>10380</v>
      </c>
      <c r="AE62" s="12">
        <v>12319</v>
      </c>
      <c r="AF62" s="12">
        <v>12236</v>
      </c>
      <c r="AG62" s="12">
        <v>10890</v>
      </c>
      <c r="AJ62" s="41" t="str">
        <f>IF(AND(SUMIFS(Data!$CP:$CP,Data!$C:$C,SPEW_Pig_iron_production!$B62)=0,AC62&lt;&gt;0),"Additional","")</f>
        <v/>
      </c>
      <c r="AK62" s="41" t="str">
        <f>IF(AND(SUMIFS(Data!$DJ:$DJ,Data!$C:$C,SPEW_Pig_iron_production!$B62)=0,AG62&lt;&gt;0),"Additional","")</f>
        <v/>
      </c>
    </row>
    <row r="63" spans="1:37" x14ac:dyDescent="0.2">
      <c r="A63" s="12" t="s">
        <v>223</v>
      </c>
      <c r="B63" s="44" t="s">
        <v>81</v>
      </c>
      <c r="C63" s="12" t="s">
        <v>289</v>
      </c>
      <c r="D63" s="12" t="s">
        <v>289</v>
      </c>
      <c r="E63" s="12" t="s">
        <v>289</v>
      </c>
      <c r="F63" s="12" t="s">
        <v>289</v>
      </c>
      <c r="G63" s="12" t="s">
        <v>289</v>
      </c>
      <c r="H63" s="12" t="s">
        <v>289</v>
      </c>
      <c r="I63" s="12" t="s">
        <v>289</v>
      </c>
      <c r="J63" s="12" t="s">
        <v>289</v>
      </c>
      <c r="K63" s="12" t="s">
        <v>289</v>
      </c>
      <c r="L63" s="12" t="s">
        <v>289</v>
      </c>
      <c r="M63" s="12" t="s">
        <v>289</v>
      </c>
      <c r="N63" s="12" t="s">
        <v>289</v>
      </c>
      <c r="O63" s="12" t="s">
        <v>289</v>
      </c>
      <c r="P63" s="12" t="s">
        <v>289</v>
      </c>
      <c r="Q63" s="12">
        <v>84</v>
      </c>
      <c r="R63" s="12">
        <v>99</v>
      </c>
      <c r="S63" s="12">
        <v>150</v>
      </c>
      <c r="T63" s="12">
        <v>211</v>
      </c>
      <c r="U63" s="12">
        <v>303</v>
      </c>
      <c r="V63" s="12">
        <v>139</v>
      </c>
      <c r="AJ63" s="41" t="str">
        <f>IF(AND(SUMIFS(Data!$CP:$CP,Data!$C:$C,SPEW_Pig_iron_production!$B63)=0,AC63&lt;&gt;0),"Additional","")</f>
        <v/>
      </c>
      <c r="AK63" s="41" t="str">
        <f>IF(AND(SUMIFS(Data!$DJ:$DJ,Data!$C:$C,SPEW_Pig_iron_production!$B63)=0,AG63&lt;&gt;0),"Additional","")</f>
        <v/>
      </c>
    </row>
    <row r="64" spans="1:37" x14ac:dyDescent="0.2">
      <c r="A64" s="12" t="s">
        <v>224</v>
      </c>
      <c r="B64" s="12" t="s">
        <v>132</v>
      </c>
      <c r="C64" s="12">
        <v>219</v>
      </c>
      <c r="D64" s="12">
        <v>402</v>
      </c>
      <c r="E64" s="12">
        <v>581</v>
      </c>
      <c r="F64" s="12">
        <v>607</v>
      </c>
      <c r="G64" s="12">
        <v>1360</v>
      </c>
      <c r="H64" s="12">
        <v>1683</v>
      </c>
      <c r="I64" s="12">
        <v>3408</v>
      </c>
      <c r="J64" s="12">
        <v>3747</v>
      </c>
      <c r="K64" s="12">
        <v>8711</v>
      </c>
      <c r="L64" s="12">
        <v>9367</v>
      </c>
      <c r="M64" s="12">
        <v>13617</v>
      </c>
      <c r="N64" s="12">
        <v>22998</v>
      </c>
      <c r="O64" s="12">
        <v>27334</v>
      </c>
      <c r="P64" s="12">
        <v>30116</v>
      </c>
      <c r="Q64" s="12">
        <v>37337</v>
      </c>
      <c r="R64" s="12">
        <v>37270</v>
      </c>
      <c r="S64" s="12">
        <v>32254</v>
      </c>
      <c r="T64" s="12">
        <v>21709</v>
      </c>
      <c r="U64" s="12">
        <v>42992</v>
      </c>
      <c r="V64" s="12">
        <v>99712</v>
      </c>
      <c r="W64" s="12">
        <v>60227</v>
      </c>
      <c r="X64" s="12">
        <v>71895</v>
      </c>
      <c r="Y64" s="12">
        <v>62191</v>
      </c>
      <c r="Z64" s="12">
        <v>82465</v>
      </c>
      <c r="AA64" s="12">
        <v>85126</v>
      </c>
      <c r="AB64" s="12">
        <v>72493</v>
      </c>
      <c r="AC64" s="12">
        <v>62332</v>
      </c>
      <c r="AD64" s="12">
        <v>45756</v>
      </c>
      <c r="AE64" s="12">
        <v>49660</v>
      </c>
      <c r="AF64" s="12">
        <v>50890</v>
      </c>
      <c r="AG64" s="12">
        <v>47888</v>
      </c>
      <c r="AJ64" s="41" t="str">
        <f>IF(AND(SUMIFS(Data!$CP:$CP,Data!$C:$C,SPEW_Pig_iron_production!$B64)=0,AC64&lt;&gt;0),"Additional","")</f>
        <v/>
      </c>
      <c r="AK64" s="41" t="str">
        <f>IF(AND(SUMIFS(Data!$DJ:$DJ,Data!$C:$C,SPEW_Pig_iron_production!$B64)=0,AG64&lt;&gt;0),"Additional","")</f>
        <v/>
      </c>
    </row>
    <row r="65" spans="1:37" x14ac:dyDescent="0.2">
      <c r="A65" s="12" t="s">
        <v>225</v>
      </c>
      <c r="B65" s="12" t="s">
        <v>79</v>
      </c>
      <c r="C65" s="12">
        <v>228</v>
      </c>
      <c r="D65" s="12">
        <v>251</v>
      </c>
      <c r="E65" s="12">
        <v>298</v>
      </c>
      <c r="F65" s="12">
        <v>300</v>
      </c>
      <c r="G65" s="12">
        <v>359</v>
      </c>
      <c r="H65" s="12">
        <v>428</v>
      </c>
      <c r="I65" s="12">
        <v>449</v>
      </c>
      <c r="J65" s="12">
        <v>528</v>
      </c>
      <c r="K65" s="12">
        <v>928</v>
      </c>
      <c r="L65" s="12">
        <v>1455</v>
      </c>
      <c r="M65" s="12">
        <v>2937</v>
      </c>
      <c r="N65" s="12">
        <v>2736</v>
      </c>
      <c r="O65" s="12">
        <v>3047</v>
      </c>
      <c r="P65" s="12">
        <v>3764</v>
      </c>
      <c r="Q65" s="12">
        <v>116</v>
      </c>
      <c r="R65" s="12">
        <v>1309</v>
      </c>
      <c r="S65" s="12">
        <v>4964</v>
      </c>
      <c r="T65" s="12">
        <v>12490</v>
      </c>
      <c r="U65" s="12">
        <v>14902</v>
      </c>
      <c r="V65" s="12">
        <v>8803</v>
      </c>
      <c r="W65" s="12">
        <v>19175</v>
      </c>
      <c r="X65" s="12">
        <v>33310</v>
      </c>
      <c r="Y65" s="12">
        <v>46757</v>
      </c>
      <c r="Z65" s="12">
        <v>66184</v>
      </c>
      <c r="AA65" s="12">
        <v>85933</v>
      </c>
      <c r="AB65" s="12">
        <v>103000</v>
      </c>
      <c r="AC65" s="12">
        <v>107000</v>
      </c>
      <c r="AD65" s="12">
        <v>110000</v>
      </c>
      <c r="AJ65" s="41" t="str">
        <f>IF(AND(SUMIFS(Data!$CP:$CP,Data!$C:$C,SPEW_Pig_iron_production!$B65)=0,AC65&lt;&gt;0),"Additional","")</f>
        <v/>
      </c>
      <c r="AK65" s="41" t="str">
        <f>IF(AND(SUMIFS(Data!$DJ:$DJ,Data!$C:$C,SPEW_Pig_iron_production!$B65)=0,AG65&lt;&gt;0),"Additional","")</f>
        <v/>
      </c>
    </row>
    <row r="66" spans="1:37" x14ac:dyDescent="0.2">
      <c r="A66" s="12" t="s">
        <v>226</v>
      </c>
      <c r="B66" s="12" t="s">
        <v>133</v>
      </c>
      <c r="C66" s="12" t="s">
        <v>289</v>
      </c>
      <c r="D66" s="12" t="s">
        <v>289</v>
      </c>
      <c r="E66" s="12" t="s">
        <v>289</v>
      </c>
      <c r="F66" s="12" t="s">
        <v>289</v>
      </c>
      <c r="G66" s="12" t="s">
        <v>289</v>
      </c>
      <c r="H66" s="12" t="s">
        <v>289</v>
      </c>
      <c r="I66" s="12" t="s">
        <v>289</v>
      </c>
      <c r="J66" s="12" t="s">
        <v>289</v>
      </c>
      <c r="K66" s="12" t="s">
        <v>289</v>
      </c>
      <c r="L66" s="12" t="s">
        <v>289</v>
      </c>
      <c r="M66" s="12" t="s">
        <v>289</v>
      </c>
      <c r="N66" s="12" t="s">
        <v>289</v>
      </c>
      <c r="O66" s="12" t="s">
        <v>289</v>
      </c>
      <c r="P66" s="12" t="s">
        <v>289</v>
      </c>
      <c r="Q66" s="12" t="s">
        <v>289</v>
      </c>
      <c r="Z66" s="12">
        <v>334</v>
      </c>
      <c r="AA66" s="12">
        <v>510</v>
      </c>
      <c r="AB66" s="12">
        <v>538</v>
      </c>
      <c r="AC66" s="12">
        <v>559</v>
      </c>
      <c r="AD66" s="12">
        <v>528</v>
      </c>
      <c r="AE66" s="12">
        <v>314</v>
      </c>
      <c r="AJ66" s="41" t="str">
        <f>IF(AND(SUMIFS(Data!$CP:$CP,Data!$C:$C,SPEW_Pig_iron_production!$B66)=0,AC66&lt;&gt;0),"Additional","")</f>
        <v/>
      </c>
      <c r="AK66" s="41" t="str">
        <f>IF(AND(SUMIFS(Data!$DJ:$DJ,Data!$C:$C,SPEW_Pig_iron_production!$B66)=0,AG66&lt;&gt;0),"Additional","")</f>
        <v/>
      </c>
    </row>
    <row r="67" spans="1:37" x14ac:dyDescent="0.2">
      <c r="A67" s="12" t="s">
        <v>227</v>
      </c>
      <c r="B67" s="12" t="s">
        <v>134</v>
      </c>
      <c r="C67" s="12" t="s">
        <v>289</v>
      </c>
      <c r="D67" s="12" t="s">
        <v>289</v>
      </c>
      <c r="E67" s="12" t="s">
        <v>289</v>
      </c>
      <c r="F67" s="12" t="s">
        <v>289</v>
      </c>
      <c r="G67" s="12" t="s">
        <v>289</v>
      </c>
      <c r="H67" s="12" t="s">
        <v>289</v>
      </c>
      <c r="I67" s="12" t="s">
        <v>289</v>
      </c>
      <c r="J67" s="12" t="s">
        <v>289</v>
      </c>
      <c r="K67" s="12" t="s">
        <v>289</v>
      </c>
      <c r="L67" s="12" t="s">
        <v>289</v>
      </c>
      <c r="M67" s="12" t="s">
        <v>289</v>
      </c>
      <c r="N67" s="12" t="s">
        <v>289</v>
      </c>
      <c r="O67" s="12" t="s">
        <v>289</v>
      </c>
      <c r="P67" s="12" t="s">
        <v>289</v>
      </c>
      <c r="Q67" s="12" t="s">
        <v>289</v>
      </c>
      <c r="AF67" s="12">
        <v>21</v>
      </c>
      <c r="AG67" s="12">
        <v>47</v>
      </c>
      <c r="AJ67" s="41" t="str">
        <f>IF(AND(SUMIFS(Data!$CP:$CP,Data!$C:$C,SPEW_Pig_iron_production!$B67)=0,AC67&lt;&gt;0),"Additional","")</f>
        <v/>
      </c>
      <c r="AK67" s="41" t="str">
        <f>IF(AND(SUMIFS(Data!$DJ:$DJ,Data!$C:$C,SPEW_Pig_iron_production!$B67)=0,AG67&lt;&gt;0),"Additional","")</f>
        <v/>
      </c>
    </row>
    <row r="68" spans="1:37" x14ac:dyDescent="0.2">
      <c r="A68" s="12" t="s">
        <v>228</v>
      </c>
      <c r="B68" s="12" t="s">
        <v>76</v>
      </c>
      <c r="C68" s="12" t="s">
        <v>289</v>
      </c>
      <c r="D68" s="12" t="s">
        <v>289</v>
      </c>
      <c r="E68" s="12" t="s">
        <v>289</v>
      </c>
      <c r="F68" s="12" t="s">
        <v>289</v>
      </c>
      <c r="G68" s="12" t="s">
        <v>289</v>
      </c>
      <c r="H68" s="12" t="s">
        <v>289</v>
      </c>
      <c r="I68" s="12" t="s">
        <v>289</v>
      </c>
      <c r="J68" s="12" t="s">
        <v>289</v>
      </c>
      <c r="K68" s="12" t="s">
        <v>289</v>
      </c>
      <c r="L68" s="12" t="s">
        <v>289</v>
      </c>
      <c r="M68" s="12" t="s">
        <v>289</v>
      </c>
      <c r="N68" s="12" t="s">
        <v>289</v>
      </c>
      <c r="O68" s="12" t="s">
        <v>289</v>
      </c>
      <c r="P68" s="12" t="s">
        <v>289</v>
      </c>
      <c r="Q68" s="12">
        <v>6</v>
      </c>
      <c r="R68" s="12">
        <v>3</v>
      </c>
      <c r="S68" s="12">
        <v>35</v>
      </c>
      <c r="T68" s="12">
        <v>21</v>
      </c>
      <c r="U68" s="12">
        <v>122</v>
      </c>
      <c r="V68" s="12">
        <v>12</v>
      </c>
      <c r="W68" s="12">
        <v>226</v>
      </c>
      <c r="X68" s="12">
        <v>531</v>
      </c>
      <c r="Y68" s="12">
        <v>1016</v>
      </c>
      <c r="Z68" s="12">
        <v>1177</v>
      </c>
      <c r="AA68" s="12">
        <v>1377</v>
      </c>
      <c r="AB68" s="12">
        <v>2196</v>
      </c>
      <c r="AC68" s="12">
        <v>2668</v>
      </c>
      <c r="AD68" s="12">
        <v>3419</v>
      </c>
      <c r="AE68" s="12">
        <v>2460</v>
      </c>
      <c r="AJ68" s="41" t="str">
        <f>IF(AND(SUMIFS(Data!$CP:$CP,Data!$C:$C,SPEW_Pig_iron_production!$B68)=0,AC68&lt;&gt;0),"Additional","")</f>
        <v/>
      </c>
      <c r="AK68" s="41" t="str">
        <f>IF(AND(SUMIFS(Data!$DJ:$DJ,Data!$C:$C,SPEW_Pig_iron_production!$B68)=0,AG68&lt;&gt;0),"Additional","")</f>
        <v/>
      </c>
    </row>
    <row r="69" spans="1:37" x14ac:dyDescent="0.2">
      <c r="A69" s="12" t="s">
        <v>229</v>
      </c>
      <c r="B69" s="12" t="s">
        <v>135</v>
      </c>
      <c r="Z69" s="12">
        <v>250</v>
      </c>
      <c r="AA69" s="12">
        <v>250</v>
      </c>
      <c r="AB69" s="12">
        <v>302</v>
      </c>
      <c r="AC69" s="12">
        <v>612</v>
      </c>
      <c r="AD69" s="12">
        <v>674</v>
      </c>
      <c r="AE69" s="12">
        <v>521</v>
      </c>
      <c r="AF69" s="12">
        <v>205</v>
      </c>
      <c r="AG69" s="12">
        <v>277</v>
      </c>
      <c r="AJ69" s="41" t="str">
        <f>IF(AND(SUMIFS(Data!$CP:$CP,Data!$C:$C,SPEW_Pig_iron_production!$B69)=0,AC69&lt;&gt;0),"Additional","")</f>
        <v/>
      </c>
      <c r="AK69" s="41" t="str">
        <f>IF(AND(SUMIFS(Data!$DJ:$DJ,Data!$C:$C,SPEW_Pig_iron_production!$B69)=0,AG69&lt;&gt;0),"Additional","")</f>
        <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Q147"/>
  <sheetViews>
    <sheetView topLeftCell="A32" workbookViewId="0">
      <pane ySplit="3" topLeftCell="A42" activePane="bottomLeft" state="frozenSplit"/>
      <selection activeCell="A32" sqref="A32"/>
      <selection pane="bottomLeft" activeCell="C37" sqref="C37"/>
    </sheetView>
  </sheetViews>
  <sheetFormatPr baseColWidth="10" defaultColWidth="14.6640625" defaultRowHeight="13" x14ac:dyDescent="0.15"/>
  <cols>
    <col min="1" max="1" width="20.83203125" style="14" customWidth="1"/>
    <col min="2" max="2" width="10" style="14" customWidth="1"/>
    <col min="3" max="23" width="7.83203125" style="14" customWidth="1"/>
    <col min="24" max="24" width="13.1640625" style="14" customWidth="1"/>
    <col min="25" max="16384" width="14.6640625" style="14"/>
  </cols>
  <sheetData>
    <row r="1" spans="1:43" x14ac:dyDescent="0.15">
      <c r="A1" s="13" t="s">
        <v>230</v>
      </c>
      <c r="B1" s="13"/>
      <c r="Z1" s="15" t="s">
        <v>231</v>
      </c>
    </row>
    <row r="2" spans="1:43" x14ac:dyDescent="0.15">
      <c r="AA2" s="14">
        <v>1890</v>
      </c>
      <c r="AB2" s="14">
        <v>1895</v>
      </c>
      <c r="AC2" s="14">
        <v>1900</v>
      </c>
      <c r="AD2" s="14">
        <v>1905</v>
      </c>
      <c r="AE2" s="14">
        <v>1910</v>
      </c>
      <c r="AF2" s="14">
        <v>1915</v>
      </c>
      <c r="AG2" s="14">
        <v>1920</v>
      </c>
      <c r="AH2" s="14">
        <v>1925</v>
      </c>
      <c r="AI2" s="14">
        <v>1930</v>
      </c>
      <c r="AJ2" s="14">
        <v>1935</v>
      </c>
      <c r="AK2" s="14">
        <v>1940</v>
      </c>
      <c r="AL2" s="14">
        <v>1945</v>
      </c>
      <c r="AM2" s="14">
        <v>1950</v>
      </c>
      <c r="AN2" s="14">
        <v>1955</v>
      </c>
      <c r="AO2" s="14">
        <v>1960</v>
      </c>
      <c r="AP2" s="14">
        <v>1965</v>
      </c>
      <c r="AQ2" s="14">
        <v>1969</v>
      </c>
    </row>
    <row r="3" spans="1:43" x14ac:dyDescent="0.15">
      <c r="A3" s="16"/>
      <c r="B3" s="16"/>
      <c r="C3" s="17">
        <v>1890</v>
      </c>
      <c r="D3" s="17">
        <v>1895</v>
      </c>
      <c r="E3" s="17">
        <v>1900</v>
      </c>
      <c r="F3" s="17">
        <v>1905</v>
      </c>
      <c r="G3" s="17">
        <f>E3+10</f>
        <v>1910</v>
      </c>
      <c r="H3" s="17">
        <v>1915</v>
      </c>
      <c r="I3" s="17">
        <f>G3+10</f>
        <v>1920</v>
      </c>
      <c r="J3" s="17">
        <v>1925</v>
      </c>
      <c r="K3" s="17">
        <f>I3+10</f>
        <v>1930</v>
      </c>
      <c r="L3" s="17">
        <v>1935</v>
      </c>
      <c r="M3" s="17">
        <f>K3+10</f>
        <v>1940</v>
      </c>
      <c r="N3" s="17">
        <v>1945</v>
      </c>
      <c r="O3" s="17">
        <f>M3+10</f>
        <v>1950</v>
      </c>
      <c r="P3" s="17">
        <v>1955</v>
      </c>
      <c r="Q3" s="17">
        <f>O3+10</f>
        <v>1960</v>
      </c>
      <c r="R3" s="17">
        <v>1965</v>
      </c>
      <c r="S3" s="17">
        <f>Q3+10</f>
        <v>1970</v>
      </c>
      <c r="T3" s="17">
        <v>1975</v>
      </c>
      <c r="U3" s="17">
        <v>1980</v>
      </c>
      <c r="V3" s="17">
        <v>1985</v>
      </c>
      <c r="W3" s="17">
        <v>1990</v>
      </c>
      <c r="X3" s="16"/>
      <c r="Z3" s="15" t="s">
        <v>232</v>
      </c>
      <c r="AA3" s="14">
        <v>15612</v>
      </c>
      <c r="AB3" s="14">
        <v>16067</v>
      </c>
      <c r="AC3" s="14">
        <v>21232</v>
      </c>
      <c r="AD3" s="14">
        <v>24655</v>
      </c>
      <c r="AE3" s="14">
        <v>30504</v>
      </c>
      <c r="AF3" s="14">
        <v>21504</v>
      </c>
      <c r="AG3" s="14">
        <v>21323</v>
      </c>
      <c r="AH3" s="14">
        <v>31993</v>
      </c>
      <c r="AI3" s="14">
        <v>34223</v>
      </c>
      <c r="AJ3" s="14">
        <v>32228</v>
      </c>
      <c r="AK3" s="14">
        <v>32247</v>
      </c>
      <c r="AL3" s="14">
        <v>13199</v>
      </c>
      <c r="AM3" s="14">
        <v>37185</v>
      </c>
      <c r="AN3" s="14">
        <v>56580</v>
      </c>
      <c r="AO3" s="14">
        <v>78865</v>
      </c>
      <c r="AP3" s="14">
        <v>92221</v>
      </c>
      <c r="AQ3" s="14">
        <v>109545</v>
      </c>
    </row>
    <row r="4" spans="1:43" x14ac:dyDescent="0.15">
      <c r="C4" s="18"/>
      <c r="D4" s="18"/>
      <c r="E4" s="18"/>
      <c r="F4" s="18"/>
      <c r="G4" s="18"/>
      <c r="H4" s="18"/>
      <c r="I4" s="18"/>
      <c r="J4" s="18"/>
      <c r="K4" s="18"/>
      <c r="L4" s="18"/>
      <c r="M4" s="18"/>
      <c r="N4" s="18"/>
      <c r="O4" s="18"/>
      <c r="P4" s="18"/>
      <c r="Q4" s="18"/>
      <c r="R4" s="18"/>
      <c r="S4" s="18"/>
      <c r="T4" s="18"/>
      <c r="U4" s="18"/>
      <c r="V4" s="18"/>
      <c r="W4" s="18"/>
      <c r="Z4" s="15" t="s">
        <v>233</v>
      </c>
      <c r="AA4" s="14">
        <v>965</v>
      </c>
      <c r="AB4" s="14">
        <v>1128</v>
      </c>
      <c r="AC4" s="14">
        <v>1456</v>
      </c>
      <c r="AD4" s="14">
        <v>1541</v>
      </c>
      <c r="AE4" s="14">
        <v>2007</v>
      </c>
      <c r="AF4" s="14">
        <v>1817</v>
      </c>
      <c r="AG4" s="14">
        <v>1245</v>
      </c>
      <c r="AH4" s="14">
        <v>1653</v>
      </c>
      <c r="AI4" s="14">
        <v>2276</v>
      </c>
      <c r="AJ4" s="14">
        <v>1496</v>
      </c>
      <c r="AK4" s="14">
        <v>3168</v>
      </c>
      <c r="AL4" s="14">
        <v>905</v>
      </c>
      <c r="AM4" s="14">
        <v>4495</v>
      </c>
      <c r="AN4" s="14">
        <v>8086</v>
      </c>
      <c r="AO4" s="14">
        <v>12740</v>
      </c>
      <c r="AP4" s="14">
        <v>17103</v>
      </c>
      <c r="AQ4" s="14">
        <v>21523</v>
      </c>
    </row>
    <row r="5" spans="1:43" x14ac:dyDescent="0.15">
      <c r="A5" s="15" t="s">
        <v>11</v>
      </c>
      <c r="B5" s="15"/>
      <c r="C5" s="19">
        <v>70</v>
      </c>
      <c r="D5" s="19">
        <v>93</v>
      </c>
      <c r="E5" s="19">
        <f>111+323</f>
        <v>434</v>
      </c>
      <c r="F5" s="19">
        <f>264+753</f>
        <v>1017</v>
      </c>
      <c r="G5" s="19">
        <f>235+1127</f>
        <v>1362</v>
      </c>
      <c r="H5" s="19">
        <f>361+788</f>
        <v>1149</v>
      </c>
      <c r="I5" s="19">
        <f>117+600</f>
        <v>717</v>
      </c>
      <c r="J5" s="19">
        <v>1150</v>
      </c>
      <c r="K5" s="19">
        <v>1473</v>
      </c>
      <c r="L5" s="19">
        <v>673</v>
      </c>
      <c r="M5" s="19">
        <f>376+1533</f>
        <v>1909</v>
      </c>
      <c r="N5" s="19">
        <f>1030+983</f>
        <v>2013</v>
      </c>
      <c r="O5" s="19">
        <v>3270</v>
      </c>
      <c r="P5" s="19">
        <v>14772</v>
      </c>
      <c r="Q5" s="19">
        <v>19551</v>
      </c>
      <c r="R5" s="19">
        <v>34208</v>
      </c>
      <c r="S5" s="19">
        <v>47458</v>
      </c>
      <c r="T5" s="19">
        <v>44893</v>
      </c>
      <c r="U5" s="19">
        <v>49068</v>
      </c>
      <c r="V5" s="19">
        <v>39502</v>
      </c>
      <c r="W5" s="19">
        <v>36443</v>
      </c>
      <c r="X5" s="20"/>
      <c r="Y5" s="20"/>
      <c r="Z5" s="15" t="s">
        <v>234</v>
      </c>
      <c r="AA5" s="14">
        <v>928</v>
      </c>
      <c r="AB5" s="14">
        <v>1455</v>
      </c>
      <c r="AC5" s="14">
        <v>2937</v>
      </c>
      <c r="AD5" s="14">
        <v>2736</v>
      </c>
      <c r="AE5" s="14">
        <v>3047</v>
      </c>
      <c r="AF5" s="14">
        <v>3764</v>
      </c>
      <c r="AG5" s="14">
        <v>116</v>
      </c>
      <c r="AH5" s="14">
        <v>1309</v>
      </c>
      <c r="AI5" s="14">
        <v>4964</v>
      </c>
      <c r="AJ5" s="14">
        <v>12490</v>
      </c>
      <c r="AK5" s="14">
        <v>14902</v>
      </c>
      <c r="AL5" s="14">
        <v>8803</v>
      </c>
      <c r="AM5" s="14">
        <v>19175</v>
      </c>
      <c r="AN5" s="14">
        <v>33310</v>
      </c>
      <c r="AO5" s="14">
        <v>46757</v>
      </c>
      <c r="AP5" s="14">
        <v>66184</v>
      </c>
      <c r="AQ5" s="14">
        <v>81634</v>
      </c>
    </row>
    <row r="6" spans="1:43" x14ac:dyDescent="0.15">
      <c r="A6" s="15" t="s">
        <v>235</v>
      </c>
      <c r="B6" s="15"/>
      <c r="C6" s="19">
        <v>16293</v>
      </c>
      <c r="D6" s="19">
        <v>16214</v>
      </c>
      <c r="E6" s="19">
        <v>27738</v>
      </c>
      <c r="F6" s="19">
        <v>43080</v>
      </c>
      <c r="G6" s="19">
        <v>57930</v>
      </c>
      <c r="H6" s="19">
        <v>56417</v>
      </c>
      <c r="I6" s="19">
        <v>68689</v>
      </c>
      <c r="J6" s="19">
        <v>62902</v>
      </c>
      <c r="K6" s="19">
        <v>59346</v>
      </c>
      <c r="L6" s="19">
        <v>31030</v>
      </c>
      <c r="M6" s="19">
        <v>74879</v>
      </c>
      <c r="N6" s="19">
        <v>89794</v>
      </c>
      <c r="O6" s="19">
        <v>99618</v>
      </c>
      <c r="P6" s="19">
        <v>104656</v>
      </c>
      <c r="Q6" s="19">
        <v>90209</v>
      </c>
      <c r="R6" s="19">
        <v>88842</v>
      </c>
      <c r="S6" s="19">
        <v>91200</v>
      </c>
      <c r="T6" s="19">
        <v>80132</v>
      </c>
      <c r="U6" s="19">
        <v>70730</v>
      </c>
      <c r="V6" s="19">
        <v>49533</v>
      </c>
      <c r="W6" s="19">
        <v>59032</v>
      </c>
      <c r="X6" s="20"/>
      <c r="Y6" s="20"/>
    </row>
    <row r="7" spans="1:43" x14ac:dyDescent="0.15">
      <c r="A7" s="15" t="s">
        <v>236</v>
      </c>
      <c r="B7" s="15"/>
      <c r="C7" s="19">
        <v>370</v>
      </c>
      <c r="D7" s="19">
        <v>388</v>
      </c>
      <c r="E7" s="19">
        <f>454+3</f>
        <v>457</v>
      </c>
      <c r="F7" s="19">
        <f>554+20</f>
        <v>574</v>
      </c>
      <c r="G7" s="19">
        <f>1441+55</f>
        <v>1496</v>
      </c>
      <c r="H7" s="19">
        <f>841+2</f>
        <v>843</v>
      </c>
      <c r="I7" s="19">
        <f>84+26+3</f>
        <v>113</v>
      </c>
      <c r="J7" s="19">
        <f>567+76+1234</f>
        <v>1877</v>
      </c>
      <c r="K7" s="19">
        <f>249+62+1689</f>
        <v>2000</v>
      </c>
      <c r="L7" s="19">
        <f>102+67+862</f>
        <v>1031</v>
      </c>
      <c r="M7" s="19">
        <f>96+70+3+404+1061</f>
        <v>1634</v>
      </c>
      <c r="N7" s="19">
        <f>175+1+650+277</f>
        <v>1103</v>
      </c>
      <c r="O7" s="19">
        <f>8+286+40+1987+2950+199</f>
        <v>5470</v>
      </c>
      <c r="P7" s="19">
        <f>79+429+76+3382+1720+147+1059+8439</f>
        <v>15331</v>
      </c>
      <c r="Q7" s="19">
        <f>1+521+135+9345+6041+178+3947+19490</f>
        <v>39658</v>
      </c>
      <c r="R7" s="19">
        <f>1+1593+116+18159+12721+706+9000+17650</f>
        <v>59946</v>
      </c>
      <c r="S7" s="19">
        <f>2612+239+36381+11265+453+12585+22070</f>
        <v>85605</v>
      </c>
      <c r="T7" s="19">
        <f>3369+286+108162+11050+537+7753+24772</f>
        <v>155929</v>
      </c>
      <c r="U7" s="21">
        <f>5087+437+139697+8835+506+5704+16102</f>
        <v>176368</v>
      </c>
      <c r="V7" s="21">
        <f>5161+639+168120+6510+455+4881+14753</f>
        <v>200519</v>
      </c>
      <c r="W7" s="21">
        <f>5564+1119+200617+7866+614+4189+18321</f>
        <v>238290</v>
      </c>
      <c r="X7" s="22"/>
      <c r="Y7" s="20"/>
      <c r="Z7" s="15" t="s">
        <v>237</v>
      </c>
    </row>
    <row r="8" spans="1:43" x14ac:dyDescent="0.15">
      <c r="A8" s="15" t="s">
        <v>238</v>
      </c>
      <c r="B8" s="15"/>
      <c r="C8" s="19">
        <v>475</v>
      </c>
      <c r="D8" s="19">
        <v>318</v>
      </c>
      <c r="E8" s="19">
        <v>602</v>
      </c>
      <c r="F8" s="19">
        <v>569</v>
      </c>
      <c r="G8" s="19">
        <f>1065+333</f>
        <v>1398</v>
      </c>
      <c r="H8" s="19">
        <f>911+297</f>
        <v>1208</v>
      </c>
      <c r="I8" s="19">
        <f>1060+78+406</f>
        <v>1544</v>
      </c>
      <c r="J8" s="19">
        <f>1781+81+800+724</f>
        <v>3386</v>
      </c>
      <c r="K8" s="19">
        <f>1210+572+26+437</f>
        <v>2245</v>
      </c>
      <c r="L8" s="19">
        <f>907+799+264+192+254</f>
        <v>2416</v>
      </c>
      <c r="M8" s="19">
        <f>877+38+242+420+396+190</f>
        <v>2163</v>
      </c>
      <c r="N8" s="19">
        <f>628+472+504+540+69</f>
        <v>2213</v>
      </c>
      <c r="O8" s="19">
        <f>1361+147+583+711+717+413+29</f>
        <v>3961</v>
      </c>
      <c r="P8" s="19">
        <f>1870+18+325+1163+770+784+1262+630+46</f>
        <v>6868</v>
      </c>
      <c r="Q8" s="19">
        <f>1788+409+120+388+2192+874+881+1965+563+98</f>
        <v>9278</v>
      </c>
      <c r="R8" s="19">
        <f>1637+509+254+378+10985+3875+567+1286+3745+653+609+824</f>
        <v>25322</v>
      </c>
      <c r="S8" s="19">
        <f>1546+3752+226+1040+15813+5923+522+1377+5887+1503+422+325</f>
        <v>38336</v>
      </c>
      <c r="T8" s="19">
        <f>1728+1664+560+13770+5646+336+916+7648+1417+326+384</f>
        <v>34395</v>
      </c>
      <c r="U8" s="21">
        <f>1867+888+11972+5332+46+16471+211</f>
        <v>36787</v>
      </c>
      <c r="V8" s="21">
        <f>1823+975+8909+6066+106+37+15283+165</f>
        <v>33364</v>
      </c>
      <c r="W8" s="21">
        <f>1559+1054+8011+6500+92+15805+173</f>
        <v>33194</v>
      </c>
      <c r="X8" s="22"/>
      <c r="Y8" s="20"/>
      <c r="Z8" s="15" t="s">
        <v>239</v>
      </c>
    </row>
    <row r="9" spans="1:43" x14ac:dyDescent="0.15">
      <c r="A9" s="15" t="s">
        <v>240</v>
      </c>
      <c r="B9" s="15"/>
      <c r="C9" s="19">
        <f>1362+3472+8047+221+3359+1+6055+941+14002</f>
        <v>37460</v>
      </c>
      <c r="D9" s="19">
        <f>1385+3680+8437+183+3913+1+5514+1904+12817</f>
        <v>37834</v>
      </c>
      <c r="E9" s="19">
        <f>1894+5448+12793+247+6171+18+8676+2610+14253</f>
        <v>52110</v>
      </c>
      <c r="F9" s="19">
        <f>1914+7395+16848+367+6596+63+9077+4366+14825</f>
        <v>61451</v>
      </c>
      <c r="G9" s="19">
        <f>2628+14606+22446+551+6263+102+8667+5549+15470</f>
        <v>76282</v>
      </c>
      <c r="H9" s="19">
        <f>2547+620+17710+680+6140+715+5618+6883+14463</f>
        <v>55376</v>
      </c>
      <c r="I9" s="19">
        <f>711+13922+6362+390+3704+79+4768+4519+12911</f>
        <v>47366</v>
      </c>
      <c r="J9" s="19">
        <f>1030+35598+5923+496+6678+425+4443+8169+10306</f>
        <v>73068</v>
      </c>
      <c r="K9" s="19">
        <f>1181+48571+5741+718+6649+772+5517+11236+11813</f>
        <v>92198</v>
      </c>
      <c r="L9" s="19">
        <f>775+32046+5290+551+4134+765+3983+7933+11070</f>
        <v>66547</v>
      </c>
      <c r="M9" s="19">
        <f>3186+12731+17177+1179+4886+615+2627+11295+17986</f>
        <v>71682</v>
      </c>
      <c r="N9" s="19">
        <f>324+7713+134+1406+79+1936+3930+14402</f>
        <v>29924</v>
      </c>
      <c r="O9" s="19">
        <f>1860+30016+10883+479+3845+298+3039+13611+13171</f>
        <v>77202</v>
      </c>
      <c r="P9" s="19">
        <f>2839+50311+15684+1394+7205+1256+4802+17355+16435</f>
        <v>117281</v>
      </c>
      <c r="Q9" s="19">
        <f>3542+66964+18869+1261+6977+1657+5638+21690+17361</f>
        <v>143959</v>
      </c>
      <c r="R9" s="19">
        <f>3536+59532+10847+785+6315+2464+5788+29354+15662</f>
        <v>134283</v>
      </c>
      <c r="S9" s="19">
        <f>3982+55425+7451+764+6311+3854+2768+6156+33185+12298</f>
        <v>132194</v>
      </c>
      <c r="T9" s="23">
        <f>+$S9+($W$9-$S$9)/20*(T3-$S3)</f>
        <v>143720</v>
      </c>
      <c r="U9" s="23">
        <f>+$S9+($W$9-$S$9)/20*(U3-$S3)</f>
        <v>155246</v>
      </c>
      <c r="V9" s="23">
        <f>+$S9+($W$9-$S$9)/20*(V3-$S3)</f>
        <v>166772</v>
      </c>
      <c r="W9" s="21">
        <f>2310+8730+83+2110+2080+143030+19900+55</f>
        <v>178298</v>
      </c>
      <c r="X9" s="22"/>
      <c r="Y9" s="20"/>
      <c r="Z9" s="15" t="s">
        <v>241</v>
      </c>
    </row>
    <row r="10" spans="1:43" x14ac:dyDescent="0.15">
      <c r="A10" s="15" t="s">
        <v>242</v>
      </c>
      <c r="B10" s="15"/>
      <c r="C10" s="21" t="s">
        <v>243</v>
      </c>
      <c r="D10" s="21" t="s">
        <v>243</v>
      </c>
      <c r="E10" s="21" t="s">
        <v>243</v>
      </c>
      <c r="F10" s="21" t="s">
        <v>243</v>
      </c>
      <c r="G10" s="21" t="s">
        <v>243</v>
      </c>
      <c r="H10" s="21" t="s">
        <v>243</v>
      </c>
      <c r="I10" s="19">
        <f>184+80+10</f>
        <v>274</v>
      </c>
      <c r="J10" s="19">
        <f>210+107+139</f>
        <v>456</v>
      </c>
      <c r="K10" s="19">
        <f>477+93+431</f>
        <v>1001</v>
      </c>
      <c r="L10" s="19">
        <f>332+92+233</f>
        <v>657</v>
      </c>
      <c r="M10" s="19">
        <f>813+150</f>
        <v>963</v>
      </c>
      <c r="N10" s="19">
        <v>102</v>
      </c>
      <c r="O10" s="19">
        <f>790+392+731</f>
        <v>1913</v>
      </c>
      <c r="P10" s="19">
        <f>1856+637+1398</f>
        <v>3891</v>
      </c>
      <c r="Q10" s="19">
        <f>2182+1460+2200</f>
        <v>5842</v>
      </c>
      <c r="R10" s="19">
        <f>2862+2479+2504</f>
        <v>7845</v>
      </c>
      <c r="S10" s="19">
        <f>2768+2999+2721</f>
        <v>8488</v>
      </c>
      <c r="T10" s="23">
        <f>+$S10+($W$10-$S$10)/20*(T3-$S3)</f>
        <v>8859</v>
      </c>
      <c r="U10" s="23">
        <f>+$S10+($W$10-$S$10)/20*(U3-$S3)</f>
        <v>9230</v>
      </c>
      <c r="V10" s="23">
        <f>+$S10+($W$10-$S$10)/20*(V3-$S3)</f>
        <v>9601</v>
      </c>
      <c r="W10" s="21">
        <f>930+1080+1830+2+2000+4130</f>
        <v>9972</v>
      </c>
      <c r="X10" s="22"/>
      <c r="Y10" s="20"/>
    </row>
    <row r="11" spans="1:43" x14ac:dyDescent="0.15">
      <c r="A11" s="15" t="s">
        <v>244</v>
      </c>
      <c r="B11" s="15"/>
      <c r="C11" s="19">
        <v>1736</v>
      </c>
      <c r="D11" s="19">
        <v>2851</v>
      </c>
      <c r="E11" s="19">
        <v>6001</v>
      </c>
      <c r="F11" s="19">
        <v>4976</v>
      </c>
      <c r="G11" s="19">
        <v>5742</v>
      </c>
      <c r="H11" s="19">
        <v>5940</v>
      </c>
      <c r="I11" s="19">
        <v>170</v>
      </c>
      <c r="J11" s="19">
        <v>2220</v>
      </c>
      <c r="K11" s="19">
        <v>10663</v>
      </c>
      <c r="L11" s="19">
        <v>26845</v>
      </c>
      <c r="M11" s="19">
        <v>29866</v>
      </c>
      <c r="N11" s="19">
        <v>15864</v>
      </c>
      <c r="O11" s="19">
        <v>39651</v>
      </c>
      <c r="P11" s="19">
        <v>71862</v>
      </c>
      <c r="Q11" s="19">
        <v>105857</v>
      </c>
      <c r="R11" s="19">
        <v>153432</v>
      </c>
      <c r="S11" s="19">
        <v>186134</v>
      </c>
      <c r="T11" s="19">
        <v>232792</v>
      </c>
      <c r="U11" s="19">
        <v>244702.6</v>
      </c>
      <c r="V11" s="19">
        <v>247639</v>
      </c>
      <c r="W11" s="19">
        <v>236000</v>
      </c>
      <c r="X11" s="20"/>
      <c r="Y11" s="20"/>
    </row>
    <row r="12" spans="1:43" x14ac:dyDescent="0.15">
      <c r="A12" s="15" t="s">
        <v>245</v>
      </c>
      <c r="B12" s="15"/>
      <c r="C12" s="21" t="s">
        <v>243</v>
      </c>
      <c r="D12" s="21" t="s">
        <v>243</v>
      </c>
      <c r="E12" s="21" t="s">
        <v>243</v>
      </c>
      <c r="F12" s="21" t="s">
        <v>243</v>
      </c>
      <c r="G12" s="21" t="s">
        <v>243</v>
      </c>
      <c r="H12" s="21" t="s">
        <v>243</v>
      </c>
      <c r="I12" s="21" t="s">
        <v>243</v>
      </c>
      <c r="J12" s="21" t="s">
        <v>243</v>
      </c>
      <c r="K12" s="21" t="s">
        <v>243</v>
      </c>
      <c r="L12" s="21" t="s">
        <v>243</v>
      </c>
      <c r="M12" s="19">
        <v>85</v>
      </c>
      <c r="N12" s="19">
        <v>82</v>
      </c>
      <c r="O12" s="19">
        <v>143</v>
      </c>
      <c r="P12" s="19">
        <v>479</v>
      </c>
      <c r="Q12" s="19">
        <v>494</v>
      </c>
      <c r="R12" s="19">
        <v>876</v>
      </c>
      <c r="S12" s="19">
        <f>1663+3</f>
        <v>1666</v>
      </c>
      <c r="T12" s="19">
        <f>1300+610</f>
        <v>1910</v>
      </c>
      <c r="U12" s="21">
        <f>470+1427</f>
        <v>1897</v>
      </c>
      <c r="V12" s="21">
        <f>1175+2130</f>
        <v>3305</v>
      </c>
      <c r="W12" s="21">
        <f>1036+2983</f>
        <v>4019</v>
      </c>
      <c r="X12" s="22"/>
      <c r="Y12" s="20"/>
    </row>
    <row r="13" spans="1:43" x14ac:dyDescent="0.15">
      <c r="A13" s="15" t="s">
        <v>246</v>
      </c>
      <c r="B13" s="15"/>
      <c r="C13" s="21" t="s">
        <v>243</v>
      </c>
      <c r="D13" s="21" t="s">
        <v>243</v>
      </c>
      <c r="E13" s="19">
        <v>65</v>
      </c>
      <c r="F13" s="19">
        <v>104</v>
      </c>
      <c r="G13" s="19">
        <v>55</v>
      </c>
      <c r="H13" s="19">
        <v>396</v>
      </c>
      <c r="I13" s="19">
        <v>567</v>
      </c>
      <c r="J13" s="19">
        <v>1569</v>
      </c>
      <c r="K13" s="19">
        <v>1177</v>
      </c>
      <c r="L13" s="19">
        <v>1519</v>
      </c>
      <c r="M13" s="19">
        <v>2032</v>
      </c>
      <c r="N13" s="19">
        <v>1494</v>
      </c>
      <c r="O13" s="19">
        <v>1991</v>
      </c>
      <c r="P13" s="19">
        <v>4041</v>
      </c>
      <c r="Q13" s="19">
        <v>10131</v>
      </c>
      <c r="R13" s="19">
        <v>14520</v>
      </c>
      <c r="S13" s="19">
        <v>19654</v>
      </c>
      <c r="T13" s="19">
        <v>26147</v>
      </c>
      <c r="U13" s="19">
        <v>41934.400000000001</v>
      </c>
      <c r="V13" s="19">
        <v>42545</v>
      </c>
      <c r="W13" s="19">
        <v>52000</v>
      </c>
      <c r="X13" s="20"/>
      <c r="Y13" s="20"/>
    </row>
    <row r="14" spans="1:43" x14ac:dyDescent="0.15">
      <c r="A14" s="15" t="s">
        <v>247</v>
      </c>
      <c r="B14" s="15"/>
      <c r="C14" s="21" t="s">
        <v>243</v>
      </c>
      <c r="D14" s="21" t="s">
        <v>243</v>
      </c>
      <c r="E14" s="21" t="s">
        <v>243</v>
      </c>
      <c r="F14" s="21" t="s">
        <v>243</v>
      </c>
      <c r="G14" s="21" t="s">
        <v>243</v>
      </c>
      <c r="H14" s="19">
        <v>596</v>
      </c>
      <c r="I14" s="19">
        <f>1336+447</f>
        <v>1783</v>
      </c>
      <c r="J14" s="19">
        <f>1019+376</f>
        <v>1395</v>
      </c>
      <c r="K14" s="19">
        <f>1774+233</f>
        <v>2007</v>
      </c>
      <c r="L14" s="19">
        <f>2094+96</f>
        <v>2190</v>
      </c>
      <c r="M14" s="19">
        <f>6813+480</f>
        <v>7293</v>
      </c>
      <c r="N14" s="19">
        <f>446+337</f>
        <v>783</v>
      </c>
      <c r="O14" s="21" t="s">
        <v>243</v>
      </c>
      <c r="P14" s="21" t="s">
        <v>243</v>
      </c>
      <c r="Q14" s="19">
        <f>30250+1550</f>
        <v>31800</v>
      </c>
      <c r="R14" s="19">
        <f>21450+2947</f>
        <v>24397</v>
      </c>
      <c r="S14" s="19">
        <f>24000+4014</f>
        <v>28014</v>
      </c>
      <c r="T14" s="19">
        <f>32500+3760</f>
        <v>36260</v>
      </c>
      <c r="U14" s="19">
        <v>68072</v>
      </c>
      <c r="V14" s="19">
        <v>80000</v>
      </c>
      <c r="W14" s="19">
        <v>118000</v>
      </c>
      <c r="X14" s="20"/>
      <c r="Y14" s="20"/>
    </row>
    <row r="15" spans="1:43" x14ac:dyDescent="0.15">
      <c r="A15" s="15" t="s">
        <v>248</v>
      </c>
      <c r="B15" s="15"/>
      <c r="C15" s="21" t="s">
        <v>243</v>
      </c>
      <c r="D15" s="21" t="s">
        <v>243</v>
      </c>
      <c r="E15" s="21" t="s">
        <v>243</v>
      </c>
      <c r="F15" s="21" t="s">
        <v>243</v>
      </c>
      <c r="G15" s="21" t="s">
        <v>243</v>
      </c>
      <c r="H15" s="21" t="s">
        <v>243</v>
      </c>
      <c r="I15" s="21" t="s">
        <v>243</v>
      </c>
      <c r="J15" s="19">
        <v>276</v>
      </c>
      <c r="K15" s="19">
        <v>505</v>
      </c>
      <c r="L15" s="19">
        <v>918</v>
      </c>
      <c r="M15" s="19">
        <f>1276+692</f>
        <v>1968</v>
      </c>
      <c r="N15" s="19">
        <v>9</v>
      </c>
      <c r="O15" s="19">
        <f>324+322+2</f>
        <v>648</v>
      </c>
      <c r="P15" s="19">
        <f>834+816+3</f>
        <v>1653</v>
      </c>
      <c r="Q15" s="19">
        <f>200+3209+638+8</f>
        <v>4055</v>
      </c>
      <c r="R15" s="19">
        <f>3899+801+465</f>
        <v>5165</v>
      </c>
      <c r="S15" s="19">
        <f>300+2516+1166+13</f>
        <v>3995</v>
      </c>
      <c r="T15" s="19">
        <f>195+839+18</f>
        <v>1052</v>
      </c>
      <c r="U15" s="21">
        <f>36+305+208+48</f>
        <v>597</v>
      </c>
      <c r="V15" s="21">
        <f>75+350+120+54</f>
        <v>599</v>
      </c>
      <c r="W15" s="21">
        <f>118+372+113+57</f>
        <v>660</v>
      </c>
      <c r="X15" s="22"/>
      <c r="Y15" s="20"/>
    </row>
    <row r="16" spans="1:43" x14ac:dyDescent="0.15">
      <c r="A16" s="15" t="s">
        <v>249</v>
      </c>
      <c r="B16" s="15"/>
      <c r="C16" s="21" t="s">
        <v>243</v>
      </c>
      <c r="D16" s="21" t="s">
        <v>243</v>
      </c>
      <c r="E16" s="19">
        <v>32</v>
      </c>
      <c r="F16" s="19">
        <v>107</v>
      </c>
      <c r="G16" s="19">
        <v>88</v>
      </c>
      <c r="H16" s="19">
        <v>290</v>
      </c>
      <c r="I16" s="19">
        <v>444</v>
      </c>
      <c r="J16" s="19">
        <v>601</v>
      </c>
      <c r="K16" s="19">
        <v>950</v>
      </c>
      <c r="L16" s="19">
        <v>1938</v>
      </c>
      <c r="M16" s="19">
        <v>2355</v>
      </c>
      <c r="N16" s="19">
        <v>1642</v>
      </c>
      <c r="O16" s="19">
        <v>2403</v>
      </c>
      <c r="P16" s="19">
        <v>3630</v>
      </c>
      <c r="Q16" s="19">
        <v>4425</v>
      </c>
      <c r="R16" s="19">
        <v>6803</v>
      </c>
      <c r="S16" s="19">
        <v>45119</v>
      </c>
      <c r="T16" s="19">
        <v>98159</v>
      </c>
      <c r="U16" s="19">
        <v>95529.4</v>
      </c>
      <c r="V16" s="19">
        <v>97447</v>
      </c>
      <c r="W16" s="19">
        <v>110000</v>
      </c>
      <c r="X16" s="20"/>
      <c r="Y16" s="20"/>
      <c r="Z16" s="15" t="s">
        <v>250</v>
      </c>
    </row>
    <row r="17" spans="1:25" x14ac:dyDescent="0.15">
      <c r="A17" s="15" t="s">
        <v>27</v>
      </c>
      <c r="B17" s="15"/>
      <c r="C17" s="19">
        <v>16</v>
      </c>
      <c r="D17" s="19">
        <v>26</v>
      </c>
      <c r="E17" s="19">
        <v>25</v>
      </c>
      <c r="F17" s="19">
        <v>53</v>
      </c>
      <c r="G17" s="19">
        <v>67</v>
      </c>
      <c r="H17" s="19">
        <v>83</v>
      </c>
      <c r="I17" s="19">
        <v>180</v>
      </c>
      <c r="J17" s="19">
        <v>76</v>
      </c>
      <c r="K17" s="19">
        <v>117</v>
      </c>
      <c r="L17" s="19">
        <v>251</v>
      </c>
      <c r="M17" s="19">
        <v>496</v>
      </c>
      <c r="N17" s="19">
        <v>935</v>
      </c>
      <c r="O17" s="19">
        <v>490</v>
      </c>
      <c r="P17" s="19">
        <v>855</v>
      </c>
      <c r="Q17" s="19">
        <v>1574</v>
      </c>
      <c r="R17" s="19">
        <v>1427</v>
      </c>
      <c r="S17" s="19">
        <v>916</v>
      </c>
      <c r="T17" s="19">
        <v>426</v>
      </c>
      <c r="U17" s="21">
        <v>294</v>
      </c>
      <c r="V17" s="21">
        <v>212</v>
      </c>
      <c r="W17" s="21">
        <v>60</v>
      </c>
      <c r="X17" s="22"/>
      <c r="Y17" s="20"/>
    </row>
    <row r="18" spans="1:25" x14ac:dyDescent="0.15">
      <c r="C18" s="19"/>
      <c r="D18" s="19"/>
      <c r="E18" s="19"/>
      <c r="F18" s="19"/>
      <c r="G18" s="19"/>
      <c r="H18" s="19"/>
      <c r="I18" s="19"/>
      <c r="J18" s="19"/>
      <c r="K18" s="19"/>
      <c r="L18" s="19"/>
      <c r="M18" s="19"/>
      <c r="N18" s="19"/>
      <c r="O18" s="19"/>
      <c r="P18" s="19"/>
      <c r="Q18" s="19"/>
      <c r="R18" s="19"/>
      <c r="S18" s="19"/>
      <c r="T18" s="19"/>
      <c r="U18" s="19"/>
      <c r="V18" s="19"/>
      <c r="W18" s="19"/>
      <c r="X18" s="20"/>
      <c r="Y18" s="20"/>
    </row>
    <row r="19" spans="1:25" x14ac:dyDescent="0.15">
      <c r="A19" s="24" t="s">
        <v>251</v>
      </c>
      <c r="B19" s="24"/>
      <c r="C19" s="19">
        <f t="shared" ref="C19:R19" si="0">SUM(C5:C18)</f>
        <v>56420</v>
      </c>
      <c r="D19" s="19">
        <f t="shared" si="0"/>
        <v>57724</v>
      </c>
      <c r="E19" s="19">
        <f t="shared" si="0"/>
        <v>87464</v>
      </c>
      <c r="F19" s="19">
        <f t="shared" si="0"/>
        <v>111931</v>
      </c>
      <c r="G19" s="19">
        <f t="shared" si="0"/>
        <v>144420</v>
      </c>
      <c r="H19" s="19">
        <f t="shared" si="0"/>
        <v>122298</v>
      </c>
      <c r="I19" s="19">
        <f t="shared" si="0"/>
        <v>121847</v>
      </c>
      <c r="J19" s="19">
        <f t="shared" si="0"/>
        <v>148976</v>
      </c>
      <c r="K19" s="19">
        <f t="shared" si="0"/>
        <v>173682</v>
      </c>
      <c r="L19" s="19">
        <f t="shared" si="0"/>
        <v>136015</v>
      </c>
      <c r="M19" s="19">
        <f t="shared" si="0"/>
        <v>197325</v>
      </c>
      <c r="N19" s="19">
        <f t="shared" si="0"/>
        <v>145958</v>
      </c>
      <c r="O19" s="19">
        <f t="shared" si="0"/>
        <v>236760</v>
      </c>
      <c r="P19" s="19">
        <f t="shared" si="0"/>
        <v>345319</v>
      </c>
      <c r="Q19" s="19">
        <f t="shared" si="0"/>
        <v>466833</v>
      </c>
      <c r="R19" s="19">
        <f t="shared" si="0"/>
        <v>557066</v>
      </c>
      <c r="S19" s="19">
        <f>SUM(S5:S18)</f>
        <v>688779</v>
      </c>
      <c r="T19" s="19">
        <f>SUM(T5:T18)</f>
        <v>864674</v>
      </c>
      <c r="U19" s="19">
        <f>SUM(U5:U18)</f>
        <v>950455.4</v>
      </c>
      <c r="V19" s="19">
        <f>SUM(V5:V18)</f>
        <v>971038</v>
      </c>
      <c r="W19" s="19">
        <f>SUM(W5:W18)</f>
        <v>1075968</v>
      </c>
      <c r="X19" s="20"/>
      <c r="Y19" s="20"/>
    </row>
    <row r="20" spans="1:25" x14ac:dyDescent="0.15">
      <c r="C20" s="19"/>
      <c r="D20" s="19"/>
      <c r="E20" s="19"/>
      <c r="F20" s="19"/>
      <c r="G20" s="19"/>
      <c r="H20" s="19"/>
      <c r="I20" s="19"/>
      <c r="J20" s="19"/>
      <c r="K20" s="19"/>
      <c r="L20" s="19"/>
      <c r="M20" s="19"/>
      <c r="N20" s="19"/>
      <c r="O20" s="19"/>
      <c r="P20" s="19"/>
      <c r="Q20" s="19"/>
      <c r="R20" s="19"/>
      <c r="S20" s="19"/>
      <c r="T20" s="19"/>
      <c r="U20" s="19"/>
      <c r="V20" s="19"/>
      <c r="W20" s="19"/>
      <c r="X20" s="20"/>
      <c r="Y20" s="20"/>
    </row>
    <row r="21" spans="1:25" x14ac:dyDescent="0.15">
      <c r="A21" s="25" t="s">
        <v>252</v>
      </c>
      <c r="B21" s="25"/>
      <c r="C21" s="19"/>
      <c r="D21" s="19"/>
      <c r="E21" s="19"/>
      <c r="F21" s="19"/>
      <c r="G21" s="19"/>
      <c r="H21" s="19"/>
      <c r="I21" s="19"/>
      <c r="J21" s="19"/>
      <c r="K21" s="19"/>
      <c r="L21" s="19"/>
      <c r="M21" s="19"/>
      <c r="N21" s="19"/>
      <c r="O21" s="19"/>
      <c r="P21" s="19"/>
      <c r="Q21" s="19"/>
      <c r="R21" s="19"/>
      <c r="S21" s="19"/>
      <c r="T21" s="19"/>
      <c r="U21" s="19"/>
      <c r="V21" s="19"/>
      <c r="W21" s="19"/>
      <c r="X21" s="20"/>
      <c r="Y21" s="20"/>
    </row>
    <row r="22" spans="1:25" x14ac:dyDescent="0.15">
      <c r="A22" s="15" t="s">
        <v>253</v>
      </c>
      <c r="B22" s="15"/>
      <c r="C22" s="19">
        <v>58000</v>
      </c>
      <c r="D22" s="21" t="s">
        <v>243</v>
      </c>
      <c r="E22" s="19">
        <v>92000</v>
      </c>
      <c r="F22" s="21" t="s">
        <v>243</v>
      </c>
      <c r="G22" s="19">
        <v>178000</v>
      </c>
      <c r="H22" s="21" t="s">
        <v>243</v>
      </c>
      <c r="I22" s="19">
        <v>127000</v>
      </c>
      <c r="J22" s="21" t="s">
        <v>243</v>
      </c>
      <c r="K22" s="19">
        <v>203000</v>
      </c>
      <c r="L22" s="21" t="s">
        <v>243</v>
      </c>
      <c r="M22" s="19">
        <v>204000</v>
      </c>
      <c r="N22" s="21" t="s">
        <v>243</v>
      </c>
      <c r="O22" s="19">
        <v>245000</v>
      </c>
      <c r="P22" s="21" t="s">
        <v>243</v>
      </c>
      <c r="Q22" s="21" t="s">
        <v>243</v>
      </c>
      <c r="R22" s="21" t="s">
        <v>243</v>
      </c>
      <c r="S22" s="21" t="s">
        <v>243</v>
      </c>
      <c r="T22" s="21" t="s">
        <v>243</v>
      </c>
      <c r="U22" s="21" t="s">
        <v>243</v>
      </c>
      <c r="V22" s="21" t="s">
        <v>243</v>
      </c>
      <c r="W22" s="21" t="s">
        <v>243</v>
      </c>
      <c r="X22" s="22"/>
      <c r="Y22" s="20"/>
    </row>
    <row r="23" spans="1:25" x14ac:dyDescent="0.15">
      <c r="A23" s="16" t="s">
        <v>254</v>
      </c>
      <c r="B23" s="16"/>
      <c r="C23" s="26" t="s">
        <v>243</v>
      </c>
      <c r="D23" s="26" t="s">
        <v>243</v>
      </c>
      <c r="E23" s="26" t="s">
        <v>243</v>
      </c>
      <c r="F23" s="26" t="s">
        <v>243</v>
      </c>
      <c r="G23" s="26" t="s">
        <v>243</v>
      </c>
      <c r="H23" s="26" t="s">
        <v>243</v>
      </c>
      <c r="I23" s="26" t="s">
        <v>243</v>
      </c>
      <c r="J23" s="26" t="s">
        <v>243</v>
      </c>
      <c r="K23" s="26" t="s">
        <v>243</v>
      </c>
      <c r="L23" s="26" t="s">
        <v>243</v>
      </c>
      <c r="M23" s="26" t="s">
        <v>243</v>
      </c>
      <c r="N23" s="26" t="s">
        <v>243</v>
      </c>
      <c r="O23" s="26" t="s">
        <v>243</v>
      </c>
      <c r="P23" s="26" t="s">
        <v>243</v>
      </c>
      <c r="Q23" s="26" t="s">
        <v>243</v>
      </c>
      <c r="R23" s="26" t="s">
        <v>243</v>
      </c>
      <c r="S23" s="26" t="s">
        <v>243</v>
      </c>
      <c r="T23" s="26" t="s">
        <v>243</v>
      </c>
      <c r="U23" s="26" t="s">
        <v>243</v>
      </c>
      <c r="V23" s="26" t="s">
        <v>243</v>
      </c>
      <c r="W23" s="17">
        <v>983000</v>
      </c>
      <c r="X23" s="27"/>
    </row>
    <row r="24" spans="1:25" x14ac:dyDescent="0.15">
      <c r="C24" s="18"/>
      <c r="D24" s="18"/>
      <c r="E24" s="18"/>
      <c r="F24" s="18"/>
      <c r="G24" s="18"/>
      <c r="H24" s="18"/>
      <c r="I24" s="18"/>
      <c r="J24" s="18"/>
      <c r="K24" s="18"/>
      <c r="L24" s="18"/>
      <c r="M24" s="18"/>
      <c r="N24" s="18"/>
      <c r="O24" s="18"/>
      <c r="P24" s="18"/>
      <c r="Q24" s="18"/>
      <c r="R24" s="18"/>
      <c r="S24" s="18"/>
      <c r="T24" s="18"/>
      <c r="U24" s="18"/>
      <c r="V24" s="18"/>
      <c r="W24" s="18"/>
      <c r="X24" s="28"/>
    </row>
    <row r="25" spans="1:25" x14ac:dyDescent="0.15">
      <c r="A25" s="29" t="s">
        <v>255</v>
      </c>
      <c r="B25" s="29"/>
      <c r="C25" s="18"/>
      <c r="D25" s="18"/>
      <c r="E25" s="18"/>
      <c r="F25" s="18"/>
      <c r="G25" s="18"/>
      <c r="H25" s="18"/>
      <c r="I25" s="18"/>
      <c r="J25" s="18"/>
      <c r="K25" s="18"/>
      <c r="L25" s="18"/>
      <c r="M25" s="18"/>
      <c r="N25" s="18"/>
      <c r="O25" s="18"/>
      <c r="P25" s="18"/>
      <c r="Q25" s="18"/>
      <c r="R25" s="18"/>
      <c r="S25" s="18"/>
      <c r="T25" s="18"/>
      <c r="U25" s="18"/>
      <c r="V25" s="18"/>
      <c r="W25" s="18"/>
    </row>
    <row r="26" spans="1:25" x14ac:dyDescent="0.15">
      <c r="C26" s="18"/>
      <c r="D26" s="18"/>
      <c r="E26" s="18"/>
      <c r="F26" s="18"/>
      <c r="G26" s="18"/>
      <c r="H26" s="18"/>
      <c r="I26" s="18"/>
      <c r="J26" s="18"/>
      <c r="K26" s="18"/>
      <c r="L26" s="18"/>
      <c r="M26" s="18"/>
      <c r="N26" s="18"/>
      <c r="O26" s="18"/>
      <c r="P26" s="18"/>
      <c r="Q26" s="18"/>
      <c r="R26" s="18"/>
      <c r="S26" s="18"/>
      <c r="T26" s="18"/>
      <c r="U26" s="18"/>
      <c r="V26" s="18"/>
      <c r="W26" s="18"/>
    </row>
    <row r="27" spans="1:25" x14ac:dyDescent="0.15">
      <c r="A27" s="15" t="s">
        <v>256</v>
      </c>
      <c r="B27" s="15"/>
      <c r="C27" s="18"/>
      <c r="D27" s="18"/>
      <c r="E27" s="18"/>
      <c r="F27" s="18"/>
      <c r="G27" s="18"/>
      <c r="H27" s="18"/>
      <c r="I27" s="18"/>
      <c r="J27" s="18"/>
      <c r="K27" s="18"/>
      <c r="L27" s="18"/>
      <c r="M27" s="18"/>
      <c r="N27" s="18"/>
      <c r="O27" s="18"/>
      <c r="P27" s="18"/>
      <c r="Q27" s="18"/>
      <c r="R27" s="18"/>
      <c r="S27" s="18"/>
      <c r="T27" s="18"/>
      <c r="U27" s="18"/>
      <c r="V27" s="18"/>
      <c r="W27" s="18"/>
    </row>
    <row r="28" spans="1:25" x14ac:dyDescent="0.15">
      <c r="A28" s="29" t="s">
        <v>257</v>
      </c>
      <c r="B28" s="29"/>
      <c r="C28" s="18"/>
      <c r="D28" s="18"/>
      <c r="E28" s="18"/>
      <c r="F28" s="18"/>
      <c r="G28" s="18"/>
      <c r="H28" s="18"/>
      <c r="I28" s="18"/>
      <c r="J28" s="18"/>
      <c r="K28" s="18"/>
      <c r="L28" s="18"/>
      <c r="M28" s="18"/>
      <c r="N28" s="18"/>
      <c r="O28" s="18"/>
      <c r="P28" s="18"/>
      <c r="Q28" s="18"/>
      <c r="R28" s="18"/>
      <c r="S28" s="18"/>
      <c r="T28" s="18"/>
      <c r="U28" s="18"/>
      <c r="V28" s="18"/>
      <c r="W28" s="18"/>
    </row>
    <row r="29" spans="1:25" x14ac:dyDescent="0.15">
      <c r="A29" s="30" t="s">
        <v>258</v>
      </c>
      <c r="B29" s="30"/>
      <c r="C29" s="18"/>
      <c r="D29" s="18"/>
      <c r="E29" s="18"/>
      <c r="F29" s="18"/>
      <c r="G29" s="18"/>
      <c r="H29" s="18"/>
      <c r="I29" s="18"/>
      <c r="J29" s="18"/>
      <c r="K29" s="18"/>
      <c r="L29" s="18"/>
      <c r="M29" s="18"/>
      <c r="N29" s="18"/>
      <c r="O29" s="18"/>
      <c r="P29" s="18"/>
      <c r="Q29" s="18"/>
      <c r="R29" s="18"/>
      <c r="S29" s="18"/>
      <c r="T29" s="18"/>
      <c r="U29" s="18"/>
      <c r="V29" s="18"/>
      <c r="W29" s="18"/>
    </row>
    <row r="30" spans="1:25" x14ac:dyDescent="0.15">
      <c r="C30" s="18"/>
      <c r="D30" s="18"/>
      <c r="E30" s="18"/>
      <c r="F30" s="18"/>
      <c r="G30" s="18"/>
      <c r="H30" s="18"/>
      <c r="I30" s="18"/>
      <c r="J30" s="18"/>
      <c r="K30" s="18"/>
      <c r="L30" s="18"/>
      <c r="M30" s="18"/>
      <c r="N30" s="18"/>
      <c r="O30" s="18"/>
      <c r="P30" s="18"/>
      <c r="Q30" s="18"/>
      <c r="R30" s="18"/>
      <c r="S30" s="18"/>
      <c r="T30" s="18"/>
      <c r="U30" s="18"/>
      <c r="V30" s="18"/>
      <c r="W30" s="18"/>
    </row>
    <row r="31" spans="1:25" x14ac:dyDescent="0.15">
      <c r="C31" s="18"/>
      <c r="D31" s="18"/>
      <c r="E31" s="18"/>
      <c r="F31" s="18"/>
      <c r="G31" s="18"/>
      <c r="H31" s="18"/>
      <c r="I31" s="18"/>
      <c r="J31" s="18"/>
      <c r="K31" s="18"/>
      <c r="L31" s="18"/>
      <c r="M31" s="18"/>
      <c r="N31" s="18"/>
      <c r="O31" s="18"/>
      <c r="P31" s="18"/>
      <c r="Q31" s="18"/>
      <c r="R31" s="18"/>
      <c r="S31" s="18"/>
      <c r="T31" s="18"/>
      <c r="U31" s="18"/>
      <c r="V31" s="18"/>
      <c r="W31" s="18"/>
    </row>
    <row r="32" spans="1:25" x14ac:dyDescent="0.15">
      <c r="A32" s="13" t="s">
        <v>259</v>
      </c>
      <c r="B32" s="13"/>
      <c r="C32" s="18"/>
      <c r="D32" s="18"/>
      <c r="E32" s="18"/>
      <c r="F32" s="18"/>
      <c r="G32" s="18"/>
      <c r="H32" s="18"/>
      <c r="I32" s="18"/>
      <c r="J32" s="18"/>
      <c r="K32" s="18"/>
      <c r="L32" s="18"/>
      <c r="M32" s="18"/>
      <c r="N32" s="18"/>
      <c r="O32" s="18"/>
      <c r="P32" s="18"/>
      <c r="Q32" s="18"/>
      <c r="R32" s="18"/>
      <c r="S32" s="18"/>
      <c r="T32" s="18"/>
      <c r="U32" s="18"/>
      <c r="V32" s="18"/>
      <c r="W32" s="18"/>
    </row>
    <row r="33" spans="1:25" x14ac:dyDescent="0.15">
      <c r="C33" s="18"/>
      <c r="D33" s="18"/>
      <c r="E33" s="18"/>
      <c r="F33" s="18"/>
      <c r="G33" s="18"/>
      <c r="H33" s="18"/>
      <c r="I33" s="18"/>
      <c r="J33" s="18"/>
      <c r="K33" s="18"/>
      <c r="L33" s="18"/>
      <c r="M33" s="18"/>
      <c r="N33" s="18"/>
      <c r="O33" s="18"/>
      <c r="P33" s="18"/>
      <c r="Q33" s="18"/>
      <c r="R33" s="18"/>
      <c r="S33" s="18"/>
      <c r="T33" s="18"/>
      <c r="U33" s="18"/>
      <c r="V33" s="18"/>
      <c r="W33" s="18"/>
    </row>
    <row r="34" spans="1:25" x14ac:dyDescent="0.15">
      <c r="B34" s="14" t="s">
        <v>266</v>
      </c>
      <c r="C34" s="18">
        <v>1890</v>
      </c>
      <c r="D34" s="18">
        <v>1895</v>
      </c>
      <c r="E34" s="18">
        <v>1900</v>
      </c>
      <c r="F34" s="18">
        <v>1905</v>
      </c>
      <c r="G34" s="18">
        <f>E34+10</f>
        <v>1910</v>
      </c>
      <c r="H34" s="18">
        <v>1915</v>
      </c>
      <c r="I34" s="18">
        <f>G34+10</f>
        <v>1920</v>
      </c>
      <c r="J34" s="18">
        <v>1925</v>
      </c>
      <c r="K34" s="18">
        <f>I34+10</f>
        <v>1930</v>
      </c>
      <c r="L34" s="18">
        <v>1935</v>
      </c>
      <c r="M34" s="18">
        <f>K34+10</f>
        <v>1940</v>
      </c>
      <c r="N34" s="18">
        <v>1945</v>
      </c>
      <c r="O34" s="18">
        <f>M34+10</f>
        <v>1950</v>
      </c>
      <c r="P34" s="18">
        <v>1955</v>
      </c>
      <c r="Q34" s="18">
        <f>O34+10</f>
        <v>1960</v>
      </c>
      <c r="R34" s="18">
        <v>1965</v>
      </c>
      <c r="S34" s="18">
        <f>Q34+10</f>
        <v>1970</v>
      </c>
      <c r="T34" s="18">
        <v>1975</v>
      </c>
      <c r="U34" s="18">
        <v>1980</v>
      </c>
      <c r="V34" s="18">
        <v>1985</v>
      </c>
      <c r="W34" s="18">
        <v>1990</v>
      </c>
    </row>
    <row r="35" spans="1:25" x14ac:dyDescent="0.15">
      <c r="C35" s="18"/>
      <c r="D35" s="18"/>
      <c r="E35" s="18"/>
      <c r="F35" s="18"/>
      <c r="G35" s="18"/>
      <c r="H35" s="18"/>
      <c r="I35" s="18"/>
      <c r="J35" s="18"/>
      <c r="K35" s="18"/>
      <c r="L35" s="18"/>
      <c r="M35" s="18"/>
      <c r="N35" s="18"/>
      <c r="O35" s="18"/>
      <c r="P35" s="18"/>
      <c r="Q35" s="18"/>
      <c r="R35" s="18"/>
      <c r="S35" s="18"/>
      <c r="T35" s="18"/>
      <c r="U35" s="18"/>
      <c r="V35" s="18"/>
      <c r="W35" s="18"/>
    </row>
    <row r="36" spans="1:25" x14ac:dyDescent="0.15">
      <c r="A36" s="15" t="s">
        <v>11</v>
      </c>
      <c r="B36" s="15"/>
      <c r="C36" s="19">
        <v>20</v>
      </c>
      <c r="D36" s="19">
        <v>39</v>
      </c>
      <c r="E36" s="19">
        <v>90</v>
      </c>
      <c r="F36" s="19">
        <v>477</v>
      </c>
      <c r="G36" s="19">
        <v>726</v>
      </c>
      <c r="H36" s="19">
        <v>829</v>
      </c>
      <c r="I36" s="19">
        <v>1015</v>
      </c>
      <c r="J36" s="19">
        <v>606</v>
      </c>
      <c r="K36" s="19">
        <v>825</v>
      </c>
      <c r="L36" s="19">
        <v>667</v>
      </c>
      <c r="M36" s="19">
        <v>1323</v>
      </c>
      <c r="N36" s="19">
        <v>1769</v>
      </c>
      <c r="O36" s="19">
        <v>2266</v>
      </c>
      <c r="P36" s="19">
        <v>3089</v>
      </c>
      <c r="Q36" s="19">
        <v>4025</v>
      </c>
      <c r="R36" s="19">
        <v>6582</v>
      </c>
      <c r="S36" s="19">
        <v>8424</v>
      </c>
      <c r="T36" s="19">
        <v>9309</v>
      </c>
      <c r="U36" s="21">
        <v>11182</v>
      </c>
      <c r="V36" s="21">
        <v>9887</v>
      </c>
      <c r="W36" s="21">
        <v>9739</v>
      </c>
      <c r="X36" s="22"/>
      <c r="Y36" s="20"/>
    </row>
    <row r="37" spans="1:25" x14ac:dyDescent="0.15">
      <c r="A37" s="15" t="s">
        <v>235</v>
      </c>
      <c r="B37" s="15"/>
      <c r="C37" s="19">
        <v>9350</v>
      </c>
      <c r="D37" s="19">
        <v>9598</v>
      </c>
      <c r="E37" s="19">
        <v>14011</v>
      </c>
      <c r="F37" s="19">
        <v>23361</v>
      </c>
      <c r="G37" s="19">
        <v>27742</v>
      </c>
      <c r="H37" s="19">
        <v>30396</v>
      </c>
      <c r="I37" s="19">
        <v>37519</v>
      </c>
      <c r="J37" s="19">
        <v>37289</v>
      </c>
      <c r="K37" s="19">
        <v>32261</v>
      </c>
      <c r="L37" s="19">
        <v>21175</v>
      </c>
      <c r="M37" s="19">
        <v>43027</v>
      </c>
      <c r="N37" s="19">
        <v>49855</v>
      </c>
      <c r="O37" s="19">
        <v>60211</v>
      </c>
      <c r="P37" s="19">
        <v>71906</v>
      </c>
      <c r="Q37" s="19">
        <v>62250</v>
      </c>
      <c r="R37" s="19">
        <v>82480</v>
      </c>
      <c r="S37" s="19">
        <v>85141</v>
      </c>
      <c r="T37" s="19">
        <v>74342</v>
      </c>
      <c r="U37" s="21">
        <v>63748</v>
      </c>
      <c r="V37" s="21">
        <v>46789</v>
      </c>
      <c r="W37" s="19">
        <v>50676</v>
      </c>
      <c r="X37" s="20"/>
      <c r="Y37" s="20"/>
    </row>
    <row r="38" spans="1:25" x14ac:dyDescent="0.15">
      <c r="A38" s="15" t="s">
        <v>236</v>
      </c>
      <c r="B38" s="15" t="s">
        <v>285</v>
      </c>
      <c r="C38" s="21">
        <v>0</v>
      </c>
      <c r="D38" s="21">
        <v>0</v>
      </c>
      <c r="E38" s="21">
        <v>0</v>
      </c>
      <c r="F38" s="21">
        <v>0</v>
      </c>
      <c r="G38" s="19">
        <v>45</v>
      </c>
      <c r="H38" s="21">
        <v>0</v>
      </c>
      <c r="I38" s="19">
        <v>42</v>
      </c>
      <c r="J38" s="19">
        <f>49+30</f>
        <v>79</v>
      </c>
      <c r="K38" s="19">
        <f>58+35</f>
        <v>93</v>
      </c>
      <c r="L38" s="19">
        <f>63+64</f>
        <v>127</v>
      </c>
      <c r="M38" s="19">
        <f>92+186+7</f>
        <v>285</v>
      </c>
      <c r="N38" s="19">
        <f>210+3+260+14</f>
        <v>487</v>
      </c>
      <c r="O38" s="19">
        <f>227+18+729+110</f>
        <v>1084</v>
      </c>
      <c r="P38" s="19">
        <f>312+35+1087+256+99</f>
        <v>1789</v>
      </c>
      <c r="Q38" s="19">
        <f>227+181+1783+266+280+39</f>
        <v>2776</v>
      </c>
      <c r="R38" s="19">
        <f>985+663+2590+309+199+20+334</f>
        <v>5100</v>
      </c>
      <c r="S38" s="19">
        <f>2353+815+4296+481+229+77+510</f>
        <v>8761</v>
      </c>
      <c r="T38" s="19">
        <f>3082+1043+7394+417+293+307+535</f>
        <v>13071</v>
      </c>
      <c r="U38" s="21">
        <f>5330+1080+13116+708+280+263+559</f>
        <v>21336</v>
      </c>
      <c r="V38" s="21">
        <f>5331+1351+19240+587+235+207+528</f>
        <v>27479</v>
      </c>
      <c r="W38" s="21">
        <f>5564+1640+24172+794+352+253+588</f>
        <v>33363</v>
      </c>
      <c r="X38" s="22"/>
      <c r="Y38" s="20"/>
    </row>
    <row r="39" spans="1:25" x14ac:dyDescent="0.15">
      <c r="A39" s="15" t="s">
        <v>238</v>
      </c>
      <c r="B39" s="15"/>
      <c r="C39" s="21">
        <v>0</v>
      </c>
      <c r="D39" s="21">
        <v>0</v>
      </c>
      <c r="E39" s="21">
        <v>0</v>
      </c>
      <c r="F39" s="21">
        <v>0</v>
      </c>
      <c r="G39" s="21">
        <v>0</v>
      </c>
      <c r="H39" s="21">
        <v>0</v>
      </c>
      <c r="I39" s="21">
        <v>0</v>
      </c>
      <c r="J39" s="21">
        <v>0</v>
      </c>
      <c r="K39" s="19">
        <v>31</v>
      </c>
      <c r="L39" s="19">
        <v>173</v>
      </c>
      <c r="M39" s="19">
        <v>304</v>
      </c>
      <c r="N39" s="19">
        <v>556</v>
      </c>
      <c r="O39" s="19">
        <f>733+34</f>
        <v>767</v>
      </c>
      <c r="P39" s="19">
        <f>1301+57</f>
        <v>1358</v>
      </c>
      <c r="Q39" s="19">
        <f>143+2000+86</f>
        <v>2229</v>
      </c>
      <c r="R39" s="19">
        <f>200+3603+250</f>
        <v>4053</v>
      </c>
      <c r="S39" s="19">
        <f>409+300+4328+125+250</f>
        <v>5412</v>
      </c>
      <c r="T39" s="19">
        <f>399+275+5925+148+310</f>
        <v>7057</v>
      </c>
      <c r="U39" s="21">
        <f>669+254+8847+152+612</f>
        <v>10534</v>
      </c>
      <c r="V39" s="21">
        <f>1477+93+8563+141+886</f>
        <v>11160</v>
      </c>
      <c r="W39" s="21">
        <f>1215+140+8503+133+852</f>
        <v>10843</v>
      </c>
      <c r="X39" s="22"/>
      <c r="Y39" s="20"/>
    </row>
    <row r="40" spans="1:25" x14ac:dyDescent="0.15">
      <c r="A40" s="15" t="s">
        <v>240</v>
      </c>
      <c r="B40" s="15" t="s">
        <v>286</v>
      </c>
      <c r="C40" s="19">
        <v>15612</v>
      </c>
      <c r="D40" s="19">
        <f>779+829+23+2004+4770+9+695+240+463+7827</f>
        <v>17639</v>
      </c>
      <c r="E40" s="19">
        <v>21232</v>
      </c>
      <c r="F40" s="19">
        <f>1120+1311+22+3077+9507+143+1368+316+539+9762</f>
        <v>27165</v>
      </c>
      <c r="G40" s="19">
        <v>30504</v>
      </c>
      <c r="H40" s="19">
        <f>1429+68+8+584+10190+378+1591+9+440+777+8864</f>
        <v>24338</v>
      </c>
      <c r="I40" s="19">
        <v>21323</v>
      </c>
      <c r="J40" s="19">
        <f>380+2543+11+8494+10177+482+2363+118+87+528+459+6362</f>
        <v>32004</v>
      </c>
      <c r="K40" s="19">
        <v>34223</v>
      </c>
      <c r="L40" s="19">
        <f>193+3030+6+5789+12846+633+1872+254+130+341+613+6527</f>
        <v>32234</v>
      </c>
      <c r="M40" s="19">
        <v>32247</v>
      </c>
      <c r="N40" s="19">
        <f>102+735+12+35+1177+65+2083+317+25+51+479+785+3+7221</f>
        <v>13090</v>
      </c>
      <c r="O40" s="19">
        <v>37185</v>
      </c>
      <c r="P40" s="19">
        <f>1506+5385+55+114+10960+16482+1517+1525+3085+670+355+964+1247+54+12670</f>
        <v>56589</v>
      </c>
      <c r="Q40" s="19">
        <v>78865</v>
      </c>
      <c r="R40" s="19">
        <f>2200+8367+75+940+15770+26990+2338+5488+4145+2364+1090+2338+2451+25+17740</f>
        <v>92321</v>
      </c>
      <c r="S40" s="19">
        <v>109545</v>
      </c>
      <c r="T40" s="23">
        <f>+S40+(T34-$S$34)*($W40-$S40)/20</f>
        <v>107449.25</v>
      </c>
      <c r="U40" s="23">
        <f>+T40+(U34-T34)*($W40-$S40)/20</f>
        <v>105353.5</v>
      </c>
      <c r="V40" s="23">
        <f>+U40+(V34-U34)*($W40-$S40)/20</f>
        <v>103257.75</v>
      </c>
      <c r="W40" s="21">
        <f>3450+9420+2280+14400+31000+11900+2650+4960+54+339+5540+2740+129+12300</f>
        <v>101162</v>
      </c>
      <c r="X40" s="22"/>
      <c r="Y40" s="20"/>
    </row>
    <row r="41" spans="1:25" x14ac:dyDescent="0.15">
      <c r="A41" s="15" t="s">
        <v>242</v>
      </c>
      <c r="B41" s="15" t="s">
        <v>287</v>
      </c>
      <c r="C41" s="19">
        <v>299</v>
      </c>
      <c r="D41" s="19">
        <v>349</v>
      </c>
      <c r="E41" s="19">
        <v>456</v>
      </c>
      <c r="F41" s="19">
        <v>421</v>
      </c>
      <c r="G41" s="19">
        <v>502</v>
      </c>
      <c r="H41" s="19">
        <v>388</v>
      </c>
      <c r="I41" s="19">
        <f>737+412+19+6</f>
        <v>1174</v>
      </c>
      <c r="J41" s="19">
        <f>1166+93+315+64+3</f>
        <v>1641</v>
      </c>
      <c r="K41" s="19">
        <f>1437+257+478+69+35</f>
        <v>2276</v>
      </c>
      <c r="L41" s="19">
        <f>811+186+396+82+21</f>
        <v>1496</v>
      </c>
      <c r="M41" s="19">
        <v>3168</v>
      </c>
      <c r="N41" s="19">
        <f>576+44+219+54+12</f>
        <v>905</v>
      </c>
      <c r="O41" s="19">
        <v>4495</v>
      </c>
      <c r="P41" s="19">
        <f>8+2982+883+3112+570+531</f>
        <v>8086</v>
      </c>
      <c r="Q41" s="19">
        <v>12740</v>
      </c>
      <c r="R41" s="19">
        <f>695+5868+1584+5760+2019+1177</f>
        <v>17103</v>
      </c>
      <c r="S41" s="19">
        <v>21523</v>
      </c>
      <c r="T41" s="23">
        <f>+S41+(S34-$S$34)*($W41-$S41)/20</f>
        <v>21523</v>
      </c>
      <c r="U41" s="23">
        <f>+T41+(T34-$S$34)*($W41-$S41)/20</f>
        <v>23626.25</v>
      </c>
      <c r="V41" s="23">
        <f>+U41+(U34-$S$34)*($W41-$S41)/20</f>
        <v>27832.75</v>
      </c>
      <c r="W41" s="21">
        <f>96+1140+9670+1700+8660+6360+2310</f>
        <v>29936</v>
      </c>
      <c r="X41" s="22"/>
      <c r="Y41" s="20"/>
    </row>
    <row r="42" spans="1:25" x14ac:dyDescent="0.15">
      <c r="A42" s="15" t="s">
        <v>244</v>
      </c>
      <c r="B42" s="15"/>
      <c r="C42" s="19">
        <v>928</v>
      </c>
      <c r="D42" s="19">
        <v>1455</v>
      </c>
      <c r="E42" s="19">
        <v>2937</v>
      </c>
      <c r="F42" s="19">
        <v>2736</v>
      </c>
      <c r="G42" s="19">
        <v>3047</v>
      </c>
      <c r="H42" s="19">
        <v>3764</v>
      </c>
      <c r="I42" s="19">
        <v>116</v>
      </c>
      <c r="J42" s="19">
        <v>1309</v>
      </c>
      <c r="K42" s="19">
        <v>4964</v>
      </c>
      <c r="L42" s="19">
        <v>12490</v>
      </c>
      <c r="M42" s="19">
        <v>14902</v>
      </c>
      <c r="N42" s="19">
        <v>8803</v>
      </c>
      <c r="O42" s="19">
        <v>19175</v>
      </c>
      <c r="P42" s="19">
        <v>33310</v>
      </c>
      <c r="Q42" s="19">
        <v>46757</v>
      </c>
      <c r="R42" s="19">
        <v>66184</v>
      </c>
      <c r="S42" s="19">
        <v>81634</v>
      </c>
      <c r="T42" s="19">
        <v>128000</v>
      </c>
      <c r="U42" s="19">
        <v>133000</v>
      </c>
      <c r="V42" s="19">
        <v>136000</v>
      </c>
      <c r="W42" s="21">
        <v>110000</v>
      </c>
      <c r="X42" s="22"/>
      <c r="Y42" s="20"/>
    </row>
    <row r="43" spans="1:25" x14ac:dyDescent="0.15">
      <c r="A43" s="15" t="s">
        <v>245</v>
      </c>
      <c r="B43" s="15"/>
      <c r="C43" s="21">
        <v>0</v>
      </c>
      <c r="D43" s="21">
        <v>0</v>
      </c>
      <c r="E43" s="21">
        <v>0</v>
      </c>
      <c r="F43" s="21">
        <v>0</v>
      </c>
      <c r="G43" s="21">
        <v>0</v>
      </c>
      <c r="H43" s="21">
        <v>0</v>
      </c>
      <c r="I43" s="21">
        <v>0</v>
      </c>
      <c r="J43" s="21">
        <v>0</v>
      </c>
      <c r="K43" s="21">
        <v>0</v>
      </c>
      <c r="L43" s="21">
        <v>0</v>
      </c>
      <c r="M43" s="19">
        <v>83</v>
      </c>
      <c r="N43" s="19">
        <v>70</v>
      </c>
      <c r="O43" s="19">
        <v>113</v>
      </c>
      <c r="P43" s="19">
        <v>201</v>
      </c>
      <c r="Q43" s="19">
        <v>248</v>
      </c>
      <c r="R43" s="19">
        <v>500</v>
      </c>
      <c r="S43" s="19">
        <v>1298</v>
      </c>
      <c r="T43" s="19">
        <v>1369</v>
      </c>
      <c r="U43" s="21">
        <f>1396+2104</f>
        <v>3500</v>
      </c>
      <c r="V43" s="21">
        <f>1372+3478</f>
        <v>4850</v>
      </c>
      <c r="W43" s="21">
        <f>1262+13019</f>
        <v>14281</v>
      </c>
      <c r="X43" s="22"/>
      <c r="Y43" s="20"/>
    </row>
    <row r="44" spans="1:25" x14ac:dyDescent="0.15">
      <c r="A44" s="15" t="s">
        <v>246</v>
      </c>
      <c r="B44" s="15" t="s">
        <v>288</v>
      </c>
      <c r="C44" s="21">
        <v>0</v>
      </c>
      <c r="D44" s="21">
        <v>0</v>
      </c>
      <c r="E44" s="21">
        <v>0</v>
      </c>
      <c r="F44" s="21">
        <v>0</v>
      </c>
      <c r="G44" s="21">
        <v>0</v>
      </c>
      <c r="H44" s="21">
        <v>0</v>
      </c>
      <c r="I44" s="19">
        <v>317</v>
      </c>
      <c r="J44" s="19">
        <v>902</v>
      </c>
      <c r="K44" s="19">
        <v>1199</v>
      </c>
      <c r="L44" s="19">
        <v>1490</v>
      </c>
      <c r="M44" s="19">
        <v>2044</v>
      </c>
      <c r="N44" s="19">
        <v>1428</v>
      </c>
      <c r="O44" s="19">
        <v>1708</v>
      </c>
      <c r="P44" s="19">
        <v>1925</v>
      </c>
      <c r="Q44" s="19">
        <v>4275</v>
      </c>
      <c r="R44" s="19">
        <v>7124</v>
      </c>
      <c r="S44" s="19">
        <v>7118</v>
      </c>
      <c r="T44" s="19">
        <v>8558</v>
      </c>
      <c r="U44" s="21">
        <v>8718</v>
      </c>
      <c r="V44" s="21">
        <v>10014</v>
      </c>
      <c r="W44" s="21">
        <v>12017</v>
      </c>
      <c r="X44" s="22"/>
      <c r="Y44" s="20"/>
    </row>
    <row r="45" spans="1:25" x14ac:dyDescent="0.15">
      <c r="A45" s="15" t="s">
        <v>247</v>
      </c>
      <c r="B45" s="15"/>
      <c r="C45" s="21">
        <v>0</v>
      </c>
      <c r="D45" s="21">
        <v>0</v>
      </c>
      <c r="E45" s="21">
        <v>0</v>
      </c>
      <c r="F45" s="21">
        <v>0</v>
      </c>
      <c r="G45" s="21">
        <v>0</v>
      </c>
      <c r="H45" s="21">
        <v>0</v>
      </c>
      <c r="I45" s="19">
        <v>259</v>
      </c>
      <c r="J45" s="19">
        <f>193+99</f>
        <v>292</v>
      </c>
      <c r="K45" s="19">
        <f>376+150</f>
        <v>526</v>
      </c>
      <c r="L45" s="19">
        <f>648+211</f>
        <v>859</v>
      </c>
      <c r="M45" s="19">
        <f>1106+303</f>
        <v>1409</v>
      </c>
      <c r="N45" s="19">
        <f>213+139</f>
        <v>352</v>
      </c>
      <c r="O45" s="19">
        <v>900</v>
      </c>
      <c r="P45" s="19">
        <f>3872+118</f>
        <v>3990</v>
      </c>
      <c r="Q45" s="19">
        <f>11400+872</f>
        <v>12272</v>
      </c>
      <c r="R45" s="19">
        <f>19000+1485</f>
        <v>20485</v>
      </c>
      <c r="S45" s="19">
        <f>22000+2400</f>
        <v>24400</v>
      </c>
      <c r="T45" s="19">
        <f>32000+2900</f>
        <v>34900</v>
      </c>
      <c r="U45" s="21">
        <f>38020+5470+1724</f>
        <v>45214</v>
      </c>
      <c r="V45" s="21">
        <f>43840+5870+3429</f>
        <v>53139</v>
      </c>
      <c r="W45" s="19">
        <v>61870</v>
      </c>
      <c r="X45" s="20"/>
      <c r="Y45" s="20"/>
    </row>
    <row r="46" spans="1:25" x14ac:dyDescent="0.15">
      <c r="A46" s="15" t="s">
        <v>248</v>
      </c>
      <c r="B46" s="15"/>
      <c r="C46" s="21">
        <v>0</v>
      </c>
      <c r="D46" s="21">
        <v>0</v>
      </c>
      <c r="E46" s="21">
        <v>0</v>
      </c>
      <c r="F46" s="21">
        <v>0</v>
      </c>
      <c r="G46" s="21">
        <v>0</v>
      </c>
      <c r="H46" s="21">
        <v>0</v>
      </c>
      <c r="I46" s="21">
        <v>0</v>
      </c>
      <c r="J46" s="21">
        <v>0</v>
      </c>
      <c r="K46" s="21">
        <v>0</v>
      </c>
      <c r="L46" s="21">
        <v>0</v>
      </c>
      <c r="M46" s="21">
        <v>0</v>
      </c>
      <c r="N46" s="21">
        <v>0</v>
      </c>
      <c r="O46" s="21">
        <v>0</v>
      </c>
      <c r="P46" s="21">
        <v>0</v>
      </c>
      <c r="Q46" s="21">
        <v>0</v>
      </c>
      <c r="R46" s="21">
        <v>0</v>
      </c>
      <c r="S46" s="19">
        <v>35</v>
      </c>
      <c r="T46" s="19">
        <v>1228</v>
      </c>
      <c r="U46" s="21">
        <f>5686+30</f>
        <v>5716</v>
      </c>
      <c r="V46" s="21">
        <f>8938+71</f>
        <v>9009</v>
      </c>
      <c r="W46" s="21">
        <f>12640+85</f>
        <v>12725</v>
      </c>
      <c r="X46" s="22"/>
      <c r="Y46" s="20"/>
    </row>
    <row r="47" spans="1:25" x14ac:dyDescent="0.15">
      <c r="A47" s="15" t="s">
        <v>249</v>
      </c>
      <c r="B47" s="15"/>
      <c r="C47" s="21">
        <v>0</v>
      </c>
      <c r="D47" s="21">
        <v>0</v>
      </c>
      <c r="E47" s="21">
        <v>0</v>
      </c>
      <c r="F47" s="21">
        <v>0</v>
      </c>
      <c r="G47" s="19">
        <v>41</v>
      </c>
      <c r="H47" s="19">
        <v>149</v>
      </c>
      <c r="I47" s="19">
        <v>350</v>
      </c>
      <c r="J47" s="19">
        <v>446</v>
      </c>
      <c r="K47" s="19">
        <v>313</v>
      </c>
      <c r="L47" s="19">
        <v>710</v>
      </c>
      <c r="M47" s="19">
        <v>1231</v>
      </c>
      <c r="N47" s="19">
        <v>1136</v>
      </c>
      <c r="O47" s="19">
        <v>1115</v>
      </c>
      <c r="P47" s="19">
        <v>1899</v>
      </c>
      <c r="Q47" s="19">
        <v>2698</v>
      </c>
      <c r="R47" s="19">
        <v>3999</v>
      </c>
      <c r="S47" s="19">
        <v>5769</v>
      </c>
      <c r="T47" s="19">
        <v>7598</v>
      </c>
      <c r="U47" s="21">
        <v>7313</v>
      </c>
      <c r="V47" s="21">
        <v>5387</v>
      </c>
      <c r="W47" s="21">
        <v>5518</v>
      </c>
      <c r="X47" s="22"/>
      <c r="Y47" s="20"/>
    </row>
    <row r="48" spans="1:25" x14ac:dyDescent="0.15">
      <c r="A48" s="15" t="s">
        <v>27</v>
      </c>
      <c r="B48" s="15"/>
      <c r="C48" s="21">
        <v>0</v>
      </c>
      <c r="D48" s="21">
        <v>0</v>
      </c>
      <c r="E48" s="19">
        <v>30</v>
      </c>
      <c r="F48" s="19">
        <v>55</v>
      </c>
      <c r="G48" s="19">
        <v>72</v>
      </c>
      <c r="H48" s="19">
        <v>321</v>
      </c>
      <c r="I48" s="19">
        <v>530</v>
      </c>
      <c r="J48" s="19">
        <v>697</v>
      </c>
      <c r="K48" s="19">
        <v>1188</v>
      </c>
      <c r="L48" s="19">
        <v>1965</v>
      </c>
      <c r="M48" s="19">
        <v>3658</v>
      </c>
      <c r="N48" s="19">
        <v>984</v>
      </c>
      <c r="O48" s="19">
        <v>2299</v>
      </c>
      <c r="P48" s="19">
        <v>5426</v>
      </c>
      <c r="Q48" s="19">
        <v>12341</v>
      </c>
      <c r="R48" s="19">
        <v>28160</v>
      </c>
      <c r="S48" s="19">
        <v>69714</v>
      </c>
      <c r="T48" s="19">
        <v>89016</v>
      </c>
      <c r="U48" s="21">
        <v>89130</v>
      </c>
      <c r="V48" s="21">
        <v>82134</v>
      </c>
      <c r="W48" s="19">
        <v>80230</v>
      </c>
      <c r="X48" s="20"/>
      <c r="Y48" s="20"/>
    </row>
    <row r="49" spans="1:25" x14ac:dyDescent="0.15">
      <c r="C49" s="19"/>
      <c r="D49" s="19"/>
      <c r="E49" s="19"/>
      <c r="F49" s="19"/>
      <c r="G49" s="19"/>
      <c r="H49" s="19"/>
      <c r="I49" s="19"/>
      <c r="J49" s="19"/>
      <c r="K49" s="19"/>
      <c r="L49" s="19"/>
      <c r="M49" s="19"/>
      <c r="N49" s="19"/>
      <c r="O49" s="19"/>
      <c r="P49" s="19"/>
      <c r="Q49" s="19"/>
      <c r="R49" s="19"/>
      <c r="S49" s="19"/>
      <c r="T49" s="19"/>
      <c r="U49" s="19"/>
      <c r="V49" s="19"/>
      <c r="W49" s="19"/>
      <c r="X49" s="20"/>
      <c r="Y49" s="20"/>
    </row>
    <row r="50" spans="1:25" x14ac:dyDescent="0.15">
      <c r="A50" s="24" t="s">
        <v>251</v>
      </c>
      <c r="B50" s="24"/>
      <c r="C50" s="19">
        <f t="shared" ref="C50:R50" si="1">SUM(C36:C49)</f>
        <v>26209</v>
      </c>
      <c r="D50" s="19">
        <f t="shared" si="1"/>
        <v>29080</v>
      </c>
      <c r="E50" s="19">
        <f t="shared" si="1"/>
        <v>38756</v>
      </c>
      <c r="F50" s="19">
        <f t="shared" si="1"/>
        <v>54215</v>
      </c>
      <c r="G50" s="19">
        <f t="shared" si="1"/>
        <v>62679</v>
      </c>
      <c r="H50" s="19">
        <f t="shared" si="1"/>
        <v>60185</v>
      </c>
      <c r="I50" s="19">
        <f t="shared" si="1"/>
        <v>62645</v>
      </c>
      <c r="J50" s="19">
        <f t="shared" si="1"/>
        <v>75265</v>
      </c>
      <c r="K50" s="19">
        <f t="shared" si="1"/>
        <v>77899</v>
      </c>
      <c r="L50" s="19">
        <f t="shared" si="1"/>
        <v>73386</v>
      </c>
      <c r="M50" s="19">
        <f t="shared" si="1"/>
        <v>103681</v>
      </c>
      <c r="N50" s="19">
        <f t="shared" si="1"/>
        <v>79435</v>
      </c>
      <c r="O50" s="19">
        <f t="shared" si="1"/>
        <v>131318</v>
      </c>
      <c r="P50" s="19">
        <f t="shared" si="1"/>
        <v>189568</v>
      </c>
      <c r="Q50" s="19">
        <f t="shared" si="1"/>
        <v>241476</v>
      </c>
      <c r="R50" s="19">
        <f t="shared" si="1"/>
        <v>334091</v>
      </c>
      <c r="S50" s="19">
        <f>SUM(S36:S49)</f>
        <v>428774</v>
      </c>
      <c r="T50" s="19">
        <f>SUM(T36:T49)</f>
        <v>503420.25</v>
      </c>
      <c r="U50" s="19">
        <f>SUM(U36:U49)</f>
        <v>528370.75</v>
      </c>
      <c r="V50" s="19">
        <f>SUM(V36:V49)</f>
        <v>526938.5</v>
      </c>
      <c r="W50" s="19">
        <f>SUM(W36:W49)</f>
        <v>532360</v>
      </c>
      <c r="X50" s="20"/>
      <c r="Y50" s="20"/>
    </row>
    <row r="51" spans="1:25" x14ac:dyDescent="0.15">
      <c r="C51" s="19"/>
      <c r="D51" s="19"/>
      <c r="E51" s="19"/>
      <c r="F51" s="19"/>
      <c r="G51" s="19"/>
      <c r="H51" s="19"/>
      <c r="I51" s="19"/>
      <c r="J51" s="19"/>
      <c r="K51" s="19"/>
      <c r="L51" s="19"/>
      <c r="M51" s="19"/>
      <c r="N51" s="19"/>
      <c r="O51" s="19"/>
      <c r="P51" s="19"/>
      <c r="Q51" s="19"/>
      <c r="R51" s="19"/>
      <c r="S51" s="19"/>
      <c r="T51" s="19"/>
      <c r="U51" s="19"/>
      <c r="V51" s="19"/>
      <c r="W51" s="19"/>
      <c r="X51" s="20"/>
      <c r="Y51" s="20"/>
    </row>
    <row r="52" spans="1:25" x14ac:dyDescent="0.15">
      <c r="A52" s="25" t="s">
        <v>252</v>
      </c>
      <c r="B52" s="25"/>
      <c r="C52" s="19"/>
      <c r="D52" s="19"/>
      <c r="E52" s="19"/>
      <c r="F52" s="19"/>
      <c r="G52" s="19"/>
      <c r="H52" s="19"/>
      <c r="I52" s="19"/>
      <c r="J52" s="19"/>
      <c r="K52" s="19"/>
      <c r="L52" s="19"/>
      <c r="M52" s="19"/>
      <c r="N52" s="19"/>
      <c r="O52" s="19"/>
      <c r="P52" s="19"/>
      <c r="Q52" s="19"/>
      <c r="R52" s="19"/>
      <c r="S52" s="19"/>
      <c r="T52" s="19"/>
      <c r="U52" s="19"/>
      <c r="V52" s="19"/>
      <c r="W52" s="19"/>
      <c r="X52" s="20"/>
      <c r="Y52" s="20"/>
    </row>
    <row r="53" spans="1:25" x14ac:dyDescent="0.15">
      <c r="A53" s="15" t="s">
        <v>260</v>
      </c>
      <c r="B53" s="15"/>
      <c r="C53" s="19">
        <v>27178</v>
      </c>
      <c r="D53" s="21" t="s">
        <v>243</v>
      </c>
      <c r="E53" s="19">
        <v>40446</v>
      </c>
      <c r="F53" s="21" t="s">
        <v>243</v>
      </c>
      <c r="G53" s="19">
        <v>65979</v>
      </c>
      <c r="H53" s="21" t="s">
        <v>243</v>
      </c>
      <c r="I53" s="19">
        <v>62626</v>
      </c>
      <c r="J53" s="21" t="s">
        <v>243</v>
      </c>
      <c r="K53" s="19">
        <v>79969</v>
      </c>
      <c r="L53" s="21" t="s">
        <v>243</v>
      </c>
      <c r="M53" s="19">
        <v>104068</v>
      </c>
      <c r="N53" s="21" t="s">
        <v>243</v>
      </c>
      <c r="O53" s="19">
        <v>132689</v>
      </c>
      <c r="P53" s="19">
        <v>189992</v>
      </c>
      <c r="Q53" s="19">
        <v>252811</v>
      </c>
      <c r="R53" s="19">
        <v>326000</v>
      </c>
      <c r="S53" s="19">
        <v>428200</v>
      </c>
      <c r="T53" s="19">
        <v>471200</v>
      </c>
      <c r="U53" s="19">
        <v>508053</v>
      </c>
      <c r="V53" s="19">
        <v>499425</v>
      </c>
      <c r="W53" s="19">
        <v>530255</v>
      </c>
      <c r="X53" s="20"/>
      <c r="Y53" s="20"/>
    </row>
    <row r="54" spans="1:25" x14ac:dyDescent="0.15">
      <c r="A54" s="15" t="s">
        <v>261</v>
      </c>
      <c r="B54" s="15"/>
      <c r="C54" s="19"/>
      <c r="D54" s="21"/>
      <c r="E54" s="19"/>
      <c r="F54" s="21"/>
      <c r="G54" s="19"/>
      <c r="H54" s="21"/>
      <c r="I54" s="19"/>
      <c r="J54" s="21"/>
      <c r="K54" s="19"/>
      <c r="L54" s="21"/>
      <c r="M54" s="19"/>
      <c r="N54" s="21"/>
      <c r="O54" s="19"/>
      <c r="P54" s="19"/>
      <c r="Q54" s="19"/>
      <c r="R54" s="19"/>
      <c r="S54" s="19"/>
      <c r="T54" s="19"/>
      <c r="U54" s="19"/>
      <c r="V54" s="19"/>
      <c r="W54" s="19">
        <v>531000</v>
      </c>
      <c r="X54" s="20"/>
      <c r="Y54" s="20"/>
    </row>
    <row r="55" spans="1:25" x14ac:dyDescent="0.15">
      <c r="C55" s="18"/>
      <c r="D55" s="18"/>
      <c r="E55" s="18"/>
      <c r="F55" s="18"/>
      <c r="G55" s="18"/>
      <c r="H55" s="18"/>
      <c r="I55" s="18"/>
      <c r="J55" s="18"/>
      <c r="K55" s="18"/>
      <c r="L55" s="18"/>
      <c r="M55" s="18"/>
      <c r="N55" s="18"/>
      <c r="O55" s="18"/>
      <c r="P55" s="18"/>
      <c r="Q55" s="18"/>
      <c r="R55" s="18"/>
      <c r="S55" s="18"/>
      <c r="T55" s="18"/>
      <c r="U55" s="18"/>
      <c r="V55" s="18"/>
      <c r="W55" s="18"/>
    </row>
    <row r="56" spans="1:25" x14ac:dyDescent="0.15">
      <c r="A56" s="29" t="s">
        <v>262</v>
      </c>
      <c r="B56" s="29"/>
      <c r="C56" s="18"/>
      <c r="D56" s="18"/>
      <c r="E56" s="18"/>
      <c r="F56" s="18"/>
      <c r="G56" s="18"/>
      <c r="H56" s="18"/>
      <c r="I56" s="18"/>
      <c r="J56" s="18"/>
      <c r="K56" s="18"/>
      <c r="L56" s="18"/>
      <c r="M56" s="18"/>
      <c r="N56" s="18"/>
      <c r="O56" s="18"/>
      <c r="P56" s="18"/>
      <c r="Q56" s="18"/>
      <c r="R56" s="18"/>
      <c r="S56" s="18"/>
      <c r="T56" s="18"/>
      <c r="U56" s="18"/>
      <c r="V56" s="18"/>
      <c r="W56" s="18"/>
    </row>
    <row r="57" spans="1:25" x14ac:dyDescent="0.15">
      <c r="A57" s="15"/>
      <c r="B57" s="15"/>
      <c r="C57" s="18"/>
      <c r="D57" s="18"/>
      <c r="E57" s="18"/>
      <c r="F57" s="18"/>
      <c r="G57" s="18"/>
      <c r="H57" s="18"/>
      <c r="I57" s="18"/>
      <c r="J57" s="18"/>
      <c r="K57" s="18"/>
      <c r="L57" s="18"/>
      <c r="M57" s="18"/>
      <c r="N57" s="18"/>
      <c r="O57" s="18"/>
      <c r="P57" s="18"/>
      <c r="Q57" s="18"/>
      <c r="R57" s="18"/>
      <c r="S57" s="18"/>
      <c r="T57" s="18"/>
      <c r="U57" s="18"/>
      <c r="V57" s="18"/>
      <c r="W57" s="18"/>
    </row>
    <row r="58" spans="1:25" x14ac:dyDescent="0.15">
      <c r="A58" s="29" t="s">
        <v>257</v>
      </c>
      <c r="B58" s="29"/>
      <c r="C58" s="18"/>
      <c r="D58" s="18"/>
      <c r="E58" s="18"/>
      <c r="F58" s="18"/>
      <c r="G58" s="18"/>
      <c r="H58" s="18"/>
      <c r="I58" s="18"/>
      <c r="J58" s="18"/>
      <c r="K58" s="18"/>
      <c r="L58" s="18"/>
      <c r="M58" s="18"/>
      <c r="N58" s="18"/>
      <c r="O58" s="18"/>
      <c r="P58" s="18"/>
      <c r="Q58" s="18"/>
      <c r="R58" s="18"/>
      <c r="S58" s="18"/>
      <c r="T58" s="18"/>
      <c r="U58" s="18"/>
      <c r="V58" s="18"/>
      <c r="W58" s="18"/>
    </row>
    <row r="59" spans="1:25" x14ac:dyDescent="0.15">
      <c r="A59" s="15" t="s">
        <v>263</v>
      </c>
      <c r="B59" s="15"/>
      <c r="C59" s="18"/>
      <c r="D59" s="18"/>
      <c r="E59" s="18"/>
      <c r="F59" s="18"/>
      <c r="G59" s="18"/>
      <c r="H59" s="18"/>
      <c r="I59" s="18"/>
      <c r="J59" s="18"/>
      <c r="K59" s="18"/>
      <c r="L59" s="18"/>
      <c r="M59" s="18"/>
      <c r="N59" s="18"/>
      <c r="O59" s="18"/>
      <c r="P59" s="18"/>
      <c r="Q59" s="18"/>
      <c r="R59" s="18"/>
      <c r="S59" s="18"/>
      <c r="T59" s="18"/>
      <c r="U59" s="18"/>
      <c r="V59" s="18"/>
      <c r="W59" s="18"/>
    </row>
    <row r="60" spans="1:25" x14ac:dyDescent="0.15">
      <c r="A60" s="30" t="s">
        <v>264</v>
      </c>
      <c r="B60" s="30"/>
      <c r="C60" s="18"/>
      <c r="D60" s="18"/>
      <c r="E60" s="18"/>
      <c r="F60" s="18"/>
      <c r="G60" s="18"/>
      <c r="H60" s="18"/>
      <c r="I60" s="18"/>
      <c r="J60" s="18"/>
      <c r="K60" s="18"/>
      <c r="L60" s="18"/>
      <c r="M60" s="18"/>
      <c r="N60" s="18"/>
      <c r="O60" s="18"/>
      <c r="P60" s="18"/>
      <c r="Q60" s="18"/>
      <c r="R60" s="18"/>
      <c r="S60" s="18"/>
      <c r="T60" s="18"/>
      <c r="U60" s="18"/>
      <c r="V60" s="18"/>
      <c r="W60" s="18"/>
    </row>
    <row r="61" spans="1:25" x14ac:dyDescent="0.15">
      <c r="C61" s="18"/>
      <c r="D61" s="18"/>
      <c r="E61" s="18"/>
      <c r="F61" s="18"/>
      <c r="G61" s="18"/>
      <c r="H61" s="18"/>
      <c r="I61" s="18"/>
      <c r="J61" s="18"/>
      <c r="K61" s="18"/>
      <c r="L61" s="18"/>
      <c r="M61" s="18"/>
      <c r="N61" s="18"/>
      <c r="O61" s="18"/>
      <c r="P61" s="18"/>
      <c r="Q61" s="18"/>
      <c r="R61" s="18"/>
      <c r="S61" s="18"/>
      <c r="T61" s="18"/>
      <c r="U61" s="18"/>
      <c r="V61" s="18"/>
      <c r="W61" s="18"/>
    </row>
    <row r="62" spans="1:25" x14ac:dyDescent="0.15">
      <c r="A62" s="13" t="s">
        <v>265</v>
      </c>
      <c r="B62" s="13"/>
      <c r="C62" s="18"/>
      <c r="D62" s="18"/>
      <c r="E62" s="18"/>
      <c r="F62" s="18"/>
      <c r="G62" s="18"/>
      <c r="H62" s="18"/>
      <c r="I62" s="18"/>
      <c r="J62" s="18"/>
      <c r="K62" s="18"/>
      <c r="L62" s="18"/>
      <c r="M62" s="18"/>
      <c r="N62" s="18"/>
      <c r="O62" s="18"/>
      <c r="P62" s="18"/>
      <c r="Q62" s="18"/>
      <c r="R62" s="18"/>
      <c r="S62" s="18"/>
      <c r="T62" s="18"/>
      <c r="U62" s="18"/>
      <c r="V62" s="18"/>
      <c r="W62" s="18"/>
    </row>
    <row r="63" spans="1:25" x14ac:dyDescent="0.15">
      <c r="C63" s="18"/>
      <c r="D63" s="18"/>
      <c r="E63" s="18"/>
      <c r="F63" s="18"/>
      <c r="G63" s="18"/>
      <c r="H63" s="18"/>
      <c r="I63" s="18"/>
      <c r="J63" s="18"/>
      <c r="K63" s="18"/>
      <c r="L63" s="18"/>
      <c r="M63" s="18"/>
      <c r="N63" s="18"/>
      <c r="O63" s="18"/>
      <c r="P63" s="18"/>
      <c r="Q63" s="18"/>
      <c r="R63" s="18"/>
      <c r="S63" s="18"/>
      <c r="T63" s="18"/>
      <c r="U63" s="18"/>
      <c r="V63" s="18"/>
      <c r="W63" s="18"/>
    </row>
    <row r="64" spans="1:25" x14ac:dyDescent="0.15">
      <c r="A64" s="15" t="s">
        <v>266</v>
      </c>
      <c r="B64" s="15"/>
      <c r="C64" s="18">
        <v>1890</v>
      </c>
      <c r="D64" s="18">
        <v>1895</v>
      </c>
      <c r="E64" s="18">
        <v>1900</v>
      </c>
      <c r="F64" s="18">
        <v>1905</v>
      </c>
      <c r="G64" s="18">
        <f>E64+10</f>
        <v>1910</v>
      </c>
      <c r="H64" s="18">
        <v>1915</v>
      </c>
      <c r="I64" s="18">
        <f>G64+10</f>
        <v>1920</v>
      </c>
      <c r="J64" s="18">
        <v>1925</v>
      </c>
      <c r="K64" s="18">
        <f>I64+10</f>
        <v>1930</v>
      </c>
      <c r="L64" s="18">
        <v>1935</v>
      </c>
      <c r="M64" s="18">
        <f>K64+10</f>
        <v>1940</v>
      </c>
      <c r="N64" s="18">
        <v>1945</v>
      </c>
      <c r="O64" s="18">
        <f>M64+10</f>
        <v>1950</v>
      </c>
      <c r="P64" s="18">
        <v>1955</v>
      </c>
      <c r="Q64" s="18">
        <f>O64+10</f>
        <v>1960</v>
      </c>
      <c r="R64" s="18">
        <v>1965</v>
      </c>
      <c r="S64" s="18">
        <f>Q64+10</f>
        <v>1970</v>
      </c>
      <c r="T64" s="18">
        <v>1975</v>
      </c>
      <c r="U64" s="18">
        <v>1980</v>
      </c>
      <c r="V64" s="18">
        <v>1985</v>
      </c>
      <c r="W64" s="18">
        <v>1990</v>
      </c>
    </row>
    <row r="65" spans="1:24" x14ac:dyDescent="0.15">
      <c r="C65" s="18"/>
      <c r="D65" s="18"/>
      <c r="E65" s="18"/>
      <c r="F65" s="18"/>
      <c r="G65" s="18"/>
      <c r="H65" s="18"/>
      <c r="I65" s="18"/>
      <c r="J65" s="18"/>
      <c r="K65" s="18"/>
      <c r="L65" s="18"/>
      <c r="M65" s="18"/>
      <c r="N65" s="18"/>
      <c r="O65" s="18"/>
      <c r="P65" s="18"/>
      <c r="Q65" s="18"/>
      <c r="R65" s="18"/>
      <c r="S65" s="18"/>
      <c r="T65" s="18"/>
      <c r="U65" s="18"/>
      <c r="V65" s="18"/>
      <c r="W65" s="18"/>
    </row>
    <row r="66" spans="1:24" x14ac:dyDescent="0.15">
      <c r="A66" s="15" t="s">
        <v>11</v>
      </c>
      <c r="B66" s="15"/>
      <c r="C66" s="21" t="s">
        <v>243</v>
      </c>
      <c r="D66" s="21" t="s">
        <v>243</v>
      </c>
      <c r="E66" s="21" t="s">
        <v>243</v>
      </c>
      <c r="F66" s="21" t="s">
        <v>243</v>
      </c>
      <c r="G66" s="21" t="s">
        <v>243</v>
      </c>
      <c r="H66" s="21" t="s">
        <v>243</v>
      </c>
      <c r="I66" s="21" t="s">
        <v>243</v>
      </c>
      <c r="J66" s="21" t="s">
        <v>243</v>
      </c>
      <c r="K66" s="21" t="s">
        <v>243</v>
      </c>
      <c r="L66" s="21" t="s">
        <v>243</v>
      </c>
      <c r="M66" s="21" t="s">
        <v>243</v>
      </c>
      <c r="N66" s="21" t="s">
        <v>243</v>
      </c>
      <c r="O66" s="21" t="s">
        <v>243</v>
      </c>
      <c r="P66" s="21" t="s">
        <v>243</v>
      </c>
      <c r="Q66" s="21" t="s">
        <v>243</v>
      </c>
      <c r="R66" s="21" t="s">
        <v>243</v>
      </c>
      <c r="S66" s="21" t="s">
        <v>243</v>
      </c>
      <c r="T66" s="21" t="s">
        <v>243</v>
      </c>
      <c r="U66" s="21" t="s">
        <v>243</v>
      </c>
      <c r="V66" s="21" t="s">
        <v>243</v>
      </c>
      <c r="W66" s="21" t="s">
        <v>243</v>
      </c>
      <c r="X66" s="22"/>
    </row>
    <row r="67" spans="1:24" x14ac:dyDescent="0.15">
      <c r="A67" s="15" t="s">
        <v>235</v>
      </c>
      <c r="B67" s="15"/>
      <c r="C67" s="21" t="s">
        <v>243</v>
      </c>
      <c r="D67" s="21" t="s">
        <v>243</v>
      </c>
      <c r="E67" s="21" t="s">
        <v>243</v>
      </c>
      <c r="F67" s="21" t="s">
        <v>243</v>
      </c>
      <c r="G67" s="21" t="s">
        <v>243</v>
      </c>
      <c r="H67" s="21" t="s">
        <v>243</v>
      </c>
      <c r="I67" s="21" t="s">
        <v>243</v>
      </c>
      <c r="J67" s="21" t="s">
        <v>243</v>
      </c>
      <c r="K67" s="21" t="s">
        <v>243</v>
      </c>
      <c r="L67" s="21" t="s">
        <v>243</v>
      </c>
      <c r="M67" s="21" t="s">
        <v>243</v>
      </c>
      <c r="N67" s="21" t="s">
        <v>243</v>
      </c>
      <c r="O67" s="21" t="s">
        <v>243</v>
      </c>
      <c r="P67" s="21" t="s">
        <v>243</v>
      </c>
      <c r="Q67" s="21" t="s">
        <v>243</v>
      </c>
      <c r="R67" s="21" t="s">
        <v>243</v>
      </c>
      <c r="S67" s="21" t="s">
        <v>243</v>
      </c>
      <c r="T67" s="21" t="s">
        <v>243</v>
      </c>
      <c r="U67" s="21" t="s">
        <v>243</v>
      </c>
      <c r="V67" s="21" t="s">
        <v>243</v>
      </c>
      <c r="W67" s="21" t="s">
        <v>243</v>
      </c>
      <c r="X67" s="22"/>
    </row>
    <row r="68" spans="1:24" x14ac:dyDescent="0.15">
      <c r="A68" s="15" t="s">
        <v>236</v>
      </c>
      <c r="B68" s="15"/>
      <c r="C68" s="21" t="s">
        <v>243</v>
      </c>
      <c r="D68" s="21" t="s">
        <v>243</v>
      </c>
      <c r="E68" s="21" t="s">
        <v>243</v>
      </c>
      <c r="F68" s="21" t="s">
        <v>243</v>
      </c>
      <c r="G68" s="21" t="s">
        <v>243</v>
      </c>
      <c r="H68" s="21" t="s">
        <v>243</v>
      </c>
      <c r="I68" s="21" t="s">
        <v>243</v>
      </c>
      <c r="J68" s="21" t="s">
        <v>243</v>
      </c>
      <c r="K68" s="21" t="s">
        <v>243</v>
      </c>
      <c r="L68" s="21" t="s">
        <v>243</v>
      </c>
      <c r="M68" s="21" t="s">
        <v>243</v>
      </c>
      <c r="N68" s="21" t="s">
        <v>243</v>
      </c>
      <c r="O68" s="21" t="s">
        <v>243</v>
      </c>
      <c r="P68" s="21" t="s">
        <v>243</v>
      </c>
      <c r="Q68" s="21" t="s">
        <v>243</v>
      </c>
      <c r="R68" s="21" t="s">
        <v>243</v>
      </c>
      <c r="S68" s="21" t="s">
        <v>243</v>
      </c>
      <c r="T68" s="21" t="s">
        <v>243</v>
      </c>
      <c r="U68" s="21" t="s">
        <v>243</v>
      </c>
      <c r="V68" s="21" t="s">
        <v>243</v>
      </c>
      <c r="W68" s="21" t="s">
        <v>243</v>
      </c>
      <c r="X68" s="22"/>
    </row>
    <row r="69" spans="1:24" x14ac:dyDescent="0.15">
      <c r="A69" s="15" t="s">
        <v>238</v>
      </c>
      <c r="B69" s="15"/>
      <c r="C69" s="21" t="s">
        <v>243</v>
      </c>
      <c r="D69" s="21" t="s">
        <v>243</v>
      </c>
      <c r="E69" s="21" t="s">
        <v>243</v>
      </c>
      <c r="F69" s="21" t="s">
        <v>243</v>
      </c>
      <c r="G69" s="21" t="s">
        <v>243</v>
      </c>
      <c r="H69" s="21" t="s">
        <v>243</v>
      </c>
      <c r="I69" s="21" t="s">
        <v>243</v>
      </c>
      <c r="J69" s="21" t="s">
        <v>243</v>
      </c>
      <c r="K69" s="21" t="s">
        <v>243</v>
      </c>
      <c r="L69" s="21" t="s">
        <v>243</v>
      </c>
      <c r="M69" s="21" t="s">
        <v>243</v>
      </c>
      <c r="N69" s="21" t="s">
        <v>243</v>
      </c>
      <c r="O69" s="21" t="s">
        <v>243</v>
      </c>
      <c r="P69" s="21" t="s">
        <v>243</v>
      </c>
      <c r="Q69" s="21" t="s">
        <v>243</v>
      </c>
      <c r="R69" s="21" t="s">
        <v>243</v>
      </c>
      <c r="S69" s="21" t="s">
        <v>243</v>
      </c>
      <c r="T69" s="21" t="s">
        <v>243</v>
      </c>
      <c r="U69" s="21" t="s">
        <v>243</v>
      </c>
      <c r="V69" s="21" t="s">
        <v>243</v>
      </c>
      <c r="W69" s="21" t="s">
        <v>243</v>
      </c>
      <c r="X69" s="22"/>
    </row>
    <row r="70" spans="1:24" x14ac:dyDescent="0.15">
      <c r="A70" s="15" t="s">
        <v>240</v>
      </c>
      <c r="B70" s="15"/>
      <c r="C70" s="21" t="s">
        <v>243</v>
      </c>
      <c r="D70" s="21" t="s">
        <v>243</v>
      </c>
      <c r="E70" s="21" t="s">
        <v>243</v>
      </c>
      <c r="F70" s="21" t="s">
        <v>243</v>
      </c>
      <c r="G70" s="21" t="s">
        <v>243</v>
      </c>
      <c r="H70" s="21" t="s">
        <v>243</v>
      </c>
      <c r="I70" s="21" t="s">
        <v>243</v>
      </c>
      <c r="J70" s="21" t="s">
        <v>243</v>
      </c>
      <c r="K70" s="21" t="s">
        <v>243</v>
      </c>
      <c r="L70" s="21" t="s">
        <v>243</v>
      </c>
      <c r="M70" s="21" t="s">
        <v>243</v>
      </c>
      <c r="N70" s="21" t="s">
        <v>243</v>
      </c>
      <c r="O70" s="21" t="s">
        <v>243</v>
      </c>
      <c r="P70" s="21" t="s">
        <v>243</v>
      </c>
      <c r="Q70" s="21" t="s">
        <v>243</v>
      </c>
      <c r="R70" s="21" t="s">
        <v>243</v>
      </c>
      <c r="S70" s="21" t="s">
        <v>243</v>
      </c>
      <c r="T70" s="21" t="s">
        <v>243</v>
      </c>
      <c r="U70" s="21" t="s">
        <v>243</v>
      </c>
      <c r="V70" s="21" t="s">
        <v>243</v>
      </c>
      <c r="W70" s="21" t="s">
        <v>243</v>
      </c>
      <c r="X70" s="22"/>
    </row>
    <row r="71" spans="1:24" x14ac:dyDescent="0.15">
      <c r="A71" s="15" t="s">
        <v>242</v>
      </c>
      <c r="B71" s="15"/>
      <c r="C71" s="21" t="s">
        <v>243</v>
      </c>
      <c r="D71" s="21" t="s">
        <v>243</v>
      </c>
      <c r="E71" s="21" t="s">
        <v>243</v>
      </c>
      <c r="F71" s="21" t="s">
        <v>243</v>
      </c>
      <c r="G71" s="21" t="s">
        <v>243</v>
      </c>
      <c r="H71" s="21" t="s">
        <v>243</v>
      </c>
      <c r="I71" s="21" t="s">
        <v>243</v>
      </c>
      <c r="J71" s="21" t="s">
        <v>243</v>
      </c>
      <c r="K71" s="21" t="s">
        <v>243</v>
      </c>
      <c r="L71" s="21" t="s">
        <v>243</v>
      </c>
      <c r="M71" s="21" t="s">
        <v>243</v>
      </c>
      <c r="N71" s="21" t="s">
        <v>243</v>
      </c>
      <c r="O71" s="21" t="s">
        <v>243</v>
      </c>
      <c r="P71" s="21" t="s">
        <v>243</v>
      </c>
      <c r="Q71" s="21" t="s">
        <v>243</v>
      </c>
      <c r="R71" s="21" t="s">
        <v>243</v>
      </c>
      <c r="S71" s="21" t="s">
        <v>243</v>
      </c>
      <c r="T71" s="21" t="s">
        <v>243</v>
      </c>
      <c r="U71" s="21" t="s">
        <v>243</v>
      </c>
      <c r="V71" s="21" t="s">
        <v>243</v>
      </c>
      <c r="W71" s="21" t="s">
        <v>243</v>
      </c>
      <c r="X71" s="22"/>
    </row>
    <row r="72" spans="1:24" x14ac:dyDescent="0.15">
      <c r="A72" s="15" t="s">
        <v>244</v>
      </c>
      <c r="B72" s="15"/>
      <c r="C72" s="21" t="s">
        <v>243</v>
      </c>
      <c r="D72" s="21" t="s">
        <v>243</v>
      </c>
      <c r="E72" s="21" t="s">
        <v>243</v>
      </c>
      <c r="F72" s="21" t="s">
        <v>243</v>
      </c>
      <c r="G72" s="21" t="s">
        <v>243</v>
      </c>
      <c r="H72" s="21" t="s">
        <v>243</v>
      </c>
      <c r="I72" s="21" t="s">
        <v>243</v>
      </c>
      <c r="J72" s="21" t="s">
        <v>243</v>
      </c>
      <c r="K72" s="21" t="s">
        <v>243</v>
      </c>
      <c r="L72" s="21" t="s">
        <v>243</v>
      </c>
      <c r="M72" s="21" t="s">
        <v>243</v>
      </c>
      <c r="N72" s="21" t="s">
        <v>243</v>
      </c>
      <c r="O72" s="21" t="s">
        <v>243</v>
      </c>
      <c r="P72" s="21" t="s">
        <v>243</v>
      </c>
      <c r="Q72" s="21" t="s">
        <v>243</v>
      </c>
      <c r="R72" s="21" t="s">
        <v>243</v>
      </c>
      <c r="S72" s="21" t="s">
        <v>243</v>
      </c>
      <c r="T72" s="21" t="s">
        <v>243</v>
      </c>
      <c r="U72" s="21" t="s">
        <v>243</v>
      </c>
      <c r="V72" s="21" t="s">
        <v>243</v>
      </c>
      <c r="W72" s="21" t="s">
        <v>243</v>
      </c>
      <c r="X72" s="22"/>
    </row>
    <row r="73" spans="1:24" x14ac:dyDescent="0.15">
      <c r="A73" s="15" t="s">
        <v>245</v>
      </c>
      <c r="B73" s="15"/>
      <c r="C73" s="21" t="s">
        <v>243</v>
      </c>
      <c r="D73" s="21" t="s">
        <v>243</v>
      </c>
      <c r="E73" s="21" t="s">
        <v>243</v>
      </c>
      <c r="F73" s="21" t="s">
        <v>243</v>
      </c>
      <c r="G73" s="21" t="s">
        <v>243</v>
      </c>
      <c r="H73" s="21" t="s">
        <v>243</v>
      </c>
      <c r="I73" s="21" t="s">
        <v>243</v>
      </c>
      <c r="J73" s="21" t="s">
        <v>243</v>
      </c>
      <c r="K73" s="21" t="s">
        <v>243</v>
      </c>
      <c r="L73" s="21" t="s">
        <v>243</v>
      </c>
      <c r="M73" s="21" t="s">
        <v>243</v>
      </c>
      <c r="N73" s="21" t="s">
        <v>243</v>
      </c>
      <c r="O73" s="21" t="s">
        <v>243</v>
      </c>
      <c r="P73" s="21" t="s">
        <v>243</v>
      </c>
      <c r="Q73" s="21" t="s">
        <v>243</v>
      </c>
      <c r="R73" s="21" t="s">
        <v>243</v>
      </c>
      <c r="S73" s="21" t="s">
        <v>243</v>
      </c>
      <c r="T73" s="21" t="s">
        <v>243</v>
      </c>
      <c r="U73" s="21" t="s">
        <v>243</v>
      </c>
      <c r="V73" s="21" t="s">
        <v>243</v>
      </c>
      <c r="W73" s="21" t="s">
        <v>243</v>
      </c>
      <c r="X73" s="22"/>
    </row>
    <row r="74" spans="1:24" x14ac:dyDescent="0.15">
      <c r="A74" s="15" t="s">
        <v>246</v>
      </c>
      <c r="B74" s="15"/>
      <c r="C74" s="21" t="s">
        <v>243</v>
      </c>
      <c r="D74" s="21" t="s">
        <v>243</v>
      </c>
      <c r="E74" s="21" t="s">
        <v>243</v>
      </c>
      <c r="F74" s="21" t="s">
        <v>243</v>
      </c>
      <c r="G74" s="21" t="s">
        <v>243</v>
      </c>
      <c r="H74" s="21" t="s">
        <v>243</v>
      </c>
      <c r="I74" s="21" t="s">
        <v>243</v>
      </c>
      <c r="J74" s="21" t="s">
        <v>243</v>
      </c>
      <c r="K74" s="21" t="s">
        <v>243</v>
      </c>
      <c r="L74" s="21" t="s">
        <v>243</v>
      </c>
      <c r="M74" s="21" t="s">
        <v>243</v>
      </c>
      <c r="N74" s="21" t="s">
        <v>243</v>
      </c>
      <c r="O74" s="21" t="s">
        <v>243</v>
      </c>
      <c r="P74" s="21" t="s">
        <v>243</v>
      </c>
      <c r="Q74" s="21" t="s">
        <v>243</v>
      </c>
      <c r="R74" s="21" t="s">
        <v>243</v>
      </c>
      <c r="S74" s="21" t="s">
        <v>243</v>
      </c>
      <c r="T74" s="21" t="s">
        <v>243</v>
      </c>
      <c r="U74" s="21" t="s">
        <v>243</v>
      </c>
      <c r="V74" s="21" t="s">
        <v>243</v>
      </c>
      <c r="W74" s="21" t="s">
        <v>243</v>
      </c>
      <c r="X74" s="22"/>
    </row>
    <row r="75" spans="1:24" x14ac:dyDescent="0.15">
      <c r="A75" s="15" t="s">
        <v>247</v>
      </c>
      <c r="B75" s="15"/>
      <c r="C75" s="21" t="s">
        <v>243</v>
      </c>
      <c r="D75" s="21" t="s">
        <v>243</v>
      </c>
      <c r="E75" s="21" t="s">
        <v>243</v>
      </c>
      <c r="F75" s="21" t="s">
        <v>243</v>
      </c>
      <c r="G75" s="21" t="s">
        <v>243</v>
      </c>
      <c r="H75" s="21" t="s">
        <v>243</v>
      </c>
      <c r="I75" s="21" t="s">
        <v>243</v>
      </c>
      <c r="J75" s="21" t="s">
        <v>243</v>
      </c>
      <c r="K75" s="21" t="s">
        <v>243</v>
      </c>
      <c r="L75" s="21" t="s">
        <v>243</v>
      </c>
      <c r="M75" s="21" t="s">
        <v>243</v>
      </c>
      <c r="N75" s="21" t="s">
        <v>243</v>
      </c>
      <c r="O75" s="21" t="s">
        <v>243</v>
      </c>
      <c r="P75" s="21" t="s">
        <v>243</v>
      </c>
      <c r="Q75" s="21" t="s">
        <v>243</v>
      </c>
      <c r="R75" s="21" t="s">
        <v>243</v>
      </c>
      <c r="S75" s="21" t="s">
        <v>243</v>
      </c>
      <c r="T75" s="21" t="s">
        <v>243</v>
      </c>
      <c r="U75" s="21" t="s">
        <v>243</v>
      </c>
      <c r="V75" s="21" t="s">
        <v>243</v>
      </c>
      <c r="W75" s="21" t="s">
        <v>243</v>
      </c>
      <c r="X75" s="22"/>
    </row>
    <row r="76" spans="1:24" x14ac:dyDescent="0.15">
      <c r="A76" s="15" t="s">
        <v>248</v>
      </c>
      <c r="B76" s="15"/>
      <c r="C76" s="21" t="s">
        <v>243</v>
      </c>
      <c r="D76" s="21" t="s">
        <v>243</v>
      </c>
      <c r="E76" s="21" t="s">
        <v>243</v>
      </c>
      <c r="F76" s="21" t="s">
        <v>243</v>
      </c>
      <c r="G76" s="21" t="s">
        <v>243</v>
      </c>
      <c r="H76" s="21" t="s">
        <v>243</v>
      </c>
      <c r="I76" s="21" t="s">
        <v>243</v>
      </c>
      <c r="J76" s="21" t="s">
        <v>243</v>
      </c>
      <c r="K76" s="21" t="s">
        <v>243</v>
      </c>
      <c r="L76" s="21" t="s">
        <v>243</v>
      </c>
      <c r="M76" s="21" t="s">
        <v>243</v>
      </c>
      <c r="N76" s="21" t="s">
        <v>243</v>
      </c>
      <c r="O76" s="21" t="s">
        <v>243</v>
      </c>
      <c r="P76" s="21" t="s">
        <v>243</v>
      </c>
      <c r="Q76" s="21" t="s">
        <v>243</v>
      </c>
      <c r="R76" s="21" t="s">
        <v>243</v>
      </c>
      <c r="S76" s="21" t="s">
        <v>243</v>
      </c>
      <c r="T76" s="21" t="s">
        <v>243</v>
      </c>
      <c r="U76" s="21" t="s">
        <v>243</v>
      </c>
      <c r="V76" s="21" t="s">
        <v>243</v>
      </c>
      <c r="W76" s="21" t="s">
        <v>243</v>
      </c>
      <c r="X76" s="22"/>
    </row>
    <row r="77" spans="1:24" x14ac:dyDescent="0.15">
      <c r="A77" s="15" t="s">
        <v>249</v>
      </c>
      <c r="B77" s="15"/>
      <c r="C77" s="21" t="s">
        <v>243</v>
      </c>
      <c r="D77" s="21" t="s">
        <v>243</v>
      </c>
      <c r="E77" s="21" t="s">
        <v>243</v>
      </c>
      <c r="F77" s="21" t="s">
        <v>243</v>
      </c>
      <c r="G77" s="21" t="s">
        <v>243</v>
      </c>
      <c r="H77" s="21" t="s">
        <v>243</v>
      </c>
      <c r="I77" s="21" t="s">
        <v>243</v>
      </c>
      <c r="J77" s="21" t="s">
        <v>243</v>
      </c>
      <c r="K77" s="21" t="s">
        <v>243</v>
      </c>
      <c r="L77" s="21" t="s">
        <v>243</v>
      </c>
      <c r="M77" s="21" t="s">
        <v>243</v>
      </c>
      <c r="N77" s="21" t="s">
        <v>243</v>
      </c>
      <c r="O77" s="21" t="s">
        <v>243</v>
      </c>
      <c r="P77" s="21" t="s">
        <v>243</v>
      </c>
      <c r="Q77" s="21" t="s">
        <v>243</v>
      </c>
      <c r="R77" s="21" t="s">
        <v>243</v>
      </c>
      <c r="S77" s="21" t="s">
        <v>243</v>
      </c>
      <c r="T77" s="21" t="s">
        <v>243</v>
      </c>
      <c r="U77" s="21" t="s">
        <v>243</v>
      </c>
      <c r="V77" s="21" t="s">
        <v>243</v>
      </c>
      <c r="W77" s="21" t="s">
        <v>243</v>
      </c>
      <c r="X77" s="22"/>
    </row>
    <row r="78" spans="1:24" x14ac:dyDescent="0.15">
      <c r="A78" s="15" t="s">
        <v>27</v>
      </c>
      <c r="B78" s="15"/>
      <c r="C78" s="21" t="s">
        <v>243</v>
      </c>
      <c r="D78" s="21" t="s">
        <v>243</v>
      </c>
      <c r="E78" s="21" t="s">
        <v>243</v>
      </c>
      <c r="F78" s="21" t="s">
        <v>243</v>
      </c>
      <c r="G78" s="21" t="s">
        <v>243</v>
      </c>
      <c r="H78" s="21" t="s">
        <v>243</v>
      </c>
      <c r="I78" s="21" t="s">
        <v>243</v>
      </c>
      <c r="J78" s="21" t="s">
        <v>243</v>
      </c>
      <c r="K78" s="21" t="s">
        <v>243</v>
      </c>
      <c r="L78" s="21" t="s">
        <v>243</v>
      </c>
      <c r="M78" s="21" t="s">
        <v>243</v>
      </c>
      <c r="N78" s="21" t="s">
        <v>243</v>
      </c>
      <c r="O78" s="21" t="s">
        <v>243</v>
      </c>
      <c r="P78" s="21" t="s">
        <v>243</v>
      </c>
      <c r="Q78" s="21" t="s">
        <v>243</v>
      </c>
      <c r="R78" s="21" t="s">
        <v>243</v>
      </c>
      <c r="S78" s="21" t="s">
        <v>243</v>
      </c>
      <c r="T78" s="21" t="s">
        <v>243</v>
      </c>
      <c r="U78" s="21" t="s">
        <v>243</v>
      </c>
      <c r="V78" s="21" t="s">
        <v>243</v>
      </c>
      <c r="W78" s="21" t="s">
        <v>243</v>
      </c>
      <c r="X78" s="22"/>
    </row>
    <row r="79" spans="1:24" x14ac:dyDescent="0.15">
      <c r="C79" s="18"/>
      <c r="D79" s="18"/>
      <c r="E79" s="18"/>
      <c r="F79" s="18"/>
      <c r="G79" s="18"/>
      <c r="H79" s="18"/>
      <c r="I79" s="18"/>
      <c r="J79" s="18"/>
      <c r="K79" s="18"/>
      <c r="L79" s="18"/>
      <c r="M79" s="18"/>
      <c r="N79" s="18"/>
      <c r="O79" s="18"/>
      <c r="P79" s="18"/>
      <c r="Q79" s="18"/>
      <c r="R79" s="18"/>
      <c r="S79" s="18"/>
      <c r="T79" s="18"/>
      <c r="U79" s="18"/>
      <c r="V79" s="18"/>
      <c r="W79" s="18"/>
    </row>
    <row r="80" spans="1:24" x14ac:dyDescent="0.15">
      <c r="A80" s="24" t="s">
        <v>251</v>
      </c>
      <c r="B80" s="24"/>
      <c r="C80" s="19">
        <f t="shared" ref="C80:R80" si="2">SUM(C66:C79)</f>
        <v>0</v>
      </c>
      <c r="D80" s="19">
        <f t="shared" si="2"/>
        <v>0</v>
      </c>
      <c r="E80" s="19">
        <f t="shared" si="2"/>
        <v>0</v>
      </c>
      <c r="F80" s="19">
        <f t="shared" si="2"/>
        <v>0</v>
      </c>
      <c r="G80" s="19">
        <f t="shared" si="2"/>
        <v>0</v>
      </c>
      <c r="H80" s="19">
        <f t="shared" si="2"/>
        <v>0</v>
      </c>
      <c r="I80" s="19">
        <f t="shared" si="2"/>
        <v>0</v>
      </c>
      <c r="J80" s="19">
        <f t="shared" si="2"/>
        <v>0</v>
      </c>
      <c r="K80" s="19">
        <f t="shared" si="2"/>
        <v>0</v>
      </c>
      <c r="L80" s="19">
        <f t="shared" si="2"/>
        <v>0</v>
      </c>
      <c r="M80" s="19">
        <f t="shared" si="2"/>
        <v>0</v>
      </c>
      <c r="N80" s="19">
        <f t="shared" si="2"/>
        <v>0</v>
      </c>
      <c r="O80" s="19">
        <f t="shared" si="2"/>
        <v>0</v>
      </c>
      <c r="P80" s="19">
        <f t="shared" si="2"/>
        <v>0</v>
      </c>
      <c r="Q80" s="19">
        <f t="shared" si="2"/>
        <v>0</v>
      </c>
      <c r="R80" s="19">
        <f t="shared" si="2"/>
        <v>0</v>
      </c>
      <c r="S80" s="19">
        <f>SUM(S66:S79)</f>
        <v>0</v>
      </c>
      <c r="T80" s="19">
        <f>SUM(T66:T79)</f>
        <v>0</v>
      </c>
      <c r="U80" s="19">
        <f>SUM(U66:U79)</f>
        <v>0</v>
      </c>
      <c r="V80" s="19">
        <f>SUM(V66:V79)</f>
        <v>0</v>
      </c>
      <c r="W80" s="19">
        <f>SUM(W66:W79)</f>
        <v>0</v>
      </c>
      <c r="X80" s="20"/>
    </row>
    <row r="81" spans="1:24" x14ac:dyDescent="0.15">
      <c r="C81" s="18"/>
      <c r="D81" s="18"/>
      <c r="E81" s="18"/>
      <c r="F81" s="18"/>
      <c r="G81" s="18"/>
      <c r="H81" s="18"/>
      <c r="I81" s="18"/>
      <c r="J81" s="18"/>
      <c r="K81" s="18"/>
      <c r="L81" s="18"/>
      <c r="M81" s="18"/>
      <c r="N81" s="18"/>
      <c r="O81" s="18"/>
      <c r="P81" s="18"/>
      <c r="Q81" s="18"/>
      <c r="R81" s="18"/>
      <c r="S81" s="18"/>
      <c r="T81" s="18"/>
      <c r="U81" s="18"/>
      <c r="V81" s="18"/>
      <c r="W81" s="18"/>
    </row>
    <row r="82" spans="1:24" x14ac:dyDescent="0.15">
      <c r="C82" s="18"/>
      <c r="D82" s="18"/>
      <c r="E82" s="18"/>
      <c r="F82" s="18"/>
      <c r="G82" s="18"/>
      <c r="H82" s="18"/>
      <c r="I82" s="18"/>
      <c r="J82" s="18"/>
      <c r="K82" s="18"/>
      <c r="L82" s="18"/>
      <c r="M82" s="18"/>
      <c r="N82" s="18"/>
      <c r="O82" s="18"/>
      <c r="P82" s="18"/>
      <c r="Q82" s="18"/>
      <c r="R82" s="18"/>
      <c r="S82" s="18"/>
      <c r="T82" s="18"/>
      <c r="U82" s="18"/>
      <c r="V82" s="18"/>
      <c r="W82" s="18"/>
    </row>
    <row r="83" spans="1:24" x14ac:dyDescent="0.15">
      <c r="C83" s="18"/>
      <c r="D83" s="18"/>
      <c r="E83" s="18"/>
      <c r="F83" s="18"/>
      <c r="G83" s="18"/>
      <c r="H83" s="18"/>
      <c r="I83" s="18"/>
      <c r="J83" s="18"/>
      <c r="K83" s="18"/>
      <c r="L83" s="18"/>
      <c r="M83" s="18"/>
      <c r="N83" s="18"/>
      <c r="O83" s="18"/>
      <c r="P83" s="18"/>
      <c r="Q83" s="18"/>
      <c r="R83" s="18"/>
      <c r="S83" s="18"/>
      <c r="T83" s="18"/>
      <c r="U83" s="18"/>
      <c r="V83" s="18"/>
      <c r="W83" s="18"/>
    </row>
    <row r="84" spans="1:24" x14ac:dyDescent="0.15">
      <c r="A84" s="13" t="s">
        <v>267</v>
      </c>
      <c r="B84" s="13"/>
      <c r="C84" s="18"/>
      <c r="D84" s="18"/>
      <c r="E84" s="18"/>
      <c r="F84" s="18"/>
      <c r="G84" s="18"/>
      <c r="H84" s="18"/>
      <c r="I84" s="18"/>
      <c r="J84" s="18"/>
      <c r="K84" s="18"/>
      <c r="L84" s="18"/>
      <c r="M84" s="18"/>
      <c r="N84" s="18"/>
      <c r="O84" s="18"/>
      <c r="P84" s="18"/>
      <c r="Q84" s="18"/>
      <c r="R84" s="18"/>
      <c r="S84" s="18"/>
      <c r="T84" s="18"/>
      <c r="U84" s="18"/>
      <c r="V84" s="18"/>
      <c r="W84" s="18"/>
    </row>
    <row r="85" spans="1:24" x14ac:dyDescent="0.15">
      <c r="C85" s="18"/>
      <c r="D85" s="18"/>
      <c r="E85" s="18"/>
      <c r="F85" s="18"/>
      <c r="G85" s="18"/>
      <c r="H85" s="18"/>
      <c r="I85" s="18"/>
      <c r="J85" s="18"/>
      <c r="K85" s="18"/>
      <c r="L85" s="18"/>
      <c r="M85" s="18"/>
      <c r="N85" s="18"/>
      <c r="O85" s="18"/>
      <c r="P85" s="18"/>
      <c r="Q85" s="18"/>
      <c r="R85" s="18"/>
      <c r="S85" s="18"/>
      <c r="T85" s="18"/>
      <c r="U85" s="18"/>
      <c r="V85" s="18"/>
      <c r="W85" s="18"/>
    </row>
    <row r="86" spans="1:24" x14ac:dyDescent="0.15">
      <c r="A86" s="15" t="s">
        <v>266</v>
      </c>
      <c r="B86" s="15"/>
      <c r="C86" s="18">
        <v>1890</v>
      </c>
      <c r="D86" s="18">
        <v>1895</v>
      </c>
      <c r="E86" s="18">
        <v>1900</v>
      </c>
      <c r="F86" s="18">
        <v>1905</v>
      </c>
      <c r="G86" s="18">
        <f>E86+10</f>
        <v>1910</v>
      </c>
      <c r="H86" s="18">
        <v>1915</v>
      </c>
      <c r="I86" s="18">
        <f>G86+10</f>
        <v>1920</v>
      </c>
      <c r="J86" s="18">
        <v>1925</v>
      </c>
      <c r="K86" s="18">
        <f>I86+10</f>
        <v>1930</v>
      </c>
      <c r="L86" s="18">
        <v>1935</v>
      </c>
      <c r="M86" s="18">
        <f>K86+10</f>
        <v>1940</v>
      </c>
      <c r="N86" s="18">
        <v>1945</v>
      </c>
      <c r="O86" s="18">
        <f>M86+10</f>
        <v>1950</v>
      </c>
      <c r="P86" s="18">
        <v>1955</v>
      </c>
      <c r="Q86" s="18">
        <f>O86+10</f>
        <v>1960</v>
      </c>
      <c r="R86" s="18">
        <v>1965</v>
      </c>
      <c r="S86" s="18">
        <f>Q86+10</f>
        <v>1970</v>
      </c>
      <c r="T86" s="18">
        <v>1975</v>
      </c>
      <c r="U86" s="18">
        <v>1980</v>
      </c>
      <c r="V86" s="18">
        <v>1985</v>
      </c>
      <c r="W86" s="18">
        <v>1990</v>
      </c>
    </row>
    <row r="87" spans="1:24" x14ac:dyDescent="0.15">
      <c r="C87" s="18"/>
      <c r="D87" s="18"/>
      <c r="E87" s="18"/>
      <c r="F87" s="18"/>
      <c r="G87" s="18"/>
      <c r="H87" s="18"/>
      <c r="I87" s="18"/>
      <c r="J87" s="18"/>
      <c r="K87" s="18"/>
      <c r="L87" s="18"/>
      <c r="M87" s="18"/>
      <c r="N87" s="18"/>
      <c r="O87" s="18"/>
      <c r="P87" s="18"/>
      <c r="Q87" s="18"/>
      <c r="R87" s="18"/>
      <c r="S87" s="18"/>
      <c r="T87" s="18"/>
      <c r="U87" s="18"/>
      <c r="V87" s="18"/>
      <c r="W87" s="18"/>
    </row>
    <row r="88" spans="1:24" x14ac:dyDescent="0.15">
      <c r="A88" s="15" t="s">
        <v>11</v>
      </c>
      <c r="B88" s="15"/>
      <c r="C88" s="21" t="s">
        <v>243</v>
      </c>
      <c r="D88" s="21" t="s">
        <v>243</v>
      </c>
      <c r="E88" s="21" t="s">
        <v>243</v>
      </c>
      <c r="F88" s="21" t="s">
        <v>243</v>
      </c>
      <c r="G88" s="21" t="s">
        <v>243</v>
      </c>
      <c r="H88" s="21" t="s">
        <v>243</v>
      </c>
      <c r="I88" s="21" t="s">
        <v>243</v>
      </c>
      <c r="J88" s="21" t="s">
        <v>243</v>
      </c>
      <c r="K88" s="21" t="s">
        <v>243</v>
      </c>
      <c r="L88" s="21" t="s">
        <v>243</v>
      </c>
      <c r="M88" s="21" t="s">
        <v>243</v>
      </c>
      <c r="N88" s="21" t="s">
        <v>243</v>
      </c>
      <c r="O88" s="21" t="s">
        <v>243</v>
      </c>
      <c r="P88" s="21" t="s">
        <v>243</v>
      </c>
      <c r="Q88" s="21" t="s">
        <v>243</v>
      </c>
      <c r="R88" s="21" t="s">
        <v>243</v>
      </c>
      <c r="S88" s="21" t="s">
        <v>243</v>
      </c>
      <c r="T88" s="21" t="s">
        <v>243</v>
      </c>
      <c r="U88" s="21" t="s">
        <v>243</v>
      </c>
      <c r="V88" s="21" t="s">
        <v>243</v>
      </c>
      <c r="W88" s="21" t="s">
        <v>243</v>
      </c>
      <c r="X88" s="22"/>
    </row>
    <row r="89" spans="1:24" x14ac:dyDescent="0.15">
      <c r="A89" s="15" t="s">
        <v>235</v>
      </c>
      <c r="B89" s="15"/>
      <c r="C89" s="21" t="s">
        <v>243</v>
      </c>
      <c r="D89" s="21" t="s">
        <v>243</v>
      </c>
      <c r="E89" s="21" t="s">
        <v>243</v>
      </c>
      <c r="F89" s="21" t="s">
        <v>243</v>
      </c>
      <c r="G89" s="21" t="s">
        <v>243</v>
      </c>
      <c r="H89" s="21" t="s">
        <v>243</v>
      </c>
      <c r="I89" s="21" t="s">
        <v>243</v>
      </c>
      <c r="J89" s="21" t="s">
        <v>243</v>
      </c>
      <c r="K89" s="21" t="s">
        <v>243</v>
      </c>
      <c r="L89" s="21" t="s">
        <v>243</v>
      </c>
      <c r="M89" s="21" t="s">
        <v>243</v>
      </c>
      <c r="N89" s="21" t="s">
        <v>243</v>
      </c>
      <c r="O89" s="21" t="s">
        <v>243</v>
      </c>
      <c r="P89" s="21" t="s">
        <v>243</v>
      </c>
      <c r="Q89" s="21" t="s">
        <v>243</v>
      </c>
      <c r="R89" s="21">
        <v>133537</v>
      </c>
      <c r="S89" s="21">
        <v>136741</v>
      </c>
      <c r="T89" s="19">
        <v>127531</v>
      </c>
      <c r="U89" s="19">
        <v>90832</v>
      </c>
      <c r="V89" s="19">
        <v>64679</v>
      </c>
      <c r="W89" s="19">
        <v>73002</v>
      </c>
      <c r="X89" s="20"/>
    </row>
    <row r="90" spans="1:24" x14ac:dyDescent="0.15">
      <c r="A90" s="15" t="s">
        <v>236</v>
      </c>
      <c r="B90" s="15"/>
      <c r="C90" s="21" t="s">
        <v>243</v>
      </c>
      <c r="D90" s="21" t="s">
        <v>243</v>
      </c>
      <c r="E90" s="21" t="s">
        <v>243</v>
      </c>
      <c r="F90" s="21" t="s">
        <v>243</v>
      </c>
      <c r="G90" s="21" t="s">
        <v>243</v>
      </c>
      <c r="H90" s="21" t="s">
        <v>243</v>
      </c>
      <c r="I90" s="21" t="s">
        <v>243</v>
      </c>
      <c r="J90" s="21" t="s">
        <v>243</v>
      </c>
      <c r="K90" s="21" t="s">
        <v>243</v>
      </c>
      <c r="L90" s="21" t="s">
        <v>243</v>
      </c>
      <c r="M90" s="21" t="s">
        <v>243</v>
      </c>
      <c r="N90" s="21" t="s">
        <v>243</v>
      </c>
      <c r="O90" s="21" t="s">
        <v>243</v>
      </c>
      <c r="P90" s="21" t="s">
        <v>243</v>
      </c>
      <c r="Q90" s="21" t="s">
        <v>243</v>
      </c>
      <c r="R90" s="21" t="s">
        <v>243</v>
      </c>
      <c r="S90" s="21" t="s">
        <v>243</v>
      </c>
      <c r="T90" s="21" t="s">
        <v>243</v>
      </c>
      <c r="U90" s="21" t="s">
        <v>243</v>
      </c>
      <c r="V90" s="21" t="s">
        <v>243</v>
      </c>
      <c r="W90" s="21" t="s">
        <v>243</v>
      </c>
      <c r="X90" s="22"/>
    </row>
    <row r="91" spans="1:24" x14ac:dyDescent="0.15">
      <c r="A91" s="15" t="s">
        <v>238</v>
      </c>
      <c r="B91" s="15"/>
      <c r="C91" s="21" t="s">
        <v>243</v>
      </c>
      <c r="D91" s="21" t="s">
        <v>243</v>
      </c>
      <c r="E91" s="21" t="s">
        <v>243</v>
      </c>
      <c r="F91" s="21" t="s">
        <v>243</v>
      </c>
      <c r="G91" s="21" t="s">
        <v>243</v>
      </c>
      <c r="H91" s="21" t="s">
        <v>243</v>
      </c>
      <c r="I91" s="21" t="s">
        <v>243</v>
      </c>
      <c r="J91" s="21" t="s">
        <v>243</v>
      </c>
      <c r="K91" s="21" t="s">
        <v>243</v>
      </c>
      <c r="L91" s="21" t="s">
        <v>243</v>
      </c>
      <c r="M91" s="21" t="s">
        <v>243</v>
      </c>
      <c r="N91" s="21" t="s">
        <v>243</v>
      </c>
      <c r="O91" s="21" t="s">
        <v>243</v>
      </c>
      <c r="P91" s="21" t="s">
        <v>243</v>
      </c>
      <c r="Q91" s="21" t="s">
        <v>243</v>
      </c>
      <c r="R91" s="21" t="s">
        <v>243</v>
      </c>
      <c r="S91" s="21" t="s">
        <v>243</v>
      </c>
      <c r="T91" s="21" t="s">
        <v>243</v>
      </c>
      <c r="U91" s="21" t="s">
        <v>243</v>
      </c>
      <c r="V91" s="21" t="s">
        <v>243</v>
      </c>
      <c r="W91" s="21" t="s">
        <v>243</v>
      </c>
      <c r="X91" s="22"/>
    </row>
    <row r="92" spans="1:24" x14ac:dyDescent="0.15">
      <c r="A92" s="15" t="s">
        <v>240</v>
      </c>
      <c r="B92" s="15"/>
      <c r="C92" s="21" t="s">
        <v>243</v>
      </c>
      <c r="D92" s="21" t="s">
        <v>243</v>
      </c>
      <c r="E92" s="21" t="s">
        <v>243</v>
      </c>
      <c r="F92" s="21" t="s">
        <v>243</v>
      </c>
      <c r="G92" s="21" t="s">
        <v>243</v>
      </c>
      <c r="H92" s="21" t="s">
        <v>243</v>
      </c>
      <c r="I92" s="21" t="s">
        <v>243</v>
      </c>
      <c r="J92" s="21" t="s">
        <v>243</v>
      </c>
      <c r="K92" s="21" t="s">
        <v>243</v>
      </c>
      <c r="L92" s="21" t="s">
        <v>243</v>
      </c>
      <c r="M92" s="21" t="s">
        <v>243</v>
      </c>
      <c r="N92" s="21" t="s">
        <v>243</v>
      </c>
      <c r="O92" s="21" t="s">
        <v>243</v>
      </c>
      <c r="P92" s="21" t="s">
        <v>243</v>
      </c>
      <c r="Q92" s="21" t="s">
        <v>243</v>
      </c>
      <c r="R92" s="21" t="s">
        <v>243</v>
      </c>
      <c r="S92" s="21" t="s">
        <v>243</v>
      </c>
      <c r="T92" s="21" t="s">
        <v>243</v>
      </c>
      <c r="U92" s="21" t="s">
        <v>243</v>
      </c>
      <c r="V92" s="21" t="s">
        <v>243</v>
      </c>
      <c r="W92" s="21" t="s">
        <v>243</v>
      </c>
      <c r="X92" s="22"/>
    </row>
    <row r="93" spans="1:24" x14ac:dyDescent="0.15">
      <c r="A93" s="15" t="s">
        <v>242</v>
      </c>
      <c r="B93" s="15"/>
      <c r="C93" s="21" t="s">
        <v>243</v>
      </c>
      <c r="D93" s="21" t="s">
        <v>243</v>
      </c>
      <c r="E93" s="21" t="s">
        <v>243</v>
      </c>
      <c r="F93" s="21" t="s">
        <v>243</v>
      </c>
      <c r="G93" s="21" t="s">
        <v>243</v>
      </c>
      <c r="H93" s="21" t="s">
        <v>243</v>
      </c>
      <c r="I93" s="21" t="s">
        <v>243</v>
      </c>
      <c r="J93" s="21" t="s">
        <v>243</v>
      </c>
      <c r="K93" s="21" t="s">
        <v>243</v>
      </c>
      <c r="L93" s="21" t="s">
        <v>243</v>
      </c>
      <c r="M93" s="21" t="s">
        <v>243</v>
      </c>
      <c r="N93" s="21" t="s">
        <v>243</v>
      </c>
      <c r="O93" s="21" t="s">
        <v>243</v>
      </c>
      <c r="P93" s="21" t="s">
        <v>243</v>
      </c>
      <c r="Q93" s="21" t="s">
        <v>243</v>
      </c>
      <c r="R93" s="21" t="s">
        <v>243</v>
      </c>
      <c r="S93" s="21" t="s">
        <v>243</v>
      </c>
      <c r="T93" s="21" t="s">
        <v>243</v>
      </c>
      <c r="U93" s="21" t="s">
        <v>243</v>
      </c>
      <c r="V93" s="21" t="s">
        <v>243</v>
      </c>
      <c r="W93" s="21" t="s">
        <v>243</v>
      </c>
      <c r="X93" s="22"/>
    </row>
    <row r="94" spans="1:24" x14ac:dyDescent="0.15">
      <c r="A94" s="15" t="s">
        <v>244</v>
      </c>
      <c r="B94" s="15"/>
      <c r="C94" s="21" t="s">
        <v>243</v>
      </c>
      <c r="D94" s="21" t="s">
        <v>243</v>
      </c>
      <c r="E94" s="21" t="s">
        <v>243</v>
      </c>
      <c r="F94" s="21" t="s">
        <v>243</v>
      </c>
      <c r="G94" s="21" t="s">
        <v>243</v>
      </c>
      <c r="H94" s="21" t="s">
        <v>243</v>
      </c>
      <c r="I94" s="21" t="s">
        <v>243</v>
      </c>
      <c r="J94" s="21" t="s">
        <v>243</v>
      </c>
      <c r="K94" s="21" t="s">
        <v>243</v>
      </c>
      <c r="L94" s="21" t="s">
        <v>243</v>
      </c>
      <c r="M94" s="21" t="s">
        <v>243</v>
      </c>
      <c r="N94" s="21" t="s">
        <v>243</v>
      </c>
      <c r="O94" s="21" t="s">
        <v>243</v>
      </c>
      <c r="P94" s="21" t="s">
        <v>243</v>
      </c>
      <c r="Q94" s="21" t="s">
        <v>243</v>
      </c>
      <c r="R94" s="21" t="s">
        <v>243</v>
      </c>
      <c r="S94" s="21" t="s">
        <v>243</v>
      </c>
      <c r="T94" s="19">
        <v>189177</v>
      </c>
      <c r="U94" s="19">
        <v>197840</v>
      </c>
      <c r="V94" s="19">
        <v>203760</v>
      </c>
      <c r="W94" s="19">
        <v>199700</v>
      </c>
      <c r="X94" s="20"/>
    </row>
    <row r="95" spans="1:24" x14ac:dyDescent="0.15">
      <c r="A95" s="15" t="s">
        <v>245</v>
      </c>
      <c r="B95" s="15"/>
      <c r="C95" s="21" t="s">
        <v>243</v>
      </c>
      <c r="D95" s="21" t="s">
        <v>243</v>
      </c>
      <c r="E95" s="21" t="s">
        <v>243</v>
      </c>
      <c r="F95" s="21" t="s">
        <v>243</v>
      </c>
      <c r="G95" s="21" t="s">
        <v>243</v>
      </c>
      <c r="H95" s="21" t="s">
        <v>243</v>
      </c>
      <c r="I95" s="21" t="s">
        <v>243</v>
      </c>
      <c r="J95" s="21" t="s">
        <v>243</v>
      </c>
      <c r="K95" s="21" t="s">
        <v>243</v>
      </c>
      <c r="L95" s="21" t="s">
        <v>243</v>
      </c>
      <c r="M95" s="21" t="s">
        <v>243</v>
      </c>
      <c r="N95" s="21" t="s">
        <v>243</v>
      </c>
      <c r="O95" s="21" t="s">
        <v>243</v>
      </c>
      <c r="P95" s="21" t="s">
        <v>243</v>
      </c>
      <c r="Q95" s="21" t="s">
        <v>243</v>
      </c>
      <c r="R95" s="21" t="s">
        <v>243</v>
      </c>
      <c r="S95" s="21" t="s">
        <v>243</v>
      </c>
      <c r="T95" s="21" t="s">
        <v>243</v>
      </c>
      <c r="U95" s="21" t="s">
        <v>243</v>
      </c>
      <c r="V95" s="21" t="s">
        <v>243</v>
      </c>
      <c r="W95" s="21" t="s">
        <v>243</v>
      </c>
      <c r="X95" s="22"/>
    </row>
    <row r="96" spans="1:24" x14ac:dyDescent="0.15">
      <c r="A96" s="15" t="s">
        <v>246</v>
      </c>
      <c r="B96" s="15"/>
      <c r="C96" s="21" t="s">
        <v>243</v>
      </c>
      <c r="D96" s="21" t="s">
        <v>243</v>
      </c>
      <c r="E96" s="21" t="s">
        <v>243</v>
      </c>
      <c r="F96" s="21" t="s">
        <v>243</v>
      </c>
      <c r="G96" s="21" t="s">
        <v>243</v>
      </c>
      <c r="H96" s="21" t="s">
        <v>243</v>
      </c>
      <c r="I96" s="21" t="s">
        <v>243</v>
      </c>
      <c r="J96" s="21" t="s">
        <v>243</v>
      </c>
      <c r="K96" s="21" t="s">
        <v>243</v>
      </c>
      <c r="L96" s="21" t="s">
        <v>243</v>
      </c>
      <c r="M96" s="21" t="s">
        <v>243</v>
      </c>
      <c r="N96" s="21" t="s">
        <v>243</v>
      </c>
      <c r="O96" s="21" t="s">
        <v>243</v>
      </c>
      <c r="P96" s="21" t="s">
        <v>243</v>
      </c>
      <c r="Q96" s="21" t="s">
        <v>243</v>
      </c>
      <c r="R96" s="21" t="s">
        <v>243</v>
      </c>
      <c r="S96" s="21" t="s">
        <v>243</v>
      </c>
      <c r="T96" s="21" t="s">
        <v>243</v>
      </c>
      <c r="U96" s="21" t="s">
        <v>243</v>
      </c>
      <c r="V96" s="21" t="s">
        <v>243</v>
      </c>
      <c r="W96" s="21" t="s">
        <v>243</v>
      </c>
      <c r="X96" s="22"/>
    </row>
    <row r="97" spans="1:24" x14ac:dyDescent="0.15">
      <c r="A97" s="15" t="s">
        <v>247</v>
      </c>
      <c r="B97" s="15"/>
      <c r="C97" s="21" t="s">
        <v>243</v>
      </c>
      <c r="D97" s="21" t="s">
        <v>243</v>
      </c>
      <c r="E97" s="21" t="s">
        <v>243</v>
      </c>
      <c r="F97" s="21" t="s">
        <v>243</v>
      </c>
      <c r="G97" s="21" t="s">
        <v>243</v>
      </c>
      <c r="H97" s="21" t="s">
        <v>243</v>
      </c>
      <c r="I97" s="21" t="s">
        <v>243</v>
      </c>
      <c r="J97" s="21" t="s">
        <v>243</v>
      </c>
      <c r="K97" s="21" t="s">
        <v>243</v>
      </c>
      <c r="L97" s="21" t="s">
        <v>243</v>
      </c>
      <c r="M97" s="21" t="s">
        <v>243</v>
      </c>
      <c r="N97" s="21" t="s">
        <v>243</v>
      </c>
      <c r="O97" s="21" t="s">
        <v>243</v>
      </c>
      <c r="P97" s="21" t="s">
        <v>243</v>
      </c>
      <c r="Q97" s="21" t="s">
        <v>243</v>
      </c>
      <c r="R97" s="21" t="s">
        <v>243</v>
      </c>
      <c r="S97" s="21" t="s">
        <v>243</v>
      </c>
      <c r="T97" s="19">
        <v>66436</v>
      </c>
      <c r="U97" s="19">
        <v>120394</v>
      </c>
      <c r="V97" s="19">
        <v>140354</v>
      </c>
      <c r="W97" s="19">
        <v>183963</v>
      </c>
      <c r="X97" s="20"/>
    </row>
    <row r="98" spans="1:24" x14ac:dyDescent="0.15">
      <c r="A98" s="15" t="s">
        <v>248</v>
      </c>
      <c r="B98" s="15"/>
      <c r="C98" s="21" t="s">
        <v>243</v>
      </c>
      <c r="D98" s="21" t="s">
        <v>243</v>
      </c>
      <c r="E98" s="21" t="s">
        <v>243</v>
      </c>
      <c r="F98" s="21" t="s">
        <v>243</v>
      </c>
      <c r="G98" s="21" t="s">
        <v>243</v>
      </c>
      <c r="H98" s="21" t="s">
        <v>243</v>
      </c>
      <c r="I98" s="21" t="s">
        <v>243</v>
      </c>
      <c r="J98" s="21" t="s">
        <v>243</v>
      </c>
      <c r="K98" s="21" t="s">
        <v>243</v>
      </c>
      <c r="L98" s="21" t="s">
        <v>243</v>
      </c>
      <c r="M98" s="21" t="s">
        <v>243</v>
      </c>
      <c r="N98" s="21" t="s">
        <v>243</v>
      </c>
      <c r="O98" s="21" t="s">
        <v>243</v>
      </c>
      <c r="P98" s="21" t="s">
        <v>243</v>
      </c>
      <c r="Q98" s="21" t="s">
        <v>243</v>
      </c>
      <c r="R98" s="21" t="s">
        <v>243</v>
      </c>
      <c r="S98" s="21" t="s">
        <v>243</v>
      </c>
      <c r="T98" s="21" t="s">
        <v>243</v>
      </c>
      <c r="U98" s="21" t="s">
        <v>243</v>
      </c>
      <c r="V98" s="21" t="s">
        <v>243</v>
      </c>
      <c r="W98" s="21" t="s">
        <v>243</v>
      </c>
      <c r="X98" s="22"/>
    </row>
    <row r="99" spans="1:24" x14ac:dyDescent="0.15">
      <c r="A99" s="15" t="s">
        <v>249</v>
      </c>
      <c r="B99" s="15"/>
      <c r="C99" s="21" t="s">
        <v>243</v>
      </c>
      <c r="D99" s="21" t="s">
        <v>243</v>
      </c>
      <c r="E99" s="21" t="s">
        <v>243</v>
      </c>
      <c r="F99" s="21" t="s">
        <v>243</v>
      </c>
      <c r="G99" s="21" t="s">
        <v>243</v>
      </c>
      <c r="H99" s="21" t="s">
        <v>243</v>
      </c>
      <c r="I99" s="21" t="s">
        <v>243</v>
      </c>
      <c r="J99" s="21" t="s">
        <v>243</v>
      </c>
      <c r="K99" s="21" t="s">
        <v>243</v>
      </c>
      <c r="L99" s="21" t="s">
        <v>243</v>
      </c>
      <c r="M99" s="21" t="s">
        <v>243</v>
      </c>
      <c r="N99" s="21" t="s">
        <v>243</v>
      </c>
      <c r="O99" s="21" t="s">
        <v>243</v>
      </c>
      <c r="P99" s="21" t="s">
        <v>243</v>
      </c>
      <c r="Q99" s="21" t="s">
        <v>243</v>
      </c>
      <c r="R99" s="21" t="s">
        <v>243</v>
      </c>
      <c r="S99" s="21" t="s">
        <v>243</v>
      </c>
      <c r="T99" s="21" t="s">
        <v>243</v>
      </c>
      <c r="U99" s="21" t="s">
        <v>243</v>
      </c>
      <c r="V99" s="21" t="s">
        <v>243</v>
      </c>
      <c r="W99" s="21" t="s">
        <v>243</v>
      </c>
      <c r="X99" s="22"/>
    </row>
    <row r="100" spans="1:24" x14ac:dyDescent="0.15">
      <c r="A100" s="15" t="s">
        <v>27</v>
      </c>
      <c r="B100" s="15"/>
      <c r="C100" s="21" t="s">
        <v>243</v>
      </c>
      <c r="D100" s="21" t="s">
        <v>243</v>
      </c>
      <c r="E100" s="21" t="s">
        <v>243</v>
      </c>
      <c r="F100" s="21" t="s">
        <v>243</v>
      </c>
      <c r="G100" s="21" t="s">
        <v>243</v>
      </c>
      <c r="H100" s="21" t="s">
        <v>243</v>
      </c>
      <c r="I100" s="21" t="s">
        <v>243</v>
      </c>
      <c r="J100" s="21" t="s">
        <v>243</v>
      </c>
      <c r="K100" s="21" t="s">
        <v>243</v>
      </c>
      <c r="L100" s="21" t="s">
        <v>243</v>
      </c>
      <c r="M100" s="21" t="s">
        <v>243</v>
      </c>
      <c r="N100" s="21" t="s">
        <v>243</v>
      </c>
      <c r="O100" s="21" t="s">
        <v>243</v>
      </c>
      <c r="P100" s="21" t="s">
        <v>243</v>
      </c>
      <c r="Q100" s="21" t="s">
        <v>243</v>
      </c>
      <c r="R100" s="21" t="s">
        <v>243</v>
      </c>
      <c r="S100" s="21" t="s">
        <v>243</v>
      </c>
      <c r="T100" s="19">
        <v>132689</v>
      </c>
      <c r="U100" s="19">
        <v>108693</v>
      </c>
      <c r="V100" s="19">
        <v>102215</v>
      </c>
      <c r="W100" s="19">
        <v>107395</v>
      </c>
      <c r="X100" s="20"/>
    </row>
    <row r="101" spans="1:24" x14ac:dyDescent="0.15">
      <c r="C101" s="18"/>
      <c r="D101" s="18"/>
      <c r="E101" s="18"/>
      <c r="F101" s="18"/>
      <c r="G101" s="18"/>
      <c r="H101" s="18"/>
      <c r="I101" s="18"/>
      <c r="J101" s="18"/>
      <c r="K101" s="18"/>
      <c r="L101" s="18"/>
      <c r="M101" s="18"/>
      <c r="N101" s="18"/>
      <c r="O101" s="18"/>
      <c r="P101" s="18"/>
      <c r="Q101" s="18"/>
      <c r="R101" s="18"/>
      <c r="S101" s="18"/>
      <c r="T101" s="18"/>
      <c r="U101" s="18"/>
      <c r="V101" s="18"/>
      <c r="W101" s="18"/>
    </row>
    <row r="102" spans="1:24" x14ac:dyDescent="0.15">
      <c r="A102" s="24" t="s">
        <v>251</v>
      </c>
      <c r="B102" s="24"/>
      <c r="C102" s="19">
        <f t="shared" ref="C102:R102" si="3">SUM(C88:C101)</f>
        <v>0</v>
      </c>
      <c r="D102" s="19">
        <f t="shared" si="3"/>
        <v>0</v>
      </c>
      <c r="E102" s="19">
        <f t="shared" si="3"/>
        <v>0</v>
      </c>
      <c r="F102" s="19">
        <f t="shared" si="3"/>
        <v>0</v>
      </c>
      <c r="G102" s="19">
        <f t="shared" si="3"/>
        <v>0</v>
      </c>
      <c r="H102" s="19">
        <f t="shared" si="3"/>
        <v>0</v>
      </c>
      <c r="I102" s="19">
        <f t="shared" si="3"/>
        <v>0</v>
      </c>
      <c r="J102" s="19">
        <f t="shared" si="3"/>
        <v>0</v>
      </c>
      <c r="K102" s="19">
        <f t="shared" si="3"/>
        <v>0</v>
      </c>
      <c r="L102" s="19">
        <f t="shared" si="3"/>
        <v>0</v>
      </c>
      <c r="M102" s="19">
        <f t="shared" si="3"/>
        <v>0</v>
      </c>
      <c r="N102" s="19">
        <f t="shared" si="3"/>
        <v>0</v>
      </c>
      <c r="O102" s="19">
        <f t="shared" si="3"/>
        <v>0</v>
      </c>
      <c r="P102" s="19">
        <f t="shared" si="3"/>
        <v>0</v>
      </c>
      <c r="Q102" s="19">
        <f t="shared" si="3"/>
        <v>0</v>
      </c>
      <c r="R102" s="19">
        <f t="shared" si="3"/>
        <v>133537</v>
      </c>
      <c r="S102" s="19">
        <f>SUM(S88:S101)</f>
        <v>136741</v>
      </c>
      <c r="T102" s="19">
        <f>SUM(T88:T101)</f>
        <v>515833</v>
      </c>
      <c r="U102" s="19">
        <f>SUM(U88:U101)</f>
        <v>517759</v>
      </c>
      <c r="V102" s="19">
        <f>SUM(V88:V101)</f>
        <v>511008</v>
      </c>
      <c r="W102" s="19">
        <f>SUM(W88:W101)</f>
        <v>564060</v>
      </c>
      <c r="X102" s="20"/>
    </row>
    <row r="103" spans="1:24" x14ac:dyDescent="0.15">
      <c r="C103" s="18"/>
      <c r="D103" s="18"/>
      <c r="E103" s="18"/>
      <c r="F103" s="18"/>
      <c r="G103" s="18"/>
      <c r="H103" s="18"/>
      <c r="I103" s="18"/>
      <c r="J103" s="18"/>
      <c r="K103" s="18"/>
      <c r="L103" s="18"/>
      <c r="M103" s="18"/>
      <c r="N103" s="18"/>
      <c r="O103" s="18"/>
      <c r="P103" s="18"/>
      <c r="Q103" s="18"/>
      <c r="R103" s="18"/>
      <c r="S103" s="18"/>
      <c r="T103" s="18"/>
      <c r="U103" s="18"/>
      <c r="V103" s="18"/>
      <c r="W103" s="18"/>
    </row>
    <row r="104" spans="1:24" x14ac:dyDescent="0.15">
      <c r="A104" s="25" t="s">
        <v>252</v>
      </c>
      <c r="B104" s="25"/>
      <c r="C104" s="18"/>
      <c r="D104" s="18"/>
      <c r="E104" s="18"/>
      <c r="F104" s="18"/>
      <c r="G104" s="18"/>
      <c r="H104" s="18"/>
      <c r="I104" s="18"/>
      <c r="J104" s="18"/>
      <c r="K104" s="18"/>
      <c r="L104" s="18"/>
      <c r="M104" s="18"/>
      <c r="N104" s="18"/>
      <c r="O104" s="18"/>
      <c r="P104" s="18"/>
      <c r="Q104" s="18"/>
      <c r="R104" s="18"/>
      <c r="S104" s="18"/>
      <c r="T104" s="18"/>
      <c r="U104" s="18"/>
      <c r="V104" s="18"/>
      <c r="W104" s="18"/>
    </row>
    <row r="105" spans="1:24" x14ac:dyDescent="0.15">
      <c r="A105" s="15" t="s">
        <v>268</v>
      </c>
      <c r="B105" s="15"/>
      <c r="C105" s="21" t="s">
        <v>243</v>
      </c>
      <c r="D105" s="21" t="s">
        <v>243</v>
      </c>
      <c r="E105" s="21" t="s">
        <v>243</v>
      </c>
      <c r="F105" s="21" t="s">
        <v>243</v>
      </c>
      <c r="G105" s="21" t="s">
        <v>243</v>
      </c>
      <c r="H105" s="21" t="s">
        <v>243</v>
      </c>
      <c r="I105" s="21" t="s">
        <v>243</v>
      </c>
      <c r="J105" s="21" t="s">
        <v>243</v>
      </c>
      <c r="K105" s="21" t="s">
        <v>243</v>
      </c>
      <c r="L105" s="21" t="s">
        <v>243</v>
      </c>
      <c r="M105" s="21" t="s">
        <v>243</v>
      </c>
      <c r="N105" s="21" t="s">
        <v>243</v>
      </c>
      <c r="O105" s="21" t="s">
        <v>243</v>
      </c>
      <c r="P105" s="21" t="s">
        <v>243</v>
      </c>
      <c r="Q105" s="21" t="s">
        <v>243</v>
      </c>
      <c r="R105" s="21" t="s">
        <v>243</v>
      </c>
      <c r="S105" s="21" t="s">
        <v>243</v>
      </c>
      <c r="T105" s="19">
        <v>902388.8</v>
      </c>
      <c r="U105" s="19">
        <v>890924.3</v>
      </c>
      <c r="V105" s="19">
        <v>860640</v>
      </c>
      <c r="W105" s="19">
        <v>924869</v>
      </c>
      <c r="X105" s="20"/>
    </row>
    <row r="106" spans="1:24" x14ac:dyDescent="0.15">
      <c r="C106" s="18"/>
      <c r="D106" s="18"/>
      <c r="E106" s="18"/>
      <c r="F106" s="18"/>
      <c r="G106" s="18"/>
      <c r="H106" s="18"/>
      <c r="I106" s="18"/>
      <c r="J106" s="18"/>
      <c r="K106" s="18"/>
      <c r="L106" s="18"/>
      <c r="M106" s="18"/>
      <c r="N106" s="18"/>
      <c r="O106" s="18"/>
      <c r="P106" s="18"/>
      <c r="Q106" s="18"/>
      <c r="R106" s="18"/>
      <c r="S106" s="18"/>
      <c r="T106" s="18"/>
      <c r="U106" s="18"/>
      <c r="V106" s="18"/>
      <c r="W106" s="18"/>
    </row>
    <row r="107" spans="1:24" x14ac:dyDescent="0.15">
      <c r="A107" s="15" t="s">
        <v>269</v>
      </c>
      <c r="B107" s="15"/>
      <c r="C107" s="18"/>
      <c r="D107" s="18"/>
      <c r="E107" s="18"/>
      <c r="F107" s="18"/>
      <c r="G107" s="18"/>
      <c r="H107" s="18"/>
      <c r="I107" s="18"/>
      <c r="J107" s="18"/>
      <c r="K107" s="18"/>
      <c r="L107" s="18"/>
      <c r="M107" s="18"/>
      <c r="N107" s="18"/>
      <c r="O107" s="18"/>
      <c r="P107" s="18"/>
      <c r="Q107" s="18"/>
      <c r="R107" s="18"/>
      <c r="S107" s="18"/>
      <c r="T107" s="18"/>
      <c r="U107" s="18"/>
      <c r="V107" s="18"/>
      <c r="W107" s="18"/>
    </row>
    <row r="108" spans="1:24" x14ac:dyDescent="0.15">
      <c r="A108" s="14" t="s">
        <v>270</v>
      </c>
      <c r="C108" s="18"/>
      <c r="D108" s="18"/>
      <c r="E108" s="18"/>
      <c r="F108" s="18"/>
      <c r="G108" s="18"/>
      <c r="H108" s="18"/>
      <c r="I108" s="18"/>
      <c r="J108" s="18"/>
      <c r="K108" s="18"/>
      <c r="L108" s="18"/>
      <c r="M108" s="18"/>
      <c r="N108" s="18"/>
      <c r="O108" s="18"/>
      <c r="P108" s="18"/>
      <c r="Q108" s="18"/>
      <c r="R108" s="18"/>
      <c r="S108" s="18"/>
      <c r="T108" s="18"/>
      <c r="U108" s="18"/>
      <c r="V108" s="18"/>
      <c r="W108" s="18"/>
    </row>
    <row r="109" spans="1:24" x14ac:dyDescent="0.15">
      <c r="C109" s="18"/>
      <c r="D109" s="18"/>
      <c r="E109" s="18"/>
      <c r="F109" s="18"/>
      <c r="G109" s="18"/>
      <c r="H109" s="18"/>
      <c r="I109" s="18"/>
      <c r="J109" s="18"/>
      <c r="K109" s="18"/>
      <c r="L109" s="18"/>
      <c r="M109" s="18"/>
      <c r="N109" s="18"/>
      <c r="O109" s="18"/>
      <c r="P109" s="18"/>
      <c r="Q109" s="18"/>
      <c r="R109" s="18"/>
      <c r="S109" s="18"/>
      <c r="T109" s="18"/>
      <c r="U109" s="18"/>
      <c r="V109" s="18"/>
      <c r="W109" s="18"/>
    </row>
    <row r="110" spans="1:24" x14ac:dyDescent="0.15">
      <c r="C110" s="18"/>
      <c r="D110" s="18"/>
      <c r="E110" s="18"/>
      <c r="F110" s="18"/>
      <c r="G110" s="18"/>
      <c r="H110" s="18"/>
      <c r="I110" s="18"/>
      <c r="J110" s="18"/>
      <c r="K110" s="18"/>
      <c r="L110" s="18"/>
      <c r="M110" s="18"/>
      <c r="N110" s="18"/>
      <c r="O110" s="18"/>
      <c r="P110" s="18"/>
      <c r="Q110" s="18"/>
      <c r="R110" s="18"/>
      <c r="S110" s="18"/>
      <c r="T110" s="18"/>
      <c r="U110" s="18"/>
      <c r="V110" s="18"/>
      <c r="W110" s="18"/>
    </row>
    <row r="111" spans="1:24" x14ac:dyDescent="0.15">
      <c r="C111" s="18"/>
      <c r="D111" s="18"/>
      <c r="E111" s="18"/>
      <c r="F111" s="18"/>
      <c r="G111" s="18"/>
      <c r="H111" s="18"/>
      <c r="I111" s="18"/>
      <c r="J111" s="18"/>
      <c r="K111" s="18"/>
      <c r="L111" s="18"/>
      <c r="M111" s="18"/>
      <c r="N111" s="18"/>
      <c r="O111" s="18"/>
      <c r="P111" s="18"/>
      <c r="Q111" s="18"/>
      <c r="R111" s="18"/>
      <c r="S111" s="18"/>
      <c r="T111" s="18"/>
      <c r="U111" s="18"/>
      <c r="V111" s="18"/>
      <c r="W111" s="18"/>
    </row>
    <row r="112" spans="1:24" x14ac:dyDescent="0.15">
      <c r="A112" s="15" t="s">
        <v>271</v>
      </c>
      <c r="B112" s="15"/>
      <c r="C112" s="18"/>
      <c r="D112" s="18"/>
      <c r="E112" s="18"/>
      <c r="F112" s="18"/>
      <c r="G112" s="18"/>
      <c r="H112" s="18"/>
      <c r="I112" s="18"/>
      <c r="J112" s="18"/>
      <c r="K112" s="18"/>
      <c r="L112" s="18"/>
      <c r="M112" s="18"/>
      <c r="N112" s="18"/>
      <c r="O112" s="18"/>
      <c r="P112" s="18"/>
      <c r="Q112" s="18"/>
      <c r="R112" s="18"/>
      <c r="S112" s="18"/>
      <c r="T112" s="18"/>
      <c r="U112" s="18"/>
      <c r="V112" s="18"/>
      <c r="W112" s="18"/>
    </row>
    <row r="113" spans="1:23" x14ac:dyDescent="0.15">
      <c r="C113" s="18"/>
      <c r="D113" s="18"/>
      <c r="E113" s="18"/>
      <c r="F113" s="18"/>
      <c r="G113" s="18"/>
      <c r="H113" s="18"/>
      <c r="I113" s="18"/>
      <c r="J113" s="18"/>
      <c r="K113" s="18"/>
      <c r="L113" s="18"/>
      <c r="M113" s="18"/>
      <c r="N113" s="18"/>
      <c r="O113" s="18"/>
      <c r="P113" s="18"/>
      <c r="Q113" s="18"/>
      <c r="R113" s="18"/>
      <c r="S113" s="18"/>
      <c r="T113" s="18"/>
      <c r="U113" s="18"/>
      <c r="V113" s="18"/>
      <c r="W113" s="18"/>
    </row>
    <row r="114" spans="1:23" x14ac:dyDescent="0.15">
      <c r="A114" s="15" t="s">
        <v>266</v>
      </c>
      <c r="B114" s="15"/>
      <c r="C114" s="19">
        <v>1985</v>
      </c>
      <c r="D114" s="19">
        <v>1990</v>
      </c>
      <c r="E114" s="18"/>
      <c r="F114" s="18"/>
      <c r="G114" s="18"/>
      <c r="H114" s="18"/>
      <c r="I114" s="18"/>
      <c r="J114" s="18"/>
      <c r="K114" s="18"/>
      <c r="L114" s="18"/>
      <c r="M114" s="18"/>
      <c r="N114" s="18"/>
      <c r="O114" s="18"/>
      <c r="P114" s="18"/>
      <c r="Q114" s="18"/>
      <c r="R114" s="18"/>
      <c r="S114" s="18"/>
      <c r="T114" s="18"/>
      <c r="U114" s="18"/>
      <c r="V114" s="18"/>
      <c r="W114" s="18"/>
    </row>
    <row r="115" spans="1:23" x14ac:dyDescent="0.15">
      <c r="C115" s="18"/>
      <c r="D115" s="18"/>
      <c r="E115" s="18"/>
      <c r="F115" s="18"/>
      <c r="G115" s="18"/>
      <c r="H115" s="18"/>
      <c r="I115" s="18"/>
      <c r="J115" s="18"/>
      <c r="K115" s="18"/>
      <c r="L115" s="18"/>
      <c r="M115" s="18"/>
      <c r="N115" s="18"/>
      <c r="O115" s="18"/>
      <c r="P115" s="18"/>
      <c r="Q115" s="18"/>
      <c r="R115" s="18"/>
      <c r="S115" s="18"/>
      <c r="T115" s="18"/>
      <c r="U115" s="18"/>
      <c r="V115" s="18"/>
      <c r="W115" s="18"/>
    </row>
    <row r="116" spans="1:23" x14ac:dyDescent="0.15">
      <c r="A116" s="15" t="s">
        <v>11</v>
      </c>
      <c r="B116" s="15"/>
      <c r="C116" s="19">
        <v>9957</v>
      </c>
      <c r="D116" s="19">
        <v>4600</v>
      </c>
      <c r="E116" s="18"/>
      <c r="F116" s="18"/>
      <c r="G116" s="18"/>
      <c r="H116" s="18"/>
      <c r="I116" s="18"/>
      <c r="J116" s="18"/>
      <c r="K116" s="18"/>
      <c r="L116" s="18"/>
      <c r="M116" s="18"/>
      <c r="N116" s="18"/>
      <c r="O116" s="18"/>
      <c r="P116" s="18"/>
      <c r="Q116" s="18"/>
      <c r="R116" s="18"/>
      <c r="S116" s="18"/>
      <c r="T116" s="18"/>
      <c r="U116" s="18"/>
      <c r="V116" s="18"/>
      <c r="W116" s="18"/>
    </row>
    <row r="117" spans="1:23" x14ac:dyDescent="0.15">
      <c r="A117" s="15" t="s">
        <v>235</v>
      </c>
      <c r="B117" s="15"/>
      <c r="C117" s="19">
        <v>5994</v>
      </c>
      <c r="D117" s="19">
        <v>3800</v>
      </c>
      <c r="E117" s="18"/>
      <c r="F117" s="18"/>
      <c r="G117" s="18"/>
      <c r="H117" s="18"/>
      <c r="I117" s="18"/>
      <c r="J117" s="18"/>
      <c r="K117" s="18"/>
      <c r="L117" s="18"/>
      <c r="M117" s="18"/>
      <c r="N117" s="18"/>
      <c r="O117" s="18"/>
      <c r="P117" s="18"/>
      <c r="Q117" s="18"/>
      <c r="R117" s="18"/>
      <c r="S117" s="18"/>
      <c r="T117" s="18"/>
      <c r="U117" s="18"/>
      <c r="V117" s="18"/>
      <c r="W117" s="18"/>
    </row>
    <row r="118" spans="1:23" x14ac:dyDescent="0.15">
      <c r="A118" s="15" t="s">
        <v>236</v>
      </c>
      <c r="B118" s="15"/>
      <c r="C118" s="19">
        <v>13411</v>
      </c>
      <c r="D118" s="19">
        <v>8393</v>
      </c>
      <c r="E118" s="18"/>
      <c r="F118" s="18"/>
      <c r="G118" s="18"/>
      <c r="H118" s="18"/>
      <c r="I118" s="18"/>
      <c r="J118" s="18"/>
      <c r="K118" s="18"/>
      <c r="L118" s="18"/>
      <c r="M118" s="18"/>
      <c r="N118" s="18"/>
      <c r="O118" s="18"/>
      <c r="P118" s="18"/>
      <c r="Q118" s="18"/>
      <c r="R118" s="18"/>
      <c r="S118" s="18"/>
      <c r="T118" s="18"/>
      <c r="U118" s="18"/>
      <c r="V118" s="18"/>
      <c r="W118" s="18"/>
    </row>
    <row r="119" spans="1:23" x14ac:dyDescent="0.15">
      <c r="A119" s="15" t="s">
        <v>238</v>
      </c>
      <c r="B119" s="15"/>
      <c r="C119" s="19">
        <v>9652</v>
      </c>
      <c r="D119" s="19">
        <v>3454</v>
      </c>
      <c r="E119" s="18"/>
      <c r="F119" s="18"/>
      <c r="G119" s="18"/>
      <c r="H119" s="18"/>
      <c r="I119" s="18"/>
      <c r="J119" s="18"/>
      <c r="K119" s="18"/>
      <c r="L119" s="18"/>
      <c r="M119" s="18"/>
      <c r="N119" s="18"/>
      <c r="O119" s="18"/>
      <c r="P119" s="18"/>
      <c r="Q119" s="18"/>
      <c r="R119" s="18"/>
      <c r="S119" s="18"/>
      <c r="T119" s="18"/>
      <c r="U119" s="18"/>
      <c r="V119" s="18"/>
      <c r="W119" s="18"/>
    </row>
    <row r="120" spans="1:23" x14ac:dyDescent="0.15">
      <c r="A120" s="15" t="s">
        <v>240</v>
      </c>
      <c r="B120" s="15"/>
      <c r="C120" s="19">
        <v>3353</v>
      </c>
      <c r="D120" s="19">
        <v>3051</v>
      </c>
      <c r="E120" s="18"/>
      <c r="F120" s="18"/>
      <c r="G120" s="18"/>
      <c r="H120" s="18"/>
      <c r="I120" s="18"/>
      <c r="J120" s="18"/>
      <c r="K120" s="18"/>
      <c r="L120" s="18"/>
      <c r="M120" s="18"/>
      <c r="N120" s="18"/>
      <c r="O120" s="18"/>
      <c r="P120" s="18"/>
      <c r="Q120" s="18"/>
      <c r="R120" s="18"/>
      <c r="S120" s="18"/>
      <c r="T120" s="18"/>
      <c r="U120" s="18"/>
      <c r="V120" s="18"/>
      <c r="W120" s="18"/>
    </row>
    <row r="121" spans="1:23" x14ac:dyDescent="0.15">
      <c r="A121" s="15" t="s">
        <v>242</v>
      </c>
      <c r="B121" s="15"/>
      <c r="C121" s="21" t="s">
        <v>243</v>
      </c>
      <c r="D121" s="19">
        <v>163</v>
      </c>
      <c r="E121" s="18"/>
      <c r="F121" s="18"/>
      <c r="G121" s="18"/>
      <c r="H121" s="18"/>
      <c r="I121" s="18"/>
      <c r="J121" s="18"/>
      <c r="K121" s="18"/>
      <c r="L121" s="18"/>
      <c r="M121" s="18"/>
      <c r="N121" s="18"/>
      <c r="O121" s="18"/>
      <c r="P121" s="18"/>
      <c r="Q121" s="18"/>
      <c r="R121" s="18"/>
      <c r="S121" s="18"/>
      <c r="T121" s="18"/>
      <c r="U121" s="18"/>
      <c r="V121" s="18"/>
      <c r="W121" s="18"/>
    </row>
    <row r="122" spans="1:23" x14ac:dyDescent="0.15">
      <c r="A122" s="15" t="s">
        <v>244</v>
      </c>
      <c r="B122" s="15"/>
      <c r="C122" s="19">
        <v>25400</v>
      </c>
      <c r="D122" s="19">
        <v>23500</v>
      </c>
      <c r="E122" s="18"/>
      <c r="F122" s="18"/>
      <c r="G122" s="18"/>
      <c r="H122" s="18"/>
      <c r="I122" s="18"/>
      <c r="J122" s="18"/>
      <c r="K122" s="18"/>
      <c r="L122" s="18"/>
      <c r="M122" s="18"/>
      <c r="N122" s="18"/>
      <c r="O122" s="18"/>
      <c r="P122" s="18"/>
      <c r="Q122" s="18"/>
      <c r="R122" s="18"/>
      <c r="S122" s="18"/>
      <c r="T122" s="18"/>
      <c r="U122" s="18"/>
      <c r="V122" s="18"/>
      <c r="W122" s="18"/>
    </row>
    <row r="123" spans="1:23" x14ac:dyDescent="0.15">
      <c r="A123" s="15" t="s">
        <v>245</v>
      </c>
      <c r="B123" s="15"/>
      <c r="C123" s="21" t="s">
        <v>243</v>
      </c>
      <c r="D123" s="19">
        <v>187</v>
      </c>
      <c r="E123" s="18"/>
      <c r="F123" s="18"/>
      <c r="G123" s="18"/>
      <c r="H123" s="18"/>
      <c r="I123" s="18"/>
      <c r="J123" s="18"/>
      <c r="K123" s="18"/>
      <c r="L123" s="18"/>
      <c r="M123" s="18"/>
      <c r="N123" s="18"/>
      <c r="O123" s="18"/>
      <c r="P123" s="18"/>
      <c r="Q123" s="18"/>
      <c r="R123" s="18"/>
      <c r="S123" s="18"/>
      <c r="T123" s="18"/>
      <c r="U123" s="18"/>
      <c r="V123" s="18"/>
      <c r="W123" s="18"/>
    </row>
    <row r="124" spans="1:23" x14ac:dyDescent="0.15">
      <c r="A124" s="15" t="s">
        <v>246</v>
      </c>
      <c r="B124" s="15"/>
      <c r="C124" s="19">
        <v>4877</v>
      </c>
      <c r="D124" s="19">
        <v>3300</v>
      </c>
      <c r="E124" s="18"/>
      <c r="F124" s="18"/>
      <c r="G124" s="18"/>
      <c r="H124" s="18"/>
      <c r="I124" s="18"/>
      <c r="J124" s="18"/>
      <c r="K124" s="18"/>
      <c r="L124" s="18"/>
      <c r="M124" s="18"/>
      <c r="N124" s="18"/>
      <c r="O124" s="18"/>
      <c r="P124" s="18"/>
      <c r="Q124" s="18"/>
      <c r="R124" s="18"/>
      <c r="S124" s="18"/>
      <c r="T124" s="18"/>
      <c r="U124" s="18"/>
      <c r="V124" s="18"/>
      <c r="W124" s="18"/>
    </row>
    <row r="125" spans="1:23" x14ac:dyDescent="0.15">
      <c r="A125" s="15" t="s">
        <v>247</v>
      </c>
      <c r="B125" s="15"/>
      <c r="C125" s="19">
        <v>3556</v>
      </c>
      <c r="D125" s="19">
        <v>3640</v>
      </c>
      <c r="E125" s="18"/>
      <c r="F125" s="18"/>
      <c r="G125" s="18"/>
      <c r="H125" s="18"/>
      <c r="I125" s="18"/>
      <c r="J125" s="18"/>
      <c r="K125" s="18"/>
      <c r="L125" s="18"/>
      <c r="M125" s="18"/>
      <c r="N125" s="18"/>
      <c r="O125" s="18"/>
      <c r="P125" s="18"/>
      <c r="Q125" s="18"/>
      <c r="R125" s="18"/>
      <c r="S125" s="18"/>
      <c r="T125" s="18"/>
      <c r="U125" s="18"/>
      <c r="V125" s="18"/>
      <c r="W125" s="18"/>
    </row>
    <row r="126" spans="1:23" x14ac:dyDescent="0.15">
      <c r="A126" s="15" t="s">
        <v>248</v>
      </c>
      <c r="B126" s="15"/>
      <c r="C126" s="21" t="s">
        <v>243</v>
      </c>
      <c r="D126" s="19">
        <v>67</v>
      </c>
      <c r="E126" s="18"/>
      <c r="F126" s="18"/>
      <c r="G126" s="18"/>
      <c r="H126" s="18"/>
      <c r="I126" s="18"/>
      <c r="J126" s="18"/>
      <c r="K126" s="18"/>
      <c r="L126" s="18"/>
      <c r="M126" s="18"/>
      <c r="N126" s="18"/>
      <c r="O126" s="18"/>
      <c r="P126" s="18"/>
      <c r="Q126" s="18"/>
      <c r="R126" s="18"/>
      <c r="S126" s="18"/>
      <c r="T126" s="18"/>
      <c r="U126" s="18"/>
      <c r="V126" s="18"/>
      <c r="W126" s="18"/>
    </row>
    <row r="127" spans="1:23" x14ac:dyDescent="0.15">
      <c r="A127" s="15" t="s">
        <v>249</v>
      </c>
      <c r="B127" s="15"/>
      <c r="C127" s="19">
        <v>21133</v>
      </c>
      <c r="D127" s="19">
        <v>10480</v>
      </c>
      <c r="E127" s="18"/>
      <c r="F127" s="18"/>
      <c r="G127" s="18"/>
      <c r="H127" s="18"/>
      <c r="I127" s="18"/>
      <c r="J127" s="18"/>
      <c r="K127" s="18"/>
      <c r="L127" s="18"/>
      <c r="M127" s="18"/>
      <c r="N127" s="18"/>
      <c r="O127" s="18"/>
      <c r="P127" s="18"/>
      <c r="Q127" s="18"/>
      <c r="R127" s="18"/>
      <c r="S127" s="18"/>
      <c r="T127" s="18"/>
      <c r="U127" s="18"/>
      <c r="V127" s="18"/>
      <c r="W127" s="18"/>
    </row>
    <row r="128" spans="1:23" x14ac:dyDescent="0.15">
      <c r="A128" s="15" t="s">
        <v>27</v>
      </c>
      <c r="B128" s="15"/>
      <c r="C128" s="21" t="s">
        <v>243</v>
      </c>
      <c r="D128" s="19">
        <v>13</v>
      </c>
      <c r="E128" s="18"/>
      <c r="F128" s="18"/>
      <c r="G128" s="18"/>
      <c r="H128" s="18"/>
      <c r="I128" s="18"/>
      <c r="J128" s="18"/>
      <c r="K128" s="18"/>
      <c r="L128" s="18"/>
      <c r="M128" s="18"/>
      <c r="N128" s="18"/>
      <c r="O128" s="18"/>
      <c r="P128" s="18"/>
      <c r="Q128" s="18"/>
      <c r="R128" s="18"/>
      <c r="S128" s="18"/>
      <c r="T128" s="18"/>
      <c r="U128" s="18"/>
      <c r="V128" s="18"/>
      <c r="W128" s="18"/>
    </row>
    <row r="129" spans="1:24" x14ac:dyDescent="0.15">
      <c r="C129" s="19"/>
      <c r="D129" s="19"/>
      <c r="E129" s="18"/>
      <c r="F129" s="18"/>
      <c r="G129" s="18"/>
      <c r="H129" s="18"/>
      <c r="I129" s="18"/>
      <c r="J129" s="18"/>
      <c r="K129" s="18"/>
      <c r="L129" s="18"/>
      <c r="M129" s="18"/>
      <c r="N129" s="18"/>
      <c r="O129" s="18"/>
      <c r="P129" s="18"/>
      <c r="Q129" s="18"/>
      <c r="R129" s="18"/>
      <c r="S129" s="18"/>
      <c r="T129" s="18"/>
      <c r="U129" s="18"/>
      <c r="V129" s="18"/>
      <c r="W129" s="18"/>
    </row>
    <row r="130" spans="1:24" x14ac:dyDescent="0.15">
      <c r="A130" s="24" t="s">
        <v>251</v>
      </c>
      <c r="B130" s="24"/>
      <c r="C130" s="19">
        <f>SUM(C116:C129)</f>
        <v>97333</v>
      </c>
      <c r="D130" s="19">
        <f>SUM(D116:D129)</f>
        <v>64648</v>
      </c>
      <c r="E130" s="18"/>
      <c r="F130" s="18"/>
      <c r="G130" s="18"/>
      <c r="H130" s="18"/>
      <c r="I130" s="18"/>
      <c r="J130" s="18"/>
      <c r="K130" s="18"/>
      <c r="L130" s="18"/>
      <c r="M130" s="18"/>
      <c r="N130" s="18"/>
      <c r="O130" s="18"/>
      <c r="P130" s="18"/>
      <c r="Q130" s="18"/>
      <c r="R130" s="18"/>
      <c r="S130" s="18"/>
      <c r="T130" s="18"/>
      <c r="U130" s="18"/>
      <c r="V130" s="18"/>
      <c r="W130" s="18"/>
    </row>
    <row r="131" spans="1:24" x14ac:dyDescent="0.15">
      <c r="C131" s="19"/>
      <c r="D131" s="19"/>
      <c r="E131" s="18"/>
      <c r="F131" s="18"/>
      <c r="G131" s="18"/>
      <c r="H131" s="18"/>
      <c r="I131" s="18"/>
      <c r="J131" s="18"/>
      <c r="K131" s="18"/>
      <c r="L131" s="18"/>
      <c r="M131" s="18"/>
      <c r="N131" s="18"/>
      <c r="O131" s="18"/>
      <c r="P131" s="18"/>
      <c r="Q131" s="18"/>
      <c r="R131" s="18"/>
      <c r="S131" s="18"/>
      <c r="T131" s="18"/>
      <c r="U131" s="18"/>
      <c r="V131" s="18"/>
      <c r="W131" s="18"/>
    </row>
    <row r="132" spans="1:24" x14ac:dyDescent="0.15">
      <c r="A132" s="15" t="s">
        <v>272</v>
      </c>
      <c r="B132" s="15"/>
      <c r="C132" s="19">
        <v>99568</v>
      </c>
      <c r="D132" s="19">
        <v>64648</v>
      </c>
      <c r="E132" s="18"/>
      <c r="F132" s="18"/>
      <c r="G132" s="18"/>
      <c r="H132" s="18"/>
      <c r="I132" s="18"/>
      <c r="J132" s="18"/>
      <c r="K132" s="18"/>
      <c r="L132" s="18"/>
      <c r="M132" s="18"/>
      <c r="N132" s="18"/>
      <c r="O132" s="18"/>
      <c r="P132" s="18"/>
      <c r="Q132" s="18"/>
      <c r="R132" s="18"/>
      <c r="S132" s="18"/>
      <c r="T132" s="18"/>
      <c r="U132" s="18"/>
      <c r="V132" s="18"/>
      <c r="W132" s="18"/>
    </row>
    <row r="133" spans="1:24" x14ac:dyDescent="0.15">
      <c r="C133" s="18"/>
      <c r="D133" s="18"/>
      <c r="E133" s="18"/>
      <c r="F133" s="18"/>
      <c r="G133" s="18"/>
      <c r="H133" s="18"/>
      <c r="I133" s="18"/>
      <c r="J133" s="18"/>
      <c r="K133" s="18"/>
      <c r="L133" s="18"/>
      <c r="M133" s="18"/>
      <c r="N133" s="18"/>
      <c r="O133" s="18"/>
      <c r="P133" s="18"/>
      <c r="Q133" s="18"/>
      <c r="R133" s="18"/>
      <c r="S133" s="18"/>
      <c r="T133" s="18"/>
      <c r="U133" s="18"/>
      <c r="V133" s="18"/>
      <c r="W133" s="18"/>
    </row>
    <row r="134" spans="1:24" x14ac:dyDescent="0.15">
      <c r="A134" s="15" t="s">
        <v>273</v>
      </c>
      <c r="B134" s="15"/>
      <c r="C134" s="18"/>
      <c r="D134" s="18"/>
      <c r="E134" s="18"/>
      <c r="F134" s="18"/>
      <c r="G134" s="18"/>
      <c r="H134" s="18"/>
      <c r="I134" s="18"/>
      <c r="J134" s="18"/>
      <c r="K134" s="18"/>
      <c r="L134" s="18"/>
      <c r="M134" s="18"/>
      <c r="N134" s="18"/>
      <c r="O134" s="18"/>
      <c r="P134" s="18"/>
      <c r="Q134" s="18"/>
      <c r="R134" s="18"/>
      <c r="S134" s="18"/>
      <c r="T134" s="18"/>
      <c r="U134" s="18"/>
      <c r="V134" s="18"/>
      <c r="W134" s="18"/>
    </row>
    <row r="135" spans="1:24" x14ac:dyDescent="0.15">
      <c r="C135" s="18"/>
      <c r="D135" s="18"/>
      <c r="E135" s="18"/>
      <c r="F135" s="18"/>
      <c r="G135" s="18"/>
      <c r="H135" s="18"/>
      <c r="I135" s="18"/>
      <c r="J135" s="18"/>
      <c r="K135" s="18"/>
      <c r="L135" s="18"/>
      <c r="M135" s="18"/>
      <c r="N135" s="18"/>
      <c r="O135" s="18"/>
      <c r="P135" s="18"/>
      <c r="Q135" s="18"/>
      <c r="R135" s="18"/>
      <c r="S135" s="18"/>
      <c r="T135" s="18"/>
      <c r="U135" s="18"/>
      <c r="V135" s="18"/>
      <c r="W135" s="18"/>
    </row>
    <row r="136" spans="1:24" x14ac:dyDescent="0.15">
      <c r="A136" s="15" t="s">
        <v>274</v>
      </c>
      <c r="B136" s="15"/>
      <c r="C136" s="18"/>
      <c r="D136" s="18"/>
      <c r="E136" s="18"/>
      <c r="F136" s="18"/>
      <c r="G136" s="18"/>
      <c r="H136" s="18"/>
      <c r="I136" s="18"/>
      <c r="J136" s="18"/>
      <c r="K136" s="18"/>
      <c r="L136" s="18"/>
      <c r="M136" s="18"/>
      <c r="N136" s="18"/>
      <c r="O136" s="18"/>
      <c r="P136" s="18"/>
      <c r="Q136" s="18"/>
      <c r="R136" s="18"/>
      <c r="S136" s="18"/>
      <c r="T136" s="18"/>
      <c r="U136" s="18"/>
      <c r="V136" s="18"/>
      <c r="W136" s="18"/>
    </row>
    <row r="137" spans="1:24" x14ac:dyDescent="0.15">
      <c r="C137" s="18"/>
      <c r="D137" s="18"/>
      <c r="E137" s="18"/>
      <c r="F137" s="18"/>
      <c r="G137" s="18"/>
      <c r="H137" s="18"/>
      <c r="I137" s="18"/>
      <c r="J137" s="18"/>
      <c r="K137" s="18"/>
      <c r="L137" s="18"/>
      <c r="M137" s="18"/>
      <c r="N137" s="18"/>
      <c r="O137" s="18"/>
      <c r="P137" s="18"/>
      <c r="Q137" s="18"/>
      <c r="R137" s="18"/>
      <c r="S137" s="18"/>
      <c r="T137" s="18"/>
      <c r="U137" s="18"/>
      <c r="V137" s="18"/>
      <c r="W137" s="18"/>
    </row>
    <row r="138" spans="1:24" x14ac:dyDescent="0.15">
      <c r="C138" s="18"/>
      <c r="D138" s="18"/>
      <c r="E138" s="18"/>
      <c r="F138" s="18"/>
      <c r="G138" s="18"/>
      <c r="H138" s="18"/>
      <c r="I138" s="18"/>
      <c r="J138" s="18"/>
      <c r="K138" s="18"/>
      <c r="L138" s="18"/>
      <c r="M138" s="18"/>
      <c r="N138" s="18"/>
      <c r="O138" s="18"/>
      <c r="P138" s="18"/>
      <c r="Q138" s="18"/>
      <c r="R138" s="18"/>
      <c r="S138" s="18"/>
      <c r="T138" s="18"/>
      <c r="U138" s="18"/>
      <c r="V138" s="18"/>
      <c r="W138" s="18"/>
    </row>
    <row r="139" spans="1:24" x14ac:dyDescent="0.15">
      <c r="C139" s="18"/>
      <c r="D139" s="18"/>
      <c r="E139" s="18"/>
      <c r="F139" s="18"/>
      <c r="G139" s="18"/>
      <c r="H139" s="18"/>
      <c r="I139" s="18"/>
      <c r="J139" s="18"/>
      <c r="K139" s="18"/>
      <c r="L139" s="18"/>
      <c r="M139" s="18"/>
      <c r="N139" s="18"/>
      <c r="O139" s="18"/>
      <c r="P139" s="18"/>
      <c r="Q139" s="18"/>
      <c r="R139" s="18"/>
      <c r="S139" s="18"/>
      <c r="T139" s="18"/>
      <c r="U139" s="18"/>
      <c r="V139" s="18"/>
      <c r="W139" s="18"/>
    </row>
    <row r="140" spans="1:24" x14ac:dyDescent="0.15">
      <c r="C140" s="18"/>
      <c r="D140" s="18"/>
      <c r="E140" s="18"/>
      <c r="F140" s="18"/>
      <c r="G140" s="18"/>
      <c r="H140" s="18"/>
      <c r="I140" s="18"/>
      <c r="J140" s="18"/>
      <c r="K140" s="18"/>
      <c r="L140" s="18"/>
      <c r="M140" s="18"/>
      <c r="N140" s="18"/>
      <c r="O140" s="18"/>
      <c r="P140" s="18"/>
      <c r="Q140" s="18"/>
      <c r="R140" s="18"/>
      <c r="S140" s="18"/>
      <c r="T140" s="18"/>
      <c r="U140" s="18"/>
      <c r="V140" s="18"/>
      <c r="W140" s="18"/>
    </row>
    <row r="141" spans="1:24" x14ac:dyDescent="0.15">
      <c r="A141" s="13" t="s">
        <v>275</v>
      </c>
      <c r="B141" s="13"/>
      <c r="C141" s="18"/>
      <c r="D141" s="18"/>
      <c r="E141" s="18"/>
      <c r="F141" s="18"/>
      <c r="G141" s="18"/>
      <c r="H141" s="18"/>
      <c r="I141" s="18"/>
      <c r="J141" s="18"/>
      <c r="K141" s="18"/>
      <c r="L141" s="18"/>
      <c r="M141" s="18"/>
      <c r="N141" s="18"/>
      <c r="O141" s="18"/>
      <c r="P141" s="18"/>
      <c r="Q141" s="18"/>
      <c r="R141" s="18"/>
      <c r="S141" s="18"/>
      <c r="T141" s="18"/>
      <c r="U141" s="18"/>
      <c r="V141" s="18"/>
      <c r="W141" s="18"/>
    </row>
    <row r="142" spans="1:24" x14ac:dyDescent="0.15">
      <c r="C142" s="18"/>
      <c r="D142" s="18"/>
      <c r="E142" s="18"/>
      <c r="F142" s="18"/>
      <c r="G142" s="18"/>
      <c r="H142" s="18"/>
      <c r="I142" s="18"/>
      <c r="J142" s="18"/>
      <c r="K142" s="18"/>
      <c r="L142" s="18"/>
      <c r="M142" s="18"/>
      <c r="N142" s="18"/>
      <c r="O142" s="18"/>
      <c r="P142" s="18"/>
      <c r="Q142" s="18"/>
      <c r="R142" s="18"/>
      <c r="S142" s="18"/>
      <c r="T142" s="18"/>
      <c r="U142" s="18"/>
      <c r="V142" s="18"/>
      <c r="W142" s="18"/>
    </row>
    <row r="143" spans="1:24" x14ac:dyDescent="0.15">
      <c r="C143" s="18">
        <v>1890</v>
      </c>
      <c r="D143" s="18">
        <v>1895</v>
      </c>
      <c r="E143" s="18">
        <v>1900</v>
      </c>
      <c r="F143" s="18">
        <v>1905</v>
      </c>
      <c r="G143" s="18">
        <v>1910</v>
      </c>
      <c r="H143" s="18">
        <v>1915</v>
      </c>
      <c r="I143" s="18">
        <v>1920</v>
      </c>
      <c r="J143" s="18">
        <v>1925</v>
      </c>
      <c r="K143" s="18">
        <v>1930</v>
      </c>
      <c r="L143" s="18">
        <v>1935</v>
      </c>
      <c r="M143" s="18">
        <v>1940</v>
      </c>
      <c r="N143" s="18">
        <v>1945</v>
      </c>
      <c r="O143" s="18">
        <v>1950</v>
      </c>
      <c r="P143" s="18">
        <v>1955</v>
      </c>
      <c r="Q143" s="18">
        <v>1960</v>
      </c>
      <c r="R143" s="18">
        <v>1965</v>
      </c>
      <c r="S143" s="18">
        <v>1970</v>
      </c>
      <c r="T143" s="18">
        <v>1975</v>
      </c>
      <c r="U143" s="18">
        <v>1980</v>
      </c>
      <c r="V143" s="18">
        <v>1985</v>
      </c>
      <c r="W143" s="18">
        <v>1990</v>
      </c>
    </row>
    <row r="144" spans="1:24" x14ac:dyDescent="0.15">
      <c r="A144" s="22" t="s">
        <v>276</v>
      </c>
      <c r="B144" s="22"/>
      <c r="C144" s="19">
        <f>+C19</f>
        <v>56420</v>
      </c>
      <c r="D144" s="19">
        <f t="shared" ref="D144:S144" si="4">+D19</f>
        <v>57724</v>
      </c>
      <c r="E144" s="19">
        <f t="shared" si="4"/>
        <v>87464</v>
      </c>
      <c r="F144" s="19">
        <f t="shared" si="4"/>
        <v>111931</v>
      </c>
      <c r="G144" s="19">
        <f t="shared" si="4"/>
        <v>144420</v>
      </c>
      <c r="H144" s="19">
        <f t="shared" si="4"/>
        <v>122298</v>
      </c>
      <c r="I144" s="19">
        <f t="shared" si="4"/>
        <v>121847</v>
      </c>
      <c r="J144" s="19">
        <f t="shared" si="4"/>
        <v>148976</v>
      </c>
      <c r="K144" s="19">
        <f t="shared" si="4"/>
        <v>173682</v>
      </c>
      <c r="L144" s="19">
        <f t="shared" si="4"/>
        <v>136015</v>
      </c>
      <c r="M144" s="19">
        <f t="shared" si="4"/>
        <v>197325</v>
      </c>
      <c r="N144" s="19">
        <f t="shared" si="4"/>
        <v>145958</v>
      </c>
      <c r="O144" s="19">
        <f t="shared" si="4"/>
        <v>236760</v>
      </c>
      <c r="P144" s="19">
        <f t="shared" si="4"/>
        <v>345319</v>
      </c>
      <c r="Q144" s="19">
        <f t="shared" si="4"/>
        <v>466833</v>
      </c>
      <c r="R144" s="19">
        <f t="shared" si="4"/>
        <v>557066</v>
      </c>
      <c r="S144" s="19">
        <f t="shared" si="4"/>
        <v>688779</v>
      </c>
      <c r="T144" s="19">
        <f>+T19</f>
        <v>864674</v>
      </c>
      <c r="U144" s="19">
        <f>+U19</f>
        <v>950455.4</v>
      </c>
      <c r="V144" s="19">
        <f>+V19</f>
        <v>971038</v>
      </c>
      <c r="W144" s="19">
        <f>+W19</f>
        <v>1075968</v>
      </c>
      <c r="X144" s="20"/>
    </row>
    <row r="145" spans="1:24" x14ac:dyDescent="0.15">
      <c r="A145" s="24" t="s">
        <v>277</v>
      </c>
      <c r="B145" s="24"/>
      <c r="C145" s="18">
        <f>+C50</f>
        <v>26209</v>
      </c>
      <c r="D145" s="18">
        <f t="shared" ref="D145:S145" si="5">+D50</f>
        <v>29080</v>
      </c>
      <c r="E145" s="18">
        <f t="shared" si="5"/>
        <v>38756</v>
      </c>
      <c r="F145" s="18">
        <f t="shared" si="5"/>
        <v>54215</v>
      </c>
      <c r="G145" s="18">
        <f t="shared" si="5"/>
        <v>62679</v>
      </c>
      <c r="H145" s="18">
        <f t="shared" si="5"/>
        <v>60185</v>
      </c>
      <c r="I145" s="18">
        <f t="shared" si="5"/>
        <v>62645</v>
      </c>
      <c r="J145" s="18">
        <f t="shared" si="5"/>
        <v>75265</v>
      </c>
      <c r="K145" s="18">
        <f t="shared" si="5"/>
        <v>77899</v>
      </c>
      <c r="L145" s="18">
        <f t="shared" si="5"/>
        <v>73386</v>
      </c>
      <c r="M145" s="18">
        <f t="shared" si="5"/>
        <v>103681</v>
      </c>
      <c r="N145" s="18">
        <f t="shared" si="5"/>
        <v>79435</v>
      </c>
      <c r="O145" s="18">
        <f t="shared" si="5"/>
        <v>131318</v>
      </c>
      <c r="P145" s="18">
        <f t="shared" si="5"/>
        <v>189568</v>
      </c>
      <c r="Q145" s="18">
        <f t="shared" si="5"/>
        <v>241476</v>
      </c>
      <c r="R145" s="18">
        <f t="shared" si="5"/>
        <v>334091</v>
      </c>
      <c r="S145" s="18">
        <f t="shared" si="5"/>
        <v>428774</v>
      </c>
      <c r="T145" s="18">
        <f>+T50</f>
        <v>503420.25</v>
      </c>
      <c r="U145" s="18">
        <f>+U50</f>
        <v>528370.75</v>
      </c>
      <c r="V145" s="18">
        <f>+V50</f>
        <v>526938.5</v>
      </c>
      <c r="W145" s="18">
        <f>+W50</f>
        <v>532360</v>
      </c>
      <c r="X145" s="31"/>
    </row>
    <row r="146" spans="1:24" x14ac:dyDescent="0.15">
      <c r="A146" s="24" t="s">
        <v>278</v>
      </c>
      <c r="B146" s="24"/>
      <c r="C146" s="18"/>
      <c r="D146" s="18"/>
      <c r="E146" s="18"/>
      <c r="F146" s="18"/>
      <c r="G146" s="18"/>
      <c r="H146" s="18"/>
      <c r="I146" s="18"/>
      <c r="J146" s="18"/>
      <c r="K146" s="18"/>
      <c r="L146" s="18"/>
      <c r="M146" s="18"/>
      <c r="N146" s="18"/>
      <c r="O146" s="18"/>
      <c r="P146" s="18"/>
      <c r="Q146" s="18"/>
      <c r="R146" s="18"/>
      <c r="S146" s="18"/>
      <c r="T146" s="18"/>
      <c r="U146" s="18"/>
      <c r="V146" s="18"/>
      <c r="W146" s="18"/>
      <c r="X146" s="31"/>
    </row>
    <row r="147" spans="1:24" x14ac:dyDescent="0.15">
      <c r="A147" s="24" t="s">
        <v>279</v>
      </c>
      <c r="B147" s="24"/>
      <c r="C147" s="18"/>
      <c r="D147" s="18"/>
      <c r="E147" s="18"/>
      <c r="F147" s="18"/>
      <c r="G147" s="18"/>
      <c r="H147" s="18"/>
      <c r="I147" s="18"/>
      <c r="J147" s="18"/>
      <c r="K147" s="18"/>
      <c r="L147" s="18"/>
      <c r="M147" s="18"/>
      <c r="N147" s="18"/>
      <c r="O147" s="18"/>
      <c r="P147" s="18"/>
      <c r="Q147" s="18"/>
      <c r="R147" s="18"/>
      <c r="S147" s="18"/>
      <c r="T147" s="18">
        <f>+T102</f>
        <v>515833</v>
      </c>
      <c r="U147" s="18">
        <f>+U102</f>
        <v>517759</v>
      </c>
      <c r="V147" s="18">
        <f>+V102</f>
        <v>511008</v>
      </c>
      <c r="W147" s="18">
        <f>+W102</f>
        <v>564060</v>
      </c>
      <c r="X147" s="31"/>
    </row>
  </sheetData>
  <pageMargins left="0.75" right="0.25" top="1" bottom="0.25" header="0.5" footer="0.5"/>
  <pageSetup paperSize="9" scale="49" orientation="landscape" horizontalDpi="4294967292" verticalDpi="4294967292"/>
  <headerFooter>
    <oddHeader>&amp;A</oddHeader>
    <oddFooter>Page &amp;P</oddFooter>
  </headerFooter>
  <drawing r:id="rId1"/>
  <extLst>
    <ext xmlns:mx="http://schemas.microsoft.com/office/mac/excel/2008/main" uri="{64002731-A6B0-56B0-2670-7721B7C09600}">
      <mx:PLV Mode="0" OnePage="0" WScale="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vt:lpstr>
      <vt:lpstr>Data_continuity_checks</vt:lpstr>
      <vt:lpstr>Notes</vt:lpstr>
      <vt:lpstr>SPEW_Pig_iron_production</vt:lpstr>
      <vt:lpstr>Hyde_iron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Erin McDuffie</cp:lastModifiedBy>
  <dcterms:created xsi:type="dcterms:W3CDTF">2019-08-07T13:49:56Z</dcterms:created>
  <dcterms:modified xsi:type="dcterms:W3CDTF">2019-08-07T14:32:30Z</dcterms:modified>
</cp:coreProperties>
</file>