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24226"/>
  <mc:AlternateContent xmlns:mc="http://schemas.openxmlformats.org/markup-compatibility/2006">
    <mc:Choice Requires="x15">
      <x15ac:absPath xmlns:x15ac="http://schemas.microsoft.com/office/spreadsheetml/2010/11/ac" url="https://casact.sharepoint.com/communications/Shared Documents/University Engagement Manager/CAS Summer Program/2023/Modules/Module VI/"/>
    </mc:Choice>
  </mc:AlternateContent>
  <xr:revisionPtr revIDLastSave="6" documentId="8_{4BB855BA-A64D-48C5-8F02-0DC5083F915A}" xr6:coauthVersionLast="47" xr6:coauthVersionMax="47" xr10:uidLastSave="{C93BD74B-C60C-4726-889E-FED97697370C}"/>
  <bookViews>
    <workbookView xWindow="-24154" yWindow="-113" windowWidth="24267" windowHeight="13148" firstSheet="1" activeTab="5" xr2:uid="{00000000-000D-0000-FFFF-FFFF00000000}"/>
  </bookViews>
  <sheets>
    <sheet name="Introduction" sheetId="18" r:id="rId1"/>
    <sheet name="1. Incremental Paid" sheetId="2" r:id="rId2"/>
    <sheet name="2. Cumulative Paid" sheetId="5" r:id="rId3"/>
    <sheet name="3. Ultimate Paid Dev" sheetId="10" r:id="rId4"/>
    <sheet name="4. Ultimate Paid BF" sheetId="16" r:id="rId5"/>
    <sheet name="5. Ultimate Selected" sheetId="12" r:id="rId6"/>
    <sheet name="Input" sheetId="14" state="hidden" r:id="rId7"/>
  </sheets>
  <definedNames>
    <definedName name="current_year">Input!$D$4</definedName>
    <definedName name="NPV_Rate">Input!#REF!</definedName>
    <definedName name="_xlnm.Print_Area" localSheetId="1">'1. Incremental Paid'!$B$1:$M$15</definedName>
    <definedName name="_xlnm.Print_Area" localSheetId="2">'2. Cumulative Paid'!$B$1:$M$72</definedName>
    <definedName name="_xlnm.Print_Area" localSheetId="3">'3. Ultimate Paid Dev'!$B$1:$M$19</definedName>
    <definedName name="_xlnm.Print_Area" localSheetId="5">'5. Ultimate Selected'!$B$1:$L$19</definedName>
    <definedName name="Valuation_Date">Input!$D$6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2" l="1"/>
  <c r="C30" i="12"/>
  <c r="F14" i="16"/>
  <c r="F15" i="16"/>
  <c r="F16" i="16"/>
  <c r="F17" i="16"/>
  <c r="F9" i="16"/>
  <c r="F10" i="16"/>
  <c r="F11" i="16"/>
  <c r="F12" i="16"/>
  <c r="F13" i="16"/>
  <c r="F8" i="16"/>
  <c r="E17" i="10"/>
  <c r="E16" i="10"/>
  <c r="K72" i="5"/>
  <c r="F10" i="10" s="1"/>
  <c r="L72" i="5"/>
  <c r="F9" i="10" s="1"/>
  <c r="M72" i="5"/>
  <c r="F8" i="10" s="1"/>
  <c r="E36" i="5"/>
  <c r="E42" i="5" s="1"/>
  <c r="E44" i="5" s="1"/>
  <c r="E37" i="5"/>
  <c r="E38" i="5"/>
  <c r="D32" i="5"/>
  <c r="D33" i="5"/>
  <c r="D34" i="5"/>
  <c r="D35" i="5"/>
  <c r="C51" i="5" s="1"/>
  <c r="D36" i="5"/>
  <c r="D37" i="5"/>
  <c r="D42" i="5" s="1"/>
  <c r="D44" i="5" s="1"/>
  <c r="D38" i="5"/>
  <c r="D39" i="5"/>
  <c r="D31" i="5"/>
  <c r="G7" i="5"/>
  <c r="H7" i="5" s="1"/>
  <c r="F6" i="5"/>
  <c r="G6" i="5" s="1"/>
  <c r="F7" i="5"/>
  <c r="E32" i="5" s="1"/>
  <c r="C53" i="5" s="1"/>
  <c r="F8" i="5"/>
  <c r="E33" i="5" s="1"/>
  <c r="F9" i="5"/>
  <c r="G9" i="5" s="1"/>
  <c r="F10" i="5"/>
  <c r="G10" i="5" s="1"/>
  <c r="F11" i="5"/>
  <c r="G11" i="5" s="1"/>
  <c r="F12" i="5"/>
  <c r="G12" i="5" s="1"/>
  <c r="F13" i="5"/>
  <c r="E15" i="10" s="1"/>
  <c r="E12" i="5"/>
  <c r="E13" i="5"/>
  <c r="E14" i="5"/>
  <c r="E9" i="5"/>
  <c r="E10" i="5"/>
  <c r="E11" i="5"/>
  <c r="E7" i="5"/>
  <c r="E8" i="5"/>
  <c r="E6" i="5"/>
  <c r="C25" i="2"/>
  <c r="C23" i="2"/>
  <c r="C21" i="2"/>
  <c r="H16" i="12"/>
  <c r="H17" i="12"/>
  <c r="H15" i="12" l="1"/>
  <c r="G32" i="5"/>
  <c r="I7" i="5"/>
  <c r="E14" i="10"/>
  <c r="F37" i="5"/>
  <c r="H11" i="5"/>
  <c r="C24" i="5"/>
  <c r="F36" i="5"/>
  <c r="C26" i="5"/>
  <c r="H10" i="5"/>
  <c r="F35" i="5"/>
  <c r="F43" i="5"/>
  <c r="F31" i="5"/>
  <c r="H6" i="5"/>
  <c r="H9" i="5"/>
  <c r="F34" i="5"/>
  <c r="G8" i="5"/>
  <c r="E31" i="5"/>
  <c r="E43" i="5"/>
  <c r="C66" i="5" s="1"/>
  <c r="E35" i="5"/>
  <c r="E34" i="5"/>
  <c r="F32" i="5"/>
  <c r="H14" i="12" l="1"/>
  <c r="F42" i="5"/>
  <c r="I10" i="5"/>
  <c r="G35" i="5"/>
  <c r="H32" i="5"/>
  <c r="J7" i="5"/>
  <c r="G31" i="5"/>
  <c r="I6" i="5"/>
  <c r="E13" i="10"/>
  <c r="G36" i="5"/>
  <c r="H8" i="5"/>
  <c r="F33" i="5"/>
  <c r="G43" i="5"/>
  <c r="G34" i="5"/>
  <c r="G42" i="5" s="1"/>
  <c r="G44" i="5" s="1"/>
  <c r="I9" i="5"/>
  <c r="E12" i="10" l="1"/>
  <c r="H35" i="5"/>
  <c r="H34" i="5"/>
  <c r="J9" i="5"/>
  <c r="K7" i="5"/>
  <c r="I32" i="5"/>
  <c r="I8" i="5"/>
  <c r="G33" i="5"/>
  <c r="F44" i="5"/>
  <c r="C59" i="5"/>
  <c r="H13" i="12"/>
  <c r="H31" i="5"/>
  <c r="J6" i="5"/>
  <c r="C17" i="16"/>
  <c r="C16" i="16" s="1"/>
  <c r="C15" i="16" s="1"/>
  <c r="C14" i="16" s="1"/>
  <c r="C13" i="16" s="1"/>
  <c r="C12" i="16" s="1"/>
  <c r="C11" i="16" s="1"/>
  <c r="C10" i="16" s="1"/>
  <c r="C9" i="16" s="1"/>
  <c r="C8" i="16" s="1"/>
  <c r="D16" i="16"/>
  <c r="D15" i="16" s="1"/>
  <c r="D14" i="16" s="1"/>
  <c r="D13" i="16" s="1"/>
  <c r="D12" i="16" s="1"/>
  <c r="D11" i="16" s="1"/>
  <c r="D10" i="16" s="1"/>
  <c r="D9" i="16" s="1"/>
  <c r="D8" i="16" s="1"/>
  <c r="I31" i="5" l="1"/>
  <c r="K6" i="5"/>
  <c r="H12" i="12"/>
  <c r="L7" i="5"/>
  <c r="J32" i="5"/>
  <c r="E11" i="10"/>
  <c r="I34" i="5"/>
  <c r="J8" i="5"/>
  <c r="H43" i="5"/>
  <c r="H33" i="5"/>
  <c r="H42" i="5" s="1"/>
  <c r="H44" i="5" s="1"/>
  <c r="G8" i="16"/>
  <c r="H8" i="16" s="1"/>
  <c r="I8" i="16" s="1"/>
  <c r="E9" i="10" l="1"/>
  <c r="K32" i="5"/>
  <c r="H11" i="12"/>
  <c r="I33" i="5"/>
  <c r="I42" i="5" s="1"/>
  <c r="I44" i="5" s="1"/>
  <c r="K8" i="5"/>
  <c r="I43" i="5"/>
  <c r="L6" i="5"/>
  <c r="J43" i="5"/>
  <c r="J31" i="5"/>
  <c r="G9" i="16"/>
  <c r="H9" i="16" s="1"/>
  <c r="I9" i="16" s="1"/>
  <c r="D15" i="5"/>
  <c r="D14" i="5"/>
  <c r="D13" i="5"/>
  <c r="D12" i="5"/>
  <c r="D43" i="5" s="1"/>
  <c r="D11" i="5"/>
  <c r="D10" i="5"/>
  <c r="D9" i="5"/>
  <c r="D8" i="5"/>
  <c r="D7" i="5"/>
  <c r="D6" i="5"/>
  <c r="M6" i="5" l="1"/>
  <c r="K31" i="5"/>
  <c r="J33" i="5"/>
  <c r="J42" i="5" s="1"/>
  <c r="J44" i="5" s="1"/>
  <c r="E10" i="10"/>
  <c r="C22" i="5"/>
  <c r="H9" i="12"/>
  <c r="G9" i="10"/>
  <c r="E9" i="12" s="1"/>
  <c r="G10" i="16"/>
  <c r="H10" i="16" s="1"/>
  <c r="I10" i="16" s="1"/>
  <c r="D71" i="5"/>
  <c r="E5" i="5"/>
  <c r="E71" i="5" s="1"/>
  <c r="J72" i="5" l="1"/>
  <c r="F11" i="10" s="1"/>
  <c r="G11" i="10" s="1"/>
  <c r="E11" i="12" s="1"/>
  <c r="E72" i="5"/>
  <c r="F16" i="10" s="1"/>
  <c r="G16" i="10" s="1"/>
  <c r="E16" i="12" s="1"/>
  <c r="D72" i="5"/>
  <c r="F17" i="10" s="1"/>
  <c r="G17" i="10" s="1"/>
  <c r="E17" i="12" s="1"/>
  <c r="F72" i="5"/>
  <c r="G72" i="5"/>
  <c r="F14" i="10" s="1"/>
  <c r="G14" i="10" s="1"/>
  <c r="E14" i="12" s="1"/>
  <c r="I72" i="5"/>
  <c r="F12" i="10" s="1"/>
  <c r="G12" i="10" s="1"/>
  <c r="E12" i="12" s="1"/>
  <c r="H72" i="5"/>
  <c r="F13" i="10" s="1"/>
  <c r="G13" i="10" s="1"/>
  <c r="E13" i="12" s="1"/>
  <c r="H10" i="12"/>
  <c r="G10" i="10"/>
  <c r="E8" i="10"/>
  <c r="L31" i="5"/>
  <c r="J17" i="16"/>
  <c r="F5" i="5"/>
  <c r="D30" i="5"/>
  <c r="C79" i="5" l="1"/>
  <c r="F15" i="10"/>
  <c r="G15" i="10" s="1"/>
  <c r="E15" i="12" s="1"/>
  <c r="H8" i="12"/>
  <c r="G8" i="10"/>
  <c r="E19" i="10"/>
  <c r="E10" i="12"/>
  <c r="C31" i="10"/>
  <c r="J16" i="16"/>
  <c r="J15" i="16"/>
  <c r="F71" i="5"/>
  <c r="E30" i="5"/>
  <c r="G5" i="5"/>
  <c r="F30" i="5" s="1"/>
  <c r="E8" i="12" l="1"/>
  <c r="G19" i="10"/>
  <c r="J14" i="16"/>
  <c r="H5" i="5"/>
  <c r="G30" i="5" s="1"/>
  <c r="G71" i="5"/>
  <c r="I5" i="5" l="1"/>
  <c r="H71" i="5"/>
  <c r="J12" i="16" l="1"/>
  <c r="J13" i="16"/>
  <c r="I71" i="5"/>
  <c r="J5" i="5"/>
  <c r="I30" i="5" s="1"/>
  <c r="H30" i="5"/>
  <c r="J11" i="16" l="1"/>
  <c r="J71" i="5"/>
  <c r="K5" i="5"/>
  <c r="J30" i="5" s="1"/>
  <c r="J10" i="16" l="1"/>
  <c r="K10" i="16" s="1"/>
  <c r="L5" i="5"/>
  <c r="K71" i="5"/>
  <c r="K30" i="5"/>
  <c r="F10" i="12" l="1"/>
  <c r="G10" i="12" s="1"/>
  <c r="I10" i="12" s="1"/>
  <c r="L10" i="16"/>
  <c r="J9" i="16"/>
  <c r="K9" i="16" s="1"/>
  <c r="G11" i="16"/>
  <c r="H11" i="16" s="1"/>
  <c r="I11" i="16" s="1"/>
  <c r="K11" i="16" s="1"/>
  <c r="L71" i="5"/>
  <c r="M5" i="5"/>
  <c r="L30" i="5" s="1"/>
  <c r="F9" i="12" l="1"/>
  <c r="G9" i="12" s="1"/>
  <c r="I9" i="12" s="1"/>
  <c r="L9" i="16"/>
  <c r="F11" i="12"/>
  <c r="G11" i="12" s="1"/>
  <c r="I11" i="12" s="1"/>
  <c r="L11" i="16"/>
  <c r="J8" i="16"/>
  <c r="K8" i="16" s="1"/>
  <c r="G12" i="16"/>
  <c r="H12" i="16" s="1"/>
  <c r="I12" i="16" s="1"/>
  <c r="K12" i="16" s="1"/>
  <c r="C15" i="5"/>
  <c r="D6" i="14"/>
  <c r="C17" i="12"/>
  <c r="C17" i="10"/>
  <c r="C15" i="2"/>
  <c r="C14" i="2" s="1"/>
  <c r="C13" i="2" s="1"/>
  <c r="C12" i="2" s="1"/>
  <c r="C11" i="2" s="1"/>
  <c r="C10" i="2" s="1"/>
  <c r="C9" i="2" s="1"/>
  <c r="C8" i="2" s="1"/>
  <c r="C7" i="2" s="1"/>
  <c r="C6" i="2" s="1"/>
  <c r="D16" i="12"/>
  <c r="D15" i="12" s="1"/>
  <c r="D14" i="12" s="1"/>
  <c r="D13" i="12" s="1"/>
  <c r="D12" i="12" s="1"/>
  <c r="D11" i="12" s="1"/>
  <c r="D10" i="12" s="1"/>
  <c r="D9" i="12" s="1"/>
  <c r="D8" i="12" s="1"/>
  <c r="D16" i="10"/>
  <c r="D15" i="10" s="1"/>
  <c r="D14" i="10" s="1"/>
  <c r="D13" i="10" s="1"/>
  <c r="D12" i="10" s="1"/>
  <c r="D11" i="10" s="1"/>
  <c r="D10" i="10" s="1"/>
  <c r="D9" i="10" s="1"/>
  <c r="D8" i="10" s="1"/>
  <c r="E5" i="2"/>
  <c r="F5" i="2" s="1"/>
  <c r="G5" i="2" s="1"/>
  <c r="H5" i="2" s="1"/>
  <c r="I5" i="2" s="1"/>
  <c r="J5" i="2" s="1"/>
  <c r="K5" i="2" s="1"/>
  <c r="L5" i="2" s="1"/>
  <c r="M5" i="2" s="1"/>
  <c r="F12" i="12" l="1"/>
  <c r="G12" i="12" s="1"/>
  <c r="I12" i="12" s="1"/>
  <c r="L12" i="16"/>
  <c r="F8" i="12"/>
  <c r="L8" i="16"/>
  <c r="D6" i="16"/>
  <c r="H19" i="12"/>
  <c r="G13" i="16"/>
  <c r="H13" i="16" s="1"/>
  <c r="I13" i="16" s="1"/>
  <c r="K13" i="16" s="1"/>
  <c r="C16" i="10"/>
  <c r="C14" i="5"/>
  <c r="C13" i="5" s="1"/>
  <c r="C16" i="12"/>
  <c r="H7" i="12"/>
  <c r="I7" i="12"/>
  <c r="D6" i="12"/>
  <c r="D6" i="10"/>
  <c r="G8" i="12" l="1"/>
  <c r="I8" i="12" s="1"/>
  <c r="F13" i="12"/>
  <c r="G13" i="12" s="1"/>
  <c r="I13" i="12" s="1"/>
  <c r="L13" i="16"/>
  <c r="G14" i="16"/>
  <c r="H14" i="16" s="1"/>
  <c r="I14" i="16" s="1"/>
  <c r="K14" i="16" s="1"/>
  <c r="C15" i="12"/>
  <c r="C12" i="5"/>
  <c r="C39" i="5"/>
  <c r="C15" i="10"/>
  <c r="C38" i="5"/>
  <c r="F14" i="12" l="1"/>
  <c r="G14" i="12" s="1"/>
  <c r="I14" i="12" s="1"/>
  <c r="C36" i="16"/>
  <c r="L14" i="16"/>
  <c r="G15" i="16"/>
  <c r="H15" i="16" s="1"/>
  <c r="I15" i="16" s="1"/>
  <c r="K15" i="16" s="1"/>
  <c r="C11" i="5"/>
  <c r="C36" i="5" s="1"/>
  <c r="C14" i="10"/>
  <c r="C14" i="12"/>
  <c r="C37" i="5"/>
  <c r="F15" i="12" l="1"/>
  <c r="L15" i="16"/>
  <c r="G16" i="16"/>
  <c r="H16" i="16" s="1"/>
  <c r="I16" i="16" s="1"/>
  <c r="K16" i="16" s="1"/>
  <c r="C10" i="5"/>
  <c r="C13" i="12"/>
  <c r="C13" i="10"/>
  <c r="F16" i="12" l="1"/>
  <c r="G16" i="12" s="1"/>
  <c r="I16" i="12" s="1"/>
  <c r="L16" i="16"/>
  <c r="G15" i="12"/>
  <c r="I15" i="12" s="1"/>
  <c r="G17" i="16"/>
  <c r="H17" i="16" s="1"/>
  <c r="I17" i="16" s="1"/>
  <c r="K17" i="16" s="1"/>
  <c r="C35" i="5"/>
  <c r="C12" i="12"/>
  <c r="C9" i="5"/>
  <c r="C12" i="10"/>
  <c r="F17" i="12" l="1"/>
  <c r="L17" i="16"/>
  <c r="K19" i="16"/>
  <c r="C8" i="5"/>
  <c r="C33" i="5" s="1"/>
  <c r="C34" i="5"/>
  <c r="C11" i="10"/>
  <c r="C11" i="12"/>
  <c r="G17" i="12" l="1"/>
  <c r="I17" i="12" s="1"/>
  <c r="F19" i="12"/>
  <c r="G19" i="12"/>
  <c r="E19" i="12"/>
  <c r="C7" i="5"/>
  <c r="C32" i="5" s="1"/>
  <c r="C10" i="10"/>
  <c r="C10" i="12"/>
  <c r="C6" i="5" l="1"/>
  <c r="C31" i="5" s="1"/>
  <c r="C9" i="10"/>
  <c r="C9" i="12"/>
  <c r="I19" i="12" l="1"/>
  <c r="C8" i="10"/>
  <c r="C8" i="12"/>
</calcChain>
</file>

<file path=xl/sharedStrings.xml><?xml version="1.0" encoding="utf-8"?>
<sst xmlns="http://schemas.openxmlformats.org/spreadsheetml/2006/main" count="205" uniqueCount="135">
  <si>
    <t>Please review the Basic Reserving presentation before you go through this exercise workbook.</t>
  </si>
  <si>
    <t>Review the first tab of the workbook and then work your way through the subsequent tabs, answering the questions and completing the exercises required to fill in the cells shaded in yellow.</t>
  </si>
  <si>
    <r>
      <t xml:space="preserve">On many tabs, some of the numbers have been provided to help you check your work as you go. </t>
    </r>
    <r>
      <rPr>
        <sz val="11"/>
        <color rgb="FF7030A0"/>
        <rFont val="Arial"/>
        <family val="2"/>
      </rPr>
      <t>Look for hints in purple font.</t>
    </r>
  </si>
  <si>
    <t xml:space="preserve">It is important that you do the work in order as subsequent questions will build on your previous work. </t>
  </si>
  <si>
    <t>Do not round the numbers in your calculations.</t>
  </si>
  <si>
    <t>Tabs 1 - 3 walk you through the calculation of the Paid Development ultimate estimates.</t>
  </si>
  <si>
    <t>Tab 4 walks you through the calculation of the Paid Bornhuetter-Fergusion ultimate estimates.</t>
  </si>
  <si>
    <t>Tab 5 gathers the results from the previous sheets to help with the selection of the final ultimate and loss reserve estimate.</t>
  </si>
  <si>
    <t>Step</t>
  </si>
  <si>
    <t>Tab Names</t>
  </si>
  <si>
    <t>Incremental Paid</t>
  </si>
  <si>
    <t>Cumulative Paid</t>
  </si>
  <si>
    <t>Ultimate Paid Dev</t>
  </si>
  <si>
    <t>Ultimate Paid BF</t>
  </si>
  <si>
    <t>Ultimate Selected</t>
  </si>
  <si>
    <t>Incremental Paid Loss Development Triangle</t>
  </si>
  <si>
    <t>Incremental Paid ($000's) as of Months</t>
  </si>
  <si>
    <t>Accident Yr.</t>
  </si>
  <si>
    <t>a.</t>
  </si>
  <si>
    <t>Why are payments arranged in a triangular format?</t>
  </si>
  <si>
    <t>To analyze how claims mature over time</t>
  </si>
  <si>
    <t>b.</t>
  </si>
  <si>
    <t>What are the accident year 2010 payments between 24 months and 36 months?</t>
  </si>
  <si>
    <t>c.</t>
  </si>
  <si>
    <t>What was paid on accident year 2013 claims during 2014?</t>
  </si>
  <si>
    <t>d.</t>
  </si>
  <si>
    <t>What was paid on accident year 2013 claims during 2015?</t>
  </si>
  <si>
    <t>e.</t>
  </si>
  <si>
    <t>What is the most recent valuation date of the payments?</t>
  </si>
  <si>
    <t>Cumulative Paid Loss Development Triangle</t>
  </si>
  <si>
    <t>Cumulative Paid ($000's) as of Months</t>
  </si>
  <si>
    <t xml:space="preserve">Based on adding together the payments in the Incremental Paid tab, fill in the cumulative payments in the yellow highlighted cells. </t>
  </si>
  <si>
    <t xml:space="preserve">Some of the cumulative payments have already been provided in purple to help you check your work. </t>
  </si>
  <si>
    <t>What are the total payments to date on accident year 2012?</t>
  </si>
  <si>
    <t>What are the cumulative payments on accident year 2015 as of 12/31/18?</t>
  </si>
  <si>
    <t>What were the payments on accident year 2014 between 1/1/16 and 12/31/17?</t>
  </si>
  <si>
    <t>Cumulative Paid Age-to-Age Ratios</t>
  </si>
  <si>
    <t>Tail</t>
  </si>
  <si>
    <t>3-Yr Straight</t>
  </si>
  <si>
    <t>3-Yr Weighted</t>
  </si>
  <si>
    <t>Selected</t>
  </si>
  <si>
    <t xml:space="preserve">A paid Age-to-Age ratio is the ratio of cumulative payments at one age of maturity divided by the cumulative payments at an earlier age. </t>
  </si>
  <si>
    <t>Based on dividing the cumulative payments in the cumulative payment triangle, fill in the paid Age-to-Age ratios in the yellow highlighted cells. Assume the tail factor is 1.000.</t>
  </si>
  <si>
    <t xml:space="preserve">Some of the age -to-age factors have already been provided in red to help you check your work. </t>
  </si>
  <si>
    <t>f.</t>
  </si>
  <si>
    <t>What is the paid Age-to-Age ratio from ages 12 to 24 months for accident year 2014?</t>
  </si>
  <si>
    <t>g.</t>
  </si>
  <si>
    <t>What is the paid Age-to-Age ratio from ages 24 to 36 months for accident year 2011?</t>
  </si>
  <si>
    <t>h.</t>
  </si>
  <si>
    <t xml:space="preserve">A 3-year straight average of the paid Age-to-Age ratios is simply the average of the most recent three Age-to-Age ratios. </t>
  </si>
  <si>
    <t>Fill in the 3-year straight averages highlighted in yellow in cells D42 to J42.</t>
  </si>
  <si>
    <t>To get you started, we've already included the formula in cells D42 and E42.</t>
  </si>
  <si>
    <t>i.</t>
  </si>
  <si>
    <t>What is the 3-year straight average of the paid Age-to-Age ratios for ages 36 to 48 months?</t>
  </si>
  <si>
    <t>j.</t>
  </si>
  <si>
    <t>A 3-year weighted average of the paid Age-to-Age ratios is based on summing three years of payments in the numerator and the denominator.</t>
  </si>
  <si>
    <t>For example, the 3-year weighted paid Age-to-Age ratio for 12 to 24 months is the sum of cumulative payments as of 24 months for accident years 2016-2018 divided by the sum of cumulative payments as of 12 months for those same accident years.</t>
  </si>
  <si>
    <t>Fill in the 3-year weighted averages highlighted in yellow in cells D43 to J43.</t>
  </si>
  <si>
    <t>To get you started, we've already included the formula in cell D43 and E43.</t>
  </si>
  <si>
    <t>k.</t>
  </si>
  <si>
    <t>What is the 3-year weighted average of the paid Age-to-Age ratios for ages 24 to 36 months?</t>
  </si>
  <si>
    <t>l.</t>
  </si>
  <si>
    <t>For this exercise, we've set the selected Age-to-Age ratios (cells D44 to J44) equal to the 3-year straight average Age-to-Age ratios. For cells K43, L43, and M43, we will use 1.0.</t>
  </si>
  <si>
    <t>Cumulative Paid Age-to-Ultimate Ratios</t>
  </si>
  <si>
    <t>m.</t>
  </si>
  <si>
    <t>Calculate the cumulative paid Age-to-Ultimate ratios using the Selected Age-to-Age ratios in cells D44 to M44.</t>
  </si>
  <si>
    <t>For example, the Age-to-Ultimate ratio at 48 months equals the product of all the Age-to-Age ratios aged 48 and greater.</t>
  </si>
  <si>
    <t>To get you started, we've already included the value for the Age to Ultimate at 48 months.</t>
  </si>
  <si>
    <t>n</t>
  </si>
  <si>
    <t>What is the Age-to-Ultimate at 36 months?</t>
  </si>
  <si>
    <t>Ultimate Loss Projections: Paid Loss Development Method</t>
  </si>
  <si>
    <t>Accident</t>
  </si>
  <si>
    <t>Cumulative</t>
  </si>
  <si>
    <t>Projected</t>
  </si>
  <si>
    <t>Year Age</t>
  </si>
  <si>
    <t>Paid Loss</t>
  </si>
  <si>
    <t>Paid</t>
  </si>
  <si>
    <t>Ultimate</t>
  </si>
  <si>
    <t>as of</t>
  </si>
  <si>
    <t>to Date</t>
  </si>
  <si>
    <t>Age to</t>
  </si>
  <si>
    <t>Loss</t>
  </si>
  <si>
    <t>As of</t>
  </si>
  <si>
    <t>(Paid Dev.</t>
  </si>
  <si>
    <t>(Months)</t>
  </si>
  <si>
    <t>Ratio</t>
  </si>
  <si>
    <t>Method)</t>
  </si>
  <si>
    <t>Total</t>
  </si>
  <si>
    <t>Fill in the cumulative payments (cells E8 to E17) based on the most recent valuation of losses in the cumulative payment triangle in the Cumulative Paid tab.</t>
  </si>
  <si>
    <t>To get you started, we've already filled in the values from 2010-2015.</t>
  </si>
  <si>
    <t>Fill in the Age-to-Ultimate ratios (cells F8 to F17) based on the selected Age-to-Ultimate ratios from the Cumulative Payment tab.</t>
  </si>
  <si>
    <t xml:space="preserve">c. </t>
  </si>
  <si>
    <t>Fill in the projected ultimate paid loss (cells G8 to G17), which equals the cumulative payment times the Age-to-Ultimate ratio for each accident year.</t>
  </si>
  <si>
    <t>What are the projected ultimate payments for accident year 2012?</t>
  </si>
  <si>
    <t>Ultimate Loss Projections: Paid Bornhuetter-Ferguson Method</t>
  </si>
  <si>
    <t>Earned</t>
  </si>
  <si>
    <t>ELR</t>
  </si>
  <si>
    <t>%</t>
  </si>
  <si>
    <t>(Paid BF</t>
  </si>
  <si>
    <t xml:space="preserve">Projected </t>
  </si>
  <si>
    <t>Premium</t>
  </si>
  <si>
    <t>Estimate</t>
  </si>
  <si>
    <t>Unpaid</t>
  </si>
  <si>
    <t>Loss Ratio</t>
  </si>
  <si>
    <r>
      <t xml:space="preserve">Assume the expected loss ratio (ELR) is </t>
    </r>
    <r>
      <rPr>
        <b/>
        <sz val="11"/>
        <color rgb="FF0070C0"/>
        <rFont val="Arial"/>
        <family val="2"/>
      </rPr>
      <t>70%</t>
    </r>
    <r>
      <rPr>
        <sz val="11"/>
        <color rgb="FF0070C0"/>
        <rFont val="Arial"/>
        <family val="2"/>
      </rPr>
      <t>. Fill in the ELR estimates (cells F8:F17) by multiplying the ELR by the Earned Premium for each accident year.</t>
    </r>
  </si>
  <si>
    <t xml:space="preserve">Some of the ELR Estimates have already been provided in purple to help you check your work. </t>
  </si>
  <si>
    <t>Using the cumulative paid Age-to-Ultimate ratio, fill in the % Paid column (cells H8:H17).</t>
  </si>
  <si>
    <t>(Hint: Paid Age-to-Ultimate ratio equals ultimate loss divided by paid loss)</t>
  </si>
  <si>
    <t xml:space="preserve">Some of the % Paids have already been provided in purple to help you check your work. </t>
  </si>
  <si>
    <t>Fill in the % Unpaid (cells I8:I17) by using the complement of column H.</t>
  </si>
  <si>
    <t xml:space="preserve">Some of the % Unpaids have already been provided in purple to help you check your work. </t>
  </si>
  <si>
    <t>The formula to calculate the Paid Bornhuetter-Fergusion ultimate losses is: Projected Ultimate Loss = Paid Loss to Date + (ELR Estimate) * (% Unpaid)</t>
  </si>
  <si>
    <t>Fill in the projected ultimate paid loss (cells K8 to KJ17) using this formula.</t>
  </si>
  <si>
    <t xml:space="preserve">Some of the Projected Ultimate Losses have already been provided in purple to help you check your work. </t>
  </si>
  <si>
    <t>What are the projected ultimate payments for accident year 2016?</t>
  </si>
  <si>
    <t>Ultimate Loss Projections: Selected</t>
  </si>
  <si>
    <t>Estimated</t>
  </si>
  <si>
    <t>Losses</t>
  </si>
  <si>
    <t>(Selected)</t>
  </si>
  <si>
    <t>If you've completed the previous tabs, columns E through H should be filled in the chart above.</t>
  </si>
  <si>
    <t>This chart compares your projected ultimate loss estimates using the two methods.</t>
  </si>
  <si>
    <t>In this exercise, we've set the selected ultimated loss (column G) to be the straight average of our two methods.</t>
  </si>
  <si>
    <t>Calculate the Estimated Losses Unpaid in column I using the your selected Projected Ultimate Loss and Paid Loss to Date as of 12/31/2019.</t>
  </si>
  <si>
    <t xml:space="preserve">Some of the estimated losses unpaid have already been provided in purple to help you check your work. </t>
  </si>
  <si>
    <t>What is the projected unpaid loss for accident year 2010?</t>
  </si>
  <si>
    <t>What is the sum of the projected unpaid loss for all accident years?</t>
  </si>
  <si>
    <t>List two other methods of loss development that an actuary could use.</t>
  </si>
  <si>
    <t>Reported/Incurred Development Medod</t>
  </si>
  <si>
    <t>Reported/Incurred Bornhuetter-Ferguson Method</t>
  </si>
  <si>
    <t>Expected Method</t>
  </si>
  <si>
    <t>Inputs</t>
  </si>
  <si>
    <t>Most recent year</t>
  </si>
  <si>
    <t>Valuation Date of Liabilities</t>
  </si>
  <si>
    <t>CAS Summer Program 2023: Basic Reserving Exercise Workbook</t>
  </si>
  <si>
    <t>This is the exercise workbook associated with the Reserving module of the 2023 CAS Summer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</si>
</sst>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yyyy"/>
    <numFmt numFmtId="166" formatCode="0.0%"/>
  </numFmts>
  <fonts count="26">
    <font>
      <sz val="11"/>
      <color theme="1"/>
      <name val="Calibri"/>
      <family val="2"/>
      <scheme val="minor"/>
    </font>
    <font>
      <sz val="11"/>
      <color theme="1"/>
      <name val="Calibri"/>
      <family val="2"/>
      <scheme val="minor"/>
    </font>
    <font>
      <b/>
      <sz val="11"/>
      <color theme="1"/>
      <name val="Aial"/>
    </font>
    <font>
      <sz val="11"/>
      <color theme="1"/>
      <name val="Aial"/>
    </font>
    <font>
      <i/>
      <u/>
      <sz val="11"/>
      <color theme="1"/>
      <name val="Aial"/>
    </font>
    <font>
      <u/>
      <sz val="11"/>
      <color theme="1"/>
      <name val="Aial"/>
    </font>
    <font>
      <b/>
      <sz val="11"/>
      <color theme="1"/>
      <name val="Arial"/>
      <family val="2"/>
    </font>
    <font>
      <sz val="11"/>
      <color theme="1"/>
      <name val="Arial"/>
      <family val="2"/>
    </font>
    <font>
      <i/>
      <u/>
      <sz val="11"/>
      <color theme="1"/>
      <name val="Arial"/>
      <family val="2"/>
    </font>
    <font>
      <u/>
      <sz val="11"/>
      <color theme="1"/>
      <name val="Arial"/>
      <family val="2"/>
    </font>
    <font>
      <sz val="11"/>
      <color rgb="FFFF0000"/>
      <name val="Arial"/>
      <family val="2"/>
    </font>
    <font>
      <sz val="11"/>
      <color rgb="FF0070C0"/>
      <name val="Aial"/>
    </font>
    <font>
      <sz val="11"/>
      <color rgb="FF0070C0"/>
      <name val="Arial"/>
      <family val="2"/>
    </font>
    <font>
      <sz val="11"/>
      <color rgb="FFFF0000"/>
      <name val="Aial"/>
    </font>
    <font>
      <sz val="11"/>
      <name val="Arial"/>
      <family val="2"/>
    </font>
    <font>
      <b/>
      <sz val="11"/>
      <color rgb="FF0070C0"/>
      <name val="Arial"/>
      <family val="2"/>
    </font>
    <font>
      <b/>
      <u/>
      <sz val="11"/>
      <color theme="1"/>
      <name val="Arial"/>
      <family val="2"/>
    </font>
    <font>
      <sz val="10"/>
      <name val="Arial"/>
      <family val="2"/>
    </font>
    <font>
      <sz val="16"/>
      <color indexed="18"/>
      <name val="Times New Roman"/>
      <family val="1"/>
    </font>
    <font>
      <sz val="10"/>
      <color indexed="18"/>
      <name val="Times New Roman"/>
      <family val="1"/>
    </font>
    <font>
      <sz val="10"/>
      <name val="Times New Roman"/>
      <family val="1"/>
    </font>
    <font>
      <sz val="12"/>
      <name val="Times New Roman"/>
      <family val="1"/>
    </font>
    <font>
      <i/>
      <sz val="11"/>
      <color rgb="FFFF0000"/>
      <name val="Arial"/>
      <family val="2"/>
    </font>
    <font>
      <b/>
      <i/>
      <sz val="11"/>
      <color theme="1"/>
      <name val="Arial"/>
      <family val="2"/>
    </font>
    <font>
      <i/>
      <sz val="11"/>
      <color rgb="FF7030A0"/>
      <name val="Arial"/>
      <family val="2"/>
    </font>
    <font>
      <sz val="11"/>
      <color rgb="FF7030A0"/>
      <name val="Arial"/>
      <family val="2"/>
    </font>
  </fonts>
  <fills count="8">
    <fill>
      <patternFill patternType="none"/>
    </fill>
    <fill>
      <patternFill patternType="gray125"/>
    </fill>
    <fill>
      <patternFill patternType="solid">
        <fgColor rgb="FFFFFF00"/>
        <bgColor indexed="64"/>
      </patternFill>
    </fill>
    <fill>
      <patternFill patternType="lightGray">
        <fgColor indexed="13"/>
      </patternFill>
    </fill>
    <fill>
      <patternFill patternType="lightGray">
        <fgColor indexed="13"/>
        <bgColor indexed="9"/>
      </patternFill>
    </fill>
    <fill>
      <patternFill patternType="gray125">
        <fgColor indexed="13"/>
      </patternFill>
    </fill>
    <fill>
      <patternFill patternType="solid">
        <fgColor theme="0"/>
        <bgColor indexed="64"/>
      </patternFill>
    </fill>
    <fill>
      <patternFill patternType="solid">
        <fgColor indexed="9"/>
      </patternFill>
    </fill>
  </fills>
  <borders count="8">
    <border>
      <left/>
      <right/>
      <top/>
      <bottom/>
      <diagonal/>
    </border>
    <border>
      <left/>
      <right/>
      <top style="double">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right/>
      <top/>
      <bottom style="double">
        <color indexed="64"/>
      </bottom>
      <diagonal/>
    </border>
  </borders>
  <cellStyleXfs count="130">
    <xf numFmtId="0" fontId="0" fillId="0" borderId="0"/>
    <xf numFmtId="43" fontId="1" fillId="0" borderId="0" applyFont="0" applyFill="0" applyBorder="0" applyAlignment="0" applyProtection="0"/>
    <xf numFmtId="9" fontId="1" fillId="0" borderId="0" applyFont="0" applyFill="0" applyBorder="0" applyAlignment="0" applyProtection="0"/>
    <xf numFmtId="0" fontId="17" fillId="0" borderId="0"/>
    <xf numFmtId="9" fontId="17" fillId="0" borderId="0" applyFont="0" applyFill="0" applyBorder="0" applyAlignment="0" applyProtection="0"/>
    <xf numFmtId="0" fontId="18" fillId="3" borderId="0" applyNumberFormat="0" applyBorder="0">
      <alignment horizontal="centerContinuous"/>
      <protection locked="0"/>
    </xf>
    <xf numFmtId="165" fontId="19" fillId="4" borderId="0" applyBorder="0">
      <alignment horizontal="center" wrapText="1"/>
      <protection locked="0"/>
    </xf>
    <xf numFmtId="3" fontId="19" fillId="5" borderId="0" applyBorder="0">
      <alignment horizontal="right"/>
      <protection locked="0"/>
    </xf>
    <xf numFmtId="43" fontId="17" fillId="0" borderId="0" applyFont="0" applyFill="0" applyBorder="0" applyAlignment="0" applyProtection="0"/>
    <xf numFmtId="0" fontId="1" fillId="0" borderId="0"/>
    <xf numFmtId="43" fontId="17" fillId="0" borderId="0" applyFont="0" applyFill="0" applyBorder="0" applyAlignment="0" applyProtection="0"/>
    <xf numFmtId="0" fontId="17" fillId="0" borderId="0"/>
    <xf numFmtId="0" fontId="17" fillId="7" borderId="0" applyBorder="0">
      <alignment horizontal="left"/>
      <protection locked="0"/>
    </xf>
    <xf numFmtId="0" fontId="20" fillId="0" borderId="6" applyNumberFormat="0" applyFont="0" applyFill="0" applyBorder="0" applyProtection="0">
      <alignment horizontal="center" vertical="center" wrapText="1"/>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0" fillId="0" borderId="6" applyNumberFormat="0" applyFont="0" applyFill="0" applyBorder="0" applyProtection="0">
      <alignment horizontal="center" vertical="center" wrapText="1"/>
    </xf>
    <xf numFmtId="0" fontId="17" fillId="0" borderId="0"/>
    <xf numFmtId="0" fontId="1" fillId="0" borderId="0"/>
    <xf numFmtId="0" fontId="21" fillId="0" borderId="0"/>
    <xf numFmtId="9" fontId="21" fillId="0" borderId="0" applyFont="0" applyFill="0" applyBorder="0" applyAlignment="0" applyProtection="0"/>
    <xf numFmtId="0" fontId="17"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7"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4" fontId="1" fillId="0" borderId="0" applyFont="0" applyFill="0" applyBorder="0" applyAlignment="0" applyProtection="0"/>
    <xf numFmtId="0" fontId="17" fillId="0" borderId="0"/>
    <xf numFmtId="0" fontId="17" fillId="0" borderId="0"/>
    <xf numFmtId="0" fontId="17" fillId="0" borderId="0"/>
    <xf numFmtId="0" fontId="17" fillId="0" borderId="0"/>
    <xf numFmtId="0" fontId="1" fillId="0" borderId="0"/>
    <xf numFmtId="0" fontId="20"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cellStyleXfs>
  <cellXfs count="66">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right"/>
    </xf>
    <xf numFmtId="0" fontId="5" fillId="0" borderId="0" xfId="0" applyFont="1"/>
    <xf numFmtId="0" fontId="3" fillId="0" borderId="0" xfId="0" applyFont="1" applyAlignment="1">
      <alignment horizontal="center"/>
    </xf>
    <xf numFmtId="164" fontId="3" fillId="0" borderId="0" xfId="1" applyNumberFormat="1" applyFont="1"/>
    <xf numFmtId="3" fontId="3" fillId="0" borderId="0" xfId="0" applyNumberFormat="1" applyFont="1"/>
    <xf numFmtId="43" fontId="3" fillId="0" borderId="0" xfId="0" applyNumberFormat="1" applyFont="1"/>
    <xf numFmtId="0" fontId="6" fillId="0" borderId="0" xfId="0" applyFont="1"/>
    <xf numFmtId="0" fontId="7"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right"/>
    </xf>
    <xf numFmtId="0" fontId="9" fillId="0" borderId="0" xfId="0" applyFont="1"/>
    <xf numFmtId="164" fontId="7" fillId="0" borderId="0" xfId="1" applyNumberFormat="1" applyFont="1"/>
    <xf numFmtId="3" fontId="7" fillId="0" borderId="0" xfId="0" applyNumberFormat="1" applyFont="1"/>
    <xf numFmtId="3" fontId="9" fillId="0" borderId="0" xfId="0" applyNumberFormat="1" applyFont="1" applyAlignment="1">
      <alignment horizontal="right"/>
    </xf>
    <xf numFmtId="14" fontId="9" fillId="0" borderId="0" xfId="0" applyNumberFormat="1" applyFont="1" applyAlignment="1">
      <alignment horizontal="center"/>
    </xf>
    <xf numFmtId="0" fontId="9" fillId="0" borderId="0" xfId="0" applyFont="1" applyAlignment="1">
      <alignment horizontal="center"/>
    </xf>
    <xf numFmtId="0" fontId="7" fillId="0" borderId="1" xfId="0" applyFont="1" applyBorder="1" applyAlignment="1">
      <alignment horizontal="center"/>
    </xf>
    <xf numFmtId="164" fontId="7" fillId="0" borderId="1" xfId="1" applyNumberFormat="1" applyFont="1" applyFill="1" applyBorder="1"/>
    <xf numFmtId="43" fontId="7" fillId="0" borderId="0" xfId="0" applyNumberFormat="1" applyFont="1"/>
    <xf numFmtId="0" fontId="7" fillId="0" borderId="0" xfId="0" applyFont="1" applyAlignment="1">
      <alignment horizontal="right"/>
    </xf>
    <xf numFmtId="1" fontId="7" fillId="0" borderId="0" xfId="0" applyNumberFormat="1" applyFont="1"/>
    <xf numFmtId="43" fontId="7" fillId="0" borderId="0" xfId="1" applyFont="1" applyFill="1"/>
    <xf numFmtId="0" fontId="10" fillId="0" borderId="0" xfId="0" applyFont="1"/>
    <xf numFmtId="0" fontId="11" fillId="0" borderId="0" xfId="0" applyFont="1"/>
    <xf numFmtId="0" fontId="12" fillId="0" borderId="0" xfId="0" applyFont="1"/>
    <xf numFmtId="164" fontId="10" fillId="0" borderId="0" xfId="0" applyNumberFormat="1" applyFont="1"/>
    <xf numFmtId="164" fontId="10" fillId="2" borderId="0" xfId="1" applyNumberFormat="1" applyFont="1" applyFill="1"/>
    <xf numFmtId="43" fontId="10" fillId="2" borderId="0" xfId="1" applyFont="1" applyFill="1"/>
    <xf numFmtId="43" fontId="10" fillId="2" borderId="0" xfId="0" applyNumberFormat="1" applyFont="1" applyFill="1"/>
    <xf numFmtId="9" fontId="10" fillId="2" borderId="0" xfId="2" applyFont="1" applyFill="1"/>
    <xf numFmtId="164" fontId="7" fillId="0" borderId="0" xfId="1" applyNumberFormat="1" applyFont="1" applyAlignment="1"/>
    <xf numFmtId="0" fontId="14" fillId="0" borderId="0" xfId="0" applyFont="1"/>
    <xf numFmtId="0" fontId="16" fillId="0" borderId="0" xfId="0" applyFont="1"/>
    <xf numFmtId="166" fontId="7" fillId="0" borderId="0" xfId="2" applyNumberFormat="1" applyFont="1"/>
    <xf numFmtId="166" fontId="7" fillId="0" borderId="7" xfId="2" applyNumberFormat="1" applyFont="1" applyBorder="1"/>
    <xf numFmtId="0" fontId="7" fillId="6" borderId="2" xfId="9" applyFont="1" applyFill="1" applyBorder="1" applyAlignment="1">
      <alignment horizontal="center"/>
    </xf>
    <xf numFmtId="0" fontId="7" fillId="0" borderId="2" xfId="9" applyFont="1" applyBorder="1" applyAlignment="1">
      <alignment horizontal="center"/>
    </xf>
    <xf numFmtId="164" fontId="13" fillId="2" borderId="0" xfId="0" applyNumberFormat="1" applyFont="1" applyFill="1"/>
    <xf numFmtId="43" fontId="22" fillId="0" borderId="0" xfId="0" applyNumberFormat="1" applyFont="1"/>
    <xf numFmtId="0" fontId="23" fillId="0" borderId="0" xfId="0" applyFont="1"/>
    <xf numFmtId="9" fontId="10" fillId="2" borderId="0" xfId="1" applyNumberFormat="1" applyFont="1" applyFill="1"/>
    <xf numFmtId="164" fontId="14" fillId="0" borderId="0" xfId="0" applyNumberFormat="1" applyFont="1"/>
    <xf numFmtId="164" fontId="10" fillId="2" borderId="0" xfId="0" applyNumberFormat="1" applyFont="1" applyFill="1"/>
    <xf numFmtId="0" fontId="13" fillId="2" borderId="0" xfId="0" applyFont="1" applyFill="1"/>
    <xf numFmtId="14" fontId="13" fillId="2" borderId="0" xfId="0" applyNumberFormat="1" applyFont="1" applyFill="1"/>
    <xf numFmtId="0" fontId="24" fillId="0" borderId="0" xfId="0" applyFont="1"/>
    <xf numFmtId="164" fontId="25" fillId="0" borderId="0" xfId="1" applyNumberFormat="1" applyFont="1" applyFill="1"/>
    <xf numFmtId="43" fontId="25" fillId="0" borderId="0" xfId="1" applyFont="1" applyFill="1"/>
    <xf numFmtId="43" fontId="25" fillId="0" borderId="0" xfId="0" applyNumberFormat="1" applyFont="1"/>
    <xf numFmtId="9" fontId="25" fillId="0" borderId="0" xfId="2" applyFont="1" applyFill="1"/>
    <xf numFmtId="164" fontId="25" fillId="0" borderId="1" xfId="1" applyNumberFormat="1" applyFont="1" applyFill="1" applyBorder="1"/>
    <xf numFmtId="164" fontId="25" fillId="0" borderId="0" xfId="0" applyNumberFormat="1" applyFont="1"/>
    <xf numFmtId="0" fontId="10" fillId="2" borderId="0" xfId="0" applyFont="1" applyFill="1"/>
    <xf numFmtId="0" fontId="7" fillId="6" borderId="2" xfId="9" applyFont="1" applyFill="1" applyBorder="1" applyAlignment="1">
      <alignment horizontal="center"/>
    </xf>
    <xf numFmtId="0" fontId="7" fillId="6" borderId="3" xfId="9" applyFont="1" applyFill="1" applyBorder="1" applyAlignment="1">
      <alignment horizontal="center" wrapText="1"/>
    </xf>
    <xf numFmtId="0" fontId="7" fillId="6" borderId="4" xfId="9" applyFont="1" applyFill="1" applyBorder="1" applyAlignment="1">
      <alignment horizontal="center" wrapText="1"/>
    </xf>
    <xf numFmtId="0" fontId="7" fillId="6" borderId="5" xfId="9" applyFont="1" applyFill="1" applyBorder="1" applyAlignment="1">
      <alignment horizontal="center" wrapText="1"/>
    </xf>
    <xf numFmtId="0" fontId="7" fillId="6" borderId="3" xfId="9" applyFont="1" applyFill="1" applyBorder="1" applyAlignment="1">
      <alignment horizontal="center"/>
    </xf>
    <xf numFmtId="0" fontId="7" fillId="6" borderId="4" xfId="9" applyFont="1" applyFill="1" applyBorder="1" applyAlignment="1">
      <alignment horizontal="center"/>
    </xf>
    <xf numFmtId="0" fontId="7" fillId="6" borderId="5" xfId="9" applyFont="1" applyFill="1" applyBorder="1" applyAlignment="1">
      <alignment horizontal="center"/>
    </xf>
    <xf numFmtId="0" fontId="7" fillId="0" borderId="2" xfId="9" applyFont="1" applyBorder="1" applyAlignment="1">
      <alignment horizontal="center"/>
    </xf>
  </cellXfs>
  <cellStyles count="130">
    <cellStyle name="Affinity Background" xfId="12" xr:uid="{79A950BE-437C-41AF-B9FA-813376BE45B2}"/>
    <cellStyle name="Affinity Exhibit" xfId="7" xr:uid="{7D3BB2B5-3763-4EF9-93DF-2D9EF4513BB6}"/>
    <cellStyle name="Affinity Exhibit Header" xfId="5" xr:uid="{7F8D35B6-5772-4E8F-8F15-ACA1C78DA536}"/>
    <cellStyle name="Affinity Headings" xfId="6" xr:uid="{1ADDDD13-E9CD-40EF-802C-A92D0FFB8EF6}"/>
    <cellStyle name="ColumnHeading" xfId="13" xr:uid="{08E86357-A2FE-48BA-BA24-222F1FD83AA8}"/>
    <cellStyle name="ColumnHeading 2" xfId="99" xr:uid="{EB8684F6-96F6-486B-994F-3EBCE3D4E792}"/>
    <cellStyle name="Comma" xfId="1" builtinId="3"/>
    <cellStyle name="Comma 2" xfId="10" xr:uid="{058B907B-B892-4537-BB3F-B3EDF52E586F}"/>
    <cellStyle name="Comma 2 2" xfId="111" xr:uid="{CC7961CF-F4F1-4C9E-AD09-0A388726C261}"/>
    <cellStyle name="Comma 2 3" xfId="112" xr:uid="{D4594924-0E0C-451D-8843-0F0A42AB3EC1}"/>
    <cellStyle name="Comma 2 4" xfId="113" xr:uid="{7C12E8A3-9DFE-4F41-9C37-5B302D266DF4}"/>
    <cellStyle name="Comma 2 5" xfId="114" xr:uid="{78ABF390-2D1A-4168-9F0E-D74F89FE27C0}"/>
    <cellStyle name="Comma 2 6" xfId="115" xr:uid="{F7E7510C-FA5C-4A6B-B2BE-5F87251E8DB8}"/>
    <cellStyle name="Comma 3" xfId="8" xr:uid="{19A0C2A6-8189-4193-98C9-5F3D2009AED3}"/>
    <cellStyle name="Comma 3 2" xfId="116" xr:uid="{8C414A85-F5AA-4D1B-8698-C5104F0CCF3B}"/>
    <cellStyle name="Comma 4" xfId="117" xr:uid="{89880C76-4585-4BEB-97E0-9D8593F51288}"/>
    <cellStyle name="Currency 2" xfId="118" xr:uid="{7C6DE6DA-88D0-473B-886E-AA624F438B62}"/>
    <cellStyle name="Normal" xfId="0" builtinId="0"/>
    <cellStyle name="Normal 10" xfId="20" xr:uid="{C0EF6021-0082-4615-B7C7-679767846920}"/>
    <cellStyle name="Normal 10 10" xfId="108" xr:uid="{7C49C011-1B44-43E6-89F4-914B4BB1C081}"/>
    <cellStyle name="Normal 10 2" xfId="37" xr:uid="{E4B310C8-FF95-4059-9F4A-4C0BBDEA2A66}"/>
    <cellStyle name="Normal 10 3" xfId="54" xr:uid="{F428E63F-3F65-4702-8320-D84091D84784}"/>
    <cellStyle name="Normal 10 4" xfId="72" xr:uid="{B766A620-F71C-4AC3-9FEB-704BA8740242}"/>
    <cellStyle name="Normal 10 5" xfId="89" xr:uid="{039A421D-0254-4424-B43D-A0DD4D73D58B}"/>
    <cellStyle name="Normal 11" xfId="21" xr:uid="{521334A3-3518-4E22-BB78-6829D4747C96}"/>
    <cellStyle name="Normal 11 2" xfId="38" xr:uid="{3D7473CB-311F-4B01-9370-EE8E017A674E}"/>
    <cellStyle name="Normal 11 3" xfId="55" xr:uid="{2D6A646B-5C13-48C8-A5A0-B4EED403B4D4}"/>
    <cellStyle name="Normal 11 4" xfId="73" xr:uid="{2D2BDEE1-03EA-4699-8FBA-D34B8C10ECF3}"/>
    <cellStyle name="Normal 11 5" xfId="90" xr:uid="{B6D3DAF7-95DC-4979-BB3C-4AE949CAFC7C}"/>
    <cellStyle name="Normal 12" xfId="22" xr:uid="{7ECABFCC-4DA0-447E-A292-3238316DCFA6}"/>
    <cellStyle name="Normal 12 2" xfId="39" xr:uid="{3CC33005-F2F9-4397-9D02-B72F0BCE4DA6}"/>
    <cellStyle name="Normal 12 3" xfId="56" xr:uid="{E17B79EC-2B3C-4876-AB34-B38DDCE3F3A8}"/>
    <cellStyle name="Normal 12 4" xfId="74" xr:uid="{359913E0-4C80-467B-8F5E-8052A60758BA}"/>
    <cellStyle name="Normal 12 5" xfId="91" xr:uid="{670244BA-A901-4091-ACE1-4AC7E7FC5FC7}"/>
    <cellStyle name="Normal 13" xfId="23" xr:uid="{AACFE49E-8FA7-43AA-A048-233F918E695A}"/>
    <cellStyle name="Normal 13 2" xfId="40" xr:uid="{7F833F7B-B7FE-4EAE-A52F-A667AB47D44C}"/>
    <cellStyle name="Normal 13 3" xfId="57" xr:uid="{5C07B610-8CA8-49F5-A431-B7F9766B7FB0}"/>
    <cellStyle name="Normal 13 4" xfId="75" xr:uid="{BF068805-3E68-4EAC-B058-C9273B86C400}"/>
    <cellStyle name="Normal 13 5" xfId="92" xr:uid="{A7B3082B-4AB0-47AD-AC2D-8FA37B5BC72A}"/>
    <cellStyle name="Normal 14" xfId="24" xr:uid="{EDD526B9-8169-4006-8DE5-66EBC7FE1984}"/>
    <cellStyle name="Normal 14 2" xfId="41" xr:uid="{BDE16E8D-B2AC-4CEF-96B4-A7B31D445931}"/>
    <cellStyle name="Normal 14 3" xfId="58" xr:uid="{373C3FF8-A1BD-47AF-84F9-D42BE84FC031}"/>
    <cellStyle name="Normal 14 4" xfId="76" xr:uid="{15EAA1F1-1956-4FB8-8B1A-50A60647C9CA}"/>
    <cellStyle name="Normal 14 5" xfId="93" xr:uid="{9FF50228-127C-408D-876E-79341C63F4FB}"/>
    <cellStyle name="Normal 15" xfId="25" xr:uid="{CE1AEF86-93C2-40F0-8388-62379627A767}"/>
    <cellStyle name="Normal 15 2" xfId="42" xr:uid="{6B07E0F4-B958-44A9-B016-3E21422C737D}"/>
    <cellStyle name="Normal 15 3" xfId="59" xr:uid="{FB5C8765-8EC7-4E41-ACF2-777D73DD8E0A}"/>
    <cellStyle name="Normal 15 4" xfId="77" xr:uid="{B923D4D4-A43A-4C9A-BD40-063D83935BE8}"/>
    <cellStyle name="Normal 15 5" xfId="94" xr:uid="{1FA8C91F-A2F4-44B4-BBED-6C06EF6FE8C2}"/>
    <cellStyle name="Normal 16" xfId="26" xr:uid="{97E31C82-0A8C-4665-8A64-B4F942AF5286}"/>
    <cellStyle name="Normal 16 2" xfId="43" xr:uid="{25E46C0A-C967-40B0-917C-B04AA0F681D6}"/>
    <cellStyle name="Normal 16 3" xfId="60" xr:uid="{77A9A5D6-A7A0-4A0A-A58A-1D279519DADC}"/>
    <cellStyle name="Normal 16 4" xfId="78" xr:uid="{AE9E3214-781D-4D07-BAA6-FD596F5F49FC}"/>
    <cellStyle name="Normal 16 5" xfId="95" xr:uid="{224F1983-EA1F-4D5B-986D-D02E8EE0D8EB}"/>
    <cellStyle name="Normal 17" xfId="27" xr:uid="{CB4A0E0D-CFBB-4BA3-91E2-A1BC0D85CC3A}"/>
    <cellStyle name="Normal 17 2" xfId="44" xr:uid="{1C8435B5-E5FE-4EEC-A37D-CD55AEE28DCA}"/>
    <cellStyle name="Normal 17 3" xfId="61" xr:uid="{953070B9-0939-4C3A-8AF7-F597239324F8}"/>
    <cellStyle name="Normal 17 4" xfId="79" xr:uid="{4D0CDC1F-84FF-4F73-8CE9-ED0C65C15DF1}"/>
    <cellStyle name="Normal 17 5" xfId="96" xr:uid="{7E4E2B86-8BA1-4E77-890F-C9FCEFF4076E}"/>
    <cellStyle name="Normal 18" xfId="28" xr:uid="{69A7E6E0-930F-49C9-9F2D-99492B8211C3}"/>
    <cellStyle name="Normal 18 2" xfId="45" xr:uid="{D28889FD-A057-478C-B67E-D9F0C2812C6C}"/>
    <cellStyle name="Normal 18 3" xfId="62" xr:uid="{130A2010-85C0-4072-A0B1-A9A241956C66}"/>
    <cellStyle name="Normal 18 4" xfId="80" xr:uid="{D73E54D0-F5E3-48BC-BEED-259C593F2F8A}"/>
    <cellStyle name="Normal 18 5" xfId="97" xr:uid="{85103B97-4B1A-4483-8D26-D66F06E5C61A}"/>
    <cellStyle name="Normal 19" xfId="29" xr:uid="{5C004140-E1A5-4A45-84A0-43E9781EA75B}"/>
    <cellStyle name="Normal 19 2" xfId="46" xr:uid="{92B61853-47D5-4199-8FC8-F74A976670C3}"/>
    <cellStyle name="Normal 19 3" xfId="63" xr:uid="{28B9CD95-86F1-48B7-BEBE-C15B4E8F1073}"/>
    <cellStyle name="Normal 19 4" xfId="81" xr:uid="{A6AA4ECB-DB83-4E64-9455-0FBCDDF71D75}"/>
    <cellStyle name="Normal 19 5" xfId="98" xr:uid="{362D73E9-4AF1-4B11-AD7A-6B3DA3EE40AF}"/>
    <cellStyle name="Normal 2" xfId="11" xr:uid="{BDEB5667-A075-4960-82A6-48A23937C9AF}"/>
    <cellStyle name="Normal 2 2" xfId="100" xr:uid="{4252A679-04FA-4C09-BEA1-CA57D45CA068}"/>
    <cellStyle name="Normal 2 3" xfId="101" xr:uid="{DD9CAA16-47F9-4ED9-9B11-ADC494256C00}"/>
    <cellStyle name="Normal 2 4" xfId="119" xr:uid="{79C85F5C-06E4-4D22-8921-7C72A58316C4}"/>
    <cellStyle name="Normal 2 5" xfId="120" xr:uid="{A32502C3-6D9C-4CB4-A28E-E94A9ACBC2EC}"/>
    <cellStyle name="Normal 2 6" xfId="121" xr:uid="{CD3AA312-D88F-4540-853F-7A56166861CB}"/>
    <cellStyle name="Normal 20" xfId="64" xr:uid="{5AC188DE-8365-475E-BF0A-8137D50E1058}"/>
    <cellStyle name="Normal 21" xfId="102" xr:uid="{57ECD40E-F550-4E9B-9994-2686EB9151DD}"/>
    <cellStyle name="Normal 22" xfId="104" xr:uid="{218234B9-1DA1-4B2B-BFA8-4702B3FF786B}"/>
    <cellStyle name="Normal 22 2" xfId="122" xr:uid="{E8095F71-8C9D-41CD-B86E-2FFC073055F8}"/>
    <cellStyle name="Normal 22 3" xfId="110" xr:uid="{EB420754-2BB1-480B-BB1F-D3ADB544FC6B}"/>
    <cellStyle name="Normal 22 4" xfId="109" xr:uid="{B1344F11-AFEE-4F5B-B95A-4EE43A1047D7}"/>
    <cellStyle name="Normal 23" xfId="123" xr:uid="{469409AE-212E-46F1-BF4B-88C1EE22DBAB}"/>
    <cellStyle name="Normal 24" xfId="107" xr:uid="{5889A5C5-A4BB-4C1F-87BF-8F2557A359AA}"/>
    <cellStyle name="Normal 24 2" xfId="124" xr:uid="{4C6FD520-6576-4EFD-8026-A12A7E1E6262}"/>
    <cellStyle name="Normal 3" xfId="9" xr:uid="{3860BA89-F5D8-4A1E-BB49-8ED2D44DB1F0}"/>
    <cellStyle name="Normal 3 2" xfId="30" xr:uid="{AC9D7D20-11BD-42DA-B18F-EC07036E71F1}"/>
    <cellStyle name="Normal 3 3" xfId="47" xr:uid="{A9210855-ECBA-4151-8BD7-F377B0CACD2A}"/>
    <cellStyle name="Normal 3 4" xfId="65" xr:uid="{8E6AB85B-9837-4756-841A-B1724C292BFA}"/>
    <cellStyle name="Normal 3 5" xfId="82" xr:uid="{09794CAE-7393-4C79-B073-D2F912967332}"/>
    <cellStyle name="Normal 3 6" xfId="14" xr:uid="{2675AADD-A1AD-4442-9F78-41D7A363E75D}"/>
    <cellStyle name="Normal 4" xfId="3" xr:uid="{D4DFE7F3-EB9B-4370-9963-3556B20C323B}"/>
    <cellStyle name="Normal 4 2" xfId="31" xr:uid="{C8818A20-D349-496C-8650-25379B2F916C}"/>
    <cellStyle name="Normal 4 3" xfId="48" xr:uid="{1CC84F44-3316-4AB2-BB0D-038DD6B6975C}"/>
    <cellStyle name="Normal 4 4" xfId="66" xr:uid="{27AE1770-B50A-4AD9-B3DD-C165ACBE278A}"/>
    <cellStyle name="Normal 4 5" xfId="83" xr:uid="{0C4AF622-A645-4E13-A049-B282B9D3CA16}"/>
    <cellStyle name="Normal 5" xfId="15" xr:uid="{60492605-0F77-4B9F-85E0-D06E2BEB0FC0}"/>
    <cellStyle name="Normal 5 2" xfId="32" xr:uid="{0343B9DA-CB3A-4719-943B-639E3665F158}"/>
    <cellStyle name="Normal 5 3" xfId="49" xr:uid="{F5644178-9384-49C8-BBE1-5929A87776E7}"/>
    <cellStyle name="Normal 5 4" xfId="67" xr:uid="{02600C60-35CF-4DB4-8F0F-88018A4168BA}"/>
    <cellStyle name="Normal 5 5" xfId="84" xr:uid="{1A16900F-D31F-41E2-A224-4E4B42E1FF3B}"/>
    <cellStyle name="Normal 6" xfId="16" xr:uid="{58510A9A-0153-4BE2-B998-A2FC6064636C}"/>
    <cellStyle name="Normal 6 2" xfId="33" xr:uid="{55A27EE3-1BA9-4F1F-AB9B-745D1F86C299}"/>
    <cellStyle name="Normal 6 3" xfId="50" xr:uid="{74B49561-A169-4F45-945E-E8CCD91AA32D}"/>
    <cellStyle name="Normal 6 4" xfId="68" xr:uid="{29A1684D-6588-4E2D-A311-D3DE10924536}"/>
    <cellStyle name="Normal 6 5" xfId="85" xr:uid="{12B86093-85E5-4421-B730-43A2835A2A58}"/>
    <cellStyle name="Normal 7" xfId="17" xr:uid="{73B53FA4-7554-4B39-A359-CAE5490282F1}"/>
    <cellStyle name="Normal 7 2" xfId="34" xr:uid="{B236DDCC-345D-48DB-AFCE-A5F47C036EFA}"/>
    <cellStyle name="Normal 7 3" xfId="51" xr:uid="{E8E7D541-EAC3-430A-9E34-1F6A72828B01}"/>
    <cellStyle name="Normal 7 4" xfId="69" xr:uid="{7B3888CA-61B9-4548-BFB3-1D40216A053D}"/>
    <cellStyle name="Normal 7 5" xfId="86" xr:uid="{BB3553E9-E73D-43B2-9FFB-78495C5FAB72}"/>
    <cellStyle name="Normal 8" xfId="18" xr:uid="{118E6DEA-6928-435E-BD8B-B64C8F38444F}"/>
    <cellStyle name="Normal 8 2" xfId="35" xr:uid="{153C66B2-F417-4991-8656-D8777CBAC9C3}"/>
    <cellStyle name="Normal 8 3" xfId="52" xr:uid="{6F634C39-A9DC-43CE-A16B-7C613890BCF9}"/>
    <cellStyle name="Normal 8 4" xfId="70" xr:uid="{11D2CED5-B44A-4102-A2E1-F57CA135CFFE}"/>
    <cellStyle name="Normal 8 5" xfId="87" xr:uid="{961BFE3F-E016-4874-A58B-671D37958453}"/>
    <cellStyle name="Normal 9" xfId="19" xr:uid="{45B273B1-D9F6-42A4-B332-7FE4F98BB88E}"/>
    <cellStyle name="Normal 9 2" xfId="36" xr:uid="{4D7794AE-AB86-4DE5-B089-6217BC2D5C7F}"/>
    <cellStyle name="Normal 9 3" xfId="53" xr:uid="{1E2D91BC-3880-4814-B15A-E9B0D5A16CB6}"/>
    <cellStyle name="Normal 9 4" xfId="71" xr:uid="{F76E3CBA-6B0C-43BF-9EE6-4FAAC9CBFFAC}"/>
    <cellStyle name="Normal 9 5" xfId="88" xr:uid="{4EE702F6-CD25-4C64-B003-1F198F6EB8BF}"/>
    <cellStyle name="Percent" xfId="2" builtinId="5"/>
    <cellStyle name="Percent 2" xfId="4" xr:uid="{4D7E2B6C-7124-4632-B81E-03E9FC8611C1}"/>
    <cellStyle name="Percent 2 2" xfId="125" xr:uid="{813644B1-B372-4242-9564-0D0565060925}"/>
    <cellStyle name="Percent 2 3" xfId="126" xr:uid="{864BDB58-34C6-4036-A185-9801E3BB76A4}"/>
    <cellStyle name="Percent 2 4" xfId="127" xr:uid="{7FBB4F73-DC4E-4204-A62C-E4F869232E25}"/>
    <cellStyle name="Percent 2 5" xfId="128" xr:uid="{B0F9FB79-CC0F-48CC-9365-63A123011EF6}"/>
    <cellStyle name="Percent 2 6" xfId="129" xr:uid="{FA716090-8B4E-4297-9467-D8A1F9C1F803}"/>
    <cellStyle name="Percent 3" xfId="103" xr:uid="{238085A7-D187-4509-9741-63AFD82CA519}"/>
    <cellStyle name="Percent 4" xfId="106" xr:uid="{629CE7D8-6EF8-4C77-87C9-D1EA8AEA829D}"/>
    <cellStyle name="Percent 5" xfId="105" xr:uid="{77A88D5A-2FEC-4015-9EB3-5BB498339644}"/>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646-5D01-4120-8678-B7209A2DFC40}">
  <dimension ref="B2:C29"/>
  <sheetViews>
    <sheetView topLeftCell="A16" workbookViewId="0">
      <selection activeCell="F8" sqref="F8"/>
    </sheetView>
  </sheetViews>
  <sheetFormatPr defaultColWidth="8.88671875" defaultRowHeight="14.4"/>
  <cols>
    <col min="1" max="2" width="8.88671875" style="11"/>
    <col min="3" max="3" width="31.33203125" style="11" customWidth="1"/>
    <col min="4" max="16384" width="8.88671875" style="11"/>
  </cols>
  <sheetData>
    <row r="2" spans="2:3">
      <c r="B2" s="37" t="s">
        <v>133</v>
      </c>
    </row>
    <row r="3" spans="2:3">
      <c r="B3" s="11" t="s">
        <v>134</v>
      </c>
    </row>
    <row r="4" spans="2:3">
      <c r="B4" s="11" t="s">
        <v>0</v>
      </c>
    </row>
    <row r="6" spans="2:3">
      <c r="B6" s="11" t="s">
        <v>1</v>
      </c>
    </row>
    <row r="7" spans="2:3">
      <c r="B7" s="11" t="s">
        <v>2</v>
      </c>
    </row>
    <row r="8" spans="2:3">
      <c r="B8" s="44" t="s">
        <v>3</v>
      </c>
    </row>
    <row r="9" spans="2:3">
      <c r="B9" s="11" t="s">
        <v>4</v>
      </c>
    </row>
    <row r="10" spans="2:3">
      <c r="C10" s="11" t="s">
        <v>5</v>
      </c>
    </row>
    <row r="11" spans="2:3">
      <c r="C11" s="11" t="s">
        <v>6</v>
      </c>
    </row>
    <row r="12" spans="2:3">
      <c r="C12" s="11" t="s">
        <v>7</v>
      </c>
    </row>
    <row r="14" spans="2:3">
      <c r="B14" s="41" t="s">
        <v>8</v>
      </c>
      <c r="C14" s="40" t="s">
        <v>9</v>
      </c>
    </row>
    <row r="15" spans="2:3">
      <c r="B15" s="62">
        <v>1</v>
      </c>
      <c r="C15" s="59" t="s">
        <v>10</v>
      </c>
    </row>
    <row r="16" spans="2:3">
      <c r="B16" s="63"/>
      <c r="C16" s="60"/>
    </row>
    <row r="17" spans="2:3">
      <c r="B17" s="64"/>
      <c r="C17" s="61"/>
    </row>
    <row r="18" spans="2:3">
      <c r="B18" s="58">
        <v>2</v>
      </c>
      <c r="C18" s="59" t="s">
        <v>11</v>
      </c>
    </row>
    <row r="19" spans="2:3">
      <c r="B19" s="58"/>
      <c r="C19" s="60"/>
    </row>
    <row r="20" spans="2:3">
      <c r="B20" s="58"/>
      <c r="C20" s="61"/>
    </row>
    <row r="21" spans="2:3">
      <c r="B21" s="65">
        <v>3</v>
      </c>
      <c r="C21" s="59" t="s">
        <v>12</v>
      </c>
    </row>
    <row r="22" spans="2:3">
      <c r="B22" s="65"/>
      <c r="C22" s="60"/>
    </row>
    <row r="23" spans="2:3">
      <c r="B23" s="65"/>
      <c r="C23" s="61"/>
    </row>
    <row r="24" spans="2:3">
      <c r="B24" s="58">
        <v>4</v>
      </c>
      <c r="C24" s="59" t="s">
        <v>13</v>
      </c>
    </row>
    <row r="25" spans="2:3">
      <c r="B25" s="58"/>
      <c r="C25" s="60"/>
    </row>
    <row r="26" spans="2:3">
      <c r="B26" s="62"/>
      <c r="C26" s="60"/>
    </row>
    <row r="27" spans="2:3">
      <c r="B27" s="58">
        <v>5</v>
      </c>
      <c r="C27" s="59" t="s">
        <v>14</v>
      </c>
    </row>
    <row r="28" spans="2:3">
      <c r="B28" s="58"/>
      <c r="C28" s="60"/>
    </row>
    <row r="29" spans="2:3">
      <c r="B29" s="58"/>
      <c r="C29" s="61"/>
    </row>
  </sheetData>
  <mergeCells count="10">
    <mergeCell ref="B27:B29"/>
    <mergeCell ref="C27:C29"/>
    <mergeCell ref="B24:B26"/>
    <mergeCell ref="C24:C26"/>
    <mergeCell ref="B15:B17"/>
    <mergeCell ref="C15:C17"/>
    <mergeCell ref="B18:B20"/>
    <mergeCell ref="C18:C20"/>
    <mergeCell ref="B21:B23"/>
    <mergeCell ref="C21:C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31"/>
  <sheetViews>
    <sheetView workbookViewId="0">
      <selection activeCell="C27" activeCellId="4" sqref="C19 C21 C23 C25 C27"/>
    </sheetView>
  </sheetViews>
  <sheetFormatPr defaultColWidth="8.88671875" defaultRowHeight="14.4"/>
  <cols>
    <col min="1" max="1" width="8.88671875" style="2"/>
    <col min="2" max="2" width="3.33203125" style="2" customWidth="1"/>
    <col min="3" max="3" width="12.109375" style="2" customWidth="1"/>
    <col min="4" max="13" width="9.5546875" style="2" customWidth="1"/>
    <col min="14" max="16384" width="8.88671875" style="2"/>
  </cols>
  <sheetData>
    <row r="1" spans="2:17">
      <c r="B1" s="1" t="s">
        <v>15</v>
      </c>
    </row>
    <row r="3" spans="2:17" ht="15.05">
      <c r="B3" s="3" t="s">
        <v>16</v>
      </c>
    </row>
    <row r="5" spans="2:17">
      <c r="C5" s="4" t="s">
        <v>17</v>
      </c>
      <c r="D5" s="5">
        <v>12</v>
      </c>
      <c r="E5" s="5">
        <f>D5+12</f>
        <v>24</v>
      </c>
      <c r="F5" s="5">
        <f t="shared" ref="F5:M5" si="0">E5+12</f>
        <v>36</v>
      </c>
      <c r="G5" s="5">
        <f t="shared" si="0"/>
        <v>48</v>
      </c>
      <c r="H5" s="5">
        <f t="shared" si="0"/>
        <v>60</v>
      </c>
      <c r="I5" s="5">
        <f t="shared" si="0"/>
        <v>72</v>
      </c>
      <c r="J5" s="5">
        <f t="shared" si="0"/>
        <v>84</v>
      </c>
      <c r="K5" s="5">
        <f t="shared" si="0"/>
        <v>96</v>
      </c>
      <c r="L5" s="5">
        <f t="shared" si="0"/>
        <v>108</v>
      </c>
      <c r="M5" s="5">
        <f t="shared" si="0"/>
        <v>120</v>
      </c>
    </row>
    <row r="6" spans="2:17">
      <c r="C6" s="6">
        <f t="shared" ref="C6:C13" si="1">C7-1</f>
        <v>2010</v>
      </c>
      <c r="D6" s="7">
        <v>18539</v>
      </c>
      <c r="E6" s="7">
        <v>14692</v>
      </c>
      <c r="F6" s="7">
        <v>6831</v>
      </c>
      <c r="G6" s="7">
        <v>3830</v>
      </c>
      <c r="H6" s="7">
        <v>2004</v>
      </c>
      <c r="I6" s="7">
        <v>869</v>
      </c>
      <c r="J6" s="8">
        <v>456</v>
      </c>
      <c r="K6" s="8">
        <v>226</v>
      </c>
      <c r="L6" s="8">
        <v>109</v>
      </c>
      <c r="M6" s="8">
        <v>89</v>
      </c>
      <c r="N6" s="8"/>
      <c r="O6" s="8"/>
      <c r="Q6" s="8"/>
    </row>
    <row r="7" spans="2:17">
      <c r="C7" s="6">
        <f t="shared" si="1"/>
        <v>2011</v>
      </c>
      <c r="D7" s="7">
        <v>20410</v>
      </c>
      <c r="E7" s="7">
        <v>15680</v>
      </c>
      <c r="F7" s="7">
        <v>7169</v>
      </c>
      <c r="G7" s="7">
        <v>3900</v>
      </c>
      <c r="H7" s="7">
        <v>2049</v>
      </c>
      <c r="I7" s="7">
        <v>954</v>
      </c>
      <c r="J7" s="7">
        <v>464</v>
      </c>
      <c r="K7" s="8">
        <v>253</v>
      </c>
      <c r="L7" s="8">
        <v>122</v>
      </c>
      <c r="M7" s="7"/>
      <c r="N7" s="8"/>
      <c r="O7" s="8"/>
    </row>
    <row r="8" spans="2:17">
      <c r="C8" s="6">
        <f t="shared" si="1"/>
        <v>2012</v>
      </c>
      <c r="D8" s="7">
        <v>22121</v>
      </c>
      <c r="E8" s="7">
        <v>16855</v>
      </c>
      <c r="F8" s="7">
        <v>7413</v>
      </c>
      <c r="G8" s="7">
        <v>4173</v>
      </c>
      <c r="H8" s="7">
        <v>2173</v>
      </c>
      <c r="I8" s="7">
        <v>1005</v>
      </c>
      <c r="J8" s="7">
        <v>544</v>
      </c>
      <c r="K8" s="8">
        <v>249</v>
      </c>
      <c r="M8" s="7"/>
      <c r="N8" s="8"/>
    </row>
    <row r="9" spans="2:17">
      <c r="C9" s="6">
        <f t="shared" si="1"/>
        <v>2013</v>
      </c>
      <c r="D9" s="7">
        <v>22992</v>
      </c>
      <c r="E9" s="7">
        <v>17104</v>
      </c>
      <c r="F9" s="7">
        <v>7672</v>
      </c>
      <c r="G9" s="7">
        <v>4326</v>
      </c>
      <c r="H9" s="7">
        <v>2270</v>
      </c>
      <c r="I9" s="7">
        <v>1015</v>
      </c>
      <c r="J9" s="7">
        <v>500</v>
      </c>
      <c r="M9" s="7"/>
    </row>
    <row r="10" spans="2:17">
      <c r="C10" s="6">
        <f t="shared" si="1"/>
        <v>2014</v>
      </c>
      <c r="D10" s="7">
        <v>24093</v>
      </c>
      <c r="E10" s="7">
        <v>17703</v>
      </c>
      <c r="F10" s="7">
        <v>8108</v>
      </c>
      <c r="G10" s="7">
        <v>4449</v>
      </c>
      <c r="H10" s="7">
        <v>2401</v>
      </c>
      <c r="I10" s="7">
        <v>1053</v>
      </c>
      <c r="J10" s="7"/>
      <c r="K10" s="7"/>
      <c r="L10" s="7"/>
    </row>
    <row r="11" spans="2:17">
      <c r="C11" s="6">
        <f t="shared" si="1"/>
        <v>2015</v>
      </c>
      <c r="D11" s="7">
        <v>24084</v>
      </c>
      <c r="E11" s="7">
        <v>17315</v>
      </c>
      <c r="F11" s="7">
        <v>7671</v>
      </c>
      <c r="G11" s="7">
        <v>4514</v>
      </c>
      <c r="H11" s="7">
        <v>2346</v>
      </c>
      <c r="I11" s="7"/>
      <c r="J11" s="7"/>
      <c r="L11" s="7"/>
      <c r="M11" s="7"/>
    </row>
    <row r="12" spans="2:17">
      <c r="C12" s="6">
        <f t="shared" si="1"/>
        <v>2016</v>
      </c>
      <c r="D12" s="7">
        <v>24370</v>
      </c>
      <c r="E12" s="7">
        <v>17120</v>
      </c>
      <c r="F12" s="7">
        <v>7747</v>
      </c>
      <c r="G12" s="7">
        <v>4538</v>
      </c>
      <c r="H12" s="7"/>
      <c r="I12" s="7"/>
      <c r="J12" s="7"/>
      <c r="K12" s="7"/>
      <c r="L12" s="7"/>
      <c r="M12" s="7"/>
    </row>
    <row r="13" spans="2:17">
      <c r="C13" s="6">
        <f t="shared" si="1"/>
        <v>2017</v>
      </c>
      <c r="D13" s="7">
        <v>25101</v>
      </c>
      <c r="E13" s="7">
        <v>17602</v>
      </c>
      <c r="F13" s="7">
        <v>7943</v>
      </c>
      <c r="G13" s="7"/>
      <c r="H13" s="7"/>
      <c r="I13" s="7"/>
      <c r="J13" s="7"/>
      <c r="K13" s="7"/>
      <c r="L13" s="7"/>
      <c r="M13" s="7"/>
    </row>
    <row r="14" spans="2:17">
      <c r="C14" s="6">
        <f>C15-1</f>
        <v>2018</v>
      </c>
      <c r="D14" s="7">
        <v>25609</v>
      </c>
      <c r="E14" s="7">
        <v>17998</v>
      </c>
      <c r="G14" s="7"/>
      <c r="H14" s="7"/>
      <c r="I14" s="7"/>
      <c r="J14" s="7"/>
      <c r="K14" s="7"/>
      <c r="L14" s="7"/>
      <c r="M14" s="7"/>
    </row>
    <row r="15" spans="2:17">
      <c r="C15" s="6">
        <f>current_year-1</f>
        <v>2019</v>
      </c>
      <c r="D15" s="7">
        <v>27230</v>
      </c>
      <c r="F15" s="7"/>
      <c r="G15" s="7"/>
      <c r="H15" s="7"/>
      <c r="I15" s="7"/>
      <c r="J15" s="7"/>
      <c r="K15" s="7"/>
      <c r="L15" s="7"/>
      <c r="M15" s="7"/>
    </row>
    <row r="16" spans="2:17">
      <c r="G16" s="7"/>
      <c r="I16" s="7"/>
      <c r="K16" s="7"/>
    </row>
    <row r="17" spans="2:18">
      <c r="G17" s="7"/>
      <c r="I17" s="7"/>
      <c r="K17" s="7"/>
    </row>
    <row r="18" spans="2:18">
      <c r="B18" s="28" t="s">
        <v>18</v>
      </c>
      <c r="C18" s="28" t="s">
        <v>19</v>
      </c>
      <c r="D18" s="9"/>
      <c r="E18" s="9"/>
      <c r="F18" s="9"/>
      <c r="G18" s="9"/>
      <c r="H18" s="9"/>
      <c r="I18" s="9"/>
      <c r="J18" s="9"/>
      <c r="K18" s="9"/>
      <c r="L18" s="9"/>
      <c r="M18" s="9"/>
      <c r="N18" s="8"/>
      <c r="O18" s="8"/>
      <c r="P18" s="8"/>
      <c r="R18" s="8"/>
    </row>
    <row r="19" spans="2:18">
      <c r="B19" s="28"/>
      <c r="C19" s="48" t="s">
        <v>20</v>
      </c>
      <c r="D19" s="9"/>
      <c r="E19" s="9"/>
      <c r="F19" s="9"/>
      <c r="G19" s="9"/>
      <c r="H19" s="9"/>
      <c r="I19" s="9"/>
      <c r="J19" s="9"/>
      <c r="K19" s="9"/>
      <c r="L19" s="9"/>
      <c r="M19" s="9"/>
      <c r="N19" s="8"/>
      <c r="O19" s="8"/>
      <c r="P19" s="8"/>
      <c r="R19" s="8"/>
    </row>
    <row r="20" spans="2:18">
      <c r="B20" s="28" t="s">
        <v>21</v>
      </c>
      <c r="C20" s="28" t="s">
        <v>22</v>
      </c>
      <c r="D20" s="9"/>
      <c r="E20" s="9"/>
      <c r="F20" s="9"/>
      <c r="G20" s="9"/>
      <c r="H20" s="9"/>
      <c r="I20" s="9"/>
      <c r="J20" s="9"/>
      <c r="K20" s="9"/>
      <c r="L20" s="9"/>
      <c r="M20" s="9"/>
      <c r="N20" s="8"/>
      <c r="O20" s="8"/>
    </row>
    <row r="21" spans="2:18">
      <c r="B21" s="28"/>
      <c r="C21" s="42">
        <f>F6*1000</f>
        <v>6831000</v>
      </c>
      <c r="D21" s="9"/>
      <c r="E21" s="9"/>
      <c r="F21" s="9"/>
      <c r="G21" s="9"/>
      <c r="H21" s="9"/>
      <c r="I21" s="9"/>
      <c r="J21" s="9"/>
      <c r="K21" s="9"/>
      <c r="L21" s="9"/>
      <c r="M21" s="9"/>
      <c r="N21" s="8"/>
      <c r="O21" s="8"/>
    </row>
    <row r="22" spans="2:18">
      <c r="B22" s="28" t="s">
        <v>23</v>
      </c>
      <c r="C22" s="28" t="s">
        <v>24</v>
      </c>
      <c r="D22" s="9"/>
      <c r="E22" s="9"/>
      <c r="F22" s="9"/>
      <c r="G22" s="9"/>
      <c r="H22" s="9"/>
      <c r="I22" s="9"/>
      <c r="J22" s="9"/>
      <c r="K22" s="9"/>
      <c r="L22" s="9"/>
      <c r="M22" s="9"/>
      <c r="N22" s="8"/>
    </row>
    <row r="23" spans="2:18">
      <c r="B23" s="28"/>
      <c r="C23" s="42">
        <f>E9*1000</f>
        <v>17104000</v>
      </c>
      <c r="D23" s="9"/>
      <c r="E23" s="9"/>
      <c r="F23" s="9"/>
      <c r="G23" s="9"/>
      <c r="H23" s="9"/>
      <c r="I23" s="9"/>
      <c r="J23" s="9"/>
      <c r="K23" s="9"/>
      <c r="L23" s="9"/>
      <c r="M23" s="9"/>
      <c r="N23" s="8"/>
    </row>
    <row r="24" spans="2:18">
      <c r="B24" s="28" t="s">
        <v>25</v>
      </c>
      <c r="C24" s="28" t="s">
        <v>26</v>
      </c>
      <c r="D24" s="9"/>
      <c r="E24" s="9"/>
      <c r="F24" s="9"/>
      <c r="G24" s="9"/>
      <c r="H24" s="9"/>
      <c r="I24" s="9"/>
      <c r="J24" s="9"/>
      <c r="K24" s="9"/>
      <c r="L24" s="9"/>
      <c r="M24" s="9"/>
    </row>
    <row r="25" spans="2:18">
      <c r="B25" s="28"/>
      <c r="C25" s="42">
        <f>F9*1000</f>
        <v>7672000</v>
      </c>
      <c r="D25" s="9"/>
      <c r="E25" s="9"/>
      <c r="F25" s="9"/>
      <c r="G25" s="9"/>
      <c r="H25" s="9"/>
      <c r="I25" s="9"/>
      <c r="J25" s="9"/>
      <c r="K25" s="9"/>
      <c r="L25" s="9"/>
      <c r="M25" s="9"/>
    </row>
    <row r="26" spans="2:18">
      <c r="B26" s="28" t="s">
        <v>27</v>
      </c>
      <c r="C26" s="28" t="s">
        <v>28</v>
      </c>
      <c r="D26" s="9"/>
      <c r="E26" s="9"/>
      <c r="F26" s="9"/>
      <c r="G26" s="9"/>
      <c r="H26" s="9"/>
      <c r="I26" s="9"/>
      <c r="J26" s="9"/>
      <c r="K26" s="9"/>
      <c r="L26" s="9"/>
      <c r="M26" s="9"/>
    </row>
    <row r="27" spans="2:18">
      <c r="C27" s="49">
        <v>43830</v>
      </c>
      <c r="D27" s="9"/>
      <c r="E27" s="9"/>
      <c r="F27" s="9"/>
      <c r="G27" s="9"/>
      <c r="H27" s="9"/>
      <c r="I27" s="9"/>
      <c r="J27" s="9"/>
      <c r="K27" s="9"/>
      <c r="L27" s="9"/>
      <c r="M27" s="9"/>
    </row>
    <row r="28" spans="2:18">
      <c r="D28" s="9"/>
      <c r="E28" s="9"/>
      <c r="F28" s="9"/>
      <c r="G28" s="9"/>
      <c r="H28" s="9"/>
      <c r="I28" s="9"/>
      <c r="J28" s="9"/>
      <c r="K28" s="9"/>
      <c r="L28" s="9"/>
      <c r="M28" s="9"/>
    </row>
    <row r="29" spans="2:18">
      <c r="D29" s="9"/>
      <c r="E29" s="9"/>
      <c r="F29" s="9"/>
      <c r="G29" s="9"/>
      <c r="H29" s="9"/>
      <c r="I29" s="9"/>
      <c r="J29" s="9"/>
      <c r="K29" s="9"/>
      <c r="L29" s="9"/>
      <c r="M29" s="9"/>
    </row>
    <row r="30" spans="2:18">
      <c r="D30" s="9"/>
      <c r="E30" s="9"/>
      <c r="F30" s="9"/>
      <c r="G30" s="9"/>
      <c r="H30" s="9"/>
      <c r="I30" s="9"/>
      <c r="J30" s="9"/>
      <c r="K30" s="9"/>
      <c r="L30" s="9"/>
      <c r="M30" s="9"/>
    </row>
    <row r="31" spans="2:18">
      <c r="D31" s="9"/>
      <c r="E31" s="9"/>
      <c r="F31" s="9"/>
      <c r="G31" s="9"/>
      <c r="H31" s="9"/>
      <c r="I31" s="9"/>
      <c r="J31" s="9"/>
      <c r="K31" s="9"/>
      <c r="L31" s="9"/>
      <c r="M31" s="9"/>
    </row>
  </sheetData>
  <pageMargins left="0.7" right="0.7" top="0.5" bottom="0.2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79"/>
  <sheetViews>
    <sheetView topLeftCell="A46" workbookViewId="0">
      <selection activeCell="B79" sqref="B79"/>
    </sheetView>
  </sheetViews>
  <sheetFormatPr defaultColWidth="8.88671875" defaultRowHeight="14.4"/>
  <cols>
    <col min="1" max="1" width="8.6640625" style="11" customWidth="1"/>
    <col min="2" max="2" width="3.33203125" style="11" customWidth="1"/>
    <col min="3" max="3" width="12.6640625" style="11" customWidth="1"/>
    <col min="4" max="9" width="10" style="11" customWidth="1"/>
    <col min="10" max="10" width="11.44140625" style="11" customWidth="1"/>
    <col min="11" max="13" width="10" style="11" customWidth="1"/>
    <col min="14" max="16384" width="8.88671875" style="11"/>
  </cols>
  <sheetData>
    <row r="1" spans="2:26">
      <c r="B1" s="10" t="s">
        <v>29</v>
      </c>
    </row>
    <row r="3" spans="2:26" ht="15.05">
      <c r="B3" s="12" t="s">
        <v>30</v>
      </c>
    </row>
    <row r="4" spans="2:26">
      <c r="C4" s="13"/>
    </row>
    <row r="5" spans="2:26">
      <c r="C5" s="14" t="s">
        <v>17</v>
      </c>
      <c r="D5" s="15">
        <v>12</v>
      </c>
      <c r="E5" s="15">
        <f>D5+12</f>
        <v>24</v>
      </c>
      <c r="F5" s="15">
        <f t="shared" ref="F5:M5" si="0">E5+12</f>
        <v>36</v>
      </c>
      <c r="G5" s="15">
        <f t="shared" si="0"/>
        <v>48</v>
      </c>
      <c r="H5" s="15">
        <f t="shared" si="0"/>
        <v>60</v>
      </c>
      <c r="I5" s="15">
        <f t="shared" si="0"/>
        <v>72</v>
      </c>
      <c r="J5" s="15">
        <f t="shared" si="0"/>
        <v>84</v>
      </c>
      <c r="K5" s="15">
        <f t="shared" si="0"/>
        <v>96</v>
      </c>
      <c r="L5" s="15">
        <f t="shared" si="0"/>
        <v>108</v>
      </c>
      <c r="M5" s="15">
        <f t="shared" si="0"/>
        <v>120</v>
      </c>
    </row>
    <row r="6" spans="2:26">
      <c r="C6" s="13">
        <f t="shared" ref="C6:C13" si="1">C7-1</f>
        <v>2010</v>
      </c>
      <c r="D6" s="16">
        <f>'1. Incremental Paid'!D6</f>
        <v>18539</v>
      </c>
      <c r="E6" s="51">
        <f>D6+'1. Incremental Paid'!E6</f>
        <v>33231</v>
      </c>
      <c r="F6" s="51">
        <f>E6+'1. Incremental Paid'!F6</f>
        <v>40062</v>
      </c>
      <c r="G6" s="51">
        <f>F6+'1. Incremental Paid'!G6</f>
        <v>43892</v>
      </c>
      <c r="H6" s="31">
        <f>G6+'1. Incremental Paid'!H6</f>
        <v>45896</v>
      </c>
      <c r="I6" s="31">
        <f>H6+'1. Incremental Paid'!I6</f>
        <v>46765</v>
      </c>
      <c r="J6" s="31">
        <f>I6+'1. Incremental Paid'!J6</f>
        <v>47221</v>
      </c>
      <c r="K6" s="31">
        <f>J6+'1. Incremental Paid'!K6</f>
        <v>47447</v>
      </c>
      <c r="L6" s="31">
        <f>K6+'1. Incremental Paid'!L6</f>
        <v>47556</v>
      </c>
      <c r="M6" s="31">
        <f>L6+'1. Incremental Paid'!M6</f>
        <v>47645</v>
      </c>
      <c r="N6" s="17"/>
      <c r="O6" s="38"/>
      <c r="P6" s="38"/>
      <c r="Q6" s="38"/>
      <c r="R6" s="38"/>
      <c r="S6" s="38"/>
      <c r="T6" s="38"/>
      <c r="U6" s="38"/>
      <c r="V6" s="38"/>
      <c r="W6" s="38"/>
      <c r="X6" s="38"/>
      <c r="Y6" s="38"/>
      <c r="Z6" s="38"/>
    </row>
    <row r="7" spans="2:26">
      <c r="C7" s="13">
        <f t="shared" si="1"/>
        <v>2011</v>
      </c>
      <c r="D7" s="16">
        <f>'1. Incremental Paid'!D7</f>
        <v>20410</v>
      </c>
      <c r="E7" s="51">
        <f>D7+'1. Incremental Paid'!E7</f>
        <v>36090</v>
      </c>
      <c r="F7" s="51">
        <f>E7+'1. Incremental Paid'!F7</f>
        <v>43259</v>
      </c>
      <c r="G7" s="51">
        <f>F7+'1. Incremental Paid'!G7</f>
        <v>47159</v>
      </c>
      <c r="H7" s="31">
        <f>G7+'1. Incremental Paid'!H7</f>
        <v>49208</v>
      </c>
      <c r="I7" s="31">
        <f>H7+'1. Incremental Paid'!I7</f>
        <v>50162</v>
      </c>
      <c r="J7" s="31">
        <f>I7+'1. Incremental Paid'!J7</f>
        <v>50626</v>
      </c>
      <c r="K7" s="31">
        <f>J7+'1. Incremental Paid'!K7</f>
        <v>50879</v>
      </c>
      <c r="L7" s="31">
        <f>K7+'1. Incremental Paid'!L7</f>
        <v>51001</v>
      </c>
      <c r="M7" s="16"/>
      <c r="N7" s="17"/>
      <c r="O7" s="38"/>
      <c r="P7" s="38"/>
      <c r="Q7" s="38"/>
      <c r="R7" s="38"/>
      <c r="S7" s="38"/>
      <c r="T7" s="38"/>
      <c r="U7" s="38"/>
      <c r="V7" s="38"/>
      <c r="W7" s="38"/>
      <c r="X7" s="38"/>
      <c r="Y7" s="38"/>
      <c r="Z7" s="38"/>
    </row>
    <row r="8" spans="2:26">
      <c r="C8" s="13">
        <f t="shared" si="1"/>
        <v>2012</v>
      </c>
      <c r="D8" s="16">
        <f>'1. Incremental Paid'!D8</f>
        <v>22121</v>
      </c>
      <c r="E8" s="51">
        <f>D8+'1. Incremental Paid'!E8</f>
        <v>38976</v>
      </c>
      <c r="F8" s="51">
        <f>E8+'1. Incremental Paid'!F8</f>
        <v>46389</v>
      </c>
      <c r="G8" s="51">
        <f>F8+'1. Incremental Paid'!G8</f>
        <v>50562</v>
      </c>
      <c r="H8" s="31">
        <f>G8+'1. Incremental Paid'!H8</f>
        <v>52735</v>
      </c>
      <c r="I8" s="31">
        <f>H8+'1. Incremental Paid'!I8</f>
        <v>53740</v>
      </c>
      <c r="J8" s="31">
        <f>I8+'1. Incremental Paid'!J8</f>
        <v>54284</v>
      </c>
      <c r="K8" s="31">
        <f>J8+'1. Incremental Paid'!K8</f>
        <v>54533</v>
      </c>
      <c r="M8" s="16"/>
      <c r="N8" s="17"/>
      <c r="O8" s="38"/>
      <c r="P8" s="38"/>
      <c r="Q8" s="38"/>
      <c r="R8" s="38"/>
      <c r="S8" s="38"/>
      <c r="T8" s="38"/>
      <c r="U8" s="38"/>
      <c r="V8" s="38"/>
      <c r="W8" s="38"/>
      <c r="X8" s="38"/>
      <c r="Y8" s="38"/>
      <c r="Z8" s="38"/>
    </row>
    <row r="9" spans="2:26">
      <c r="C9" s="13">
        <f t="shared" si="1"/>
        <v>2013</v>
      </c>
      <c r="D9" s="16">
        <f>'1. Incremental Paid'!D9</f>
        <v>22992</v>
      </c>
      <c r="E9" s="51">
        <f>D9+'1. Incremental Paid'!E9</f>
        <v>40096</v>
      </c>
      <c r="F9" s="51">
        <f>E9+'1. Incremental Paid'!F9</f>
        <v>47768</v>
      </c>
      <c r="G9" s="51">
        <f>F9+'1. Incremental Paid'!G9</f>
        <v>52094</v>
      </c>
      <c r="H9" s="31">
        <f>G9+'1. Incremental Paid'!H9</f>
        <v>54364</v>
      </c>
      <c r="I9" s="31">
        <f>H9+'1. Incremental Paid'!I9</f>
        <v>55379</v>
      </c>
      <c r="J9" s="31">
        <f>I9+'1. Incremental Paid'!J9</f>
        <v>55879</v>
      </c>
      <c r="M9" s="16"/>
      <c r="O9" s="38"/>
      <c r="P9" s="38"/>
      <c r="Q9" s="38"/>
      <c r="R9" s="38"/>
      <c r="S9" s="38"/>
      <c r="T9" s="38"/>
      <c r="U9" s="38"/>
      <c r="V9" s="38"/>
      <c r="W9" s="38"/>
      <c r="X9" s="38"/>
      <c r="Y9" s="38"/>
      <c r="Z9" s="38"/>
    </row>
    <row r="10" spans="2:26">
      <c r="C10" s="13">
        <f t="shared" si="1"/>
        <v>2014</v>
      </c>
      <c r="D10" s="16">
        <f>'1. Incremental Paid'!D10</f>
        <v>24093</v>
      </c>
      <c r="E10" s="51">
        <f>D10+'1. Incremental Paid'!E10</f>
        <v>41796</v>
      </c>
      <c r="F10" s="51">
        <f>E10+'1. Incremental Paid'!F10</f>
        <v>49904</v>
      </c>
      <c r="G10" s="31">
        <f>F10+'1. Incremental Paid'!G10</f>
        <v>54353</v>
      </c>
      <c r="H10" s="31">
        <f>G10+'1. Incremental Paid'!H10</f>
        <v>56754</v>
      </c>
      <c r="I10" s="31">
        <f>H10+'1. Incremental Paid'!I10</f>
        <v>57807</v>
      </c>
      <c r="J10" s="16"/>
      <c r="K10" s="16"/>
      <c r="L10" s="16"/>
      <c r="O10" s="38"/>
      <c r="P10" s="38"/>
      <c r="Q10" s="38"/>
      <c r="R10" s="38"/>
      <c r="S10" s="38"/>
      <c r="T10" s="38"/>
      <c r="U10" s="38"/>
      <c r="V10" s="38"/>
      <c r="W10" s="38"/>
      <c r="X10" s="38"/>
      <c r="Y10" s="38"/>
      <c r="Z10" s="38"/>
    </row>
    <row r="11" spans="2:26">
      <c r="C11" s="13">
        <f t="shared" si="1"/>
        <v>2015</v>
      </c>
      <c r="D11" s="16">
        <f>'1. Incremental Paid'!D11</f>
        <v>24084</v>
      </c>
      <c r="E11" s="51">
        <f>D11+'1. Incremental Paid'!E11</f>
        <v>41399</v>
      </c>
      <c r="F11" s="31">
        <f>E11+'1. Incremental Paid'!F11</f>
        <v>49070</v>
      </c>
      <c r="G11" s="31">
        <f>F11+'1. Incremental Paid'!G11</f>
        <v>53584</v>
      </c>
      <c r="H11" s="31">
        <f>G11+'1. Incremental Paid'!H11</f>
        <v>55930</v>
      </c>
      <c r="I11" s="16"/>
      <c r="J11" s="16"/>
      <c r="L11" s="16"/>
      <c r="M11" s="16"/>
      <c r="O11" s="38"/>
      <c r="P11" s="38"/>
      <c r="Q11" s="38"/>
      <c r="R11" s="38"/>
      <c r="S11" s="38"/>
      <c r="T11" s="38"/>
      <c r="U11" s="38"/>
      <c r="V11" s="38"/>
      <c r="W11" s="38"/>
      <c r="X11" s="38"/>
      <c r="Y11" s="38"/>
      <c r="Z11" s="38"/>
    </row>
    <row r="12" spans="2:26">
      <c r="C12" s="13">
        <f t="shared" si="1"/>
        <v>2016</v>
      </c>
      <c r="D12" s="16">
        <f>'1. Incremental Paid'!D12</f>
        <v>24370</v>
      </c>
      <c r="E12" s="31">
        <f>D12+'1. Incremental Paid'!E12</f>
        <v>41490</v>
      </c>
      <c r="F12" s="31">
        <f>E12+'1. Incremental Paid'!F12</f>
        <v>49237</v>
      </c>
      <c r="G12" s="31">
        <f>F12+'1. Incremental Paid'!G12</f>
        <v>53775</v>
      </c>
      <c r="H12" s="16"/>
      <c r="I12" s="16"/>
      <c r="J12" s="16"/>
      <c r="K12" s="16"/>
      <c r="L12" s="16"/>
      <c r="M12" s="16"/>
      <c r="O12" s="38"/>
      <c r="P12" s="38"/>
      <c r="Q12" s="38"/>
      <c r="R12" s="38"/>
      <c r="S12" s="38"/>
      <c r="T12" s="38"/>
      <c r="U12" s="38"/>
      <c r="V12" s="38"/>
      <c r="W12" s="38"/>
      <c r="X12" s="38"/>
      <c r="Y12" s="38"/>
      <c r="Z12" s="38"/>
    </row>
    <row r="13" spans="2:26">
      <c r="C13" s="13">
        <f t="shared" si="1"/>
        <v>2017</v>
      </c>
      <c r="D13" s="16">
        <f>'1. Incremental Paid'!D13</f>
        <v>25101</v>
      </c>
      <c r="E13" s="31">
        <f>D13+'1. Incremental Paid'!E13</f>
        <v>42703</v>
      </c>
      <c r="F13" s="31">
        <f>E13+'1. Incremental Paid'!F13</f>
        <v>50646</v>
      </c>
      <c r="G13" s="16"/>
      <c r="H13" s="16"/>
      <c r="I13" s="16"/>
      <c r="J13" s="16"/>
      <c r="K13" s="16"/>
      <c r="L13" s="16"/>
      <c r="M13" s="16"/>
      <c r="O13" s="38"/>
      <c r="P13" s="38"/>
      <c r="Q13" s="38"/>
      <c r="R13" s="38"/>
      <c r="S13" s="38"/>
      <c r="T13" s="38"/>
      <c r="U13" s="38"/>
      <c r="V13" s="38"/>
      <c r="W13" s="38"/>
      <c r="X13" s="38"/>
      <c r="Y13" s="38"/>
      <c r="Z13" s="38"/>
    </row>
    <row r="14" spans="2:26">
      <c r="C14" s="13">
        <f>C15-1</f>
        <v>2018</v>
      </c>
      <c r="D14" s="16">
        <f>'1. Incremental Paid'!D14</f>
        <v>25609</v>
      </c>
      <c r="E14" s="31">
        <f>D14+'1. Incremental Paid'!E14</f>
        <v>43607</v>
      </c>
      <c r="G14" s="16"/>
      <c r="H14" s="16"/>
      <c r="I14" s="16"/>
      <c r="J14" s="16"/>
      <c r="K14" s="16"/>
      <c r="L14" s="16"/>
      <c r="M14" s="16"/>
      <c r="O14" s="38"/>
      <c r="P14" s="38"/>
      <c r="Q14" s="38"/>
      <c r="R14" s="38"/>
      <c r="S14" s="38"/>
      <c r="T14" s="38"/>
      <c r="U14" s="38"/>
      <c r="V14" s="38"/>
      <c r="W14" s="38"/>
      <c r="X14" s="38"/>
      <c r="Y14" s="38"/>
      <c r="Z14" s="38"/>
    </row>
    <row r="15" spans="2:26">
      <c r="C15" s="13">
        <f>current_year-1</f>
        <v>2019</v>
      </c>
      <c r="D15" s="16">
        <f>'1. Incremental Paid'!D15</f>
        <v>27230</v>
      </c>
      <c r="E15" s="51"/>
      <c r="F15" s="51"/>
      <c r="G15" s="51"/>
      <c r="H15" s="31"/>
      <c r="I15" s="31"/>
      <c r="J15" s="31"/>
      <c r="K15" s="31"/>
      <c r="L15" s="31"/>
      <c r="M15" s="31"/>
      <c r="O15" s="38"/>
      <c r="P15" s="38"/>
      <c r="Q15" s="38"/>
      <c r="R15" s="38"/>
      <c r="S15" s="38"/>
      <c r="T15" s="38"/>
      <c r="U15" s="38"/>
      <c r="V15" s="38"/>
      <c r="W15" s="38"/>
      <c r="X15" s="38"/>
      <c r="Y15" s="38"/>
      <c r="Z15" s="38"/>
    </row>
    <row r="16" spans="2:26">
      <c r="C16" s="13"/>
      <c r="D16" s="16"/>
      <c r="F16" s="16"/>
      <c r="G16" s="16"/>
      <c r="H16" s="16"/>
      <c r="I16" s="16"/>
      <c r="J16" s="16"/>
      <c r="K16" s="16"/>
      <c r="L16" s="16"/>
      <c r="M16" s="16"/>
    </row>
    <row r="17" spans="2:24">
      <c r="G17" s="16"/>
      <c r="I17" s="16"/>
      <c r="K17" s="16"/>
      <c r="O17" s="23"/>
      <c r="P17" s="23"/>
      <c r="Q17" s="23"/>
      <c r="R17" s="23"/>
      <c r="S17" s="23"/>
      <c r="T17" s="23"/>
      <c r="U17" s="23"/>
      <c r="V17" s="23"/>
      <c r="W17" s="23"/>
      <c r="X17" s="23"/>
    </row>
    <row r="18" spans="2:24">
      <c r="B18" s="28" t="s">
        <v>18</v>
      </c>
      <c r="C18" s="29" t="s">
        <v>31</v>
      </c>
      <c r="G18" s="16"/>
      <c r="I18" s="16"/>
      <c r="K18" s="16"/>
      <c r="O18" s="23"/>
      <c r="P18" s="23"/>
      <c r="Q18" s="23"/>
      <c r="R18" s="23"/>
      <c r="S18" s="23"/>
      <c r="T18" s="23"/>
      <c r="U18" s="23"/>
      <c r="V18" s="23"/>
      <c r="W18" s="23"/>
      <c r="X18" s="23"/>
    </row>
    <row r="19" spans="2:24" ht="15.05">
      <c r="B19" s="28"/>
      <c r="C19" s="50" t="s">
        <v>32</v>
      </c>
      <c r="G19" s="16"/>
      <c r="I19" s="16"/>
      <c r="K19" s="16"/>
      <c r="O19" s="23"/>
      <c r="P19" s="23"/>
      <c r="Q19" s="23"/>
      <c r="R19" s="23"/>
      <c r="S19" s="23"/>
      <c r="T19" s="23"/>
      <c r="U19" s="23"/>
      <c r="V19" s="23"/>
      <c r="W19" s="23"/>
      <c r="X19" s="23"/>
    </row>
    <row r="20" spans="2:24">
      <c r="B20" s="28"/>
      <c r="C20" s="29"/>
      <c r="G20" s="16"/>
      <c r="I20" s="16"/>
      <c r="K20" s="16"/>
      <c r="O20" s="23"/>
      <c r="P20" s="23"/>
      <c r="Q20" s="23"/>
      <c r="R20" s="23"/>
      <c r="S20" s="23"/>
      <c r="T20" s="23"/>
      <c r="U20" s="23"/>
      <c r="V20" s="23"/>
      <c r="W20" s="23"/>
      <c r="X20" s="23"/>
    </row>
    <row r="21" spans="2:24">
      <c r="B21" s="28" t="s">
        <v>21</v>
      </c>
      <c r="C21" s="29" t="s">
        <v>33</v>
      </c>
      <c r="G21" s="16"/>
      <c r="I21" s="16"/>
      <c r="K21" s="16"/>
      <c r="O21" s="23"/>
      <c r="P21" s="23"/>
      <c r="Q21" s="23"/>
      <c r="R21" s="23"/>
      <c r="S21" s="23"/>
      <c r="T21" s="23"/>
      <c r="U21" s="23"/>
      <c r="V21" s="23"/>
      <c r="W21" s="23"/>
      <c r="X21" s="23"/>
    </row>
    <row r="22" spans="2:24">
      <c r="B22" s="28"/>
      <c r="C22" s="47">
        <f>K8*1000</f>
        <v>54533000</v>
      </c>
      <c r="G22" s="16"/>
      <c r="I22" s="16"/>
      <c r="K22" s="16"/>
      <c r="O22" s="23"/>
      <c r="P22" s="23"/>
      <c r="Q22" s="23"/>
      <c r="R22" s="23"/>
      <c r="S22" s="23"/>
      <c r="T22" s="23"/>
      <c r="U22" s="23"/>
      <c r="V22" s="23"/>
      <c r="W22" s="23"/>
      <c r="X22" s="23"/>
    </row>
    <row r="23" spans="2:24">
      <c r="B23" s="28" t="s">
        <v>23</v>
      </c>
      <c r="C23" s="29" t="s">
        <v>34</v>
      </c>
      <c r="G23" s="16"/>
      <c r="I23" s="16"/>
      <c r="K23" s="16"/>
      <c r="O23" s="23"/>
      <c r="P23" s="23"/>
      <c r="Q23" s="23"/>
      <c r="R23" s="23"/>
      <c r="S23" s="23"/>
      <c r="T23" s="23"/>
      <c r="U23" s="23"/>
      <c r="V23" s="23"/>
      <c r="W23" s="23"/>
      <c r="X23" s="23"/>
    </row>
    <row r="24" spans="2:24">
      <c r="B24" s="28"/>
      <c r="C24" s="47">
        <f>G11*1000</f>
        <v>53584000</v>
      </c>
      <c r="G24" s="16"/>
      <c r="I24" s="16"/>
      <c r="K24" s="16"/>
      <c r="O24" s="23"/>
      <c r="P24" s="23"/>
      <c r="Q24" s="23"/>
      <c r="R24" s="23"/>
      <c r="S24" s="23"/>
      <c r="T24" s="23"/>
      <c r="U24" s="23"/>
      <c r="V24" s="23"/>
      <c r="W24" s="23"/>
      <c r="X24" s="23"/>
    </row>
    <row r="25" spans="2:24">
      <c r="B25" s="28" t="s">
        <v>25</v>
      </c>
      <c r="C25" s="29" t="s">
        <v>35</v>
      </c>
      <c r="G25" s="16"/>
      <c r="I25" s="16"/>
      <c r="K25" s="16"/>
      <c r="O25" s="23"/>
      <c r="P25" s="23"/>
      <c r="Q25" s="23"/>
      <c r="R25" s="23"/>
      <c r="S25" s="23"/>
      <c r="T25" s="23"/>
      <c r="U25" s="23"/>
      <c r="V25" s="23"/>
      <c r="W25" s="23"/>
      <c r="X25" s="23"/>
    </row>
    <row r="26" spans="2:24">
      <c r="B26" s="28"/>
      <c r="C26" s="47">
        <f>(G10-E10)*1000</f>
        <v>12557000</v>
      </c>
      <c r="G26" s="16"/>
      <c r="I26" s="16"/>
      <c r="K26" s="16"/>
      <c r="O26" s="23"/>
      <c r="P26" s="23"/>
      <c r="Q26" s="23"/>
      <c r="R26" s="23"/>
      <c r="S26" s="23"/>
      <c r="T26" s="23"/>
      <c r="U26" s="23"/>
      <c r="V26" s="23"/>
      <c r="W26" s="23"/>
      <c r="X26" s="23"/>
    </row>
    <row r="27" spans="2:24">
      <c r="G27" s="16"/>
      <c r="I27" s="16"/>
      <c r="K27" s="16"/>
      <c r="O27" s="23"/>
      <c r="P27" s="23"/>
      <c r="Q27" s="23"/>
      <c r="R27" s="23"/>
      <c r="S27" s="23"/>
      <c r="T27" s="23"/>
      <c r="U27" s="23"/>
      <c r="V27" s="23"/>
      <c r="W27" s="23"/>
      <c r="X27" s="23"/>
    </row>
    <row r="28" spans="2:24" ht="15.05">
      <c r="B28" s="12" t="s">
        <v>36</v>
      </c>
      <c r="G28" s="16"/>
      <c r="I28" s="16"/>
      <c r="K28" s="16"/>
      <c r="O28" s="23"/>
    </row>
    <row r="29" spans="2:24">
      <c r="C29" s="13"/>
      <c r="D29" s="17"/>
      <c r="E29" s="17"/>
      <c r="F29" s="17"/>
      <c r="G29" s="16"/>
      <c r="I29" s="16"/>
      <c r="K29" s="16"/>
      <c r="L29" s="17"/>
      <c r="M29" s="17"/>
      <c r="N29" s="17"/>
      <c r="O29" s="23"/>
    </row>
    <row r="30" spans="2:24">
      <c r="C30" s="14" t="s">
        <v>17</v>
      </c>
      <c r="D30" s="18" t="str">
        <f t="shared" ref="D30:L30" si="2">D5&amp;"-"&amp;E5</f>
        <v>12-24</v>
      </c>
      <c r="E30" s="18" t="str">
        <f t="shared" si="2"/>
        <v>24-36</v>
      </c>
      <c r="F30" s="18" t="str">
        <f t="shared" si="2"/>
        <v>36-48</v>
      </c>
      <c r="G30" s="18" t="str">
        <f t="shared" si="2"/>
        <v>48-60</v>
      </c>
      <c r="H30" s="18" t="str">
        <f t="shared" si="2"/>
        <v>60-72</v>
      </c>
      <c r="I30" s="18" t="str">
        <f t="shared" si="2"/>
        <v>72-84</v>
      </c>
      <c r="J30" s="18" t="str">
        <f t="shared" si="2"/>
        <v>84-96</v>
      </c>
      <c r="K30" s="18" t="str">
        <f t="shared" si="2"/>
        <v>96-108</v>
      </c>
      <c r="L30" s="18" t="str">
        <f t="shared" si="2"/>
        <v>108-120</v>
      </c>
      <c r="M30" s="18" t="s">
        <v>37</v>
      </c>
      <c r="N30" s="17"/>
    </row>
    <row r="31" spans="2:24">
      <c r="C31" s="13">
        <f t="shared" ref="C31:C39" si="3">C6</f>
        <v>2010</v>
      </c>
      <c r="D31" s="52">
        <f t="shared" ref="D31:L31" si="4">E6/D6</f>
        <v>1.7924915043961378</v>
      </c>
      <c r="E31" s="52">
        <f t="shared" si="4"/>
        <v>1.2055610724925521</v>
      </c>
      <c r="F31" s="52">
        <f t="shared" si="4"/>
        <v>1.0956018171833657</v>
      </c>
      <c r="G31" s="32">
        <f t="shared" si="4"/>
        <v>1.045657523011027</v>
      </c>
      <c r="H31" s="32">
        <f t="shared" si="4"/>
        <v>1.0189341119051769</v>
      </c>
      <c r="I31" s="32">
        <f t="shared" si="4"/>
        <v>1.0097508820699241</v>
      </c>
      <c r="J31" s="32">
        <f t="shared" si="4"/>
        <v>1.0047860062260434</v>
      </c>
      <c r="K31" s="32">
        <f t="shared" si="4"/>
        <v>1.0022973001454254</v>
      </c>
      <c r="L31" s="32">
        <f t="shared" si="4"/>
        <v>1.0018714778366558</v>
      </c>
      <c r="M31" s="52">
        <v>1</v>
      </c>
    </row>
    <row r="32" spans="2:24">
      <c r="C32" s="13">
        <f t="shared" si="3"/>
        <v>2011</v>
      </c>
      <c r="D32" s="52">
        <f t="shared" ref="D32:E39" si="5">E7/D7</f>
        <v>1.7682508574228319</v>
      </c>
      <c r="E32" s="52">
        <f t="shared" si="5"/>
        <v>1.1986422831809365</v>
      </c>
      <c r="F32" s="52">
        <f t="shared" ref="F32:G32" si="6">G7/F7</f>
        <v>1.090154649899443</v>
      </c>
      <c r="G32" s="32">
        <f t="shared" si="6"/>
        <v>1.0434487584554379</v>
      </c>
      <c r="H32" s="32">
        <f t="shared" ref="H32:I32" si="7">I7/H7</f>
        <v>1.0193870915298326</v>
      </c>
      <c r="I32" s="32">
        <f t="shared" si="7"/>
        <v>1.009250029903114</v>
      </c>
      <c r="J32" s="32">
        <f t="shared" ref="J32:K32" si="8">K7/J7</f>
        <v>1.0049974321494883</v>
      </c>
      <c r="K32" s="32">
        <f t="shared" si="8"/>
        <v>1.0023978458696121</v>
      </c>
      <c r="L32" s="16"/>
    </row>
    <row r="33" spans="2:13">
      <c r="C33" s="13">
        <f t="shared" si="3"/>
        <v>2012</v>
      </c>
      <c r="D33" s="52">
        <f t="shared" si="5"/>
        <v>1.7619456624926539</v>
      </c>
      <c r="E33" s="52">
        <f t="shared" si="5"/>
        <v>1.1901939655172413</v>
      </c>
      <c r="F33" s="52">
        <f t="shared" ref="F33:G33" si="9">G8/F8</f>
        <v>1.0899566707624653</v>
      </c>
      <c r="G33" s="32">
        <f t="shared" si="9"/>
        <v>1.0429769392033543</v>
      </c>
      <c r="H33" s="32">
        <f t="shared" ref="H33:I33" si="10">I8/H8</f>
        <v>1.0190575519104959</v>
      </c>
      <c r="I33" s="32">
        <f t="shared" si="10"/>
        <v>1.0101228135467064</v>
      </c>
      <c r="J33" s="32">
        <f t="shared" ref="J33" si="11">K8/J8</f>
        <v>1.0045869869574828</v>
      </c>
      <c r="L33" s="16"/>
    </row>
    <row r="34" spans="2:13">
      <c r="C34" s="13">
        <f t="shared" si="3"/>
        <v>2013</v>
      </c>
      <c r="D34" s="52">
        <f t="shared" si="5"/>
        <v>1.7439109255393179</v>
      </c>
      <c r="E34" s="52">
        <f t="shared" si="5"/>
        <v>1.191340782122905</v>
      </c>
      <c r="F34" s="52">
        <f t="shared" ref="F34:G34" si="12">G9/F9</f>
        <v>1.0905627198124268</v>
      </c>
      <c r="G34" s="32">
        <f t="shared" si="12"/>
        <v>1.0435750758244711</v>
      </c>
      <c r="H34" s="32">
        <f t="shared" ref="H34:I34" si="13">I9/H9</f>
        <v>1.0186704436759619</v>
      </c>
      <c r="I34" s="32">
        <f t="shared" si="13"/>
        <v>1.0090286931869481</v>
      </c>
      <c r="L34" s="16"/>
    </row>
    <row r="35" spans="2:13">
      <c r="C35" s="13">
        <f t="shared" si="3"/>
        <v>2014</v>
      </c>
      <c r="D35" s="52">
        <f t="shared" si="5"/>
        <v>1.7347777362719463</v>
      </c>
      <c r="E35" s="52">
        <f t="shared" si="5"/>
        <v>1.1939898554885635</v>
      </c>
      <c r="F35" s="32">
        <f t="shared" ref="F35:G35" si="14">G10/F10</f>
        <v>1.0891511702468739</v>
      </c>
      <c r="G35" s="32">
        <f t="shared" si="14"/>
        <v>1.0441741946166725</v>
      </c>
      <c r="H35" s="32">
        <f t="shared" ref="H35" si="15">I10/H10</f>
        <v>1.0185537583254043</v>
      </c>
      <c r="I35" s="16"/>
      <c r="J35" s="16"/>
      <c r="K35" s="16"/>
    </row>
    <row r="36" spans="2:13">
      <c r="C36" s="13">
        <f t="shared" si="3"/>
        <v>2015</v>
      </c>
      <c r="D36" s="52">
        <f t="shared" si="5"/>
        <v>1.7189420362066101</v>
      </c>
      <c r="E36" s="32">
        <f t="shared" si="5"/>
        <v>1.1852943307809367</v>
      </c>
      <c r="F36" s="32">
        <f t="shared" ref="F36:G36" si="16">G11/F11</f>
        <v>1.091991033217852</v>
      </c>
      <c r="G36" s="32">
        <f t="shared" si="16"/>
        <v>1.0437817258883249</v>
      </c>
      <c r="H36" s="16"/>
      <c r="I36" s="16"/>
      <c r="K36" s="16"/>
      <c r="L36" s="16"/>
    </row>
    <row r="37" spans="2:13">
      <c r="C37" s="13">
        <f t="shared" si="3"/>
        <v>2016</v>
      </c>
      <c r="D37" s="32">
        <f t="shared" si="5"/>
        <v>1.7025030775543701</v>
      </c>
      <c r="E37" s="32">
        <f t="shared" si="5"/>
        <v>1.1867196914919258</v>
      </c>
      <c r="F37" s="32">
        <f t="shared" ref="F37" si="17">G12/F12</f>
        <v>1.0921664601823831</v>
      </c>
      <c r="G37" s="16"/>
      <c r="H37" s="16"/>
      <c r="I37" s="16"/>
      <c r="J37" s="16"/>
      <c r="K37" s="16"/>
      <c r="L37" s="16"/>
    </row>
    <row r="38" spans="2:13">
      <c r="C38" s="13">
        <f t="shared" si="3"/>
        <v>2017</v>
      </c>
      <c r="D38" s="32">
        <f t="shared" si="5"/>
        <v>1.7012469622724193</v>
      </c>
      <c r="E38" s="32">
        <f t="shared" si="5"/>
        <v>1.1860056670491534</v>
      </c>
      <c r="F38" s="16"/>
      <c r="G38" s="16"/>
      <c r="H38" s="16"/>
      <c r="I38" s="16"/>
      <c r="J38" s="16"/>
      <c r="K38" s="16"/>
      <c r="L38" s="16"/>
    </row>
    <row r="39" spans="2:13">
      <c r="C39" s="13">
        <f t="shared" si="3"/>
        <v>2018</v>
      </c>
      <c r="D39" s="32">
        <f t="shared" si="5"/>
        <v>1.7027997969463859</v>
      </c>
      <c r="F39" s="16"/>
      <c r="G39" s="16"/>
      <c r="H39" s="16"/>
      <c r="I39" s="16"/>
      <c r="J39" s="16"/>
      <c r="K39" s="16"/>
      <c r="L39" s="16"/>
    </row>
    <row r="40" spans="2:13">
      <c r="C40" s="13"/>
    </row>
    <row r="42" spans="2:13">
      <c r="C42" s="11" t="s">
        <v>38</v>
      </c>
      <c r="D42" s="53">
        <f>AVERAGE(D37:D39)</f>
        <v>1.7021832789243918</v>
      </c>
      <c r="E42" s="53">
        <f>AVERAGE(E36:E38)</f>
        <v>1.1860065631073387</v>
      </c>
      <c r="F42" s="33">
        <f>AVERAGE(F35:F37)</f>
        <v>1.0911028878823696</v>
      </c>
      <c r="G42" s="33">
        <f>AVERAGE(G34:G36)</f>
        <v>1.0438436654431562</v>
      </c>
      <c r="H42" s="33">
        <f>AVERAGE(H33:H35)</f>
        <v>1.0187605846372874</v>
      </c>
      <c r="I42" s="33">
        <f>AVERAGE(I32:I34)</f>
        <v>1.0094671788789229</v>
      </c>
      <c r="J42" s="33">
        <f>AVERAGE(J31:J33)</f>
        <v>1.0047901417776715</v>
      </c>
    </row>
    <row r="43" spans="2:13">
      <c r="C43" s="11" t="s">
        <v>39</v>
      </c>
      <c r="D43" s="53">
        <f>SUM(E12:E14)/SUM(D12:D14)</f>
        <v>1.702184336707512</v>
      </c>
      <c r="E43" s="53">
        <f>SUM(F11:F13)/SUM(E11:E13)</f>
        <v>1.1860070705140455</v>
      </c>
      <c r="F43" s="33">
        <f>SUM(G10:G12)/SUM(F10:F12)</f>
        <v>1.0910931037507337</v>
      </c>
      <c r="G43" s="33">
        <f>SUM(H9:H11)/SUM(G9:G11)</f>
        <v>1.0438477544975662</v>
      </c>
      <c r="H43" s="33">
        <f>SUM(I8:I10)/SUM(H8:H10)</f>
        <v>1.0187546154174778</v>
      </c>
      <c r="I43" s="33">
        <f>SUM(J7:J9)/SUM(I7:I9)</f>
        <v>1.0094675447793522</v>
      </c>
      <c r="J43" s="33">
        <f>SUM(K6:K8)/SUM(J6:J8)</f>
        <v>1.0047853494685501</v>
      </c>
    </row>
    <row r="44" spans="2:13">
      <c r="C44" s="11" t="s">
        <v>40</v>
      </c>
      <c r="D44" s="53">
        <f>D42</f>
        <v>1.7021832789243918</v>
      </c>
      <c r="E44" s="53">
        <f t="shared" ref="E44:J44" si="18">E42</f>
        <v>1.1860065631073387</v>
      </c>
      <c r="F44" s="53">
        <f t="shared" si="18"/>
        <v>1.0911028878823696</v>
      </c>
      <c r="G44" s="53">
        <f t="shared" si="18"/>
        <v>1.0438436654431562</v>
      </c>
      <c r="H44" s="53">
        <f t="shared" si="18"/>
        <v>1.0187605846372874</v>
      </c>
      <c r="I44" s="53">
        <f t="shared" si="18"/>
        <v>1.0094671788789229</v>
      </c>
      <c r="J44" s="53">
        <f t="shared" si="18"/>
        <v>1.0047901417776715</v>
      </c>
      <c r="K44" s="53">
        <v>1</v>
      </c>
      <c r="L44" s="53">
        <v>1</v>
      </c>
      <c r="M44" s="52">
        <v>1</v>
      </c>
    </row>
    <row r="45" spans="2:13">
      <c r="D45" s="23"/>
      <c r="E45" s="23"/>
      <c r="F45" s="23"/>
      <c r="G45" s="23"/>
      <c r="H45" s="23"/>
      <c r="I45" s="23"/>
      <c r="J45" s="23"/>
      <c r="K45" s="23"/>
      <c r="L45" s="23"/>
      <c r="M45" s="26"/>
    </row>
    <row r="46" spans="2:13">
      <c r="B46" s="29" t="s">
        <v>27</v>
      </c>
      <c r="C46" s="29" t="s">
        <v>41</v>
      </c>
      <c r="D46" s="23"/>
      <c r="E46" s="23"/>
      <c r="F46" s="23"/>
      <c r="G46" s="23"/>
      <c r="H46" s="23"/>
      <c r="I46" s="23"/>
      <c r="J46" s="23"/>
      <c r="K46" s="23"/>
      <c r="L46" s="23"/>
      <c r="M46" s="26"/>
    </row>
    <row r="47" spans="2:13">
      <c r="B47" s="29"/>
      <c r="C47" s="29" t="s">
        <v>42</v>
      </c>
      <c r="D47" s="23"/>
      <c r="E47" s="23"/>
      <c r="F47" s="23"/>
      <c r="G47" s="23"/>
      <c r="H47" s="23"/>
      <c r="I47" s="23"/>
      <c r="J47" s="23"/>
      <c r="K47" s="23"/>
      <c r="L47" s="23"/>
      <c r="M47" s="26"/>
    </row>
    <row r="48" spans="2:13" ht="15.05">
      <c r="B48" s="29"/>
      <c r="C48" s="50" t="s">
        <v>43</v>
      </c>
      <c r="D48" s="43"/>
      <c r="E48" s="43"/>
      <c r="F48" s="43"/>
      <c r="G48" s="43"/>
      <c r="H48" s="43"/>
      <c r="I48" s="43"/>
      <c r="J48" s="43"/>
      <c r="K48" s="23"/>
      <c r="L48" s="23"/>
      <c r="M48" s="26"/>
    </row>
    <row r="49" spans="2:13">
      <c r="B49" s="29"/>
      <c r="C49" s="29"/>
      <c r="D49" s="23"/>
      <c r="E49" s="23"/>
      <c r="F49" s="23"/>
      <c r="G49" s="23"/>
      <c r="H49" s="23"/>
      <c r="I49" s="23"/>
      <c r="J49" s="23"/>
      <c r="K49" s="23"/>
      <c r="L49" s="23"/>
      <c r="M49" s="26"/>
    </row>
    <row r="50" spans="2:13">
      <c r="B50" s="29" t="s">
        <v>44</v>
      </c>
      <c r="C50" s="29" t="s">
        <v>45</v>
      </c>
      <c r="D50" s="23"/>
      <c r="E50" s="23"/>
      <c r="F50" s="23"/>
      <c r="G50" s="23"/>
      <c r="H50" s="23"/>
      <c r="I50" s="23"/>
      <c r="J50" s="23"/>
      <c r="K50" s="23"/>
      <c r="L50" s="23"/>
      <c r="M50" s="26"/>
    </row>
    <row r="51" spans="2:13">
      <c r="B51" s="29"/>
      <c r="C51" s="33">
        <f>D35</f>
        <v>1.7347777362719463</v>
      </c>
      <c r="D51" s="23"/>
      <c r="E51" s="23"/>
      <c r="F51" s="23"/>
      <c r="G51" s="23"/>
      <c r="H51" s="23"/>
      <c r="I51" s="23"/>
      <c r="J51" s="23"/>
      <c r="K51" s="23"/>
      <c r="L51" s="23"/>
      <c r="M51" s="26"/>
    </row>
    <row r="52" spans="2:13">
      <c r="B52" s="29" t="s">
        <v>46</v>
      </c>
      <c r="C52" s="29" t="s">
        <v>47</v>
      </c>
      <c r="D52" s="23"/>
      <c r="E52" s="23"/>
      <c r="F52" s="23"/>
      <c r="G52" s="23"/>
      <c r="H52" s="23"/>
      <c r="I52" s="23"/>
      <c r="J52" s="23"/>
      <c r="K52" s="23"/>
      <c r="L52" s="23"/>
      <c r="M52" s="26"/>
    </row>
    <row r="53" spans="2:13">
      <c r="B53" s="29"/>
      <c r="C53" s="33">
        <f>E32</f>
        <v>1.1986422831809365</v>
      </c>
      <c r="D53" s="23"/>
      <c r="E53" s="23"/>
      <c r="F53" s="23"/>
      <c r="G53" s="23"/>
      <c r="H53" s="23"/>
      <c r="I53" s="23"/>
      <c r="J53" s="23"/>
      <c r="K53" s="23"/>
      <c r="L53" s="23"/>
      <c r="M53" s="26"/>
    </row>
    <row r="54" spans="2:13">
      <c r="B54" s="29" t="s">
        <v>48</v>
      </c>
      <c r="C54" s="29" t="s">
        <v>49</v>
      </c>
      <c r="D54" s="23"/>
      <c r="E54" s="23"/>
      <c r="F54" s="23"/>
      <c r="G54" s="23"/>
      <c r="H54" s="23"/>
      <c r="I54" s="23"/>
      <c r="J54" s="23"/>
      <c r="K54" s="23"/>
      <c r="L54" s="23"/>
      <c r="M54" s="26"/>
    </row>
    <row r="55" spans="2:13">
      <c r="B55" s="29"/>
      <c r="C55" s="29" t="s">
        <v>50</v>
      </c>
      <c r="D55" s="23"/>
      <c r="E55" s="23"/>
      <c r="F55" s="23"/>
      <c r="G55" s="23"/>
      <c r="H55" s="23"/>
      <c r="I55" s="23"/>
      <c r="J55" s="23"/>
      <c r="K55" s="23"/>
      <c r="L55" s="23"/>
      <c r="M55" s="26"/>
    </row>
    <row r="56" spans="2:13" ht="15.05">
      <c r="B56" s="29"/>
      <c r="C56" s="50" t="s">
        <v>51</v>
      </c>
      <c r="D56" s="23"/>
      <c r="E56" s="23"/>
      <c r="F56" s="23"/>
      <c r="G56" s="23"/>
      <c r="H56" s="23"/>
      <c r="I56" s="23"/>
      <c r="J56" s="23"/>
      <c r="K56" s="23"/>
      <c r="L56" s="23"/>
      <c r="M56" s="26"/>
    </row>
    <row r="57" spans="2:13">
      <c r="B57" s="29"/>
      <c r="C57" s="29"/>
      <c r="D57" s="23"/>
      <c r="E57" s="23"/>
      <c r="F57" s="23"/>
      <c r="G57" s="23"/>
      <c r="H57" s="23"/>
      <c r="I57" s="23"/>
      <c r="J57" s="23"/>
      <c r="K57" s="23"/>
      <c r="L57" s="23"/>
      <c r="M57" s="26"/>
    </row>
    <row r="58" spans="2:13">
      <c r="B58" s="29" t="s">
        <v>52</v>
      </c>
      <c r="C58" s="29" t="s">
        <v>53</v>
      </c>
      <c r="D58" s="23"/>
      <c r="E58" s="23"/>
      <c r="F58" s="23"/>
      <c r="G58" s="23"/>
      <c r="H58" s="23"/>
      <c r="I58" s="23"/>
      <c r="J58" s="23"/>
      <c r="K58" s="23"/>
      <c r="L58" s="23"/>
      <c r="M58" s="26"/>
    </row>
    <row r="59" spans="2:13">
      <c r="B59" s="29"/>
      <c r="C59" s="33">
        <f>F42</f>
        <v>1.0911028878823696</v>
      </c>
      <c r="D59" s="23"/>
      <c r="E59" s="23"/>
      <c r="F59" s="23"/>
      <c r="G59" s="23"/>
      <c r="H59" s="23"/>
      <c r="I59" s="23"/>
      <c r="J59" s="23"/>
      <c r="K59" s="23"/>
      <c r="L59" s="23"/>
      <c r="M59" s="26"/>
    </row>
    <row r="60" spans="2:13">
      <c r="B60" s="29" t="s">
        <v>54</v>
      </c>
      <c r="C60" s="29" t="s">
        <v>55</v>
      </c>
      <c r="D60" s="23"/>
      <c r="E60" s="23"/>
      <c r="F60" s="23"/>
      <c r="G60" s="23"/>
      <c r="H60" s="23"/>
      <c r="I60" s="23"/>
      <c r="J60" s="23"/>
      <c r="K60" s="23"/>
      <c r="L60" s="23"/>
      <c r="M60" s="26"/>
    </row>
    <row r="61" spans="2:13">
      <c r="B61" s="29"/>
      <c r="C61" s="29" t="s">
        <v>56</v>
      </c>
      <c r="D61" s="23"/>
      <c r="E61" s="23"/>
      <c r="F61" s="23"/>
      <c r="G61" s="23"/>
      <c r="H61" s="23"/>
      <c r="I61" s="23"/>
      <c r="J61" s="23"/>
      <c r="K61" s="23"/>
      <c r="L61" s="23"/>
      <c r="M61" s="26"/>
    </row>
    <row r="62" spans="2:13">
      <c r="B62" s="29"/>
      <c r="C62" s="29" t="s">
        <v>57</v>
      </c>
      <c r="D62" s="23"/>
      <c r="E62" s="23"/>
      <c r="F62" s="23"/>
      <c r="G62" s="23"/>
      <c r="H62" s="23"/>
      <c r="I62" s="23"/>
      <c r="J62" s="23"/>
      <c r="K62" s="23"/>
      <c r="L62" s="23"/>
      <c r="M62" s="26"/>
    </row>
    <row r="63" spans="2:13" ht="15.05">
      <c r="B63" s="29"/>
      <c r="C63" s="50" t="s">
        <v>58</v>
      </c>
      <c r="D63" s="23"/>
      <c r="E63" s="23"/>
      <c r="F63" s="23"/>
      <c r="G63" s="23"/>
      <c r="H63" s="23"/>
      <c r="I63" s="23"/>
      <c r="J63" s="23"/>
      <c r="K63" s="23"/>
      <c r="L63" s="23"/>
      <c r="M63" s="26"/>
    </row>
    <row r="64" spans="2:13">
      <c r="B64" s="29"/>
      <c r="C64" s="29"/>
      <c r="D64" s="23"/>
      <c r="E64" s="23"/>
      <c r="F64" s="23"/>
      <c r="G64" s="23"/>
      <c r="H64" s="23"/>
      <c r="I64" s="23"/>
      <c r="J64" s="23"/>
      <c r="K64" s="23"/>
      <c r="L64" s="23"/>
      <c r="M64" s="26"/>
    </row>
    <row r="65" spans="2:13">
      <c r="B65" s="29" t="s">
        <v>59</v>
      </c>
      <c r="C65" s="29" t="s">
        <v>60</v>
      </c>
      <c r="D65" s="23"/>
      <c r="E65" s="23"/>
      <c r="F65" s="23"/>
      <c r="G65" s="23"/>
      <c r="H65" s="23"/>
      <c r="I65" s="23"/>
      <c r="J65" s="23"/>
      <c r="K65" s="23"/>
      <c r="L65" s="23"/>
      <c r="M65" s="26"/>
    </row>
    <row r="66" spans="2:13">
      <c r="B66" s="29"/>
      <c r="C66" s="33">
        <f>E43</f>
        <v>1.1860070705140455</v>
      </c>
      <c r="D66" s="23"/>
      <c r="E66" s="23"/>
      <c r="F66" s="23"/>
      <c r="G66" s="23"/>
      <c r="H66" s="23"/>
      <c r="I66" s="23"/>
      <c r="J66" s="23"/>
      <c r="K66" s="23"/>
      <c r="L66" s="23"/>
      <c r="M66" s="26"/>
    </row>
    <row r="67" spans="2:13">
      <c r="B67" s="29" t="s">
        <v>61</v>
      </c>
      <c r="C67" s="29" t="s">
        <v>62</v>
      </c>
      <c r="D67" s="23"/>
      <c r="E67" s="23"/>
      <c r="F67" s="23"/>
      <c r="G67" s="23"/>
      <c r="H67" s="23"/>
      <c r="I67" s="23"/>
      <c r="J67" s="23"/>
      <c r="K67" s="23"/>
      <c r="L67" s="23"/>
      <c r="M67" s="26"/>
    </row>
    <row r="68" spans="2:13">
      <c r="B68" s="29"/>
      <c r="C68" s="29"/>
      <c r="D68" s="23"/>
      <c r="E68" s="23"/>
      <c r="F68" s="23"/>
      <c r="G68" s="23"/>
      <c r="H68" s="23"/>
      <c r="I68" s="23"/>
      <c r="J68" s="23"/>
      <c r="K68" s="23"/>
      <c r="L68" s="23"/>
      <c r="M68" s="26"/>
    </row>
    <row r="69" spans="2:13">
      <c r="B69" s="29"/>
      <c r="C69" s="27"/>
      <c r="D69" s="23"/>
      <c r="E69" s="23"/>
      <c r="F69" s="23"/>
      <c r="G69" s="23"/>
      <c r="H69" s="23"/>
      <c r="I69" s="23"/>
      <c r="J69" s="23"/>
      <c r="K69" s="23"/>
      <c r="L69" s="23"/>
      <c r="M69" s="26"/>
    </row>
    <row r="70" spans="2:13" ht="15.05">
      <c r="B70" s="12" t="s">
        <v>63</v>
      </c>
    </row>
    <row r="71" spans="2:13">
      <c r="D71" s="18" t="str">
        <f t="shared" ref="D71:L71" si="19">D5&amp;"-"&amp;"Ult."</f>
        <v>12-Ult.</v>
      </c>
      <c r="E71" s="18" t="str">
        <f t="shared" si="19"/>
        <v>24-Ult.</v>
      </c>
      <c r="F71" s="18" t="str">
        <f t="shared" si="19"/>
        <v>36-Ult.</v>
      </c>
      <c r="G71" s="18" t="str">
        <f t="shared" si="19"/>
        <v>48-Ult.</v>
      </c>
      <c r="H71" s="18" t="str">
        <f t="shared" si="19"/>
        <v>60-Ult.</v>
      </c>
      <c r="I71" s="18" t="str">
        <f t="shared" si="19"/>
        <v>72-Ult.</v>
      </c>
      <c r="J71" s="18" t="str">
        <f t="shared" si="19"/>
        <v>84-Ult.</v>
      </c>
      <c r="K71" s="18" t="str">
        <f t="shared" si="19"/>
        <v>96-Ult.</v>
      </c>
      <c r="L71" s="18" t="str">
        <f t="shared" si="19"/>
        <v>108-Ult.</v>
      </c>
      <c r="M71" s="18" t="s">
        <v>37</v>
      </c>
    </row>
    <row r="72" spans="2:13">
      <c r="C72" s="11" t="s">
        <v>40</v>
      </c>
      <c r="D72" s="32">
        <f>PRODUCT(D44:$M$44)</f>
        <v>2.3759334955159224</v>
      </c>
      <c r="E72" s="32">
        <f>PRODUCT(E44:$M$44)</f>
        <v>1.3958153184404871</v>
      </c>
      <c r="F72" s="32">
        <f>PRODUCT(F44:$M$44)</f>
        <v>1.1769035365061129</v>
      </c>
      <c r="G72" s="52">
        <f>PRODUCT(G44:$M$44)</f>
        <v>1.0786366249935113</v>
      </c>
      <c r="H72" s="32">
        <f>PRODUCT(H44:$M$44)</f>
        <v>1.0333315808699992</v>
      </c>
      <c r="I72" s="32">
        <f>PRODUCT(I44:$M$44)</f>
        <v>1.014302669785659</v>
      </c>
      <c r="J72" s="32">
        <f>PRODUCT(J44:$M$44)</f>
        <v>1.0047901417776715</v>
      </c>
      <c r="K72" s="32">
        <f>PRODUCT(K44:$M$44)</f>
        <v>1</v>
      </c>
      <c r="L72" s="32">
        <f>PRODUCT(L44:$M$44)</f>
        <v>1</v>
      </c>
      <c r="M72" s="32">
        <f>PRODUCT(M44:$M$44)</f>
        <v>1</v>
      </c>
    </row>
    <row r="74" spans="2:13">
      <c r="B74" s="29" t="s">
        <v>64</v>
      </c>
      <c r="C74" s="29" t="s">
        <v>65</v>
      </c>
    </row>
    <row r="75" spans="2:13">
      <c r="B75" s="28"/>
      <c r="C75" s="29" t="s">
        <v>66</v>
      </c>
    </row>
    <row r="76" spans="2:13" ht="15.05">
      <c r="B76" s="2"/>
      <c r="C76" s="50" t="s">
        <v>67</v>
      </c>
    </row>
    <row r="77" spans="2:13">
      <c r="B77" s="2"/>
    </row>
    <row r="78" spans="2:13">
      <c r="B78" s="28" t="s">
        <v>68</v>
      </c>
      <c r="C78" s="29" t="s">
        <v>69</v>
      </c>
    </row>
    <row r="79" spans="2:13">
      <c r="B79" s="2"/>
      <c r="C79" s="33">
        <f>F72</f>
        <v>1.1769035365061129</v>
      </c>
    </row>
  </sheetData>
  <pageMargins left="0.7" right="0.7" top="0.5" bottom="0.25" header="0.3" footer="0.3"/>
  <pageSetup orientation="landscape" r:id="rId1"/>
  <ignoredErrors>
    <ignoredError sqref="L7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31"/>
  <sheetViews>
    <sheetView workbookViewId="0">
      <selection activeCell="J17" sqref="J17"/>
    </sheetView>
  </sheetViews>
  <sheetFormatPr defaultColWidth="8.88671875" defaultRowHeight="14.4"/>
  <cols>
    <col min="1" max="1" width="8.88671875" style="11"/>
    <col min="2" max="2" width="2.6640625" style="11" customWidth="1"/>
    <col min="3" max="3" width="12.33203125" style="11" bestFit="1" customWidth="1"/>
    <col min="4" max="4" width="8.88671875" style="11"/>
    <col min="5" max="5" width="11" style="11" bestFit="1" customWidth="1"/>
    <col min="6" max="13" width="10" style="11" customWidth="1"/>
    <col min="14" max="16384" width="8.88671875" style="11"/>
  </cols>
  <sheetData>
    <row r="1" spans="2:17">
      <c r="B1" s="10" t="s">
        <v>70</v>
      </c>
    </row>
    <row r="3" spans="2:17">
      <c r="C3" s="13"/>
      <c r="D3" s="13" t="s">
        <v>71</v>
      </c>
      <c r="F3" s="13" t="s">
        <v>72</v>
      </c>
      <c r="G3" s="13" t="s">
        <v>73</v>
      </c>
    </row>
    <row r="4" spans="2:17">
      <c r="C4" s="13"/>
      <c r="D4" s="13" t="s">
        <v>74</v>
      </c>
      <c r="E4" s="13" t="s">
        <v>75</v>
      </c>
      <c r="F4" s="13" t="s">
        <v>76</v>
      </c>
      <c r="G4" s="13" t="s">
        <v>77</v>
      </c>
    </row>
    <row r="5" spans="2:17">
      <c r="C5" s="13"/>
      <c r="D5" s="13" t="s">
        <v>78</v>
      </c>
      <c r="E5" s="13" t="s">
        <v>79</v>
      </c>
      <c r="F5" s="13" t="s">
        <v>80</v>
      </c>
      <c r="G5" s="13" t="s">
        <v>81</v>
      </c>
    </row>
    <row r="6" spans="2:17">
      <c r="C6" s="13"/>
      <c r="D6" s="13" t="str">
        <f>Valuation_Date</f>
        <v>12/31/19</v>
      </c>
      <c r="E6" s="13" t="s">
        <v>82</v>
      </c>
      <c r="F6" s="13" t="s">
        <v>77</v>
      </c>
      <c r="G6" s="13" t="s">
        <v>83</v>
      </c>
    </row>
    <row r="7" spans="2:17">
      <c r="C7" s="14" t="s">
        <v>17</v>
      </c>
      <c r="D7" s="19" t="s">
        <v>84</v>
      </c>
      <c r="E7" s="19">
        <v>43830</v>
      </c>
      <c r="F7" s="20" t="s">
        <v>85</v>
      </c>
      <c r="G7" s="20" t="s">
        <v>86</v>
      </c>
    </row>
    <row r="8" spans="2:17">
      <c r="C8" s="13">
        <f t="shared" ref="C8:C15" si="0">C9-1</f>
        <v>2010</v>
      </c>
      <c r="D8" s="13">
        <f t="shared" ref="D8:D15" si="1">D9+12</f>
        <v>120</v>
      </c>
      <c r="E8" s="51">
        <f>'2. Cumulative Paid'!M6</f>
        <v>47645</v>
      </c>
      <c r="F8" s="52">
        <f>'2. Cumulative Paid'!M72</f>
        <v>1</v>
      </c>
      <c r="G8" s="51">
        <f>E8*F8</f>
        <v>47645</v>
      </c>
      <c r="N8" s="17"/>
      <c r="O8" s="17"/>
      <c r="Q8" s="17"/>
    </row>
    <row r="9" spans="2:17">
      <c r="C9" s="13">
        <f t="shared" si="0"/>
        <v>2011</v>
      </c>
      <c r="D9" s="13">
        <f t="shared" si="1"/>
        <v>108</v>
      </c>
      <c r="E9" s="51">
        <f>'2. Cumulative Paid'!L7</f>
        <v>51001</v>
      </c>
      <c r="F9" s="52">
        <f>'2. Cumulative Paid'!L72</f>
        <v>1</v>
      </c>
      <c r="G9" s="51">
        <f t="shared" ref="G9:G17" si="2">E9*F9</f>
        <v>51001</v>
      </c>
      <c r="N9" s="17"/>
      <c r="O9" s="17"/>
    </row>
    <row r="10" spans="2:17">
      <c r="C10" s="13">
        <f t="shared" si="0"/>
        <v>2012</v>
      </c>
      <c r="D10" s="13">
        <f t="shared" si="1"/>
        <v>96</v>
      </c>
      <c r="E10" s="51">
        <f>'2. Cumulative Paid'!K8</f>
        <v>54533</v>
      </c>
      <c r="F10" s="52">
        <f>'2. Cumulative Paid'!K72</f>
        <v>1</v>
      </c>
      <c r="G10" s="51">
        <f t="shared" si="2"/>
        <v>54533</v>
      </c>
      <c r="N10" s="17"/>
    </row>
    <row r="11" spans="2:17">
      <c r="C11" s="13">
        <f t="shared" si="0"/>
        <v>2013</v>
      </c>
      <c r="D11" s="13">
        <f t="shared" si="1"/>
        <v>84</v>
      </c>
      <c r="E11" s="51">
        <f>'2. Cumulative Paid'!J9</f>
        <v>55879</v>
      </c>
      <c r="F11" s="52">
        <f>'2. Cumulative Paid'!J72</f>
        <v>1.0047901417776715</v>
      </c>
      <c r="G11" s="51">
        <f t="shared" si="2"/>
        <v>56146.668332394504</v>
      </c>
    </row>
    <row r="12" spans="2:17">
      <c r="C12" s="13">
        <f t="shared" si="0"/>
        <v>2014</v>
      </c>
      <c r="D12" s="13">
        <f t="shared" si="1"/>
        <v>72</v>
      </c>
      <c r="E12" s="51">
        <f>'2. Cumulative Paid'!I10</f>
        <v>57807</v>
      </c>
      <c r="F12" s="52">
        <f>'2. Cumulative Paid'!I72</f>
        <v>1.014302669785659</v>
      </c>
      <c r="G12" s="51">
        <f t="shared" si="2"/>
        <v>58633.79443229959</v>
      </c>
    </row>
    <row r="13" spans="2:17">
      <c r="C13" s="13">
        <f t="shared" si="0"/>
        <v>2015</v>
      </c>
      <c r="D13" s="13">
        <f t="shared" si="1"/>
        <v>60</v>
      </c>
      <c r="E13" s="51">
        <f>'2. Cumulative Paid'!H11</f>
        <v>55930</v>
      </c>
      <c r="F13" s="52">
        <f>'2. Cumulative Paid'!H72</f>
        <v>1.0333315808699992</v>
      </c>
      <c r="G13" s="51">
        <f t="shared" si="2"/>
        <v>57794.235318059058</v>
      </c>
    </row>
    <row r="14" spans="2:17">
      <c r="C14" s="13">
        <f t="shared" si="0"/>
        <v>2016</v>
      </c>
      <c r="D14" s="13">
        <f t="shared" si="1"/>
        <v>48</v>
      </c>
      <c r="E14" s="31">
        <f>'2. Cumulative Paid'!G12</f>
        <v>53775</v>
      </c>
      <c r="F14" s="32">
        <f>'2. Cumulative Paid'!G72</f>
        <v>1.0786366249935113</v>
      </c>
      <c r="G14" s="31">
        <f t="shared" si="2"/>
        <v>58003.684509026069</v>
      </c>
    </row>
    <row r="15" spans="2:17">
      <c r="C15" s="13">
        <f t="shared" si="0"/>
        <v>2017</v>
      </c>
      <c r="D15" s="13">
        <f t="shared" si="1"/>
        <v>36</v>
      </c>
      <c r="E15" s="31">
        <f>'2. Cumulative Paid'!F13</f>
        <v>50646</v>
      </c>
      <c r="F15" s="32">
        <f>'2. Cumulative Paid'!F72</f>
        <v>1.1769035365061129</v>
      </c>
      <c r="G15" s="31">
        <f t="shared" si="2"/>
        <v>59605.456509888594</v>
      </c>
    </row>
    <row r="16" spans="2:17">
      <c r="C16" s="13">
        <f>C17-1</f>
        <v>2018</v>
      </c>
      <c r="D16" s="13">
        <f>D17+12</f>
        <v>24</v>
      </c>
      <c r="E16" s="31">
        <f>'2. Cumulative Paid'!E14</f>
        <v>43607</v>
      </c>
      <c r="F16" s="32">
        <f>'2. Cumulative Paid'!E72</f>
        <v>1.3958153184404871</v>
      </c>
      <c r="G16" s="31">
        <f t="shared" si="2"/>
        <v>60867.318591234325</v>
      </c>
    </row>
    <row r="17" spans="2:10" ht="15.05" thickBot="1">
      <c r="C17" s="13">
        <f>current_year-1</f>
        <v>2019</v>
      </c>
      <c r="D17" s="13">
        <v>12</v>
      </c>
      <c r="E17" s="31">
        <f>'2. Cumulative Paid'!D15</f>
        <v>27230</v>
      </c>
      <c r="F17" s="32">
        <f>'2. Cumulative Paid'!D72</f>
        <v>2.3759334955159224</v>
      </c>
      <c r="G17" s="31">
        <f t="shared" si="2"/>
        <v>64696.669082898567</v>
      </c>
    </row>
    <row r="18" spans="2:10" ht="15.05" thickTop="1">
      <c r="C18" s="21"/>
      <c r="D18" s="21"/>
      <c r="E18" s="22"/>
      <c r="F18" s="22"/>
      <c r="G18" s="22"/>
    </row>
    <row r="19" spans="2:10">
      <c r="C19" s="13" t="s">
        <v>87</v>
      </c>
      <c r="E19" s="46">
        <f>SUM(E8:E17)</f>
        <v>498053</v>
      </c>
      <c r="F19" s="36"/>
      <c r="G19" s="46">
        <f>SUM(G8:G17)</f>
        <v>568926.82677580067</v>
      </c>
      <c r="H19" s="16"/>
      <c r="J19" s="16"/>
    </row>
    <row r="21" spans="2:10">
      <c r="B21" s="29" t="s">
        <v>18</v>
      </c>
      <c r="C21" s="29" t="s">
        <v>88</v>
      </c>
    </row>
    <row r="22" spans="2:10" ht="15.05">
      <c r="B22" s="29"/>
      <c r="C22" s="50" t="s">
        <v>89</v>
      </c>
    </row>
    <row r="24" spans="2:10">
      <c r="B24" s="29" t="s">
        <v>21</v>
      </c>
      <c r="C24" s="29" t="s">
        <v>90</v>
      </c>
    </row>
    <row r="25" spans="2:10" ht="15.05">
      <c r="B25" s="29"/>
      <c r="C25" s="50" t="s">
        <v>89</v>
      </c>
    </row>
    <row r="27" spans="2:10">
      <c r="B27" s="29" t="s">
        <v>91</v>
      </c>
      <c r="C27" s="29" t="s">
        <v>92</v>
      </c>
    </row>
    <row r="28" spans="2:10" ht="15.05">
      <c r="B28" s="29"/>
      <c r="C28" s="50" t="s">
        <v>89</v>
      </c>
    </row>
    <row r="30" spans="2:10">
      <c r="B30" s="29" t="s">
        <v>25</v>
      </c>
      <c r="C30" s="29" t="s">
        <v>93</v>
      </c>
    </row>
    <row r="31" spans="2:10">
      <c r="C31" s="47">
        <f>G10*1000</f>
        <v>54533000</v>
      </c>
    </row>
  </sheetData>
  <pageMargins left="0.7" right="0.7" top="0.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BB7E7-812B-4293-8C17-3BBDA22432EA}">
  <dimension ref="A1:U38"/>
  <sheetViews>
    <sheetView workbookViewId="0">
      <selection activeCell="G30" sqref="G30"/>
    </sheetView>
  </sheetViews>
  <sheetFormatPr defaultColWidth="8.88671875" defaultRowHeight="14.4"/>
  <cols>
    <col min="1" max="1" width="8.88671875" style="11"/>
    <col min="2" max="2" width="2.6640625" style="11" customWidth="1"/>
    <col min="3" max="3" width="14.88671875" style="11" customWidth="1"/>
    <col min="4" max="4" width="8.88671875" style="11"/>
    <col min="5" max="5" width="8.6640625" style="11" bestFit="1" customWidth="1"/>
    <col min="6" max="6" width="10.6640625" style="11" customWidth="1"/>
    <col min="7" max="9" width="10" style="11" customWidth="1"/>
    <col min="10" max="10" width="11" style="11" bestFit="1" customWidth="1"/>
    <col min="11" max="17" width="10" style="11" customWidth="1"/>
    <col min="18" max="16384" width="8.88671875" style="11"/>
  </cols>
  <sheetData>
    <row r="1" spans="2:21">
      <c r="B1" s="10" t="s">
        <v>94</v>
      </c>
    </row>
    <row r="3" spans="2:21">
      <c r="C3" s="13"/>
      <c r="D3" s="13" t="s">
        <v>71</v>
      </c>
      <c r="E3" s="13"/>
      <c r="G3" s="13" t="s">
        <v>72</v>
      </c>
      <c r="H3" s="13"/>
      <c r="I3" s="13"/>
      <c r="J3" s="13"/>
      <c r="K3" s="13" t="s">
        <v>73</v>
      </c>
    </row>
    <row r="4" spans="2:21">
      <c r="C4" s="13"/>
      <c r="D4" s="13" t="s">
        <v>74</v>
      </c>
      <c r="E4" s="13"/>
      <c r="F4" s="13"/>
      <c r="G4" s="13" t="s">
        <v>76</v>
      </c>
      <c r="H4" s="13"/>
      <c r="I4" s="13"/>
      <c r="J4" s="13" t="s">
        <v>75</v>
      </c>
      <c r="K4" s="13" t="s">
        <v>77</v>
      </c>
    </row>
    <row r="5" spans="2:21">
      <c r="C5" s="13"/>
      <c r="D5" s="13" t="s">
        <v>78</v>
      </c>
      <c r="E5" s="13"/>
      <c r="F5" s="13"/>
      <c r="G5" s="13" t="s">
        <v>80</v>
      </c>
      <c r="H5" s="13"/>
      <c r="I5" s="13"/>
      <c r="J5" s="13" t="s">
        <v>79</v>
      </c>
      <c r="K5" s="13" t="s">
        <v>81</v>
      </c>
    </row>
    <row r="6" spans="2:21">
      <c r="C6" s="13"/>
      <c r="D6" s="13" t="str">
        <f>Valuation_Date</f>
        <v>12/31/19</v>
      </c>
      <c r="E6" s="13" t="s">
        <v>95</v>
      </c>
      <c r="F6" s="13" t="s">
        <v>96</v>
      </c>
      <c r="G6" s="13" t="s">
        <v>77</v>
      </c>
      <c r="H6" s="13" t="s">
        <v>97</v>
      </c>
      <c r="I6" s="13" t="s">
        <v>97</v>
      </c>
      <c r="J6" s="13" t="s">
        <v>82</v>
      </c>
      <c r="K6" s="13" t="s">
        <v>98</v>
      </c>
      <c r="L6" s="13" t="s">
        <v>99</v>
      </c>
    </row>
    <row r="7" spans="2:21">
      <c r="C7" s="14" t="s">
        <v>17</v>
      </c>
      <c r="D7" s="19" t="s">
        <v>84</v>
      </c>
      <c r="E7" s="19" t="s">
        <v>100</v>
      </c>
      <c r="F7" s="19" t="s">
        <v>101</v>
      </c>
      <c r="G7" s="20" t="s">
        <v>85</v>
      </c>
      <c r="H7" s="20" t="s">
        <v>76</v>
      </c>
      <c r="I7" s="20" t="s">
        <v>102</v>
      </c>
      <c r="J7" s="19">
        <v>43830</v>
      </c>
      <c r="K7" s="20" t="s">
        <v>86</v>
      </c>
      <c r="L7" s="20" t="s">
        <v>103</v>
      </c>
    </row>
    <row r="8" spans="2:21">
      <c r="C8" s="13">
        <f t="shared" ref="C8:C15" si="0">C9-1</f>
        <v>2010</v>
      </c>
      <c r="D8" s="13">
        <f t="shared" ref="D8:D15" si="1">D9+12</f>
        <v>120</v>
      </c>
      <c r="E8" s="35">
        <v>78641</v>
      </c>
      <c r="F8" s="31">
        <f>E8*0.7</f>
        <v>55048.7</v>
      </c>
      <c r="G8" s="52">
        <f>'2. Cumulative Paid'!M72</f>
        <v>1</v>
      </c>
      <c r="H8" s="32">
        <f>1/G8</f>
        <v>1</v>
      </c>
      <c r="I8" s="34">
        <f>1-H8</f>
        <v>0</v>
      </c>
      <c r="J8" s="51">
        <f>'3. Ultimate Paid Dev'!E8</f>
        <v>47645</v>
      </c>
      <c r="K8" s="31">
        <f>J8+F8*I8</f>
        <v>47645</v>
      </c>
      <c r="L8" s="38">
        <f>K8/E8</f>
        <v>0.60585445251204839</v>
      </c>
      <c r="R8" s="17"/>
      <c r="S8" s="17"/>
      <c r="U8" s="17"/>
    </row>
    <row r="9" spans="2:21">
      <c r="C9" s="13">
        <f t="shared" si="0"/>
        <v>2011</v>
      </c>
      <c r="D9" s="13">
        <f t="shared" si="1"/>
        <v>108</v>
      </c>
      <c r="E9" s="35">
        <v>80541</v>
      </c>
      <c r="F9" s="31">
        <f t="shared" ref="F9:F17" si="2">E9*0.7</f>
        <v>56378.7</v>
      </c>
      <c r="G9" s="52">
        <f>'2. Cumulative Paid'!L72</f>
        <v>1</v>
      </c>
      <c r="H9" s="32">
        <f t="shared" ref="H9:H17" si="3">1/G9</f>
        <v>1</v>
      </c>
      <c r="I9" s="34">
        <f t="shared" ref="I9:I17" si="4">1-H9</f>
        <v>0</v>
      </c>
      <c r="J9" s="51">
        <f>'3. Ultimate Paid Dev'!E9</f>
        <v>51001</v>
      </c>
      <c r="K9" s="31">
        <f t="shared" ref="K9:K17" si="5">J9+F9*I9</f>
        <v>51001</v>
      </c>
      <c r="L9" s="38">
        <f t="shared" ref="L9:L17" si="6">K9/E9</f>
        <v>0.63323028022994499</v>
      </c>
      <c r="R9" s="17"/>
      <c r="S9" s="17"/>
    </row>
    <row r="10" spans="2:21">
      <c r="C10" s="13">
        <f t="shared" si="0"/>
        <v>2012</v>
      </c>
      <c r="D10" s="13">
        <f t="shared" si="1"/>
        <v>96</v>
      </c>
      <c r="E10" s="35">
        <v>80032</v>
      </c>
      <c r="F10" s="31">
        <f t="shared" si="2"/>
        <v>56022.399999999994</v>
      </c>
      <c r="G10" s="52">
        <f>'2. Cumulative Paid'!K72</f>
        <v>1</v>
      </c>
      <c r="H10" s="32">
        <f t="shared" si="3"/>
        <v>1</v>
      </c>
      <c r="I10" s="34">
        <f t="shared" si="4"/>
        <v>0</v>
      </c>
      <c r="J10" s="51">
        <f>'3. Ultimate Paid Dev'!E10</f>
        <v>54533</v>
      </c>
      <c r="K10" s="31">
        <f t="shared" si="5"/>
        <v>54533</v>
      </c>
      <c r="L10" s="38">
        <f t="shared" si="6"/>
        <v>0.68138994402239106</v>
      </c>
      <c r="R10" s="17"/>
    </row>
    <row r="11" spans="2:21">
      <c r="C11" s="13">
        <f t="shared" si="0"/>
        <v>2013</v>
      </c>
      <c r="D11" s="13">
        <f t="shared" si="1"/>
        <v>84</v>
      </c>
      <c r="E11" s="35">
        <v>86077</v>
      </c>
      <c r="F11" s="51">
        <f t="shared" si="2"/>
        <v>60253.899999999994</v>
      </c>
      <c r="G11" s="52">
        <f>'2. Cumulative Paid'!J72</f>
        <v>1.0047901417776715</v>
      </c>
      <c r="H11" s="32">
        <f t="shared" si="3"/>
        <v>0.99523269429256467</v>
      </c>
      <c r="I11" s="34">
        <f t="shared" si="4"/>
        <v>4.767305707435332E-3</v>
      </c>
      <c r="J11" s="51">
        <f>'3. Ultimate Paid Dev'!E11</f>
        <v>55879</v>
      </c>
      <c r="K11" s="31">
        <f t="shared" si="5"/>
        <v>56166.248761365241</v>
      </c>
      <c r="L11" s="38">
        <f t="shared" si="6"/>
        <v>0.65251169024670053</v>
      </c>
    </row>
    <row r="12" spans="2:21">
      <c r="C12" s="13">
        <f t="shared" si="0"/>
        <v>2014</v>
      </c>
      <c r="D12" s="13">
        <f t="shared" si="1"/>
        <v>72</v>
      </c>
      <c r="E12" s="35">
        <v>86335</v>
      </c>
      <c r="F12" s="51">
        <f t="shared" si="2"/>
        <v>60434.499999999993</v>
      </c>
      <c r="G12" s="52">
        <f>'2. Cumulative Paid'!I72</f>
        <v>1.014302669785659</v>
      </c>
      <c r="H12" s="32">
        <f t="shared" si="3"/>
        <v>0.98589901198950669</v>
      </c>
      <c r="I12" s="34">
        <f t="shared" si="4"/>
        <v>1.4100988010493309E-2</v>
      </c>
      <c r="J12" s="51">
        <f>'3. Ultimate Paid Dev'!E12</f>
        <v>57807</v>
      </c>
      <c r="K12" s="31">
        <f t="shared" si="5"/>
        <v>58659.186159920158</v>
      </c>
      <c r="L12" s="38">
        <f t="shared" si="6"/>
        <v>0.67943691619760416</v>
      </c>
    </row>
    <row r="13" spans="2:21">
      <c r="C13" s="13">
        <f t="shared" si="0"/>
        <v>2015</v>
      </c>
      <c r="D13" s="13">
        <f t="shared" si="1"/>
        <v>60</v>
      </c>
      <c r="E13" s="35">
        <v>86685</v>
      </c>
      <c r="F13" s="51">
        <f t="shared" si="2"/>
        <v>60679.499999999993</v>
      </c>
      <c r="G13" s="52">
        <f>'2. Cumulative Paid'!H72</f>
        <v>1.0333315808699992</v>
      </c>
      <c r="H13" s="54">
        <f t="shared" si="3"/>
        <v>0.96774357671142097</v>
      </c>
      <c r="I13" s="34">
        <f t="shared" si="4"/>
        <v>3.2256423288579028E-2</v>
      </c>
      <c r="J13" s="51">
        <f>'3. Ultimate Paid Dev'!E13</f>
        <v>55930</v>
      </c>
      <c r="K13" s="31">
        <f t="shared" si="5"/>
        <v>57887.30363693933</v>
      </c>
      <c r="L13" s="38">
        <f t="shared" si="6"/>
        <v>0.66778916348779294</v>
      </c>
    </row>
    <row r="14" spans="2:21">
      <c r="C14" s="13">
        <f t="shared" si="0"/>
        <v>2016</v>
      </c>
      <c r="D14" s="13">
        <f t="shared" si="1"/>
        <v>48</v>
      </c>
      <c r="E14" s="35">
        <v>87087</v>
      </c>
      <c r="F14" s="31">
        <f>E14*0.7</f>
        <v>60960.899999999994</v>
      </c>
      <c r="G14" s="52">
        <f>'2. Cumulative Paid'!G72</f>
        <v>1.0786366249935113</v>
      </c>
      <c r="H14" s="54">
        <f t="shared" si="3"/>
        <v>0.92709627767925606</v>
      </c>
      <c r="I14" s="34">
        <f t="shared" si="4"/>
        <v>7.2903722320743936E-2</v>
      </c>
      <c r="J14" s="51">
        <f>'3. Ultimate Paid Dev'!E14</f>
        <v>53775</v>
      </c>
      <c r="K14" s="31">
        <f t="shared" si="5"/>
        <v>58219.276526022637</v>
      </c>
      <c r="L14" s="38">
        <f t="shared" si="6"/>
        <v>0.6685185679380693</v>
      </c>
    </row>
    <row r="15" spans="2:21">
      <c r="C15" s="13">
        <f t="shared" si="0"/>
        <v>2017</v>
      </c>
      <c r="D15" s="13">
        <f t="shared" si="1"/>
        <v>36</v>
      </c>
      <c r="E15" s="35">
        <v>89015</v>
      </c>
      <c r="F15" s="31">
        <f t="shared" si="2"/>
        <v>62310.499999999993</v>
      </c>
      <c r="G15" s="52">
        <f>'2. Cumulative Paid'!F72</f>
        <v>1.1769035365061129</v>
      </c>
      <c r="H15" s="45">
        <f t="shared" si="3"/>
        <v>0.84968730994615882</v>
      </c>
      <c r="I15" s="54">
        <f t="shared" si="4"/>
        <v>0.15031269005384118</v>
      </c>
      <c r="J15" s="51">
        <f>'3. Ultimate Paid Dev'!E15</f>
        <v>50646</v>
      </c>
      <c r="K15" s="51">
        <f t="shared" si="5"/>
        <v>60012.058873599868</v>
      </c>
      <c r="L15" s="38">
        <f t="shared" si="6"/>
        <v>0.6741791706296677</v>
      </c>
    </row>
    <row r="16" spans="2:21">
      <c r="C16" s="13">
        <f>C17-1</f>
        <v>2018</v>
      </c>
      <c r="D16" s="13">
        <f>D17+12</f>
        <v>24</v>
      </c>
      <c r="E16" s="35">
        <v>88838</v>
      </c>
      <c r="F16" s="31">
        <f t="shared" si="2"/>
        <v>62186.6</v>
      </c>
      <c r="G16" s="52">
        <f>'2. Cumulative Paid'!E72</f>
        <v>1.3958153184404871</v>
      </c>
      <c r="H16" s="32">
        <f t="shared" si="3"/>
        <v>0.71642715679412183</v>
      </c>
      <c r="I16" s="54">
        <f t="shared" si="4"/>
        <v>0.28357284320587817</v>
      </c>
      <c r="J16" s="51">
        <f>'3. Ultimate Paid Dev'!E16</f>
        <v>43607</v>
      </c>
      <c r="K16" s="51">
        <f t="shared" si="5"/>
        <v>61241.430971306661</v>
      </c>
      <c r="L16" s="38">
        <f t="shared" si="6"/>
        <v>0.68936075746084624</v>
      </c>
    </row>
    <row r="17" spans="1:14" ht="15.05" thickBot="1">
      <c r="C17" s="13">
        <f>current_year-1</f>
        <v>2019</v>
      </c>
      <c r="D17" s="13">
        <v>12</v>
      </c>
      <c r="E17" s="35">
        <v>90142</v>
      </c>
      <c r="F17" s="31">
        <f t="shared" si="2"/>
        <v>63099.399999999994</v>
      </c>
      <c r="G17" s="52">
        <f>'2. Cumulative Paid'!D72</f>
        <v>2.3759334955159224</v>
      </c>
      <c r="H17" s="32">
        <f t="shared" si="3"/>
        <v>0.4208872015514285</v>
      </c>
      <c r="I17" s="34">
        <f t="shared" si="4"/>
        <v>0.57911279844857155</v>
      </c>
      <c r="J17" s="51">
        <f>'3. Ultimate Paid Dev'!E17</f>
        <v>27230</v>
      </c>
      <c r="K17" s="51">
        <f t="shared" si="5"/>
        <v>63771.67011442579</v>
      </c>
      <c r="L17" s="39">
        <f t="shared" si="6"/>
        <v>0.70745790102755424</v>
      </c>
      <c r="M17" s="13"/>
    </row>
    <row r="18" spans="1:14" ht="15.05" thickTop="1">
      <c r="C18" s="21"/>
      <c r="D18" s="21"/>
      <c r="E18" s="21"/>
      <c r="F18" s="22"/>
      <c r="G18" s="22"/>
      <c r="H18" s="22"/>
      <c r="I18" s="22"/>
      <c r="J18" s="22"/>
      <c r="K18" s="22"/>
    </row>
    <row r="19" spans="1:14">
      <c r="C19" s="13" t="s">
        <v>87</v>
      </c>
      <c r="F19" s="30"/>
      <c r="K19" s="46">
        <f>SUM(K8:K17)</f>
        <v>569136.17504357977</v>
      </c>
      <c r="L19" s="16"/>
      <c r="N19" s="16"/>
    </row>
    <row r="21" spans="1:14">
      <c r="B21" s="29" t="s">
        <v>18</v>
      </c>
      <c r="C21" s="29" t="s">
        <v>104</v>
      </c>
    </row>
    <row r="22" spans="1:14" ht="15.05">
      <c r="B22" s="29"/>
      <c r="C22" s="50" t="s">
        <v>105</v>
      </c>
    </row>
    <row r="24" spans="1:14">
      <c r="B24" s="29" t="s">
        <v>21</v>
      </c>
      <c r="C24" s="29" t="s">
        <v>106</v>
      </c>
    </row>
    <row r="25" spans="1:14">
      <c r="B25" s="29"/>
      <c r="C25" s="29" t="s">
        <v>107</v>
      </c>
    </row>
    <row r="26" spans="1:14" ht="15.05">
      <c r="B26" s="29"/>
      <c r="C26" s="50" t="s">
        <v>108</v>
      </c>
    </row>
    <row r="27" spans="1:14">
      <c r="C27" s="27"/>
    </row>
    <row r="28" spans="1:14">
      <c r="B28" s="29" t="s">
        <v>23</v>
      </c>
      <c r="C28" s="29" t="s">
        <v>109</v>
      </c>
    </row>
    <row r="29" spans="1:14" ht="15.05">
      <c r="B29" s="29"/>
      <c r="C29" s="50" t="s">
        <v>110</v>
      </c>
    </row>
    <row r="30" spans="1:14">
      <c r="C30" s="27"/>
    </row>
    <row r="31" spans="1:14">
      <c r="B31" s="29" t="s">
        <v>25</v>
      </c>
      <c r="C31" s="29" t="s">
        <v>111</v>
      </c>
    </row>
    <row r="32" spans="1:14">
      <c r="A32" s="36"/>
      <c r="B32" s="36"/>
      <c r="C32" s="29" t="s">
        <v>112</v>
      </c>
      <c r="D32" s="36"/>
      <c r="E32" s="36"/>
      <c r="F32" s="36"/>
      <c r="G32" s="36"/>
      <c r="H32" s="36"/>
      <c r="I32" s="36"/>
      <c r="J32" s="36"/>
      <c r="K32" s="36"/>
      <c r="L32" s="36"/>
    </row>
    <row r="33" spans="1:12" ht="15.05">
      <c r="A33" s="36"/>
      <c r="B33" s="36"/>
      <c r="C33" s="50" t="s">
        <v>113</v>
      </c>
      <c r="D33" s="36"/>
      <c r="E33" s="36"/>
      <c r="F33" s="36"/>
      <c r="G33" s="36"/>
      <c r="H33" s="36"/>
      <c r="I33" s="36"/>
      <c r="J33" s="36"/>
      <c r="K33" s="36"/>
      <c r="L33" s="36"/>
    </row>
    <row r="34" spans="1:12">
      <c r="A34" s="36"/>
      <c r="B34" s="36"/>
      <c r="C34" s="36"/>
      <c r="D34" s="36"/>
      <c r="E34" s="36"/>
      <c r="F34" s="36"/>
      <c r="G34" s="36"/>
      <c r="H34" s="36"/>
      <c r="I34" s="36"/>
      <c r="J34" s="36"/>
      <c r="K34" s="36"/>
      <c r="L34" s="36"/>
    </row>
    <row r="35" spans="1:12">
      <c r="A35" s="36"/>
      <c r="B35" s="29" t="s">
        <v>46</v>
      </c>
      <c r="C35" s="29" t="s">
        <v>114</v>
      </c>
      <c r="D35" s="36"/>
      <c r="E35" s="36"/>
      <c r="F35" s="36"/>
      <c r="G35" s="36"/>
      <c r="H35" s="36"/>
      <c r="I35" s="36"/>
      <c r="J35" s="36"/>
      <c r="K35" s="36"/>
      <c r="L35" s="36"/>
    </row>
    <row r="36" spans="1:12">
      <c r="A36" s="36"/>
      <c r="C36" s="47">
        <f>K14*1000</f>
        <v>58219276.526022635</v>
      </c>
      <c r="D36" s="36"/>
      <c r="E36" s="36"/>
      <c r="F36" s="36"/>
      <c r="G36" s="36"/>
      <c r="H36" s="36"/>
      <c r="I36" s="36"/>
      <c r="J36" s="36"/>
      <c r="K36" s="36"/>
      <c r="L36" s="36"/>
    </row>
    <row r="37" spans="1:12">
      <c r="D37" s="29"/>
    </row>
    <row r="38" spans="1:12">
      <c r="C38" s="30"/>
    </row>
  </sheetData>
  <sortState xmlns:xlrd2="http://schemas.microsoft.com/office/spreadsheetml/2017/richdata2" ref="M8:M17">
    <sortCondition ref="M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34"/>
  <sheetViews>
    <sheetView tabSelected="1" topLeftCell="A19" workbookViewId="0">
      <selection activeCell="C28" sqref="C28"/>
    </sheetView>
  </sheetViews>
  <sheetFormatPr defaultColWidth="8.88671875" defaultRowHeight="14.4"/>
  <cols>
    <col min="1" max="1" width="8.88671875" style="11" customWidth="1"/>
    <col min="2" max="2" width="2.6640625" style="11" customWidth="1"/>
    <col min="3" max="3" width="14.44140625" style="11" bestFit="1" customWidth="1"/>
    <col min="4" max="4" width="10.6640625" style="11" customWidth="1"/>
    <col min="5" max="6" width="10" style="11" customWidth="1"/>
    <col min="7" max="7" width="13.5546875" style="11" customWidth="1"/>
    <col min="8" max="12" width="10" style="11" customWidth="1"/>
    <col min="13" max="16384" width="8.88671875" style="11"/>
  </cols>
  <sheetData>
    <row r="1" spans="2:16">
      <c r="B1" s="10" t="s">
        <v>115</v>
      </c>
    </row>
    <row r="3" spans="2:16">
      <c r="C3" s="13"/>
      <c r="D3" s="13" t="s">
        <v>71</v>
      </c>
      <c r="E3" s="13" t="s">
        <v>73</v>
      </c>
      <c r="F3" s="13" t="s">
        <v>73</v>
      </c>
      <c r="H3" s="13" t="s">
        <v>76</v>
      </c>
      <c r="I3" s="13" t="s">
        <v>116</v>
      </c>
    </row>
    <row r="4" spans="2:16">
      <c r="C4" s="13"/>
      <c r="D4" s="13" t="s">
        <v>74</v>
      </c>
      <c r="E4" s="13" t="s">
        <v>77</v>
      </c>
      <c r="F4" s="13" t="s">
        <v>77</v>
      </c>
      <c r="G4" s="13" t="s">
        <v>73</v>
      </c>
      <c r="H4" s="13" t="s">
        <v>81</v>
      </c>
      <c r="I4" s="13" t="s">
        <v>117</v>
      </c>
    </row>
    <row r="5" spans="2:16">
      <c r="C5" s="13"/>
      <c r="D5" s="13" t="s">
        <v>78</v>
      </c>
      <c r="E5" s="13" t="s">
        <v>81</v>
      </c>
      <c r="F5" s="13" t="s">
        <v>81</v>
      </c>
      <c r="G5" s="13" t="s">
        <v>77</v>
      </c>
      <c r="H5" s="13" t="s">
        <v>79</v>
      </c>
      <c r="I5" s="13" t="s">
        <v>102</v>
      </c>
    </row>
    <row r="6" spans="2:16">
      <c r="C6" s="13"/>
      <c r="D6" s="13" t="str">
        <f>Valuation_Date</f>
        <v>12/31/19</v>
      </c>
      <c r="E6" s="13" t="s">
        <v>83</v>
      </c>
      <c r="F6" s="13" t="s">
        <v>98</v>
      </c>
      <c r="G6" s="13" t="s">
        <v>81</v>
      </c>
      <c r="H6" s="13" t="s">
        <v>82</v>
      </c>
      <c r="I6" s="13" t="s">
        <v>82</v>
      </c>
    </row>
    <row r="7" spans="2:16">
      <c r="C7" s="14" t="s">
        <v>17</v>
      </c>
      <c r="D7" s="19" t="s">
        <v>84</v>
      </c>
      <c r="E7" s="20" t="s">
        <v>86</v>
      </c>
      <c r="F7" s="20" t="s">
        <v>86</v>
      </c>
      <c r="G7" s="20" t="s">
        <v>118</v>
      </c>
      <c r="H7" s="20" t="str">
        <f>Valuation_Date</f>
        <v>12/31/19</v>
      </c>
      <c r="I7" s="20" t="str">
        <f>Valuation_Date</f>
        <v>12/31/19</v>
      </c>
    </row>
    <row r="8" spans="2:16">
      <c r="C8" s="13">
        <f t="shared" ref="C8:C15" si="0">C9-1</f>
        <v>2010</v>
      </c>
      <c r="D8" s="13">
        <f t="shared" ref="D8:D15" si="1">D9+12</f>
        <v>120</v>
      </c>
      <c r="E8" s="51">
        <f>'3. Ultimate Paid Dev'!G8</f>
        <v>47645</v>
      </c>
      <c r="F8" s="51">
        <f>'4. Ultimate Paid BF'!K8</f>
        <v>47645</v>
      </c>
      <c r="G8" s="51">
        <f t="shared" ref="G8:G17" si="2">AVERAGE(E8:F8)</f>
        <v>47645</v>
      </c>
      <c r="H8" s="51">
        <f>'3. Ultimate Paid Dev'!E8</f>
        <v>47645</v>
      </c>
      <c r="I8" s="31">
        <f>G8-H8</f>
        <v>0</v>
      </c>
      <c r="M8" s="17"/>
      <c r="N8" s="17"/>
      <c r="P8" s="17"/>
    </row>
    <row r="9" spans="2:16">
      <c r="C9" s="13">
        <f t="shared" si="0"/>
        <v>2011</v>
      </c>
      <c r="D9" s="13">
        <f t="shared" si="1"/>
        <v>108</v>
      </c>
      <c r="E9" s="51">
        <f>'3. Ultimate Paid Dev'!G9</f>
        <v>51001</v>
      </c>
      <c r="F9" s="51">
        <f>'4. Ultimate Paid BF'!K9</f>
        <v>51001</v>
      </c>
      <c r="G9" s="51">
        <f t="shared" si="2"/>
        <v>51001</v>
      </c>
      <c r="H9" s="51">
        <f>'3. Ultimate Paid Dev'!E9</f>
        <v>51001</v>
      </c>
      <c r="I9" s="31">
        <f t="shared" ref="I9:I17" si="3">G9-H9</f>
        <v>0</v>
      </c>
      <c r="M9" s="17"/>
      <c r="N9" s="17"/>
    </row>
    <row r="10" spans="2:16">
      <c r="C10" s="13">
        <f t="shared" si="0"/>
        <v>2012</v>
      </c>
      <c r="D10" s="13">
        <f t="shared" si="1"/>
        <v>96</v>
      </c>
      <c r="E10" s="51">
        <f>'3. Ultimate Paid Dev'!G10</f>
        <v>54533</v>
      </c>
      <c r="F10" s="51">
        <f>'4. Ultimate Paid BF'!K10</f>
        <v>54533</v>
      </c>
      <c r="G10" s="51">
        <f t="shared" si="2"/>
        <v>54533</v>
      </c>
      <c r="H10" s="51">
        <f>'3. Ultimate Paid Dev'!E10</f>
        <v>54533</v>
      </c>
      <c r="I10" s="31">
        <f t="shared" si="3"/>
        <v>0</v>
      </c>
      <c r="M10" s="17"/>
    </row>
    <row r="11" spans="2:16">
      <c r="C11" s="13">
        <f t="shared" si="0"/>
        <v>2013</v>
      </c>
      <c r="D11" s="13">
        <f t="shared" si="1"/>
        <v>84</v>
      </c>
      <c r="E11" s="51">
        <f>'3. Ultimate Paid Dev'!G11</f>
        <v>56146.668332394504</v>
      </c>
      <c r="F11" s="51">
        <f>'4. Ultimate Paid BF'!K11</f>
        <v>56166.248761365241</v>
      </c>
      <c r="G11" s="51">
        <f t="shared" si="2"/>
        <v>56156.458546879876</v>
      </c>
      <c r="H11" s="51">
        <f>'3. Ultimate Paid Dev'!E11</f>
        <v>55879</v>
      </c>
      <c r="I11" s="31">
        <f t="shared" si="3"/>
        <v>277.45854687987594</v>
      </c>
    </row>
    <row r="12" spans="2:16">
      <c r="C12" s="13">
        <f t="shared" si="0"/>
        <v>2014</v>
      </c>
      <c r="D12" s="13">
        <f t="shared" si="1"/>
        <v>72</v>
      </c>
      <c r="E12" s="51">
        <f>'3. Ultimate Paid Dev'!G12</f>
        <v>58633.79443229959</v>
      </c>
      <c r="F12" s="51">
        <f>'4. Ultimate Paid BF'!K12</f>
        <v>58659.186159920158</v>
      </c>
      <c r="G12" s="51">
        <f t="shared" si="2"/>
        <v>58646.490296109871</v>
      </c>
      <c r="H12" s="51">
        <f>'3. Ultimate Paid Dev'!E12</f>
        <v>57807</v>
      </c>
      <c r="I12" s="31">
        <f t="shared" si="3"/>
        <v>839.49029610987054</v>
      </c>
    </row>
    <row r="13" spans="2:16">
      <c r="C13" s="13">
        <f t="shared" si="0"/>
        <v>2015</v>
      </c>
      <c r="D13" s="13">
        <f t="shared" si="1"/>
        <v>60</v>
      </c>
      <c r="E13" s="51">
        <f>'3. Ultimate Paid Dev'!G13</f>
        <v>57794.235318059058</v>
      </c>
      <c r="F13" s="51">
        <f>'4. Ultimate Paid BF'!K13</f>
        <v>57887.30363693933</v>
      </c>
      <c r="G13" s="51">
        <f t="shared" si="2"/>
        <v>57840.769477499198</v>
      </c>
      <c r="H13" s="51">
        <f>'3. Ultimate Paid Dev'!E13</f>
        <v>55930</v>
      </c>
      <c r="I13" s="31">
        <f t="shared" si="3"/>
        <v>1910.7694774991978</v>
      </c>
    </row>
    <row r="14" spans="2:16">
      <c r="C14" s="13">
        <f t="shared" si="0"/>
        <v>2016</v>
      </c>
      <c r="D14" s="13">
        <f t="shared" si="1"/>
        <v>48</v>
      </c>
      <c r="E14" s="51">
        <f>'3. Ultimate Paid Dev'!G14</f>
        <v>58003.684509026069</v>
      </c>
      <c r="F14" s="51">
        <f>'4. Ultimate Paid BF'!K14</f>
        <v>58219.276526022637</v>
      </c>
      <c r="G14" s="51">
        <f t="shared" si="2"/>
        <v>58111.480517524353</v>
      </c>
      <c r="H14" s="51">
        <f>'3. Ultimate Paid Dev'!E14</f>
        <v>53775</v>
      </c>
      <c r="I14" s="31">
        <f t="shared" si="3"/>
        <v>4336.4805175243528</v>
      </c>
    </row>
    <row r="15" spans="2:16">
      <c r="C15" s="13">
        <f t="shared" si="0"/>
        <v>2017</v>
      </c>
      <c r="D15" s="13">
        <f t="shared" si="1"/>
        <v>36</v>
      </c>
      <c r="E15" s="51">
        <f>'3. Ultimate Paid Dev'!G15</f>
        <v>59605.456509888594</v>
      </c>
      <c r="F15" s="51">
        <f>'4. Ultimate Paid BF'!K15</f>
        <v>60012.058873599868</v>
      </c>
      <c r="G15" s="51">
        <f t="shared" si="2"/>
        <v>59808.757691744235</v>
      </c>
      <c r="H15" s="51">
        <f>'3. Ultimate Paid Dev'!E15</f>
        <v>50646</v>
      </c>
      <c r="I15" s="31">
        <f t="shared" si="3"/>
        <v>9162.7576917442348</v>
      </c>
    </row>
    <row r="16" spans="2:16">
      <c r="C16" s="13">
        <f>C17-1</f>
        <v>2018</v>
      </c>
      <c r="D16" s="13">
        <f>D17+12</f>
        <v>24</v>
      </c>
      <c r="E16" s="51">
        <f>'3. Ultimate Paid Dev'!G16</f>
        <v>60867.318591234325</v>
      </c>
      <c r="F16" s="51">
        <f>'4. Ultimate Paid BF'!K16</f>
        <v>61241.430971306661</v>
      </c>
      <c r="G16" s="51">
        <f t="shared" si="2"/>
        <v>61054.374781270497</v>
      </c>
      <c r="H16" s="51">
        <f>'3. Ultimate Paid Dev'!E16</f>
        <v>43607</v>
      </c>
      <c r="I16" s="31">
        <f t="shared" si="3"/>
        <v>17447.374781270497</v>
      </c>
    </row>
    <row r="17" spans="2:9" ht="15.05" thickBot="1">
      <c r="C17" s="13">
        <f>current_year-1</f>
        <v>2019</v>
      </c>
      <c r="D17" s="13">
        <v>12</v>
      </c>
      <c r="E17" s="51">
        <f>'3. Ultimate Paid Dev'!G17</f>
        <v>64696.669082898567</v>
      </c>
      <c r="F17" s="51">
        <f>'4. Ultimate Paid BF'!K17</f>
        <v>63771.67011442579</v>
      </c>
      <c r="G17" s="51">
        <f t="shared" si="2"/>
        <v>64234.169598662178</v>
      </c>
      <c r="H17" s="51">
        <f>'3. Ultimate Paid Dev'!E17</f>
        <v>27230</v>
      </c>
      <c r="I17" s="31">
        <f t="shared" si="3"/>
        <v>37004.169598662178</v>
      </c>
    </row>
    <row r="18" spans="2:9" ht="15.05" thickTop="1">
      <c r="C18" s="21"/>
      <c r="D18" s="21"/>
      <c r="E18" s="55"/>
      <c r="F18" s="55"/>
      <c r="G18" s="55"/>
      <c r="H18" s="55"/>
      <c r="I18" s="22"/>
    </row>
    <row r="19" spans="2:9">
      <c r="C19" s="13" t="s">
        <v>87</v>
      </c>
      <c r="E19" s="56">
        <f>SUM(E8:E17)</f>
        <v>568926.82677580067</v>
      </c>
      <c r="F19" s="56">
        <f>SUM(F8:F17)</f>
        <v>569136.17504357977</v>
      </c>
      <c r="G19" s="56">
        <f t="shared" ref="G19:I19" si="4">SUM(G8:G17)</f>
        <v>569031.50090969028</v>
      </c>
      <c r="H19" s="56">
        <f t="shared" si="4"/>
        <v>498053</v>
      </c>
      <c r="I19" s="56">
        <f t="shared" si="4"/>
        <v>70978.500909690207</v>
      </c>
    </row>
    <row r="21" spans="2:9">
      <c r="B21" s="29" t="s">
        <v>18</v>
      </c>
      <c r="C21" s="29" t="s">
        <v>119</v>
      </c>
    </row>
    <row r="22" spans="2:9">
      <c r="B22" s="29"/>
      <c r="C22" s="29" t="s">
        <v>120</v>
      </c>
    </row>
    <row r="23" spans="2:9">
      <c r="B23" s="29"/>
      <c r="C23" s="29" t="s">
        <v>121</v>
      </c>
    </row>
    <row r="24" spans="2:9">
      <c r="B24" s="29"/>
      <c r="C24" s="29" t="s">
        <v>122</v>
      </c>
    </row>
    <row r="25" spans="2:9" ht="15.05">
      <c r="B25" s="29"/>
      <c r="C25" s="50" t="s">
        <v>123</v>
      </c>
    </row>
    <row r="27" spans="2:9">
      <c r="B27" s="29" t="s">
        <v>21</v>
      </c>
      <c r="C27" s="29" t="s">
        <v>124</v>
      </c>
    </row>
    <row r="28" spans="2:9">
      <c r="C28" s="47">
        <f>I8*1000</f>
        <v>0</v>
      </c>
    </row>
    <row r="29" spans="2:9">
      <c r="B29" s="29" t="s">
        <v>23</v>
      </c>
      <c r="C29" s="29" t="s">
        <v>125</v>
      </c>
    </row>
    <row r="30" spans="2:9">
      <c r="C30" s="47">
        <f>I19*1000</f>
        <v>70978500.909690201</v>
      </c>
    </row>
    <row r="31" spans="2:9">
      <c r="B31" s="29" t="s">
        <v>25</v>
      </c>
      <c r="C31" s="29" t="s">
        <v>126</v>
      </c>
    </row>
    <row r="32" spans="2:9">
      <c r="C32" s="57" t="s">
        <v>127</v>
      </c>
    </row>
    <row r="33" spans="3:3">
      <c r="C33" s="57" t="s">
        <v>128</v>
      </c>
    </row>
    <row r="34" spans="3:3">
      <c r="C34" s="27" t="s">
        <v>129</v>
      </c>
    </row>
  </sheetData>
  <pageMargins left="0.7" right="0.7" top="0.5" bottom="0.2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D6"/>
  <sheetViews>
    <sheetView workbookViewId="0">
      <selection activeCell="J32" sqref="J32"/>
    </sheetView>
  </sheetViews>
  <sheetFormatPr defaultColWidth="8.88671875" defaultRowHeight="14.4"/>
  <cols>
    <col min="1" max="1" width="3.6640625" style="11" customWidth="1"/>
    <col min="2" max="2" width="8.88671875" style="11"/>
    <col min="3" max="3" width="23.6640625" style="11" customWidth="1"/>
    <col min="4" max="4" width="9.5546875" style="11" bestFit="1" customWidth="1"/>
    <col min="5" max="16384" width="8.88671875" style="11"/>
  </cols>
  <sheetData>
    <row r="3" spans="1:4">
      <c r="A3" s="11" t="s">
        <v>130</v>
      </c>
    </row>
    <row r="4" spans="1:4">
      <c r="B4" s="11" t="s">
        <v>131</v>
      </c>
      <c r="D4" s="25">
        <v>2020</v>
      </c>
    </row>
    <row r="6" spans="1:4">
      <c r="B6" s="11" t="s">
        <v>132</v>
      </c>
      <c r="D6" s="24" t="str">
        <f>"12/31/"&amp;RIGHT(TEXT(current_year-1,"00"),2)</f>
        <v>12/31/19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f5c59bb-fff3-44bb-af19-8c47570356e4">
      <Terms xmlns="http://schemas.microsoft.com/office/infopath/2007/PartnerControls"/>
    </lcf76f155ced4ddcb4097134ff3c332f>
    <TaxCatchAll xmlns="035059a0-d0ab-420a-99f5-7e53cb92e6c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C0D24D4F71A634D91A34F14C517243B" ma:contentTypeVersion="20" ma:contentTypeDescription="Create a new document." ma:contentTypeScope="" ma:versionID="3e3d9dac8518551692c42572236be29c">
  <xsd:schema xmlns:xsd="http://www.w3.org/2001/XMLSchema" xmlns:xs="http://www.w3.org/2001/XMLSchema" xmlns:p="http://schemas.microsoft.com/office/2006/metadata/properties" xmlns:ns1="http://schemas.microsoft.com/sharepoint/v3" xmlns:ns2="1f5c59bb-fff3-44bb-af19-8c47570356e4" xmlns:ns3="7aa30d0e-d5b0-496b-a38f-b8a612c662b7" xmlns:ns4="035059a0-d0ab-420a-99f5-7e53cb92e6c1" targetNamespace="http://schemas.microsoft.com/office/2006/metadata/properties" ma:root="true" ma:fieldsID="0418695ac366c9285c1e97b6c62f2932" ns1:_="" ns2:_="" ns3:_="" ns4:_="">
    <xsd:import namespace="http://schemas.microsoft.com/sharepoint/v3"/>
    <xsd:import namespace="1f5c59bb-fff3-44bb-af19-8c47570356e4"/>
    <xsd:import namespace="7aa30d0e-d5b0-496b-a38f-b8a612c662b7"/>
    <xsd:import namespace="035059a0-d0ab-420a-99f5-7e53cb92e6c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5c59bb-fff3-44bb-af19-8c47570356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0560b896-8886-498a-a042-c3e26b9789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aa30d0e-d5b0-496b-a38f-b8a612c662b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35059a0-d0ab-420a-99f5-7e53cb92e6c1"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3201866-58c0-4721-a452-d4356fe7de4e}" ma:internalName="TaxCatchAll" ma:showField="CatchAllData" ma:web="035059a0-d0ab-420a-99f5-7e53cb92e6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C2B997-694D-4856-98F5-9256C2506A95}">
  <ds:schemaRefs>
    <ds:schemaRef ds:uri="035059a0-d0ab-420a-99f5-7e53cb92e6c1"/>
    <ds:schemaRef ds:uri="7aa30d0e-d5b0-496b-a38f-b8a612c662b7"/>
    <ds:schemaRef ds:uri="http://schemas.microsoft.com/office/2006/metadata/properties"/>
    <ds:schemaRef ds:uri="http://purl.org/dc/elements/1.1/"/>
    <ds:schemaRef ds:uri="1f5c59bb-fff3-44bb-af19-8c47570356e4"/>
    <ds:schemaRef ds:uri="http://schemas.microsoft.com/office/2006/documentManagement/types"/>
    <ds:schemaRef ds:uri="http://www.w3.org/XML/1998/namespace"/>
    <ds:schemaRef ds:uri="http://purl.org/dc/terms/"/>
    <ds:schemaRef ds:uri="http://schemas.microsoft.com/office/infopath/2007/PartnerControls"/>
    <ds:schemaRef ds:uri="http://schemas.openxmlformats.org/package/2006/metadata/core-properties"/>
    <ds:schemaRef ds:uri="http://schemas.microsoft.com/sharepoint/v3"/>
    <ds:schemaRef ds:uri="http://purl.org/dc/dcmitype/"/>
  </ds:schemaRefs>
</ds:datastoreItem>
</file>

<file path=customXml/itemProps2.xml><?xml version="1.0" encoding="utf-8"?>
<ds:datastoreItem xmlns:ds="http://schemas.openxmlformats.org/officeDocument/2006/customXml" ds:itemID="{7B235287-8650-4793-B8D2-F5002C8EDF56}"/>
</file>

<file path=customXml/itemProps3.xml><?xml version="1.0" encoding="utf-8"?>
<ds:datastoreItem xmlns:ds="http://schemas.openxmlformats.org/officeDocument/2006/customXml" ds:itemID="{2F42304F-E355-4096-B6F3-2E28219E5F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Introduction</vt:lpstr>
      <vt:lpstr>1. Incremental Paid</vt:lpstr>
      <vt:lpstr>2. Cumulative Paid</vt:lpstr>
      <vt:lpstr>3. Ultimate Paid Dev</vt:lpstr>
      <vt:lpstr>4. Ultimate Paid BF</vt:lpstr>
      <vt:lpstr>5. Ultimate Selected</vt:lpstr>
      <vt:lpstr>Input</vt:lpstr>
      <vt:lpstr>current_year</vt:lpstr>
      <vt:lpstr>'1. Incremental Paid'!Print_Area</vt:lpstr>
      <vt:lpstr>'2. Cumulative Paid'!Print_Area</vt:lpstr>
      <vt:lpstr>'3. Ultimate Paid Dev'!Print_Area</vt:lpstr>
      <vt:lpstr>'5. Ultimate Selected'!Print_Area</vt:lpstr>
      <vt:lpstr>Valuation_Date</vt:lpstr>
    </vt:vector>
  </TitlesOfParts>
  <Manager/>
  <Company>Bickmore Risk Services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Priven</dc:creator>
  <cp:keywords/>
  <dc:description/>
  <cp:lastModifiedBy>Stephanie Litrenta</cp:lastModifiedBy>
  <cp:revision/>
  <dcterms:created xsi:type="dcterms:W3CDTF">2013-09-03T01:55:23Z</dcterms:created>
  <dcterms:modified xsi:type="dcterms:W3CDTF">2023-06-26T18:58:06Z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0x010100AC0D24D4F71A634D91A34F14C517243B</vt:lpwstr>
  </property>
  <property fmtid="{D5CDD505-2E9C-101B-9397-08002B2CF9AE}" pid="3" name="MediaServiceImageTags">
    <vt:lpwstr/>
  </property>
</Properties>
</file>