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Colvin\Downloads\"/>
    </mc:Choice>
  </mc:AlternateContent>
  <xr:revisionPtr revIDLastSave="0" documentId="13_ncr:1_{F3E0AE2A-19FF-4FCE-B3AF-5506A0008A6F}" xr6:coauthVersionLast="47" xr6:coauthVersionMax="47" xr10:uidLastSave="{00000000-0000-0000-0000-000000000000}"/>
  <bookViews>
    <workbookView xWindow="3420" yWindow="3420" windowWidth="17280" windowHeight="9960" tabRatio="885" xr2:uid="{00000000-000D-0000-FFFF-FFFF00000000}"/>
  </bookViews>
  <sheets>
    <sheet name="Instructions for Workbook" sheetId="1" r:id="rId1"/>
    <sheet name="Inputs" sheetId="13" r:id="rId2"/>
    <sheet name="LR Indication" sheetId="2" r:id="rId3"/>
    <sheet name="Credibility" sheetId="3" r:id="rId4"/>
    <sheet name="Current Rate Level - 1" sheetId="4" r:id="rId5"/>
    <sheet name="CRL - 2 Earned Premium" sheetId="5" r:id="rId6"/>
    <sheet name="CRL 3 - Rate Level Calc EP" sheetId="23" r:id="rId7"/>
    <sheet name="CRL - 4 Written Premium" sheetId="22" r:id="rId8"/>
    <sheet name="CRL 5 - Rate Level Calc WP" sheetId="24" r:id="rId9"/>
    <sheet name="Premium Trend - 1" sheetId="6" r:id="rId10"/>
    <sheet name="Premium Trend - 2" sheetId="15" r:id="rId11"/>
    <sheet name="Premium Trend - 3" sheetId="7" r:id="rId12"/>
    <sheet name="Loss Development" sheetId="8" r:id="rId13"/>
    <sheet name="Loss Trend - 1" sheetId="9" r:id="rId14"/>
    <sheet name="Loss Trend - 2" sheetId="20" r:id="rId15"/>
    <sheet name="Loss Trend - 3" sheetId="19" r:id="rId16"/>
    <sheet name="Loss Trend - 4" sheetId="18" r:id="rId17"/>
    <sheet name="Loss Trend - 5" sheetId="11" r:id="rId18"/>
    <sheet name="ULAE" sheetId="10" r:id="rId19"/>
    <sheet name="Expense" sheetId="12" r:id="rId20"/>
    <sheet name="Indication Numbers" sheetId="25" r:id="rId2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TRUE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mpany">Inputs!$B$9</definedName>
    <definedName name="EffDate">Inputs!$B$6</definedName>
    <definedName name="EvalDate">Inputs!$B$4</definedName>
    <definedName name="EvalMonths">Inputs!$B$5</definedName>
    <definedName name="LatestYear">Inputs!$B$3</definedName>
    <definedName name="LOB">Inputs!$B$10</definedName>
    <definedName name="_xlnm.Print_Area" localSheetId="3">Credibility!$A$2:$D$25</definedName>
    <definedName name="_xlnm.Print_Area" localSheetId="5">'CRL - 2 Earned Premium'!$A$3:$K$22</definedName>
    <definedName name="_xlnm.Print_Area" localSheetId="7">'CRL - 4 Written Premium'!$A$3:$L$41</definedName>
    <definedName name="_xlnm.Print_Area" localSheetId="6">'CRL 3 - Rate Level Calc EP'!$A$3:$AY$46</definedName>
    <definedName name="_xlnm.Print_Area" localSheetId="8">'CRL 5 - Rate Level Calc WP'!$A$1:$AY$23</definedName>
    <definedName name="_xlnm.Print_Area" localSheetId="4">'Current Rate Level - 1'!$A$3:$I$19</definedName>
    <definedName name="_xlnm.Print_Area" localSheetId="19">Expense!$A$1:$I$50</definedName>
    <definedName name="_xlnm.Print_Area" localSheetId="13">'Loss Trend - 1'!$A$2:$H$48</definedName>
    <definedName name="_xlnm.Print_Area" localSheetId="17">'Loss Trend - 5'!$A$4:$H$34</definedName>
    <definedName name="_xlnm.Print_Area" localSheetId="9">'Premium Trend - 1'!$A$2:$H$41</definedName>
    <definedName name="_xlnm.Print_Area" localSheetId="18">ULAE!$A$4:$D$22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315000</definedName>
    <definedName name="RiskHasSettings" hidden="1">6</definedName>
    <definedName name="RiskMinimizeOnStart" hidden="1">TRUE</definedName>
    <definedName name="RiskMonitorConvergence" hidden="1">TRUE</definedName>
    <definedName name="RiskMultipleCPUSupportEnabled" hidden="1">TRUE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tate">Inputs!$B$8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2" l="1"/>
  <c r="G42" i="12"/>
  <c r="F42" i="12"/>
  <c r="E42" i="12"/>
  <c r="G26" i="12"/>
  <c r="F26" i="12"/>
  <c r="E26" i="12"/>
  <c r="D11" i="4" l="1"/>
  <c r="D12" i="4"/>
  <c r="D13" i="4"/>
  <c r="D14" i="4"/>
  <c r="D15" i="4"/>
  <c r="D16" i="4"/>
  <c r="C7" i="3" l="1"/>
  <c r="G41" i="12" l="1"/>
  <c r="F41" i="12"/>
  <c r="E41" i="12"/>
  <c r="E34" i="12"/>
  <c r="G34" i="12"/>
  <c r="F34" i="12"/>
  <c r="E33" i="12"/>
  <c r="A4" i="24" l="1"/>
  <c r="A3" i="24"/>
  <c r="A2" i="24"/>
  <c r="C9" i="3" l="1"/>
  <c r="F10" i="6" l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9" i="6"/>
  <c r="G15" i="2"/>
  <c r="G14" i="2"/>
  <c r="G13" i="2"/>
  <c r="G12" i="2"/>
  <c r="G11" i="2"/>
  <c r="I10" i="25"/>
  <c r="B16" i="4" s="1"/>
  <c r="I9" i="25"/>
  <c r="B15" i="4" s="1"/>
  <c r="I8" i="25"/>
  <c r="B14" i="4" s="1"/>
  <c r="I7" i="25"/>
  <c r="B13" i="4" s="1"/>
  <c r="I6" i="25"/>
  <c r="B12" i="4" s="1"/>
  <c r="I5" i="25"/>
  <c r="B11" i="4" s="1"/>
  <c r="B12" i="2"/>
  <c r="B13" i="2"/>
  <c r="B14" i="2"/>
  <c r="B15" i="2"/>
  <c r="B11" i="2"/>
  <c r="B14" i="10"/>
  <c r="C14" i="10"/>
  <c r="B15" i="10"/>
  <c r="C15" i="10"/>
  <c r="C13" i="10"/>
  <c r="B13" i="10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D9" i="9"/>
  <c r="E9" i="9"/>
  <c r="C9" i="9"/>
  <c r="G33" i="12"/>
  <c r="F33" i="12"/>
  <c r="G25" i="12"/>
  <c r="F25" i="12"/>
  <c r="E25" i="12"/>
  <c r="G18" i="12"/>
  <c r="F18" i="12"/>
  <c r="E18" i="12"/>
  <c r="G17" i="12"/>
  <c r="F17" i="12"/>
  <c r="E17" i="12"/>
  <c r="G9" i="12"/>
  <c r="F9" i="12"/>
  <c r="E9" i="12"/>
  <c r="G10" i="12"/>
  <c r="F10" i="12"/>
  <c r="E10" i="12"/>
  <c r="A5" i="23" l="1"/>
  <c r="A4" i="23"/>
  <c r="A3" i="23"/>
  <c r="A6" i="22"/>
  <c r="A5" i="22"/>
  <c r="A4" i="22"/>
  <c r="AI7" i="23"/>
  <c r="AA7" i="23" s="1"/>
  <c r="S7" i="23" s="1"/>
  <c r="K7" i="23" s="1"/>
  <c r="C7" i="23" s="1"/>
  <c r="L11" i="24" l="1"/>
  <c r="T11" i="24" s="1"/>
  <c r="AB11" i="24" s="1"/>
  <c r="AL11" i="24" s="1"/>
  <c r="K19" i="24"/>
  <c r="S19" i="24" s="1"/>
  <c r="AA19" i="24" s="1"/>
  <c r="AI19" i="24" s="1"/>
  <c r="K6" i="24"/>
  <c r="S6" i="24" s="1"/>
  <c r="AA6" i="24" s="1"/>
  <c r="AI6" i="24" s="1"/>
  <c r="K20" i="23"/>
  <c r="S20" i="23" s="1"/>
  <c r="AA20" i="23" s="1"/>
  <c r="AI20" i="23" s="1"/>
  <c r="AR22" i="24" l="1"/>
  <c r="AS11" i="24" s="1"/>
  <c r="A31" i="22" l="1"/>
  <c r="A27" i="22" s="1"/>
  <c r="A23" i="22" s="1"/>
  <c r="A19" i="22" s="1"/>
  <c r="A15" i="22" s="1"/>
  <c r="A11" i="22" s="1"/>
  <c r="C20" i="7" l="1"/>
  <c r="B23" i="11"/>
  <c r="F17" i="11"/>
  <c r="B13" i="1" l="1"/>
  <c r="F10" i="4" l="1"/>
  <c r="A28" i="9"/>
  <c r="A31" i="6"/>
  <c r="B17" i="5" l="1"/>
  <c r="C12" i="23"/>
  <c r="C36" i="22"/>
  <c r="C16" i="4" l="1"/>
  <c r="C15" i="4"/>
  <c r="C14" i="4"/>
  <c r="C13" i="4"/>
  <c r="C12" i="4"/>
  <c r="C11" i="4"/>
  <c r="B4" i="13"/>
  <c r="B5" i="13" s="1"/>
  <c r="C12" i="3" l="1"/>
  <c r="C14" i="3" s="1"/>
  <c r="G8" i="8"/>
  <c r="E8" i="8"/>
  <c r="D8" i="8"/>
  <c r="D19" i="8" s="1"/>
  <c r="H8" i="8"/>
  <c r="H19" i="8" s="1"/>
  <c r="F8" i="8"/>
  <c r="F19" i="8" s="1"/>
  <c r="C22" i="3"/>
  <c r="B23" i="3"/>
  <c r="F16" i="11"/>
  <c r="F15" i="11" s="1"/>
  <c r="F14" i="11" s="1"/>
  <c r="C21" i="7"/>
  <c r="L25" i="2"/>
  <c r="C18" i="3"/>
  <c r="C13" i="7"/>
  <c r="C14" i="7"/>
  <c r="C15" i="7"/>
  <c r="C16" i="7"/>
  <c r="C12" i="7"/>
  <c r="B16" i="7"/>
  <c r="D16" i="7" s="1"/>
  <c r="C9" i="7"/>
  <c r="D9" i="7" s="1"/>
  <c r="E9" i="7" s="1"/>
  <c r="B7" i="7"/>
  <c r="B6" i="7"/>
  <c r="B5" i="7"/>
  <c r="G28" i="20"/>
  <c r="G27" i="20"/>
  <c r="G28" i="19"/>
  <c r="G27" i="19"/>
  <c r="C29" i="20"/>
  <c r="C28" i="20"/>
  <c r="C27" i="20"/>
  <c r="C26" i="20"/>
  <c r="A4" i="20"/>
  <c r="A3" i="20"/>
  <c r="A2" i="20"/>
  <c r="C29" i="19"/>
  <c r="C28" i="19"/>
  <c r="C27" i="19"/>
  <c r="C26" i="19"/>
  <c r="A4" i="19"/>
  <c r="A3" i="19"/>
  <c r="A2" i="19"/>
  <c r="H40" i="9"/>
  <c r="G27" i="18" s="1"/>
  <c r="H41" i="9"/>
  <c r="E13" i="11" s="1"/>
  <c r="A4" i="18"/>
  <c r="A3" i="18"/>
  <c r="A2" i="18"/>
  <c r="A4" i="15"/>
  <c r="A3" i="15"/>
  <c r="A2" i="15"/>
  <c r="C29" i="18"/>
  <c r="C28" i="18"/>
  <c r="C27" i="18"/>
  <c r="C26" i="18"/>
  <c r="K9" i="6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9" i="9"/>
  <c r="K10" i="9" s="1"/>
  <c r="F27" i="15"/>
  <c r="C27" i="15"/>
  <c r="C28" i="15"/>
  <c r="C29" i="15"/>
  <c r="C26" i="15"/>
  <c r="A5" i="3"/>
  <c r="A4" i="3"/>
  <c r="A3" i="3"/>
  <c r="A6" i="4"/>
  <c r="A5" i="4"/>
  <c r="A4" i="4"/>
  <c r="A6" i="5"/>
  <c r="A5" i="5"/>
  <c r="A4" i="5"/>
  <c r="A5" i="6"/>
  <c r="A4" i="6"/>
  <c r="A3" i="6"/>
  <c r="A5" i="8"/>
  <c r="A4" i="8"/>
  <c r="A3" i="8"/>
  <c r="A5" i="9"/>
  <c r="A4" i="9"/>
  <c r="A3" i="9"/>
  <c r="A7" i="11"/>
  <c r="A6" i="11"/>
  <c r="A5" i="11"/>
  <c r="A7" i="10"/>
  <c r="A6" i="10"/>
  <c r="A5" i="10"/>
  <c r="A3" i="12"/>
  <c r="A2" i="12"/>
  <c r="A1" i="12"/>
  <c r="G7" i="12"/>
  <c r="F7" i="12" s="1"/>
  <c r="E7" i="12" s="1"/>
  <c r="G9" i="9"/>
  <c r="Q9" i="9" s="1"/>
  <c r="A7" i="2"/>
  <c r="A6" i="2"/>
  <c r="A5" i="2"/>
  <c r="A16" i="12"/>
  <c r="A24" i="12" s="1"/>
  <c r="A32" i="12" s="1"/>
  <c r="A40" i="12" s="1"/>
  <c r="A49" i="12" s="1"/>
  <c r="A50" i="12" s="1"/>
  <c r="C9" i="10"/>
  <c r="D9" i="10" s="1"/>
  <c r="B18" i="10" s="1"/>
  <c r="B19" i="10" s="1"/>
  <c r="A15" i="10"/>
  <c r="A14" i="10" s="1"/>
  <c r="A13" i="10" s="1"/>
  <c r="B20" i="11"/>
  <c r="A20" i="11"/>
  <c r="A21" i="11" s="1"/>
  <c r="A22" i="11" s="1"/>
  <c r="A23" i="11" s="1"/>
  <c r="A24" i="11" s="1"/>
  <c r="A25" i="11" s="1"/>
  <c r="C9" i="11"/>
  <c r="D9" i="11" s="1"/>
  <c r="E9" i="11" s="1"/>
  <c r="F9" i="11" s="1"/>
  <c r="G9" i="11" s="1"/>
  <c r="H9" i="11" s="1"/>
  <c r="A17" i="11"/>
  <c r="C17" i="11" s="1"/>
  <c r="A44" i="9"/>
  <c r="A45" i="9" s="1"/>
  <c r="A46" i="9" s="1"/>
  <c r="A47" i="9" s="1"/>
  <c r="A48" i="9" s="1"/>
  <c r="D7" i="9"/>
  <c r="E7" i="9" s="1"/>
  <c r="F7" i="9" s="1"/>
  <c r="G7" i="9" s="1"/>
  <c r="H7" i="9" s="1"/>
  <c r="A37" i="8"/>
  <c r="A38" i="8" s="1"/>
  <c r="A39" i="8" s="1"/>
  <c r="A40" i="8" s="1"/>
  <c r="A41" i="8" s="1"/>
  <c r="A28" i="8"/>
  <c r="A29" i="8" s="1"/>
  <c r="A30" i="8" s="1"/>
  <c r="A31" i="8" s="1"/>
  <c r="A33" i="8" s="1"/>
  <c r="A34" i="8" s="1"/>
  <c r="B16" i="8"/>
  <c r="B15" i="8" s="1"/>
  <c r="A15" i="2"/>
  <c r="A14" i="2" s="1"/>
  <c r="A13" i="2" s="1"/>
  <c r="A12" i="2" s="1"/>
  <c r="A11" i="2" s="1"/>
  <c r="A30" i="6"/>
  <c r="A15" i="5"/>
  <c r="A14" i="5" s="1"/>
  <c r="A13" i="5" s="1"/>
  <c r="A12" i="5" s="1"/>
  <c r="A11" i="5" s="1"/>
  <c r="D8" i="4"/>
  <c r="E8" i="4" s="1"/>
  <c r="F8" i="4" s="1"/>
  <c r="B33" i="2"/>
  <c r="A8" i="3"/>
  <c r="A9" i="3" s="1"/>
  <c r="A11" i="3" s="1"/>
  <c r="A12" i="3" s="1"/>
  <c r="A14" i="3" s="1"/>
  <c r="A16" i="3" s="1"/>
  <c r="A18" i="3" s="1"/>
  <c r="A20" i="3" s="1"/>
  <c r="A22" i="3" s="1"/>
  <c r="A24" i="3" s="1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C9" i="2"/>
  <c r="D9" i="2" s="1"/>
  <c r="E9" i="2" s="1"/>
  <c r="G9" i="2" s="1"/>
  <c r="H9" i="2" s="1"/>
  <c r="I9" i="2" s="1"/>
  <c r="J9" i="2" s="1"/>
  <c r="K9" i="2" s="1"/>
  <c r="L9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H27" i="12"/>
  <c r="I27" i="12" s="1"/>
  <c r="I29" i="12" s="1"/>
  <c r="I30" i="12" s="1"/>
  <c r="G27" i="12"/>
  <c r="F27" i="12"/>
  <c r="E27" i="12"/>
  <c r="H19" i="12"/>
  <c r="I19" i="12" s="1"/>
  <c r="I21" i="12" s="1"/>
  <c r="I22" i="12" s="1"/>
  <c r="G19" i="12"/>
  <c r="F19" i="12"/>
  <c r="E19" i="12"/>
  <c r="H11" i="12"/>
  <c r="I11" i="12" s="1"/>
  <c r="E11" i="12"/>
  <c r="F11" i="12"/>
  <c r="G11" i="12"/>
  <c r="D14" i="10"/>
  <c r="D15" i="10"/>
  <c r="D13" i="10"/>
  <c r="C16" i="10"/>
  <c r="B16" i="10"/>
  <c r="H10" i="9"/>
  <c r="M10" i="9" s="1"/>
  <c r="H11" i="9"/>
  <c r="M11" i="9" s="1"/>
  <c r="H12" i="9"/>
  <c r="M12" i="9" s="1"/>
  <c r="H13" i="9"/>
  <c r="M13" i="9" s="1"/>
  <c r="H14" i="9"/>
  <c r="M14" i="9" s="1"/>
  <c r="H15" i="9"/>
  <c r="H16" i="9"/>
  <c r="M16" i="9" s="1"/>
  <c r="H17" i="9"/>
  <c r="M17" i="9" s="1"/>
  <c r="H18" i="9"/>
  <c r="M18" i="9" s="1"/>
  <c r="H19" i="9"/>
  <c r="M19" i="9" s="1"/>
  <c r="H20" i="9"/>
  <c r="M20" i="9" s="1"/>
  <c r="H21" i="9"/>
  <c r="M21" i="9" s="1"/>
  <c r="H22" i="9"/>
  <c r="M22" i="9" s="1"/>
  <c r="H23" i="9"/>
  <c r="M23" i="9" s="1"/>
  <c r="H24" i="9"/>
  <c r="M24" i="9" s="1"/>
  <c r="H25" i="9"/>
  <c r="M25" i="9" s="1"/>
  <c r="H26" i="9"/>
  <c r="M26" i="9" s="1"/>
  <c r="H27" i="9"/>
  <c r="M27" i="9" s="1"/>
  <c r="H28" i="9"/>
  <c r="M28" i="9" s="1"/>
  <c r="H9" i="9"/>
  <c r="M9" i="9" s="1"/>
  <c r="G10" i="9"/>
  <c r="Q10" i="9" s="1"/>
  <c r="G11" i="9"/>
  <c r="Q11" i="9" s="1"/>
  <c r="G12" i="9"/>
  <c r="Q12" i="9" s="1"/>
  <c r="G13" i="9"/>
  <c r="Q13" i="9" s="1"/>
  <c r="G14" i="9"/>
  <c r="Q14" i="9" s="1"/>
  <c r="G15" i="9"/>
  <c r="Q15" i="9" s="1"/>
  <c r="G16" i="9"/>
  <c r="Q16" i="9" s="1"/>
  <c r="G17" i="9"/>
  <c r="Q17" i="9" s="1"/>
  <c r="G18" i="9"/>
  <c r="Q18" i="9" s="1"/>
  <c r="G19" i="9"/>
  <c r="Q19" i="9" s="1"/>
  <c r="G20" i="9"/>
  <c r="Q20" i="9" s="1"/>
  <c r="G21" i="9"/>
  <c r="Q21" i="9" s="1"/>
  <c r="G22" i="9"/>
  <c r="Q22" i="9" s="1"/>
  <c r="G23" i="9"/>
  <c r="Q23" i="9" s="1"/>
  <c r="G24" i="9"/>
  <c r="Q24" i="9" s="1"/>
  <c r="G25" i="9"/>
  <c r="Q25" i="9" s="1"/>
  <c r="G26" i="9"/>
  <c r="G27" i="9"/>
  <c r="Q27" i="9" s="1"/>
  <c r="G28" i="9"/>
  <c r="Q28" i="9" s="1"/>
  <c r="F10" i="9"/>
  <c r="U10" i="9" s="1"/>
  <c r="F11" i="9"/>
  <c r="U11" i="9" s="1"/>
  <c r="F12" i="9"/>
  <c r="U12" i="9" s="1"/>
  <c r="F13" i="9"/>
  <c r="F14" i="9"/>
  <c r="U14" i="9" s="1"/>
  <c r="F15" i="9"/>
  <c r="U15" i="9" s="1"/>
  <c r="F16" i="9"/>
  <c r="U16" i="9" s="1"/>
  <c r="F17" i="9"/>
  <c r="U17" i="9" s="1"/>
  <c r="F18" i="9"/>
  <c r="U18" i="9" s="1"/>
  <c r="F19" i="9"/>
  <c r="U19" i="9" s="1"/>
  <c r="F20" i="9"/>
  <c r="U20" i="9" s="1"/>
  <c r="F21" i="9"/>
  <c r="U21" i="9" s="1"/>
  <c r="F22" i="9"/>
  <c r="U22" i="9" s="1"/>
  <c r="F23" i="9"/>
  <c r="U23" i="9" s="1"/>
  <c r="F24" i="9"/>
  <c r="U24" i="9" s="1"/>
  <c r="F25" i="9"/>
  <c r="U25" i="9" s="1"/>
  <c r="F26" i="9"/>
  <c r="U26" i="9" s="1"/>
  <c r="F27" i="9"/>
  <c r="U27" i="9" s="1"/>
  <c r="F28" i="9"/>
  <c r="U28" i="9" s="1"/>
  <c r="F9" i="9"/>
  <c r="U9" i="9" s="1"/>
  <c r="B27" i="9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D34" i="8"/>
  <c r="H15" i="2" s="1"/>
  <c r="E34" i="8"/>
  <c r="H14" i="2" s="1"/>
  <c r="F34" i="8"/>
  <c r="H13" i="2" s="1"/>
  <c r="G34" i="8"/>
  <c r="H12" i="2" s="1"/>
  <c r="H34" i="8"/>
  <c r="H11" i="2" s="1"/>
  <c r="D20" i="8"/>
  <c r="E20" i="8"/>
  <c r="F20" i="8"/>
  <c r="G20" i="8"/>
  <c r="H20" i="8"/>
  <c r="D21" i="8"/>
  <c r="E21" i="8"/>
  <c r="F21" i="8"/>
  <c r="G21" i="8"/>
  <c r="H21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H24" i="8"/>
  <c r="D25" i="8"/>
  <c r="E25" i="8"/>
  <c r="F25" i="8"/>
  <c r="G25" i="8"/>
  <c r="H25" i="8"/>
  <c r="B30" i="6"/>
  <c r="B29" i="6" s="1"/>
  <c r="B28" i="6" s="1"/>
  <c r="B27" i="6" s="1"/>
  <c r="B26" i="6" s="1"/>
  <c r="B25" i="6" s="1"/>
  <c r="B24" i="6" s="1"/>
  <c r="B23" i="6" s="1"/>
  <c r="B22" i="6" s="1"/>
  <c r="B21" i="6" s="1"/>
  <c r="B20" i="6" s="1"/>
  <c r="B19" i="6" s="1"/>
  <c r="B18" i="6" s="1"/>
  <c r="B17" i="6" s="1"/>
  <c r="B16" i="6" s="1"/>
  <c r="B15" i="6" s="1"/>
  <c r="B14" i="6" s="1"/>
  <c r="B13" i="6" s="1"/>
  <c r="B12" i="6" s="1"/>
  <c r="B11" i="6" s="1"/>
  <c r="B10" i="6" s="1"/>
  <c r="B9" i="6" s="1"/>
  <c r="E12" i="4"/>
  <c r="E13" i="4"/>
  <c r="E14" i="4"/>
  <c r="E15" i="4"/>
  <c r="E16" i="4"/>
  <c r="E11" i="4"/>
  <c r="K12" i="23" s="1"/>
  <c r="G17" i="2"/>
  <c r="B17" i="2"/>
  <c r="D16" i="10" l="1"/>
  <c r="D18" i="10" s="1"/>
  <c r="D19" i="10" s="1"/>
  <c r="I13" i="12"/>
  <c r="I14" i="12" s="1"/>
  <c r="H37" i="9"/>
  <c r="F32" i="9"/>
  <c r="D27" i="20" s="1"/>
  <c r="G37" i="9"/>
  <c r="H33" i="9"/>
  <c r="F35" i="12"/>
  <c r="G35" i="12"/>
  <c r="G43" i="12"/>
  <c r="E35" i="12"/>
  <c r="E43" i="12"/>
  <c r="E30" i="8"/>
  <c r="F31" i="8"/>
  <c r="F28" i="8"/>
  <c r="G19" i="8"/>
  <c r="D29" i="8"/>
  <c r="Q26" i="9"/>
  <c r="E16" i="11"/>
  <c r="G16" i="11" s="1"/>
  <c r="E19" i="8"/>
  <c r="E15" i="11"/>
  <c r="G15" i="11" s="1"/>
  <c r="G28" i="18"/>
  <c r="E16" i="7"/>
  <c r="D15" i="2" s="1"/>
  <c r="F29" i="8"/>
  <c r="D28" i="8"/>
  <c r="E31" i="8"/>
  <c r="H32" i="9"/>
  <c r="D27" i="18" s="1"/>
  <c r="U13" i="9"/>
  <c r="F11" i="4"/>
  <c r="D36" i="22" s="1"/>
  <c r="F12" i="4"/>
  <c r="F13" i="4"/>
  <c r="F14" i="4"/>
  <c r="F15" i="4"/>
  <c r="F16" i="4"/>
  <c r="F33" i="9"/>
  <c r="J12" i="2"/>
  <c r="J11" i="2"/>
  <c r="E29" i="8"/>
  <c r="G31" i="8"/>
  <c r="D27" i="8"/>
  <c r="B13" i="11"/>
  <c r="B14" i="11" s="1"/>
  <c r="B15" i="11" s="1"/>
  <c r="B16" i="11" s="1"/>
  <c r="F35" i="9"/>
  <c r="E17" i="11"/>
  <c r="G17" i="11" s="1"/>
  <c r="L31" i="6"/>
  <c r="A16" i="11"/>
  <c r="C16" i="11" s="1"/>
  <c r="F27" i="8"/>
  <c r="F30" i="8"/>
  <c r="E27" i="8"/>
  <c r="G27" i="8"/>
  <c r="E28" i="8"/>
  <c r="F37" i="9"/>
  <c r="G36" i="9"/>
  <c r="D29" i="19" s="1"/>
  <c r="F43" i="12"/>
  <c r="H35" i="9"/>
  <c r="H34" i="9"/>
  <c r="D28" i="18" s="1"/>
  <c r="E14" i="11"/>
  <c r="G14" i="11" s="1"/>
  <c r="C16" i="3"/>
  <c r="C20" i="3" s="1"/>
  <c r="C24" i="3" s="1"/>
  <c r="L26" i="2" s="1"/>
  <c r="M15" i="9"/>
  <c r="D30" i="8"/>
  <c r="G32" i="9"/>
  <c r="D27" i="19" s="1"/>
  <c r="H36" i="9"/>
  <c r="D29" i="18" s="1"/>
  <c r="D31" i="8"/>
  <c r="H35" i="12"/>
  <c r="I35" i="12" s="1"/>
  <c r="G30" i="8"/>
  <c r="G28" i="8"/>
  <c r="G34" i="9"/>
  <c r="D28" i="19" s="1"/>
  <c r="F34" i="9"/>
  <c r="D28" i="20" s="1"/>
  <c r="F36" i="9"/>
  <c r="D29" i="20" s="1"/>
  <c r="G35" i="9"/>
  <c r="G33" i="9"/>
  <c r="B15" i="7"/>
  <c r="D15" i="7" s="1"/>
  <c r="K11" i="9"/>
  <c r="B25" i="8"/>
  <c r="B14" i="8"/>
  <c r="F13" i="11"/>
  <c r="G13" i="11" s="1"/>
  <c r="L30" i="6"/>
  <c r="A29" i="6"/>
  <c r="J14" i="2" l="1"/>
  <c r="J15" i="2"/>
  <c r="J13" i="2"/>
  <c r="I37" i="12"/>
  <c r="I38" i="12" s="1"/>
  <c r="H43" i="12"/>
  <c r="I43" i="12" s="1"/>
  <c r="I45" i="12" s="1"/>
  <c r="I46" i="12" s="1"/>
  <c r="AK12" i="23"/>
  <c r="G36" i="22"/>
  <c r="AQ23" i="23"/>
  <c r="I36" i="22"/>
  <c r="AR12" i="23"/>
  <c r="H36" i="22"/>
  <c r="AC12" i="23"/>
  <c r="F36" i="22"/>
  <c r="S12" i="23"/>
  <c r="E36" i="22"/>
  <c r="A15" i="11"/>
  <c r="A14" i="11" s="1"/>
  <c r="C17" i="5"/>
  <c r="H17" i="5"/>
  <c r="G17" i="5"/>
  <c r="F17" i="5"/>
  <c r="E17" i="5"/>
  <c r="D17" i="5"/>
  <c r="L28" i="9"/>
  <c r="A27" i="9"/>
  <c r="E15" i="7"/>
  <c r="D14" i="2" s="1"/>
  <c r="B14" i="7"/>
  <c r="D14" i="7" s="1"/>
  <c r="K12" i="9"/>
  <c r="D16" i="11"/>
  <c r="H16" i="11" s="1"/>
  <c r="I14" i="2" s="1"/>
  <c r="K14" i="2" s="1"/>
  <c r="B17" i="11"/>
  <c r="D17" i="11" s="1"/>
  <c r="H17" i="11" s="1"/>
  <c r="I15" i="2" s="1"/>
  <c r="K15" i="2" s="1"/>
  <c r="L29" i="6"/>
  <c r="A28" i="6"/>
  <c r="B13" i="8"/>
  <c r="B24" i="8"/>
  <c r="I50" i="12" l="1"/>
  <c r="L21" i="2" s="1"/>
  <c r="L23" i="2" s="1"/>
  <c r="I49" i="12"/>
  <c r="L20" i="2" s="1"/>
  <c r="J30" i="22"/>
  <c r="J16" i="22"/>
  <c r="J28" i="22"/>
  <c r="J34" i="22"/>
  <c r="J12" i="22"/>
  <c r="J11" i="22"/>
  <c r="J25" i="22"/>
  <c r="J29" i="22"/>
  <c r="J20" i="22"/>
  <c r="J32" i="22"/>
  <c r="J15" i="22"/>
  <c r="J19" i="22"/>
  <c r="J24" i="22"/>
  <c r="J22" i="22"/>
  <c r="J13" i="22"/>
  <c r="J31" i="22"/>
  <c r="J18" i="22"/>
  <c r="K34" i="22"/>
  <c r="K23" i="22"/>
  <c r="K22" i="22"/>
  <c r="K13" i="22"/>
  <c r="K14" i="22"/>
  <c r="K16" i="22"/>
  <c r="K21" i="22"/>
  <c r="K31" i="22"/>
  <c r="K25" i="22"/>
  <c r="K30" i="22"/>
  <c r="K33" i="22"/>
  <c r="K17" i="22"/>
  <c r="K12" i="22"/>
  <c r="K26" i="22"/>
  <c r="K18" i="22"/>
  <c r="K20" i="22"/>
  <c r="L20" i="22" s="1"/>
  <c r="D17" i="6" s="1"/>
  <c r="K27" i="22"/>
  <c r="K28" i="22"/>
  <c r="K15" i="22"/>
  <c r="K19" i="22"/>
  <c r="K24" i="22"/>
  <c r="K29" i="22"/>
  <c r="K32" i="22"/>
  <c r="K11" i="22"/>
  <c r="J21" i="22"/>
  <c r="J27" i="22"/>
  <c r="X41" i="23"/>
  <c r="J23" i="22"/>
  <c r="J33" i="22"/>
  <c r="J14" i="22"/>
  <c r="X36" i="23"/>
  <c r="X30" i="23"/>
  <c r="J17" i="22"/>
  <c r="J26" i="22"/>
  <c r="X39" i="23"/>
  <c r="X34" i="23"/>
  <c r="X29" i="23"/>
  <c r="X31" i="23"/>
  <c r="X35" i="23"/>
  <c r="C15" i="11"/>
  <c r="D15" i="11" s="1"/>
  <c r="H15" i="11" s="1"/>
  <c r="I13" i="2" s="1"/>
  <c r="K13" i="2" s="1"/>
  <c r="I13" i="5"/>
  <c r="A26" i="9"/>
  <c r="L27" i="9"/>
  <c r="I14" i="5"/>
  <c r="I15" i="5"/>
  <c r="I11" i="5"/>
  <c r="I12" i="5"/>
  <c r="E14" i="7"/>
  <c r="D13" i="2" s="1"/>
  <c r="B13" i="7"/>
  <c r="D13" i="7" s="1"/>
  <c r="J14" i="5"/>
  <c r="J11" i="5"/>
  <c r="J12" i="5"/>
  <c r="J13" i="5"/>
  <c r="J15" i="5"/>
  <c r="K13" i="9"/>
  <c r="B12" i="8"/>
  <c r="B23" i="8"/>
  <c r="A13" i="11"/>
  <c r="C13" i="11" s="1"/>
  <c r="D13" i="11" s="1"/>
  <c r="H13" i="11" s="1"/>
  <c r="I11" i="2" s="1"/>
  <c r="K11" i="2" s="1"/>
  <c r="C14" i="11"/>
  <c r="D14" i="11" s="1"/>
  <c r="H14" i="11" s="1"/>
  <c r="I12" i="2" s="1"/>
  <c r="K12" i="2" s="1"/>
  <c r="A27" i="6"/>
  <c r="L28" i="6"/>
  <c r="L28" i="22" l="1"/>
  <c r="D25" i="6" s="1"/>
  <c r="L30" i="22"/>
  <c r="D27" i="6" s="1"/>
  <c r="E27" i="6" s="1"/>
  <c r="G27" i="6" s="1"/>
  <c r="M27" i="6" s="1"/>
  <c r="K14" i="5"/>
  <c r="C14" i="2" s="1"/>
  <c r="E14" i="2" s="1"/>
  <c r="L14" i="2" s="1"/>
  <c r="L17" i="22"/>
  <c r="D14" i="6" s="1"/>
  <c r="E14" i="6" s="1"/>
  <c r="G14" i="6" s="1"/>
  <c r="M14" i="6" s="1"/>
  <c r="L11" i="22"/>
  <c r="L25" i="22"/>
  <c r="D22" i="6" s="1"/>
  <c r="L29" i="22"/>
  <c r="D26" i="6" s="1"/>
  <c r="L16" i="22"/>
  <c r="D13" i="6" s="1"/>
  <c r="E13" i="6" s="1"/>
  <c r="G13" i="6" s="1"/>
  <c r="M13" i="6" s="1"/>
  <c r="L34" i="22"/>
  <c r="D31" i="6" s="1"/>
  <c r="L27" i="22"/>
  <c r="D24" i="6" s="1"/>
  <c r="L33" i="22"/>
  <c r="D30" i="6" s="1"/>
  <c r="L32" i="22"/>
  <c r="D29" i="6" s="1"/>
  <c r="L23" i="22"/>
  <c r="D20" i="6" s="1"/>
  <c r="L26" i="22"/>
  <c r="D23" i="6" s="1"/>
  <c r="L12" i="22"/>
  <c r="D9" i="6" s="1"/>
  <c r="L22" i="22"/>
  <c r="D19" i="6" s="1"/>
  <c r="L13" i="22"/>
  <c r="D10" i="6" s="1"/>
  <c r="E10" i="6" s="1"/>
  <c r="G10" i="6" s="1"/>
  <c r="M10" i="6" s="1"/>
  <c r="L24" i="22"/>
  <c r="D21" i="6" s="1"/>
  <c r="L19" i="22"/>
  <c r="D16" i="6" s="1"/>
  <c r="L15" i="22"/>
  <c r="D12" i="6" s="1"/>
  <c r="K13" i="5"/>
  <c r="C13" i="2" s="1"/>
  <c r="E13" i="2" s="1"/>
  <c r="L13" i="2" s="1"/>
  <c r="L14" i="22"/>
  <c r="D11" i="6" s="1"/>
  <c r="L18" i="22"/>
  <c r="D15" i="6" s="1"/>
  <c r="L21" i="22"/>
  <c r="D18" i="6" s="1"/>
  <c r="L31" i="22"/>
  <c r="D28" i="6" s="1"/>
  <c r="E17" i="6"/>
  <c r="G17" i="6" s="1"/>
  <c r="M17" i="6" s="1"/>
  <c r="A25" i="9"/>
  <c r="L26" i="9"/>
  <c r="K15" i="5"/>
  <c r="C15" i="2" s="1"/>
  <c r="E15" i="2" s="1"/>
  <c r="L15" i="2" s="1"/>
  <c r="K11" i="5"/>
  <c r="C11" i="2" s="1"/>
  <c r="E13" i="7"/>
  <c r="D12" i="2" s="1"/>
  <c r="B12" i="7"/>
  <c r="D12" i="7" s="1"/>
  <c r="E25" i="6"/>
  <c r="G25" i="6" s="1"/>
  <c r="K12" i="5"/>
  <c r="C12" i="2" s="1"/>
  <c r="K14" i="9"/>
  <c r="B22" i="8"/>
  <c r="B11" i="8"/>
  <c r="L27" i="6"/>
  <c r="A26" i="6"/>
  <c r="K17" i="2"/>
  <c r="E24" i="6" l="1"/>
  <c r="G24" i="6" s="1"/>
  <c r="M24" i="6" s="1"/>
  <c r="E21" i="6"/>
  <c r="G21" i="6" s="1"/>
  <c r="M21" i="6" s="1"/>
  <c r="E30" i="6"/>
  <c r="G30" i="6" s="1"/>
  <c r="M30" i="6" s="1"/>
  <c r="E19" i="6"/>
  <c r="G19" i="6" s="1"/>
  <c r="M19" i="6" s="1"/>
  <c r="E31" i="6"/>
  <c r="G31" i="6" s="1"/>
  <c r="M31" i="6" s="1"/>
  <c r="E22" i="6"/>
  <c r="G22" i="6" s="1"/>
  <c r="M22" i="6" s="1"/>
  <c r="E29" i="6"/>
  <c r="G29" i="6" s="1"/>
  <c r="H29" i="6" s="1"/>
  <c r="E12" i="6"/>
  <c r="G12" i="6" s="1"/>
  <c r="M12" i="6" s="1"/>
  <c r="E16" i="6"/>
  <c r="G16" i="6" s="1"/>
  <c r="M16" i="6" s="1"/>
  <c r="E26" i="6"/>
  <c r="G26" i="6" s="1"/>
  <c r="M26" i="6" s="1"/>
  <c r="E11" i="6"/>
  <c r="G11" i="6" s="1"/>
  <c r="M11" i="6" s="1"/>
  <c r="E23" i="6"/>
  <c r="G23" i="6" s="1"/>
  <c r="E9" i="6"/>
  <c r="G9" i="6" s="1"/>
  <c r="M9" i="6" s="1"/>
  <c r="E20" i="6"/>
  <c r="G20" i="6" s="1"/>
  <c r="M20" i="6" s="1"/>
  <c r="E15" i="6"/>
  <c r="G15" i="6" s="1"/>
  <c r="H19" i="6" s="1"/>
  <c r="E18" i="6"/>
  <c r="G18" i="6" s="1"/>
  <c r="M18" i="6" s="1"/>
  <c r="E28" i="6"/>
  <c r="G28" i="6" s="1"/>
  <c r="M28" i="6" s="1"/>
  <c r="H17" i="6"/>
  <c r="E12" i="7"/>
  <c r="D11" i="2" s="1"/>
  <c r="E11" i="2" s="1"/>
  <c r="L11" i="2" s="1"/>
  <c r="L25" i="9"/>
  <c r="A24" i="9"/>
  <c r="H14" i="6"/>
  <c r="E12" i="2"/>
  <c r="L12" i="2" s="1"/>
  <c r="M25" i="6"/>
  <c r="K15" i="9"/>
  <c r="B21" i="8"/>
  <c r="B10" i="8"/>
  <c r="B20" i="8" s="1"/>
  <c r="L26" i="6"/>
  <c r="A25" i="6"/>
  <c r="H21" i="6" l="1"/>
  <c r="H31" i="6"/>
  <c r="H25" i="6"/>
  <c r="M29" i="6"/>
  <c r="P26" i="6" s="1"/>
  <c r="H36" i="6"/>
  <c r="D29" i="15" s="1"/>
  <c r="H38" i="6"/>
  <c r="H28" i="6"/>
  <c r="H30" i="6"/>
  <c r="H15" i="6"/>
  <c r="H26" i="6"/>
  <c r="H20" i="6"/>
  <c r="M15" i="6"/>
  <c r="H16" i="6"/>
  <c r="H24" i="6"/>
  <c r="H37" i="6"/>
  <c r="H34" i="6"/>
  <c r="D27" i="15" s="1"/>
  <c r="M23" i="6"/>
  <c r="H23" i="6"/>
  <c r="H27" i="6"/>
  <c r="H13" i="6"/>
  <c r="H18" i="6"/>
  <c r="H22" i="6"/>
  <c r="H39" i="6"/>
  <c r="H35" i="6"/>
  <c r="D28" i="15" s="1"/>
  <c r="A23" i="9"/>
  <c r="L24" i="9"/>
  <c r="E17" i="2"/>
  <c r="P27" i="6"/>
  <c r="P29" i="6"/>
  <c r="P28" i="6"/>
  <c r="P31" i="6"/>
  <c r="P30" i="6"/>
  <c r="K16" i="9"/>
  <c r="A24" i="6"/>
  <c r="L25" i="6"/>
  <c r="L17" i="2" l="1"/>
  <c r="L24" i="2" s="1"/>
  <c r="L27" i="2" s="1"/>
  <c r="L28" i="2" s="1"/>
  <c r="O28" i="6"/>
  <c r="N17" i="6"/>
  <c r="N22" i="6"/>
  <c r="N14" i="6"/>
  <c r="N31" i="6"/>
  <c r="N23" i="6"/>
  <c r="N21" i="6"/>
  <c r="N13" i="6"/>
  <c r="N27" i="6"/>
  <c r="N28" i="6"/>
  <c r="O29" i="6"/>
  <c r="N30" i="6"/>
  <c r="N29" i="6"/>
  <c r="O20" i="6"/>
  <c r="O25" i="6"/>
  <c r="N18" i="6"/>
  <c r="O21" i="6"/>
  <c r="N16" i="6"/>
  <c r="N15" i="6"/>
  <c r="O30" i="6"/>
  <c r="O23" i="6"/>
  <c r="O26" i="6"/>
  <c r="O27" i="6"/>
  <c r="N20" i="6"/>
  <c r="N26" i="6"/>
  <c r="N24" i="6"/>
  <c r="N25" i="6"/>
  <c r="O31" i="6"/>
  <c r="O22" i="6"/>
  <c r="N12" i="6"/>
  <c r="O24" i="6"/>
  <c r="N19" i="6"/>
  <c r="L23" i="9"/>
  <c r="A22" i="9"/>
  <c r="K17" i="9"/>
  <c r="A23" i="6"/>
  <c r="L24" i="6"/>
  <c r="A21" i="9" l="1"/>
  <c r="L22" i="9"/>
  <c r="K18" i="9"/>
  <c r="L23" i="6"/>
  <c r="A22" i="6"/>
  <c r="L21" i="9" l="1"/>
  <c r="A20" i="9"/>
  <c r="K19" i="9"/>
  <c r="A21" i="6"/>
  <c r="L22" i="6"/>
  <c r="A19" i="9" l="1"/>
  <c r="L20" i="9"/>
  <c r="K20" i="9"/>
  <c r="K21" i="9" s="1"/>
  <c r="K22" i="9" s="1"/>
  <c r="K23" i="9" s="1"/>
  <c r="A20" i="6"/>
  <c r="L21" i="6"/>
  <c r="L19" i="9" l="1"/>
  <c r="A18" i="9"/>
  <c r="K24" i="9"/>
  <c r="A19" i="6"/>
  <c r="L20" i="6"/>
  <c r="A17" i="9" l="1"/>
  <c r="L18" i="9"/>
  <c r="K25" i="9"/>
  <c r="A18" i="6"/>
  <c r="L19" i="6"/>
  <c r="A16" i="9" l="1"/>
  <c r="L17" i="9"/>
  <c r="K26" i="9"/>
  <c r="A17" i="6"/>
  <c r="L18" i="6"/>
  <c r="A15" i="9" l="1"/>
  <c r="L16" i="9"/>
  <c r="K27" i="9"/>
  <c r="L17" i="6"/>
  <c r="A16" i="6"/>
  <c r="L15" i="9" l="1"/>
  <c r="A14" i="9"/>
  <c r="K28" i="9"/>
  <c r="W26" i="9" s="1"/>
  <c r="S27" i="9"/>
  <c r="P26" i="9"/>
  <c r="X28" i="9"/>
  <c r="X26" i="9"/>
  <c r="T25" i="9"/>
  <c r="L16" i="6"/>
  <c r="A15" i="6"/>
  <c r="X24" i="9" l="1"/>
  <c r="O20" i="9"/>
  <c r="T26" i="9"/>
  <c r="W17" i="9"/>
  <c r="W22" i="9"/>
  <c r="X23" i="9"/>
  <c r="W20" i="9"/>
  <c r="T24" i="9"/>
  <c r="X27" i="9"/>
  <c r="S19" i="9"/>
  <c r="T23" i="9"/>
  <c r="O24" i="9"/>
  <c r="P23" i="9"/>
  <c r="T27" i="9"/>
  <c r="W24" i="9"/>
  <c r="P25" i="9"/>
  <c r="X25" i="9"/>
  <c r="S20" i="9"/>
  <c r="A13" i="9"/>
  <c r="L14" i="9"/>
  <c r="V18" i="9"/>
  <c r="N21" i="9"/>
  <c r="R28" i="9"/>
  <c r="V13" i="9"/>
  <c r="V9" i="9"/>
  <c r="V21" i="9"/>
  <c r="R12" i="9"/>
  <c r="R10" i="9"/>
  <c r="N20" i="9"/>
  <c r="V23" i="9"/>
  <c r="N15" i="9"/>
  <c r="V22" i="9"/>
  <c r="R13" i="9"/>
  <c r="N28" i="9"/>
  <c r="N19" i="9"/>
  <c r="N9" i="9"/>
  <c r="V12" i="9"/>
  <c r="R17" i="9"/>
  <c r="N23" i="9"/>
  <c r="N12" i="9"/>
  <c r="V26" i="9"/>
  <c r="R9" i="9"/>
  <c r="V11" i="9"/>
  <c r="R18" i="9"/>
  <c r="N25" i="9"/>
  <c r="N18" i="9"/>
  <c r="R20" i="9"/>
  <c r="R24" i="9"/>
  <c r="R23" i="9"/>
  <c r="V27" i="9"/>
  <c r="R19" i="9"/>
  <c r="R14" i="9"/>
  <c r="V20" i="9"/>
  <c r="V16" i="9"/>
  <c r="N13" i="9"/>
  <c r="N27" i="9"/>
  <c r="V19" i="9"/>
  <c r="R26" i="9"/>
  <c r="R21" i="9"/>
  <c r="N14" i="9"/>
  <c r="R25" i="9"/>
  <c r="R22" i="9"/>
  <c r="V17" i="9"/>
  <c r="V25" i="9"/>
  <c r="N11" i="9"/>
  <c r="N24" i="9"/>
  <c r="R11" i="9"/>
  <c r="N26" i="9"/>
  <c r="V15" i="9"/>
  <c r="V24" i="9"/>
  <c r="N22" i="9"/>
  <c r="V10" i="9"/>
  <c r="N16" i="9"/>
  <c r="N17" i="9"/>
  <c r="R27" i="9"/>
  <c r="R16" i="9"/>
  <c r="V14" i="9"/>
  <c r="N10" i="9"/>
  <c r="R15" i="9"/>
  <c r="V28" i="9"/>
  <c r="S23" i="9"/>
  <c r="O22" i="9"/>
  <c r="W27" i="9"/>
  <c r="O19" i="9"/>
  <c r="O17" i="9"/>
  <c r="O25" i="9"/>
  <c r="S17" i="9"/>
  <c r="O26" i="9"/>
  <c r="W19" i="9"/>
  <c r="O27" i="9"/>
  <c r="S18" i="9"/>
  <c r="T28" i="9"/>
  <c r="O21" i="9"/>
  <c r="W28" i="9"/>
  <c r="P27" i="9"/>
  <c r="O28" i="9"/>
  <c r="S25" i="9"/>
  <c r="S24" i="9"/>
  <c r="W23" i="9"/>
  <c r="P28" i="9"/>
  <c r="S21" i="9"/>
  <c r="S26" i="9"/>
  <c r="S22" i="9"/>
  <c r="S28" i="9"/>
  <c r="W18" i="9"/>
  <c r="O23" i="9"/>
  <c r="P24" i="9"/>
  <c r="W25" i="9"/>
  <c r="W21" i="9"/>
  <c r="O18" i="9"/>
  <c r="A14" i="6"/>
  <c r="L15" i="6"/>
  <c r="A12" i="9" l="1"/>
  <c r="L13" i="9"/>
  <c r="A13" i="6"/>
  <c r="L14" i="6"/>
  <c r="A11" i="9" l="1"/>
  <c r="L12" i="9"/>
  <c r="A12" i="6"/>
  <c r="L13" i="6"/>
  <c r="A10" i="9" l="1"/>
  <c r="L11" i="9"/>
  <c r="A11" i="6"/>
  <c r="L12" i="6"/>
  <c r="A9" i="9" l="1"/>
  <c r="L9" i="9" s="1"/>
  <c r="L10" i="9"/>
  <c r="A10" i="6"/>
  <c r="L11" i="6"/>
  <c r="A9" i="6" l="1"/>
  <c r="L9" i="6" s="1"/>
  <c r="L10" i="6"/>
</calcChain>
</file>

<file path=xl/sharedStrings.xml><?xml version="1.0" encoding="utf-8"?>
<sst xmlns="http://schemas.openxmlformats.org/spreadsheetml/2006/main" count="633" uniqueCount="310">
  <si>
    <t>Instructions</t>
  </si>
  <si>
    <t xml:space="preserve">The blue tabs indicate which tabs have values that can be changed.  </t>
  </si>
  <si>
    <t>There are questions for you to consider after you make your changes.</t>
  </si>
  <si>
    <t>The yellow cells in each tab indicate calculated values.</t>
  </si>
  <si>
    <t xml:space="preserve">The purple cells are where calculations are described. </t>
  </si>
  <si>
    <t xml:space="preserve">(Note1: Actuarial Standard of Practice 41 states that an actuary should document their </t>
  </si>
  <si>
    <t>work with "sufficient clarity that another actuary qualified in the same practice area</t>
  </si>
  <si>
    <t>could make an objective appraisal of the reasonableness of the actuary's work as</t>
  </si>
  <si>
    <t>presented in the actuarial report.")</t>
  </si>
  <si>
    <t>Assumptions</t>
  </si>
  <si>
    <t>Policy term is 6 months.</t>
  </si>
  <si>
    <t>The new rates will be in effect for one year.</t>
  </si>
  <si>
    <t>Statement of Principles</t>
  </si>
  <si>
    <t>Premium covers losses, expenses and a reasonable profit for the insuring entity</t>
  </si>
  <si>
    <t xml:space="preserve">Principle 1: </t>
  </si>
  <si>
    <t>A rate is an estimate of the expected value of future costs.</t>
  </si>
  <si>
    <t xml:space="preserve">Principle 2: </t>
  </si>
  <si>
    <t>A rate provides for all costs associated with the transfer of risk.</t>
  </si>
  <si>
    <t xml:space="preserve">Principle 3: </t>
  </si>
  <si>
    <t>A rate provides for the costs associated with an individual risk transfer.</t>
  </si>
  <si>
    <t xml:space="preserve">Principle 4: </t>
  </si>
  <si>
    <t>A rate is reasonable and not excessive, inadequate, or unfairly discriminatory if it is an</t>
  </si>
  <si>
    <t>actuarially sound estimate of the expected value of all future costs associated with an</t>
  </si>
  <si>
    <t>individual risk transfer.</t>
  </si>
  <si>
    <t>Latest Year of Experience Period</t>
  </si>
  <si>
    <t>Evaluation Date</t>
  </si>
  <si>
    <t>Eval Months</t>
  </si>
  <si>
    <t>Proposed Effective Date</t>
  </si>
  <si>
    <t>Texachussetts</t>
  </si>
  <si>
    <t>State</t>
  </si>
  <si>
    <t>CAS Rocks Insurance</t>
  </si>
  <si>
    <t>Company</t>
  </si>
  <si>
    <t>Private Passenger Auto: Property Damage Liability</t>
  </si>
  <si>
    <t>LOB</t>
  </si>
  <si>
    <t>This tab pulls in the factors from your selections and computes the Loss and LAE ratios for each year.</t>
  </si>
  <si>
    <t xml:space="preserve">Then, it calculates the indicated rate change. </t>
  </si>
  <si>
    <t>Occurrence Year</t>
  </si>
  <si>
    <t>Earned Premium</t>
  </si>
  <si>
    <t>Current Rate Level Factor</t>
  </si>
  <si>
    <t>Premium Trend Factor</t>
  </si>
  <si>
    <t>Projected Earned Premium at Current Rate Level</t>
  </si>
  <si>
    <t>Reported Losses and Paid ALAE</t>
  </si>
  <si>
    <t>Loss Development Factor</t>
  </si>
  <si>
    <t>Loss Trend Factor</t>
  </si>
  <si>
    <t>ULAE Factor</t>
  </si>
  <si>
    <t>Projected Ultimate Losses and LAE</t>
  </si>
  <si>
    <t>Projected Loss and LAE Ratio</t>
  </si>
  <si>
    <t>Total</t>
  </si>
  <si>
    <t>Selected Projected Loss and LAE Ratio</t>
  </si>
  <si>
    <t xml:space="preserve">Try changing the Selected Projected Loss and LAE Ratio. </t>
  </si>
  <si>
    <t>Fixed Expense Provision</t>
  </si>
  <si>
    <t>For example, try setting it to the latest year's ratio.</t>
  </si>
  <si>
    <t>Variable Expense Provision</t>
  </si>
  <si>
    <t>How does this change affect the Overall Rate Indication?</t>
  </si>
  <si>
    <t>UW Profit Provision</t>
  </si>
  <si>
    <t>Variable Permissible Loss Ratio</t>
  </si>
  <si>
    <t>Indicated Rate Change</t>
  </si>
  <si>
    <t>Credibility</t>
  </si>
  <si>
    <t>Trended Present Rates Indication</t>
  </si>
  <si>
    <t>Credibility-Weighted Indicated Rate Change</t>
  </si>
  <si>
    <t>Selected Rate Change</t>
  </si>
  <si>
    <t>From Current Rate Level - 1</t>
  </si>
  <si>
    <t>From Premium Trend - 3</t>
  </si>
  <si>
    <t>= [1] x [2] x [3]</t>
  </si>
  <si>
    <t>From Loss Development Exhibit</t>
  </si>
  <si>
    <t>From Loss Trend Exhibit</t>
  </si>
  <si>
    <t>From ULAE Ratio Exhibit</t>
  </si>
  <si>
    <t>= [5] x [6] x [7] x [8]</t>
  </si>
  <si>
    <t>= [9] / [4]</t>
  </si>
  <si>
    <t>From Expense Exhibit</t>
  </si>
  <si>
    <t>Selected Profit Provision</t>
  </si>
  <si>
    <t>= 100% - [13] - [14]</t>
  </si>
  <si>
    <t>= { ( [11] + [12] ) / [15] } - 1.0</t>
  </si>
  <si>
    <t>From Credibility Exhibit</t>
  </si>
  <si>
    <t>= [16] x [17] + [18] x ( 1.0 - [17] )</t>
  </si>
  <si>
    <t>This tab calculates the Trended Present Rates Indication.</t>
  </si>
  <si>
    <t>State Total Number of Claims in the Historical Period</t>
  </si>
  <si>
    <t>Number of Claims for Full Credibility</t>
  </si>
  <si>
    <t>Min { ( [1] / [2] ) ^ 0.5, 1.0 }</t>
  </si>
  <si>
    <t>Latest Indicated Rate Change</t>
  </si>
  <si>
    <t>Last Rate Change Taken</t>
  </si>
  <si>
    <t>From Current Rate Level Exhibit</t>
  </si>
  <si>
    <t>Residual Indication</t>
  </si>
  <si>
    <t>{ ( 1.0 + [4] ) / ( 1.0 + [5] ) } - 1.0</t>
  </si>
  <si>
    <t>Projected Loss Trend</t>
  </si>
  <si>
    <t>Projected Premium Trend</t>
  </si>
  <si>
    <t>From Premium Trend Exhibit</t>
  </si>
  <si>
    <t>Net Trend</t>
  </si>
  <si>
    <t>{ ( 1.0 + [7] ) / ( 1.0 + [8] ) } - 1.0</t>
  </si>
  <si>
    <t>Trend Period</t>
  </si>
  <si>
    <t>{ ( 1.0 + [6] ) x ( 1.0 + [9] ) ^ [10] } - 1.0</t>
  </si>
  <si>
    <t>Based on the rate changes, this tab calculates the rate level index and cumulative rate level for</t>
  </si>
  <si>
    <t xml:space="preserve">each rate level group. </t>
  </si>
  <si>
    <t>Rate Level Group</t>
  </si>
  <si>
    <t>Effective 
Date</t>
  </si>
  <si>
    <t>Effective Date Value (Hide)</t>
  </si>
  <si>
    <t>Rate 
Change</t>
  </si>
  <si>
    <t>Rate Level 
Index</t>
  </si>
  <si>
    <t>Cumulative 
Rate Level 
Index</t>
  </si>
  <si>
    <t>A</t>
  </si>
  <si>
    <t>Try modifying some of the rate change % amounts. This will affect the next tab and "CRL - 4 Written Premium" tab as well.</t>
  </si>
  <si>
    <t>B</t>
  </si>
  <si>
    <t xml:space="preserve">What happens if there are more decreases in rates than increases in rates? </t>
  </si>
  <si>
    <t>C</t>
  </si>
  <si>
    <t xml:space="preserve">What happens if the past increases were larger or smaller? </t>
  </si>
  <si>
    <t>D</t>
  </si>
  <si>
    <t>How do these changes affect the Overall Rate Indication?</t>
  </si>
  <si>
    <t>E</t>
  </si>
  <si>
    <t>F</t>
  </si>
  <si>
    <t>G</t>
  </si>
  <si>
    <t>[3]</t>
  </si>
  <si>
    <t>= 1.0 + [2]</t>
  </si>
  <si>
    <t>[4]</t>
  </si>
  <si>
    <t>= Cumulative product of [3]</t>
  </si>
  <si>
    <t xml:space="preserve">This tab continues the current rate level calculation.  It calculates the portion of EP in each rate level group and the </t>
  </si>
  <si>
    <t>CRL factor for each calendar year, assuming 6 months policies.</t>
  </si>
  <si>
    <t>[1a]</t>
  </si>
  <si>
    <t>[2]</t>
  </si>
  <si>
    <t>Portion of Earned Premium Assumed in Each Rate Level Group</t>
  </si>
  <si>
    <t>Average Cumulative Rate Level</t>
  </si>
  <si>
    <t>Current Rate Level Index</t>
  </si>
  <si>
    <t>CRL Factor</t>
  </si>
  <si>
    <t>Calendar Year</t>
  </si>
  <si>
    <t>[1b]</t>
  </si>
  <si>
    <t>[1]</t>
  </si>
  <si>
    <t>Portion of Each Calendar Year's Earned Premium by Rate Level Group</t>
  </si>
  <si>
    <t>Cumulative Rate Level for each Rate Level Group</t>
  </si>
  <si>
    <t>Current Rate Level Index of the Most Recent Year (from Current Rate Level - 1)</t>
  </si>
  <si>
    <t>= [3] / [2]</t>
  </si>
  <si>
    <t>This tab is illustrative and shows the diagram and calculations for the portion of earned premium in each rate level group.</t>
  </si>
  <si>
    <t>Please note that the rate changes here are the original rate changes included with this workbook.</t>
  </si>
  <si>
    <t>Q1</t>
  </si>
  <si>
    <t>Q2</t>
  </si>
  <si>
    <t>Q3</t>
  </si>
  <si>
    <t>Q4</t>
  </si>
  <si>
    <t>Rate Level A</t>
  </si>
  <si>
    <t>Rate Level B</t>
  </si>
  <si>
    <t>Rate Level C</t>
  </si>
  <si>
    <t>Rate Level D</t>
  </si>
  <si>
    <t>Rate Level E</t>
  </si>
  <si>
    <t>Current Rate Level (G)</t>
  </si>
  <si>
    <t>-5%</t>
  </si>
  <si>
    <t>+10%</t>
  </si>
  <si>
    <t>+5%</t>
  </si>
  <si>
    <t>-2%</t>
  </si>
  <si>
    <t>Rate Level F</t>
  </si>
  <si>
    <t>3/64</t>
  </si>
  <si>
    <t>1/16</t>
  </si>
  <si>
    <t>1/</t>
  </si>
  <si>
    <t>Alternatively, using triangle formula for entire block…</t>
  </si>
  <si>
    <t>So, total rate level for 2017 is:</t>
  </si>
  <si>
    <t>This tab continues the current rate level calculation.  It calculates the portion of WP in each rate level group and the CRL factor for each</t>
  </si>
  <si>
    <t xml:space="preserve">calendar quarter, assuming 6 months policies.  </t>
  </si>
  <si>
    <t>Quarter</t>
  </si>
  <si>
    <t>Portion of Written Premium Assumed in Each Rate Level Group</t>
  </si>
  <si>
    <t>Ending</t>
  </si>
  <si>
    <t>Portion of Each Calendar Year's Written Premium by Rate Level Group</t>
  </si>
  <si>
    <t xml:space="preserve">Instructions: </t>
  </si>
  <si>
    <t>This tab is illustrative and shows the diagram for the portion of written premium in each rate level group.</t>
  </si>
  <si>
    <t>This tab calculates the average WP at current rate level and the annual trend.</t>
  </si>
  <si>
    <t>[5]</t>
  </si>
  <si>
    <t>[6]</t>
  </si>
  <si>
    <t>Year Ending</t>
  </si>
  <si>
    <t>Written Premium</t>
  </si>
  <si>
    <t>Current Rate Level (CRL) Factor</t>
  </si>
  <si>
    <t>Written Premium At CRL</t>
  </si>
  <si>
    <t>Written Exposure</t>
  </si>
  <si>
    <t>Average Written Premium at CRL</t>
  </si>
  <si>
    <t>Annual Trend</t>
  </si>
  <si>
    <t>Year Ending Quarter</t>
  </si>
  <si>
    <t>Average Premium</t>
  </si>
  <si>
    <t>20-pt fit</t>
  </si>
  <si>
    <t>12-pt fit</t>
  </si>
  <si>
    <t>6-pt fit</t>
  </si>
  <si>
    <t>Exponential Trend</t>
  </si>
  <si>
    <t>20 pt</t>
  </si>
  <si>
    <t>16 pt</t>
  </si>
  <si>
    <t>12 pt</t>
  </si>
  <si>
    <t>8 pt</t>
  </si>
  <si>
    <t>6 pt</t>
  </si>
  <si>
    <t>4 pt</t>
  </si>
  <si>
    <t>Selected Projected Premium Trend</t>
  </si>
  <si>
    <t>Try changing the premium trend selection. This will affect the "Premium Trend - 3" tab as well.</t>
  </si>
  <si>
    <t xml:space="preserve">What happens if you select a higher premium trend? </t>
  </si>
  <si>
    <t>= [1] * [2]</t>
  </si>
  <si>
    <t xml:space="preserve">What happens if you select a lower premium trend? </t>
  </si>
  <si>
    <t>= [3] / [4]</t>
  </si>
  <si>
    <t>= Annual Trend of [5]. E.g., 2014Q2 = ($109.44) / (103.05) - 1 = 6.2%</t>
  </si>
  <si>
    <t>Selection</t>
  </si>
  <si>
    <t xml:space="preserve">This tab calculates the appropriate trend period, assuming 6 month policies and calculates the trend factor for each </t>
  </si>
  <si>
    <t xml:space="preserve">calendar year. The effective date for the new rates is 1/1/2020 and rates will be in effect for 1 year. </t>
  </si>
  <si>
    <t>Projected Trend Period</t>
  </si>
  <si>
    <t>Trend Factor</t>
  </si>
  <si>
    <t>From Premium Trend - 1 Exhibit</t>
  </si>
  <si>
    <t>= ( 1.0 + [1] ) ^ [2]</t>
  </si>
  <si>
    <t>Assume that there were no large losses that needed to be removed and no changes to coverages offered.</t>
  </si>
  <si>
    <t>Reported  Loss + Paid ALAE Evaluated as of</t>
  </si>
  <si>
    <t>Accident Year</t>
  </si>
  <si>
    <t>Age-to-Age Factors</t>
  </si>
  <si>
    <t>All Year Average</t>
  </si>
  <si>
    <t>3 Yr Average</t>
  </si>
  <si>
    <t>4 Yr Average</t>
  </si>
  <si>
    <t>Average x Hi/Lo</t>
  </si>
  <si>
    <t>Geometric Average</t>
  </si>
  <si>
    <t>Selected</t>
  </si>
  <si>
    <t xml:space="preserve">Try changing the loss development factor selections. </t>
  </si>
  <si>
    <t>Age to Ultimate</t>
  </si>
  <si>
    <t xml:space="preserve">What happens if you select higher loss development factors? </t>
  </si>
  <si>
    <t xml:space="preserve">What happens if you select lower loss development factors? </t>
  </si>
  <si>
    <t>Straight Average</t>
  </si>
  <si>
    <t>Straight Average Excluding Highest and Lowest Values</t>
  </si>
  <si>
    <t>= ( Product of Age-to-Age Factors ) ^ ( 1.0 / Number of Age-to-Age Factors )</t>
  </si>
  <si>
    <t>= Cumulative Product of [6]</t>
  </si>
  <si>
    <t>This tab calculates the frequency, severity, and pure premium trend.</t>
  </si>
  <si>
    <t>PP</t>
  </si>
  <si>
    <t>SEV</t>
  </si>
  <si>
    <t>FREQ</t>
  </si>
  <si>
    <t>CHART</t>
  </si>
  <si>
    <t>Earned Exposure</t>
  </si>
  <si>
    <t>Closed Claim Count</t>
  </si>
  <si>
    <t>Paid Losses</t>
  </si>
  <si>
    <t>Frequency</t>
  </si>
  <si>
    <t>Severity</t>
  </si>
  <si>
    <t>Pure Premium</t>
  </si>
  <si>
    <t>Average Severity</t>
  </si>
  <si>
    <t>Average Frequency</t>
  </si>
  <si>
    <t>Selections</t>
  </si>
  <si>
    <t>Current</t>
  </si>
  <si>
    <t>Try changing the loss trend selections. This will affect the "Loss Trend - 5" tab as well.</t>
  </si>
  <si>
    <t>Projected</t>
  </si>
  <si>
    <t xml:space="preserve">What happens if you select a higher loss trend? </t>
  </si>
  <si>
    <t xml:space="preserve">What happens if you select a lower loss trend? </t>
  </si>
  <si>
    <t>Shown of a 4-Quarter Rolling Basis</t>
  </si>
  <si>
    <t>Is there a difference between how the current and projected trend affect the Overall Rate Indication?</t>
  </si>
  <si>
    <t>= [2] / [1]</t>
  </si>
  <si>
    <t>= [3] / [1]</t>
  </si>
  <si>
    <t>Frequency Trend - Regional Data</t>
  </si>
  <si>
    <t>Severity Trend - Regional Data</t>
  </si>
  <si>
    <t>Pure Premum Trend - Regional Data</t>
  </si>
  <si>
    <t>Selections*</t>
  </si>
  <si>
    <t>* Calculated using Frequency and Severity Selections</t>
  </si>
  <si>
    <t>calendar year. The effective date for the new rates is 1/1/2020 and rates will be in effect for 1 year.</t>
  </si>
  <si>
    <t>Loss</t>
  </si>
  <si>
    <t>Accident</t>
  </si>
  <si>
    <t>Cost Trend</t>
  </si>
  <si>
    <t>Trend</t>
  </si>
  <si>
    <t xml:space="preserve">Cost Trend </t>
  </si>
  <si>
    <t>Year</t>
  </si>
  <si>
    <t>Period</t>
  </si>
  <si>
    <t>Factor</t>
  </si>
  <si>
    <t>= ( 1.0 + [4] ) ^ [5]</t>
  </si>
  <si>
    <t>= [3] x [6]</t>
  </si>
  <si>
    <t>This tab calculates the ULAE factor to apply to loss and ALAE.  The ULAE ratio represents the relative size of ULAE compared</t>
  </si>
  <si>
    <t>to paid losses and ALAE.  The ULAE factor is applied to the trended, developed loss and ALAE.</t>
  </si>
  <si>
    <t>Countrywide</t>
  </si>
  <si>
    <t>ULAE</t>
  </si>
  <si>
    <r>
      <t>Paid Loss + ALAE</t>
    </r>
    <r>
      <rPr>
        <vertAlign val="superscript"/>
        <sz val="11"/>
        <color theme="1"/>
        <rFont val="Calibri"/>
        <family val="2"/>
        <scheme val="minor"/>
      </rPr>
      <t>*</t>
    </r>
  </si>
  <si>
    <r>
      <t>Paid ULAE</t>
    </r>
    <r>
      <rPr>
        <vertAlign val="superscript"/>
        <sz val="11"/>
        <color theme="1"/>
        <rFont val="Calibri"/>
        <family val="2"/>
        <scheme val="minor"/>
      </rPr>
      <t>**</t>
    </r>
  </si>
  <si>
    <t>Ratio</t>
  </si>
  <si>
    <t>Selected Ratio</t>
  </si>
  <si>
    <t>= 1.0 + [4]</t>
  </si>
  <si>
    <t>Notes:</t>
  </si>
  <si>
    <t xml:space="preserve">* - ALAE = </t>
  </si>
  <si>
    <t>Allocated Loss Adjustment Expense - loss adjustment expense directly attributable to a specific claim</t>
  </si>
  <si>
    <t>e.g. defense attorney fees, expert witnesses</t>
  </si>
  <si>
    <t xml:space="preserve">** - ULAE = </t>
  </si>
  <si>
    <t>Unallocated Loss Adjustment Expense - loss adjustment expense not allocable to a specific claim</t>
  </si>
  <si>
    <t>e.g. overhead / salaries for claims department</t>
  </si>
  <si>
    <t>3-YR</t>
  </si>
  <si>
    <t>Wgt Avg</t>
  </si>
  <si>
    <t>General Expenses</t>
  </si>
  <si>
    <t>a</t>
  </si>
  <si>
    <t>Countrywide General Expenses</t>
  </si>
  <si>
    <t>b</t>
  </si>
  <si>
    <t>Countrywide Earned Premium</t>
  </si>
  <si>
    <t>c</t>
  </si>
  <si>
    <t>Ratio (a/b)</t>
  </si>
  <si>
    <t>d</t>
  </si>
  <si>
    <t>% Assumed Fixed</t>
  </si>
  <si>
    <t>Try changing the "% Assumed Fixed" of General and Other Acquisition expenses.</t>
  </si>
  <si>
    <t>e</t>
  </si>
  <si>
    <t>Fixed Expense % ( c x d )</t>
  </si>
  <si>
    <t>f</t>
  </si>
  <si>
    <t>Variable Expense % ( c  - e )</t>
  </si>
  <si>
    <t>Other Acquisition</t>
  </si>
  <si>
    <t>Countrywide Other Acquisition Costs</t>
  </si>
  <si>
    <t>Countrywide Written Premium</t>
  </si>
  <si>
    <t>Licenses and Fees</t>
  </si>
  <si>
    <t>State Licenses and Fees Expenses</t>
  </si>
  <si>
    <t>State Written Premium</t>
  </si>
  <si>
    <t>Commission and Brokerage</t>
  </si>
  <si>
    <t>State Commission Expenses</t>
  </si>
  <si>
    <t>Taxes</t>
  </si>
  <si>
    <t>State Tax Expenses</t>
  </si>
  <si>
    <t>[1e] + [2e] + [3e] + [4e] + [5e]</t>
  </si>
  <si>
    <t>[1f] + [2f] + [3f] + [4f] + [5f]</t>
  </si>
  <si>
    <t>Premium</t>
  </si>
  <si>
    <t>Expense</t>
  </si>
  <si>
    <t>State Earned Premium</t>
  </si>
  <si>
    <t>Rate Change</t>
  </si>
  <si>
    <t>Countrywide Other Acquisition Expenses</t>
  </si>
  <si>
    <t>State Licenses and Fees</t>
  </si>
  <si>
    <t>RC 1</t>
  </si>
  <si>
    <t>RC 2</t>
  </si>
  <si>
    <t>RC 3</t>
  </si>
  <si>
    <t>RC 4</t>
  </si>
  <si>
    <t>RC 5</t>
  </si>
  <si>
    <t>RC 6</t>
  </si>
  <si>
    <t>Paid Loss + ALAE</t>
  </si>
  <si>
    <t>Paid ULAE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</si>
</sst>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&quot;$&quot;#,##0"/>
    <numFmt numFmtId="165" formatCode="0.0%"/>
    <numFmt numFmtId="166" formatCode="#,##0.0000"/>
    <numFmt numFmtId="167" formatCode="0.0000"/>
    <numFmt numFmtId="168" formatCode="&quot;$&quot;#,##0.00"/>
    <numFmt numFmtId="169" formatCode="0.000"/>
    <numFmt numFmtId="170" formatCode="&quot;[&quot;0&quot;]&quot;"/>
    <numFmt numFmtId="171" formatCode="0.00000"/>
    <numFmt numFmtId="172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theme="2" tint="-0.499984740745262"/>
      </left>
      <right style="thin">
        <color theme="0"/>
      </right>
      <top style="hair">
        <color theme="2" tint="-0.499984740745262"/>
      </top>
      <bottom style="thin">
        <color theme="0"/>
      </bottom>
      <diagonal/>
    </border>
    <border>
      <left style="thin">
        <color theme="0"/>
      </left>
      <right style="hair">
        <color theme="2" tint="-0.499984740745262"/>
      </right>
      <top style="hair">
        <color theme="2" tint="-0.499984740745262"/>
      </top>
      <bottom style="thin">
        <color theme="0"/>
      </bottom>
      <diagonal/>
    </border>
    <border>
      <left style="hair">
        <color theme="2" tint="-0.499984740745262"/>
      </left>
      <right style="thin">
        <color theme="0"/>
      </right>
      <top style="thin">
        <color theme="0"/>
      </top>
      <bottom style="hair">
        <color theme="2" tint="-0.499984740745262"/>
      </bottom>
      <diagonal/>
    </border>
    <border>
      <left style="thin">
        <color theme="0"/>
      </left>
      <right style="hair">
        <color theme="2" tint="-0.499984740745262"/>
      </right>
      <top style="thin">
        <color theme="0"/>
      </top>
      <bottom style="hair">
        <color theme="2" tint="-0.499984740745262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hair">
        <color theme="2" tint="-0.499984740745262"/>
      </right>
      <top style="thin">
        <color auto="1"/>
      </top>
      <bottom style="thin">
        <color theme="0"/>
      </bottom>
      <diagonal/>
    </border>
    <border>
      <left style="hair">
        <color theme="2" tint="-0.499984740745262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hair">
        <color theme="2" tint="-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hair">
        <color theme="2" tint="-0.499984740745262"/>
      </bottom>
      <diagonal/>
    </border>
    <border>
      <left style="thin">
        <color auto="1"/>
      </left>
      <right style="thin">
        <color theme="0"/>
      </right>
      <top style="hair">
        <color theme="2" tint="-0.499984740745262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hair">
        <color theme="2" tint="-0.499984740745262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hair">
        <color theme="2" tint="-0.499984740745262"/>
      </right>
      <top style="thin">
        <color theme="0"/>
      </top>
      <bottom style="thin">
        <color auto="1"/>
      </bottom>
      <diagonal/>
    </border>
    <border>
      <left style="hair">
        <color theme="2" tint="-0.499984740745262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hair">
        <color theme="2" tint="-0.499984740745262"/>
      </right>
      <top style="thin">
        <color auto="1"/>
      </top>
      <bottom/>
      <diagonal/>
    </border>
    <border>
      <left/>
      <right style="hair">
        <color theme="2" tint="-0.499984740745262"/>
      </right>
      <top/>
      <bottom/>
      <diagonal/>
    </border>
    <border>
      <left style="thin">
        <color auto="1"/>
      </left>
      <right/>
      <top/>
      <bottom style="hair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/>
      <right style="hair">
        <color theme="2" tint="-0.499984740745262"/>
      </right>
      <top/>
      <bottom style="hair">
        <color theme="2" tint="-0.499984740745262"/>
      </bottom>
      <diagonal/>
    </border>
    <border>
      <left/>
      <right/>
      <top style="hair">
        <color indexed="64"/>
      </top>
      <bottom/>
      <diagonal/>
    </border>
    <border>
      <left/>
      <right style="hair">
        <color theme="2" tint="-0.499984740745262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theme="2" tint="-0.499984740745262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theme="2" tint="-0.499984740745262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theme="2" tint="-0.499984740745262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1" applyAlignment="1" applyProtection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  <xf numFmtId="168" fontId="0" fillId="0" borderId="0" xfId="0" applyNumberFormat="1"/>
    <xf numFmtId="0" fontId="3" fillId="0" borderId="0" xfId="0" applyFont="1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/>
    <xf numFmtId="165" fontId="2" fillId="0" borderId="0" xfId="0" applyNumberFormat="1" applyFont="1"/>
    <xf numFmtId="169" fontId="0" fillId="0" borderId="0" xfId="0" applyNumberFormat="1"/>
    <xf numFmtId="170" fontId="0" fillId="0" borderId="0" xfId="0" applyNumberFormat="1"/>
    <xf numFmtId="0" fontId="0" fillId="0" borderId="0" xfId="0" quotePrefix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righ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8" fontId="0" fillId="0" borderId="3" xfId="0" applyNumberFormat="1" applyBorder="1"/>
    <xf numFmtId="168" fontId="0" fillId="0" borderId="4" xfId="0" applyNumberFormat="1" applyBorder="1"/>
    <xf numFmtId="168" fontId="0" fillId="0" borderId="5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5" xfId="0" applyNumberFormat="1" applyBorder="1"/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8" fillId="0" borderId="0" xfId="1" applyFont="1" applyAlignment="1" applyProtection="1"/>
    <xf numFmtId="0" fontId="0" fillId="0" borderId="9" xfId="0" applyBorder="1"/>
    <xf numFmtId="14" fontId="0" fillId="0" borderId="9" xfId="0" applyNumberFormat="1" applyBorder="1" applyAlignment="1">
      <alignment horizontal="right"/>
    </xf>
    <xf numFmtId="14" fontId="0" fillId="0" borderId="0" xfId="0" applyNumberFormat="1"/>
    <xf numFmtId="0" fontId="9" fillId="0" borderId="9" xfId="0" applyFont="1" applyBorder="1"/>
    <xf numFmtId="14" fontId="9" fillId="0" borderId="9" xfId="0" applyNumberFormat="1" applyFont="1" applyBorder="1"/>
    <xf numFmtId="165" fontId="9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centerContinuous"/>
    </xf>
    <xf numFmtId="1" fontId="0" fillId="0" borderId="9" xfId="0" applyNumberFormat="1" applyBorder="1" applyAlignment="1">
      <alignment horizontal="right"/>
    </xf>
    <xf numFmtId="0" fontId="11" fillId="0" borderId="0" xfId="0" quotePrefix="1" applyFont="1"/>
    <xf numFmtId="170" fontId="0" fillId="0" borderId="0" xfId="0" applyNumberFormat="1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Continuous"/>
    </xf>
    <xf numFmtId="9" fontId="0" fillId="2" borderId="0" xfId="0" applyNumberFormat="1" applyFill="1"/>
    <xf numFmtId="0" fontId="0" fillId="2" borderId="0" xfId="0" quotePrefix="1" applyFill="1"/>
    <xf numFmtId="9" fontId="0" fillId="2" borderId="0" xfId="0" quotePrefix="1" applyNumberFormat="1" applyFill="1"/>
    <xf numFmtId="0" fontId="0" fillId="2" borderId="16" xfId="0" applyFill="1" applyBorder="1"/>
    <xf numFmtId="9" fontId="0" fillId="2" borderId="0" xfId="0" quotePrefix="1" applyNumberFormat="1" applyFill="1" applyAlignment="1">
      <alignment horizontal="centerContinuous"/>
    </xf>
    <xf numFmtId="9" fontId="0" fillId="2" borderId="0" xfId="0" quotePrefix="1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right"/>
    </xf>
    <xf numFmtId="0" fontId="0" fillId="2" borderId="17" xfId="0" applyFill="1" applyBorder="1" applyAlignment="1">
      <alignment horizontal="centerContinuous"/>
    </xf>
    <xf numFmtId="0" fontId="0" fillId="2" borderId="18" xfId="0" applyFill="1" applyBorder="1" applyAlignment="1">
      <alignment horizontal="centerContinuous"/>
    </xf>
    <xf numFmtId="0" fontId="0" fillId="2" borderId="19" xfId="0" applyFill="1" applyBorder="1" applyAlignment="1">
      <alignment horizontal="centerContinuous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24" xfId="0" applyFill="1" applyBorder="1" applyAlignment="1">
      <alignment horizontal="centerContinuous"/>
    </xf>
    <xf numFmtId="169" fontId="0" fillId="2" borderId="25" xfId="0" applyNumberFormat="1" applyFill="1" applyBorder="1" applyAlignment="1">
      <alignment horizontal="centerContinuous"/>
    </xf>
    <xf numFmtId="169" fontId="0" fillId="2" borderId="0" xfId="0" applyNumberFormat="1" applyFill="1" applyAlignment="1">
      <alignment horizontal="centerContinuous"/>
    </xf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5" xfId="0" applyFill="1" applyBorder="1"/>
    <xf numFmtId="169" fontId="0" fillId="2" borderId="8" xfId="0" applyNumberFormat="1" applyFill="1" applyBorder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0" fillId="2" borderId="6" xfId="0" applyFill="1" applyBorder="1"/>
    <xf numFmtId="0" fontId="0" fillId="2" borderId="38" xfId="0" applyFill="1" applyBorder="1"/>
    <xf numFmtId="0" fontId="0" fillId="2" borderId="3" xfId="0" applyFill="1" applyBorder="1"/>
    <xf numFmtId="0" fontId="0" fillId="2" borderId="39" xfId="0" applyFill="1" applyBorder="1"/>
    <xf numFmtId="0" fontId="0" fillId="2" borderId="40" xfId="0" applyFill="1" applyBorder="1"/>
    <xf numFmtId="169" fontId="0" fillId="2" borderId="41" xfId="0" applyNumberFormat="1" applyFill="1" applyBorder="1" applyAlignment="1">
      <alignment horizontal="centerContinuous"/>
    </xf>
    <xf numFmtId="0" fontId="0" fillId="2" borderId="41" xfId="0" applyFill="1" applyBorder="1" applyAlignment="1">
      <alignment horizontal="centerContinuous"/>
    </xf>
    <xf numFmtId="0" fontId="0" fillId="2" borderId="42" xfId="0" applyFill="1" applyBorder="1"/>
    <xf numFmtId="0" fontId="0" fillId="2" borderId="20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0" xfId="0" quotePrefix="1" applyFill="1" applyAlignment="1">
      <alignment horizontal="centerContinuous"/>
    </xf>
    <xf numFmtId="0" fontId="0" fillId="2" borderId="39" xfId="0" quotePrefix="1" applyFill="1" applyBorder="1"/>
    <xf numFmtId="169" fontId="0" fillId="2" borderId="45" xfId="0" applyNumberFormat="1" applyFill="1" applyBorder="1" applyAlignment="1">
      <alignment horizontal="centerContinuous"/>
    </xf>
    <xf numFmtId="0" fontId="0" fillId="2" borderId="4" xfId="0" quotePrefix="1" applyFill="1" applyBorder="1"/>
    <xf numFmtId="0" fontId="0" fillId="2" borderId="41" xfId="0" applyFill="1" applyBorder="1"/>
    <xf numFmtId="0" fontId="0" fillId="2" borderId="21" xfId="0" applyFill="1" applyBorder="1"/>
    <xf numFmtId="0" fontId="0" fillId="2" borderId="53" xfId="0" applyFill="1" applyBorder="1"/>
    <xf numFmtId="0" fontId="0" fillId="2" borderId="54" xfId="0" applyFill="1" applyBorder="1"/>
    <xf numFmtId="169" fontId="0" fillId="2" borderId="55" xfId="0" applyNumberFormat="1" applyFill="1" applyBorder="1" applyAlignment="1">
      <alignment horizontal="centerContinuous"/>
    </xf>
    <xf numFmtId="0" fontId="0" fillId="2" borderId="55" xfId="0" applyFill="1" applyBorder="1" applyAlignment="1">
      <alignment horizontal="centerContinuous"/>
    </xf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2" borderId="53" xfId="0" quotePrefix="1" applyFill="1" applyBorder="1"/>
    <xf numFmtId="0" fontId="13" fillId="2" borderId="0" xfId="0" applyFont="1" applyFill="1" applyAlignment="1">
      <alignment horizontal="centerContinuous"/>
    </xf>
    <xf numFmtId="0" fontId="13" fillId="2" borderId="45" xfId="0" applyFont="1" applyFill="1" applyBorder="1" applyAlignment="1">
      <alignment horizontal="centerContinuous"/>
    </xf>
    <xf numFmtId="0" fontId="14" fillId="2" borderId="3" xfId="0" applyFont="1" applyFill="1" applyBorder="1" applyAlignment="1">
      <alignment horizontal="centerContinuous"/>
    </xf>
    <xf numFmtId="0" fontId="14" fillId="2" borderId="39" xfId="0" applyFont="1" applyFill="1" applyBorder="1" applyAlignment="1">
      <alignment horizontal="centerContinuous"/>
    </xf>
    <xf numFmtId="169" fontId="14" fillId="2" borderId="55" xfId="0" applyNumberFormat="1" applyFont="1" applyFill="1" applyBorder="1" applyAlignment="1">
      <alignment horizontal="centerContinuous"/>
    </xf>
    <xf numFmtId="167" fontId="0" fillId="2" borderId="25" xfId="0" applyNumberFormat="1" applyFill="1" applyBorder="1" applyAlignment="1">
      <alignment horizontal="centerContinuous"/>
    </xf>
    <xf numFmtId="171" fontId="0" fillId="2" borderId="25" xfId="0" applyNumberFormat="1" applyFill="1" applyBorder="1" applyAlignment="1">
      <alignment horizontal="centerContinuous"/>
    </xf>
    <xf numFmtId="0" fontId="0" fillId="2" borderId="25" xfId="0" applyFill="1" applyBorder="1" applyAlignment="1">
      <alignment horizontal="centerContinuous"/>
    </xf>
    <xf numFmtId="167" fontId="0" fillId="2" borderId="24" xfId="0" applyNumberFormat="1" applyFill="1" applyBorder="1" applyAlignment="1">
      <alignment horizontal="centerContinuous"/>
    </xf>
    <xf numFmtId="0" fontId="0" fillId="2" borderId="6" xfId="0" applyFill="1" applyBorder="1" applyAlignment="1">
      <alignment horizontal="centerContinuous"/>
    </xf>
    <xf numFmtId="167" fontId="0" fillId="2" borderId="30" xfId="0" applyNumberFormat="1" applyFill="1" applyBorder="1" applyAlignment="1">
      <alignment horizontal="centerContinuous"/>
    </xf>
    <xf numFmtId="167" fontId="0" fillId="2" borderId="5" xfId="0" applyNumberFormat="1" applyFill="1" applyBorder="1" applyAlignment="1">
      <alignment horizontal="centerContinuous"/>
    </xf>
    <xf numFmtId="0" fontId="9" fillId="0" borderId="0" xfId="0" applyFont="1"/>
    <xf numFmtId="0" fontId="9" fillId="2" borderId="9" xfId="0" applyFont="1" applyFill="1" applyBorder="1" applyAlignment="1">
      <alignment horizontal="left"/>
    </xf>
    <xf numFmtId="164" fontId="4" fillId="4" borderId="0" xfId="0" applyNumberFormat="1" applyFont="1" applyFill="1"/>
    <xf numFmtId="166" fontId="0" fillId="4" borderId="0" xfId="0" applyNumberFormat="1" applyFill="1" applyAlignment="1">
      <alignment horizontal="center"/>
    </xf>
    <xf numFmtId="164" fontId="4" fillId="0" borderId="0" xfId="0" applyNumberFormat="1" applyFont="1"/>
    <xf numFmtId="3" fontId="4" fillId="4" borderId="0" xfId="0" applyNumberFormat="1" applyFont="1" applyFill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/>
    <xf numFmtId="0" fontId="0" fillId="5" borderId="0" xfId="0" quotePrefix="1" applyFill="1"/>
    <xf numFmtId="0" fontId="0" fillId="5" borderId="0" xfId="0" applyFill="1"/>
    <xf numFmtId="0" fontId="0" fillId="5" borderId="0" xfId="0" applyFill="1" applyAlignment="1">
      <alignment horizontal="left" indent="1"/>
    </xf>
    <xf numFmtId="168" fontId="0" fillId="4" borderId="0" xfId="0" applyNumberFormat="1" applyFill="1"/>
    <xf numFmtId="167" fontId="0" fillId="4" borderId="0" xfId="0" applyNumberFormat="1" applyFill="1" applyAlignment="1">
      <alignment horizontal="center"/>
    </xf>
    <xf numFmtId="168" fontId="0" fillId="4" borderId="0" xfId="0" applyNumberFormat="1" applyFill="1" applyAlignment="1">
      <alignment horizontal="center"/>
    </xf>
    <xf numFmtId="3" fontId="0" fillId="5" borderId="0" xfId="0" applyNumberFormat="1" applyFill="1"/>
    <xf numFmtId="165" fontId="0" fillId="4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0" fontId="0" fillId="3" borderId="59" xfId="0" applyFill="1" applyBorder="1"/>
    <xf numFmtId="0" fontId="0" fillId="3" borderId="60" xfId="0" applyFill="1" applyBorder="1"/>
    <xf numFmtId="1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/>
    </xf>
    <xf numFmtId="0" fontId="11" fillId="0" borderId="0" xfId="0" applyFont="1"/>
    <xf numFmtId="0" fontId="9" fillId="0" borderId="0" xfId="0" applyFont="1" applyAlignment="1">
      <alignment vertical="top"/>
    </xf>
    <xf numFmtId="165" fontId="4" fillId="0" borderId="0" xfId="0" applyNumberFormat="1" applyFont="1"/>
    <xf numFmtId="3" fontId="4" fillId="0" borderId="0" xfId="0" applyNumberFormat="1" applyFont="1"/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62" xfId="0" applyFill="1" applyBorder="1"/>
    <xf numFmtId="0" fontId="0" fillId="3" borderId="61" xfId="0" applyFill="1" applyBorder="1"/>
    <xf numFmtId="0" fontId="11" fillId="3" borderId="13" xfId="0" applyFont="1" applyFill="1" applyBorder="1"/>
    <xf numFmtId="0" fontId="11" fillId="3" borderId="59" xfId="0" applyFont="1" applyFill="1" applyBorder="1"/>
    <xf numFmtId="0" fontId="4" fillId="0" borderId="0" xfId="0" applyFont="1"/>
    <xf numFmtId="165" fontId="4" fillId="4" borderId="0" xfId="0" applyNumberFormat="1" applyFont="1" applyFill="1"/>
    <xf numFmtId="10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5" fontId="0" fillId="4" borderId="0" xfId="0" applyNumberFormat="1" applyFill="1" applyAlignment="1">
      <alignment horizontal="right"/>
    </xf>
    <xf numFmtId="164" fontId="0" fillId="4" borderId="0" xfId="0" applyNumberFormat="1" applyFill="1"/>
    <xf numFmtId="165" fontId="0" fillId="4" borderId="0" xfId="2" applyNumberFormat="1" applyFont="1" applyFill="1"/>
    <xf numFmtId="167" fontId="4" fillId="4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0" fillId="4" borderId="8" xfId="0" applyNumberFormat="1" applyFill="1" applyBorder="1"/>
    <xf numFmtId="168" fontId="0" fillId="4" borderId="4" xfId="0" applyNumberFormat="1" applyFill="1" applyBorder="1"/>
    <xf numFmtId="168" fontId="0" fillId="4" borderId="6" xfId="0" applyNumberFormat="1" applyFill="1" applyBorder="1"/>
    <xf numFmtId="169" fontId="0" fillId="4" borderId="0" xfId="0" applyNumberFormat="1" applyFill="1"/>
    <xf numFmtId="169" fontId="0" fillId="4" borderId="8" xfId="0" applyNumberFormat="1" applyFill="1" applyBorder="1"/>
    <xf numFmtId="169" fontId="0" fillId="4" borderId="4" xfId="0" applyNumberFormat="1" applyFill="1" applyBorder="1"/>
    <xf numFmtId="169" fontId="0" fillId="4" borderId="6" xfId="0" applyNumberFormat="1" applyFill="1" applyBorder="1"/>
    <xf numFmtId="4" fontId="4" fillId="4" borderId="0" xfId="0" applyNumberFormat="1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0" fontId="16" fillId="0" borderId="0" xfId="0" applyFont="1"/>
    <xf numFmtId="0" fontId="18" fillId="0" borderId="0" xfId="0" applyFont="1"/>
    <xf numFmtId="172" fontId="4" fillId="0" borderId="0" xfId="3" applyNumberFormat="1" applyFont="1"/>
    <xf numFmtId="14" fontId="4" fillId="0" borderId="0" xfId="0" applyNumberFormat="1" applyFont="1" applyAlignment="1">
      <alignment horizontal="right"/>
    </xf>
    <xf numFmtId="165" fontId="4" fillId="0" borderId="0" xfId="2" applyNumberFormat="1" applyFont="1"/>
    <xf numFmtId="169" fontId="4" fillId="4" borderId="0" xfId="0" applyNumberFormat="1" applyFont="1" applyFill="1"/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9" fontId="0" fillId="2" borderId="0" xfId="0" quotePrefix="1" applyNumberFormat="1" applyFill="1" applyAlignment="1">
      <alignment vertical="top"/>
    </xf>
    <xf numFmtId="0" fontId="0" fillId="2" borderId="0" xfId="0" applyFill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FF"/>
      <color rgb="FFC0504D"/>
      <color rgb="FF4F81BD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'Premium Trend - 1'!$M$8</c:f>
              <c:strCache>
                <c:ptCount val="1"/>
                <c:pt idx="0">
                  <c:v>Average Premium</c:v>
                </c:pt>
              </c:strCache>
            </c:strRef>
          </c:tx>
          <c:cat>
            <c:strRef>
              <c:f>'Premium Trend - 1'!$L$9:$L$31</c:f>
              <c:strCache>
                <c:ptCount val="23"/>
                <c:pt idx="0">
                  <c:v>2013-2</c:v>
                </c:pt>
                <c:pt idx="1">
                  <c:v>2013-3</c:v>
                </c:pt>
                <c:pt idx="2">
                  <c:v>2013-4</c:v>
                </c:pt>
                <c:pt idx="3">
                  <c:v>2014-1</c:v>
                </c:pt>
                <c:pt idx="4">
                  <c:v>2014-2</c:v>
                </c:pt>
                <c:pt idx="5">
                  <c:v>2014-3</c:v>
                </c:pt>
                <c:pt idx="6">
                  <c:v>2014-4</c:v>
                </c:pt>
                <c:pt idx="7">
                  <c:v>2015-1</c:v>
                </c:pt>
                <c:pt idx="8">
                  <c:v>2015-2</c:v>
                </c:pt>
                <c:pt idx="9">
                  <c:v>2015-3</c:v>
                </c:pt>
                <c:pt idx="10">
                  <c:v>2015-4</c:v>
                </c:pt>
                <c:pt idx="11">
                  <c:v>2016-1</c:v>
                </c:pt>
                <c:pt idx="12">
                  <c:v>2016-2</c:v>
                </c:pt>
                <c:pt idx="13">
                  <c:v>2016-3</c:v>
                </c:pt>
                <c:pt idx="14">
                  <c:v>2016-4</c:v>
                </c:pt>
                <c:pt idx="15">
                  <c:v>2017-1</c:v>
                </c:pt>
                <c:pt idx="16">
                  <c:v>2017-2</c:v>
                </c:pt>
                <c:pt idx="17">
                  <c:v>2017-3</c:v>
                </c:pt>
                <c:pt idx="18">
                  <c:v>2017-4</c:v>
                </c:pt>
                <c:pt idx="19">
                  <c:v>2018-1</c:v>
                </c:pt>
                <c:pt idx="20">
                  <c:v>2018-2</c:v>
                </c:pt>
                <c:pt idx="21">
                  <c:v>2018-3</c:v>
                </c:pt>
                <c:pt idx="22">
                  <c:v>2018-4</c:v>
                </c:pt>
              </c:strCache>
            </c:strRef>
          </c:cat>
          <c:val>
            <c:numRef>
              <c:f>'Premium Trend - 1'!$M$9:$M$31</c:f>
              <c:numCache>
                <c:formatCode>"$"#,##0.00</c:formatCode>
                <c:ptCount val="23"/>
                <c:pt idx="0">
                  <c:v>103.0516902423816</c:v>
                </c:pt>
                <c:pt idx="1">
                  <c:v>103.58337568085082</c:v>
                </c:pt>
                <c:pt idx="2">
                  <c:v>104.13208283905374</c:v>
                </c:pt>
                <c:pt idx="3">
                  <c:v>104.72656590810591</c:v>
                </c:pt>
                <c:pt idx="4">
                  <c:v>109.44132036380597</c:v>
                </c:pt>
                <c:pt idx="5">
                  <c:v>108.63755123037544</c:v>
                </c:pt>
                <c:pt idx="6">
                  <c:v>107.80148383578508</c:v>
                </c:pt>
                <c:pt idx="7">
                  <c:v>106.92953381006795</c:v>
                </c:pt>
                <c:pt idx="8">
                  <c:v>107.42922845675301</c:v>
                </c:pt>
                <c:pt idx="9">
                  <c:v>100.60443504537068</c:v>
                </c:pt>
                <c:pt idx="10">
                  <c:v>103.6127197631095</c:v>
                </c:pt>
                <c:pt idx="11">
                  <c:v>106.66712071155612</c:v>
                </c:pt>
                <c:pt idx="12">
                  <c:v>109.75337707506868</c:v>
                </c:pt>
                <c:pt idx="13">
                  <c:v>110.32243848263256</c:v>
                </c:pt>
                <c:pt idx="14">
                  <c:v>106.90541926117362</c:v>
                </c:pt>
                <c:pt idx="15">
                  <c:v>108.74158866808254</c:v>
                </c:pt>
                <c:pt idx="16">
                  <c:v>110.62741938559323</c:v>
                </c:pt>
                <c:pt idx="17">
                  <c:v>114.24772617611583</c:v>
                </c:pt>
                <c:pt idx="18">
                  <c:v>114.25158065001507</c:v>
                </c:pt>
                <c:pt idx="19">
                  <c:v>114.27738516961875</c:v>
                </c:pt>
                <c:pt idx="20">
                  <c:v>114.26098425787109</c:v>
                </c:pt>
                <c:pt idx="21">
                  <c:v>114.77993723849376</c:v>
                </c:pt>
                <c:pt idx="22">
                  <c:v>111.21829159212881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5-43F9-A7B7-1E4053869668}"/>
            </c:ext>
          </c:extLst>
        </c:ser>
        <c:ser>
          <c:idx val="1"/>
          <c:order val="1"/>
          <c:tx>
            <c:strRef>
              <c:f>'Premium Trend - 1'!$N$8</c:f>
              <c:strCache>
                <c:ptCount val="1"/>
                <c:pt idx="0">
                  <c:v>20-pt fit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cat>
            <c:strRef>
              <c:f>'Premium Trend - 1'!$L$9:$L$31</c:f>
              <c:strCache>
                <c:ptCount val="23"/>
                <c:pt idx="0">
                  <c:v>2013-2</c:v>
                </c:pt>
                <c:pt idx="1">
                  <c:v>2013-3</c:v>
                </c:pt>
                <c:pt idx="2">
                  <c:v>2013-4</c:v>
                </c:pt>
                <c:pt idx="3">
                  <c:v>2014-1</c:v>
                </c:pt>
                <c:pt idx="4">
                  <c:v>2014-2</c:v>
                </c:pt>
                <c:pt idx="5">
                  <c:v>2014-3</c:v>
                </c:pt>
                <c:pt idx="6">
                  <c:v>2014-4</c:v>
                </c:pt>
                <c:pt idx="7">
                  <c:v>2015-1</c:v>
                </c:pt>
                <c:pt idx="8">
                  <c:v>2015-2</c:v>
                </c:pt>
                <c:pt idx="9">
                  <c:v>2015-3</c:v>
                </c:pt>
                <c:pt idx="10">
                  <c:v>2015-4</c:v>
                </c:pt>
                <c:pt idx="11">
                  <c:v>2016-1</c:v>
                </c:pt>
                <c:pt idx="12">
                  <c:v>2016-2</c:v>
                </c:pt>
                <c:pt idx="13">
                  <c:v>2016-3</c:v>
                </c:pt>
                <c:pt idx="14">
                  <c:v>2016-4</c:v>
                </c:pt>
                <c:pt idx="15">
                  <c:v>2017-1</c:v>
                </c:pt>
                <c:pt idx="16">
                  <c:v>2017-2</c:v>
                </c:pt>
                <c:pt idx="17">
                  <c:v>2017-3</c:v>
                </c:pt>
                <c:pt idx="18">
                  <c:v>2017-4</c:v>
                </c:pt>
                <c:pt idx="19">
                  <c:v>2018-1</c:v>
                </c:pt>
                <c:pt idx="20">
                  <c:v>2018-2</c:v>
                </c:pt>
                <c:pt idx="21">
                  <c:v>2018-3</c:v>
                </c:pt>
                <c:pt idx="22">
                  <c:v>2018-4</c:v>
                </c:pt>
              </c:strCache>
            </c:strRef>
          </c:cat>
          <c:val>
            <c:numRef>
              <c:f>'Premium Trend - 1'!$N$9:$N$31</c:f>
              <c:numCache>
                <c:formatCode>"$"#,##0.00</c:formatCode>
                <c:ptCount val="23"/>
                <c:pt idx="3">
                  <c:v>104.89337384798108</c:v>
                </c:pt>
                <c:pt idx="4">
                  <c:v>105.33898479233783</c:v>
                </c:pt>
                <c:pt idx="5">
                  <c:v>105.78648879348592</c:v>
                </c:pt>
                <c:pt idx="6">
                  <c:v>106.23589389356179</c:v>
                </c:pt>
                <c:pt idx="7">
                  <c:v>106.68720816886675</c:v>
                </c:pt>
                <c:pt idx="8">
                  <c:v>107.14043973001199</c:v>
                </c:pt>
                <c:pt idx="9">
                  <c:v>107.59559672206451</c:v>
                </c:pt>
                <c:pt idx="10">
                  <c:v>108.05268732469335</c:v>
                </c:pt>
                <c:pt idx="11">
                  <c:v>108.51171975231669</c:v>
                </c:pt>
                <c:pt idx="12">
                  <c:v>108.97270225424937</c:v>
                </c:pt>
                <c:pt idx="13">
                  <c:v>109.43564311485129</c:v>
                </c:pt>
                <c:pt idx="14">
                  <c:v>109.90055065367609</c:v>
                </c:pt>
                <c:pt idx="15">
                  <c:v>110.36743322562087</c:v>
                </c:pt>
                <c:pt idx="16">
                  <c:v>110.83629922107617</c:v>
                </c:pt>
                <c:pt idx="17">
                  <c:v>111.30715706607684</c:v>
                </c:pt>
                <c:pt idx="18">
                  <c:v>111.78001522245344</c:v>
                </c:pt>
                <c:pt idx="19">
                  <c:v>112.25488218798434</c:v>
                </c:pt>
                <c:pt idx="20">
                  <c:v>112.73176649654836</c:v>
                </c:pt>
                <c:pt idx="21">
                  <c:v>113.21067671827822</c:v>
                </c:pt>
                <c:pt idx="22">
                  <c:v>113.69162145971453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5-43F9-A7B7-1E4053869668}"/>
            </c:ext>
          </c:extLst>
        </c:ser>
        <c:ser>
          <c:idx val="2"/>
          <c:order val="2"/>
          <c:tx>
            <c:strRef>
              <c:f>'Premium Trend - 1'!$O$8</c:f>
              <c:strCache>
                <c:ptCount val="1"/>
                <c:pt idx="0">
                  <c:v>12-pt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'Premium Trend - 1'!$L$9:$L$31</c:f>
              <c:strCache>
                <c:ptCount val="23"/>
                <c:pt idx="0">
                  <c:v>2013-2</c:v>
                </c:pt>
                <c:pt idx="1">
                  <c:v>2013-3</c:v>
                </c:pt>
                <c:pt idx="2">
                  <c:v>2013-4</c:v>
                </c:pt>
                <c:pt idx="3">
                  <c:v>2014-1</c:v>
                </c:pt>
                <c:pt idx="4">
                  <c:v>2014-2</c:v>
                </c:pt>
                <c:pt idx="5">
                  <c:v>2014-3</c:v>
                </c:pt>
                <c:pt idx="6">
                  <c:v>2014-4</c:v>
                </c:pt>
                <c:pt idx="7">
                  <c:v>2015-1</c:v>
                </c:pt>
                <c:pt idx="8">
                  <c:v>2015-2</c:v>
                </c:pt>
                <c:pt idx="9">
                  <c:v>2015-3</c:v>
                </c:pt>
                <c:pt idx="10">
                  <c:v>2015-4</c:v>
                </c:pt>
                <c:pt idx="11">
                  <c:v>2016-1</c:v>
                </c:pt>
                <c:pt idx="12">
                  <c:v>2016-2</c:v>
                </c:pt>
                <c:pt idx="13">
                  <c:v>2016-3</c:v>
                </c:pt>
                <c:pt idx="14">
                  <c:v>2016-4</c:v>
                </c:pt>
                <c:pt idx="15">
                  <c:v>2017-1</c:v>
                </c:pt>
                <c:pt idx="16">
                  <c:v>2017-2</c:v>
                </c:pt>
                <c:pt idx="17">
                  <c:v>2017-3</c:v>
                </c:pt>
                <c:pt idx="18">
                  <c:v>2017-4</c:v>
                </c:pt>
                <c:pt idx="19">
                  <c:v>2018-1</c:v>
                </c:pt>
                <c:pt idx="20">
                  <c:v>2018-2</c:v>
                </c:pt>
                <c:pt idx="21">
                  <c:v>2018-3</c:v>
                </c:pt>
                <c:pt idx="22">
                  <c:v>2018-4</c:v>
                </c:pt>
              </c:strCache>
            </c:strRef>
          </c:cat>
          <c:val>
            <c:numRef>
              <c:f>'Premium Trend - 1'!$O$9:$O$31</c:f>
              <c:numCache>
                <c:formatCode>"$"#,##0.00</c:formatCode>
                <c:ptCount val="23"/>
                <c:pt idx="11">
                  <c:v>107.88251640288333</c:v>
                </c:pt>
                <c:pt idx="12">
                  <c:v>108.49612271953514</c:v>
                </c:pt>
                <c:pt idx="13">
                  <c:v>109.11321906148845</c:v>
                </c:pt>
                <c:pt idx="14">
                  <c:v>109.7338252790549</c:v>
                </c:pt>
                <c:pt idx="15">
                  <c:v>110.35796133544925</c:v>
                </c:pt>
                <c:pt idx="16">
                  <c:v>110.98564730743162</c:v>
                </c:pt>
                <c:pt idx="17">
                  <c:v>111.61690338595326</c:v>
                </c:pt>
                <c:pt idx="18">
                  <c:v>112.25174987680603</c:v>
                </c:pt>
                <c:pt idx="19">
                  <c:v>112.89020720127557</c:v>
                </c:pt>
                <c:pt idx="20">
                  <c:v>113.53229589679829</c:v>
                </c:pt>
                <c:pt idx="21">
                  <c:v>114.17803661762186</c:v>
                </c:pt>
                <c:pt idx="22">
                  <c:v>114.8274501354697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5-43F9-A7B7-1E4053869668}"/>
            </c:ext>
          </c:extLst>
        </c:ser>
        <c:ser>
          <c:idx val="3"/>
          <c:order val="3"/>
          <c:tx>
            <c:strRef>
              <c:f>'Premium Trend - 1'!$P$8</c:f>
              <c:strCache>
                <c:ptCount val="1"/>
                <c:pt idx="0">
                  <c:v>6-pt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'Premium Trend - 1'!$L$9:$L$31</c:f>
              <c:strCache>
                <c:ptCount val="23"/>
                <c:pt idx="0">
                  <c:v>2013-2</c:v>
                </c:pt>
                <c:pt idx="1">
                  <c:v>2013-3</c:v>
                </c:pt>
                <c:pt idx="2">
                  <c:v>2013-4</c:v>
                </c:pt>
                <c:pt idx="3">
                  <c:v>2014-1</c:v>
                </c:pt>
                <c:pt idx="4">
                  <c:v>2014-2</c:v>
                </c:pt>
                <c:pt idx="5">
                  <c:v>2014-3</c:v>
                </c:pt>
                <c:pt idx="6">
                  <c:v>2014-4</c:v>
                </c:pt>
                <c:pt idx="7">
                  <c:v>2015-1</c:v>
                </c:pt>
                <c:pt idx="8">
                  <c:v>2015-2</c:v>
                </c:pt>
                <c:pt idx="9">
                  <c:v>2015-3</c:v>
                </c:pt>
                <c:pt idx="10">
                  <c:v>2015-4</c:v>
                </c:pt>
                <c:pt idx="11">
                  <c:v>2016-1</c:v>
                </c:pt>
                <c:pt idx="12">
                  <c:v>2016-2</c:v>
                </c:pt>
                <c:pt idx="13">
                  <c:v>2016-3</c:v>
                </c:pt>
                <c:pt idx="14">
                  <c:v>2016-4</c:v>
                </c:pt>
                <c:pt idx="15">
                  <c:v>2017-1</c:v>
                </c:pt>
                <c:pt idx="16">
                  <c:v>2017-2</c:v>
                </c:pt>
                <c:pt idx="17">
                  <c:v>2017-3</c:v>
                </c:pt>
                <c:pt idx="18">
                  <c:v>2017-4</c:v>
                </c:pt>
                <c:pt idx="19">
                  <c:v>2018-1</c:v>
                </c:pt>
                <c:pt idx="20">
                  <c:v>2018-2</c:v>
                </c:pt>
                <c:pt idx="21">
                  <c:v>2018-3</c:v>
                </c:pt>
                <c:pt idx="22">
                  <c:v>2018-4</c:v>
                </c:pt>
              </c:strCache>
            </c:strRef>
          </c:cat>
          <c:val>
            <c:numRef>
              <c:f>'Premium Trend - 1'!$P$9:$P$31</c:f>
              <c:numCache>
                <c:formatCode>"$"#,##0.00</c:formatCode>
                <c:ptCount val="23"/>
                <c:pt idx="17">
                  <c:v>114.81847785364509</c:v>
                </c:pt>
                <c:pt idx="18">
                  <c:v>114.42328726250972</c:v>
                </c:pt>
                <c:pt idx="19">
                  <c:v>114.02945686710453</c:v>
                </c:pt>
                <c:pt idx="20">
                  <c:v>113.63698198580889</c:v>
                </c:pt>
                <c:pt idx="21">
                  <c:v>113.2458579531157</c:v>
                </c:pt>
                <c:pt idx="22">
                  <c:v>112.85608011957596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5-43F9-A7B7-1E405386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495328"/>
        <c:axId val="-121496960"/>
      </c:lineChart>
      <c:catAx>
        <c:axId val="-12149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Ending 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21496960"/>
        <c:crosses val="autoZero"/>
        <c:auto val="1"/>
        <c:lblAlgn val="ctr"/>
        <c:lblOffset val="100"/>
        <c:noMultiLvlLbl val="0"/>
      </c:catAx>
      <c:valAx>
        <c:axId val="-12149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Premium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-12149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Trend - 1'!$U$8</c:f>
              <c:strCache>
                <c:ptCount val="1"/>
                <c:pt idx="0">
                  <c:v>Average Frequency</c:v>
                </c:pt>
              </c:strCache>
            </c:strRef>
          </c:tx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- 1'!$U$9:$U$28</c:f>
              <c:numCache>
                <c:formatCode>0.000</c:formatCode>
                <c:ptCount val="20"/>
                <c:pt idx="0">
                  <c:v>5.8823529411764705E-2</c:v>
                </c:pt>
                <c:pt idx="1">
                  <c:v>5.8770343580470161E-2</c:v>
                </c:pt>
                <c:pt idx="2">
                  <c:v>5.9281437125748501E-2</c:v>
                </c:pt>
                <c:pt idx="3">
                  <c:v>5.8631921824104233E-2</c:v>
                </c:pt>
                <c:pt idx="4">
                  <c:v>5.8224163027656477E-2</c:v>
                </c:pt>
                <c:pt idx="5">
                  <c:v>5.7841726618705035E-2</c:v>
                </c:pt>
                <c:pt idx="6">
                  <c:v>5.6695156695156693E-2</c:v>
                </c:pt>
                <c:pt idx="7">
                  <c:v>5.5602836879432627E-2</c:v>
                </c:pt>
                <c:pt idx="8">
                  <c:v>5.5270655270655271E-2</c:v>
                </c:pt>
                <c:pt idx="9">
                  <c:v>5.5269186712485679E-2</c:v>
                </c:pt>
                <c:pt idx="10">
                  <c:v>5.5539568345323739E-2</c:v>
                </c:pt>
                <c:pt idx="11">
                  <c:v>5.6115107913669061E-2</c:v>
                </c:pt>
                <c:pt idx="12">
                  <c:v>5.605058924978442E-2</c:v>
                </c:pt>
                <c:pt idx="13">
                  <c:v>5.5571469492981952E-2</c:v>
                </c:pt>
                <c:pt idx="14">
                  <c:v>5.5142857142857146E-2</c:v>
                </c:pt>
                <c:pt idx="15">
                  <c:v>5.4794520547945202E-2</c:v>
                </c:pt>
                <c:pt idx="16">
                  <c:v>5.5129298096050015E-2</c:v>
                </c:pt>
                <c:pt idx="17">
                  <c:v>5.4833239118145846E-2</c:v>
                </c:pt>
                <c:pt idx="18">
                  <c:v>5.4724964739069112E-2</c:v>
                </c:pt>
                <c:pt idx="19">
                  <c:v>5.4545454545454543E-2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F-4342-A044-348E125FBACE}"/>
            </c:ext>
          </c:extLst>
        </c:ser>
        <c:ser>
          <c:idx val="1"/>
          <c:order val="1"/>
          <c:tx>
            <c:strRef>
              <c:f>'Loss Trend - 1'!$V$8</c:f>
              <c:strCache>
                <c:ptCount val="1"/>
                <c:pt idx="0">
                  <c:v>20-pt fit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- 1'!$V$9:$V$28</c:f>
              <c:numCache>
                <c:formatCode>0.000</c:formatCode>
                <c:ptCount val="20"/>
                <c:pt idx="0">
                  <c:v>5.868898134928599E-2</c:v>
                </c:pt>
                <c:pt idx="1">
                  <c:v>5.8435124941784759E-2</c:v>
                </c:pt>
                <c:pt idx="2">
                  <c:v>5.8182366578143692E-2</c:v>
                </c:pt>
                <c:pt idx="3">
                  <c:v>5.7930701508826107E-2</c:v>
                </c:pt>
                <c:pt idx="4">
                  <c:v>5.7680125004839204E-2</c:v>
                </c:pt>
                <c:pt idx="5">
                  <c:v>5.7430632357645249E-2</c:v>
                </c:pt>
                <c:pt idx="6">
                  <c:v>5.7182218879073043E-2</c:v>
                </c:pt>
                <c:pt idx="7">
                  <c:v>5.6934879901229855E-2</c:v>
                </c:pt>
                <c:pt idx="8">
                  <c:v>5.6688610776413705E-2</c:v>
                </c:pt>
                <c:pt idx="9">
                  <c:v>5.644340687702603E-2</c:v>
                </c:pt>
                <c:pt idx="10">
                  <c:v>5.6199263595484716E-2</c:v>
                </c:pt>
                <c:pt idx="11">
                  <c:v>5.5956176344137534E-2</c:v>
                </c:pt>
                <c:pt idx="12">
                  <c:v>5.5714140555175914E-2</c:v>
                </c:pt>
                <c:pt idx="13">
                  <c:v>5.5473151680549157E-2</c:v>
                </c:pt>
                <c:pt idx="14">
                  <c:v>5.5233205191878916E-2</c:v>
                </c:pt>
                <c:pt idx="15">
                  <c:v>5.4994296580374122E-2</c:v>
                </c:pt>
                <c:pt idx="16">
                  <c:v>5.4756421356746299E-2</c:v>
                </c:pt>
                <c:pt idx="17">
                  <c:v>5.4519575051125153E-2</c:v>
                </c:pt>
                <c:pt idx="18">
                  <c:v>5.4283753212974593E-2</c:v>
                </c:pt>
                <c:pt idx="19">
                  <c:v>5.4048951411009148E-2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F-4342-A044-348E125FBACE}"/>
            </c:ext>
          </c:extLst>
        </c:ser>
        <c:ser>
          <c:idx val="2"/>
          <c:order val="2"/>
          <c:tx>
            <c:strRef>
              <c:f>'Loss Trend - 1'!$W$8</c:f>
              <c:strCache>
                <c:ptCount val="1"/>
                <c:pt idx="0">
                  <c:v>12-pt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- 1'!$W$9:$W$28</c:f>
              <c:numCache>
                <c:formatCode>0.000</c:formatCode>
                <c:ptCount val="20"/>
                <c:pt idx="8">
                  <c:v>5.5768061531061335E-2</c:v>
                </c:pt>
                <c:pt idx="9">
                  <c:v>5.5672928721849604E-2</c:v>
                </c:pt>
                <c:pt idx="10">
                  <c:v>5.5577958196409982E-2</c:v>
                </c:pt>
                <c:pt idx="11">
                  <c:v>5.548314967790819E-2</c:v>
                </c:pt>
                <c:pt idx="12">
                  <c:v>5.5388502889982191E-2</c:v>
                </c:pt>
                <c:pt idx="13">
                  <c:v>5.5294017556741383E-2</c:v>
                </c:pt>
                <c:pt idx="14">
                  <c:v>5.5199693402765801E-2</c:v>
                </c:pt>
                <c:pt idx="15">
                  <c:v>5.5105530153105299E-2</c:v>
                </c:pt>
                <c:pt idx="16">
                  <c:v>5.5011527533278773E-2</c:v>
                </c:pt>
                <c:pt idx="17">
                  <c:v>5.4917685269273341E-2</c:v>
                </c:pt>
                <c:pt idx="18">
                  <c:v>5.4824003087543538E-2</c:v>
                </c:pt>
                <c:pt idx="19">
                  <c:v>5.4730480715010549E-2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F-4342-A044-348E125FBACE}"/>
            </c:ext>
          </c:extLst>
        </c:ser>
        <c:ser>
          <c:idx val="3"/>
          <c:order val="3"/>
          <c:tx>
            <c:strRef>
              <c:f>'Loss Trend - 1'!$X$8</c:f>
              <c:strCache>
                <c:ptCount val="1"/>
                <c:pt idx="0">
                  <c:v>6-pt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- 1'!$X$9:$X$28</c:f>
              <c:numCache>
                <c:formatCode>0.000</c:formatCode>
                <c:ptCount val="20"/>
                <c:pt idx="14">
                  <c:v>5.5111333604278528E-2</c:v>
                </c:pt>
                <c:pt idx="15">
                  <c:v>5.5011185810519003E-2</c:v>
                </c:pt>
                <c:pt idx="16">
                  <c:v>5.4911220004382325E-2</c:v>
                </c:pt>
                <c:pt idx="17">
                  <c:v>5.4811435855162322E-2</c:v>
                </c:pt>
                <c:pt idx="18">
                  <c:v>5.4711833032753752E-2</c:v>
                </c:pt>
                <c:pt idx="19">
                  <c:v>5.4612411207651257E-2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F-4342-A044-348E125F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494240"/>
        <c:axId val="-121492608"/>
      </c:lineChart>
      <c:catAx>
        <c:axId val="-1214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Ending 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21492608"/>
        <c:crosses val="autoZero"/>
        <c:auto val="1"/>
        <c:lblAlgn val="ctr"/>
        <c:lblOffset val="100"/>
        <c:noMultiLvlLbl val="0"/>
      </c:catAx>
      <c:valAx>
        <c:axId val="-12149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Pure Premium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1214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Trend - 1'!$Q$8</c:f>
              <c:strCache>
                <c:ptCount val="1"/>
                <c:pt idx="0">
                  <c:v>Average Severity</c:v>
                </c:pt>
              </c:strCache>
            </c:strRef>
          </c:tx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- 1'!$Q$9:$Q$28</c:f>
              <c:numCache>
                <c:formatCode>"$"#,##0.00</c:formatCode>
                <c:ptCount val="20"/>
                <c:pt idx="0">
                  <c:v>1059.3969072164948</c:v>
                </c:pt>
                <c:pt idx="1">
                  <c:v>1074.4923076923078</c:v>
                </c:pt>
                <c:pt idx="2">
                  <c:v>1085.1515151515152</c:v>
                </c:pt>
                <c:pt idx="3">
                  <c:v>1099.1313131313132</c:v>
                </c:pt>
                <c:pt idx="4">
                  <c:v>1102.05</c:v>
                </c:pt>
                <c:pt idx="5">
                  <c:v>1107.1094527363184</c:v>
                </c:pt>
                <c:pt idx="6">
                  <c:v>1114.7587939698492</c:v>
                </c:pt>
                <c:pt idx="7">
                  <c:v>1122.4132653061224</c:v>
                </c:pt>
                <c:pt idx="8">
                  <c:v>1125.8865979381444</c:v>
                </c:pt>
                <c:pt idx="9">
                  <c:v>1123.8652849740934</c:v>
                </c:pt>
                <c:pt idx="10">
                  <c:v>1117.8652849740934</c:v>
                </c:pt>
                <c:pt idx="11">
                  <c:v>1108.0564102564103</c:v>
                </c:pt>
                <c:pt idx="12">
                  <c:v>1102.8358974358973</c:v>
                </c:pt>
                <c:pt idx="13">
                  <c:v>1099.9123711340205</c:v>
                </c:pt>
                <c:pt idx="14">
                  <c:v>1096.6683937823834</c:v>
                </c:pt>
                <c:pt idx="15">
                  <c:v>1095.3333333333333</c:v>
                </c:pt>
                <c:pt idx="16">
                  <c:v>1097.1237113402062</c:v>
                </c:pt>
                <c:pt idx="17">
                  <c:v>1110.0824742268042</c:v>
                </c:pt>
                <c:pt idx="18">
                  <c:v>1121.4123711340205</c:v>
                </c:pt>
                <c:pt idx="19">
                  <c:v>1123.2820512820513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B-4641-A33B-FBD16B07969D}"/>
            </c:ext>
          </c:extLst>
        </c:ser>
        <c:ser>
          <c:idx val="1"/>
          <c:order val="1"/>
          <c:tx>
            <c:strRef>
              <c:f>'Loss Trend - 1'!$R$8</c:f>
              <c:strCache>
                <c:ptCount val="1"/>
                <c:pt idx="0">
                  <c:v>20-pt fit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- 1'!$R$9:$R$28</c:f>
              <c:numCache>
                <c:formatCode>"$"#,##0.00</c:formatCode>
                <c:ptCount val="20"/>
                <c:pt idx="0">
                  <c:v>1090.3505415953209</c:v>
                </c:pt>
                <c:pt idx="1">
                  <c:v>1091.801332670213</c:v>
                </c:pt>
                <c:pt idx="2">
                  <c:v>1093.2540541286498</c:v>
                </c:pt>
                <c:pt idx="3">
                  <c:v>1094.708708539147</c:v>
                </c:pt>
                <c:pt idx="4">
                  <c:v>1096.1652984736388</c:v>
                </c:pt>
                <c:pt idx="5">
                  <c:v>1097.6238265074815</c:v>
                </c:pt>
                <c:pt idx="6">
                  <c:v>1099.0842952194578</c:v>
                </c:pt>
                <c:pt idx="7">
                  <c:v>1100.5467071917815</c:v>
                </c:pt>
                <c:pt idx="8">
                  <c:v>1102.0110650101028</c:v>
                </c:pt>
                <c:pt idx="9">
                  <c:v>1103.4773712635119</c:v>
                </c:pt>
                <c:pt idx="10">
                  <c:v>1104.945628544544</c:v>
                </c:pt>
                <c:pt idx="11">
                  <c:v>1106.4158394491844</c:v>
                </c:pt>
                <c:pt idx="12">
                  <c:v>1107.8880065768715</c:v>
                </c:pt>
                <c:pt idx="13">
                  <c:v>1109.362132530503</c:v>
                </c:pt>
                <c:pt idx="14">
                  <c:v>1110.8382199164405</c:v>
                </c:pt>
                <c:pt idx="15">
                  <c:v>1112.3162713445124</c:v>
                </c:pt>
                <c:pt idx="16">
                  <c:v>1113.7962894280206</c:v>
                </c:pt>
                <c:pt idx="17">
                  <c:v>1115.2782767837441</c:v>
                </c:pt>
                <c:pt idx="18">
                  <c:v>1116.7622360319428</c:v>
                </c:pt>
                <c:pt idx="19">
                  <c:v>1118.2481697963647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B-4641-A33B-FBD16B07969D}"/>
            </c:ext>
          </c:extLst>
        </c:ser>
        <c:ser>
          <c:idx val="2"/>
          <c:order val="2"/>
          <c:tx>
            <c:strRef>
              <c:f>'Loss Trend - 1'!$S$8</c:f>
              <c:strCache>
                <c:ptCount val="1"/>
                <c:pt idx="0">
                  <c:v>12-pt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- 1'!$S$9:$S$28</c:f>
              <c:numCache>
                <c:formatCode>"$"#,##0.00</c:formatCode>
                <c:ptCount val="20"/>
                <c:pt idx="8">
                  <c:v>1113.7085380263422</c:v>
                </c:pt>
                <c:pt idx="9">
                  <c:v>1113.0581949553216</c:v>
                </c:pt>
                <c:pt idx="10">
                  <c:v>1112.4082316480326</c:v>
                </c:pt>
                <c:pt idx="11">
                  <c:v>1111.7586478827141</c:v>
                </c:pt>
                <c:pt idx="12">
                  <c:v>1111.1094434377351</c:v>
                </c:pt>
                <c:pt idx="13">
                  <c:v>1110.4606180915939</c:v>
                </c:pt>
                <c:pt idx="14">
                  <c:v>1109.8121716229184</c:v>
                </c:pt>
                <c:pt idx="15">
                  <c:v>1109.1641038104651</c:v>
                </c:pt>
                <c:pt idx="16">
                  <c:v>1108.5164144331204</c:v>
                </c:pt>
                <c:pt idx="17">
                  <c:v>1107.8691032698994</c:v>
                </c:pt>
                <c:pt idx="18">
                  <c:v>1107.222170099946</c:v>
                </c:pt>
                <c:pt idx="19">
                  <c:v>1106.575614702534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B-4641-A33B-FBD16B07969D}"/>
            </c:ext>
          </c:extLst>
        </c:ser>
        <c:ser>
          <c:idx val="3"/>
          <c:order val="3"/>
          <c:tx>
            <c:strRef>
              <c:f>'Loss Trend - 1'!$T$8</c:f>
              <c:strCache>
                <c:ptCount val="1"/>
                <c:pt idx="0">
                  <c:v>6-pt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- 1'!$T$9:$T$28</c:f>
              <c:numCache>
                <c:formatCode>"$"#,##0.00</c:formatCode>
                <c:ptCount val="20"/>
                <c:pt idx="14">
                  <c:v>1091.3765420601515</c:v>
                </c:pt>
                <c:pt idx="15">
                  <c:v>1097.7005412152364</c:v>
                </c:pt>
                <c:pt idx="16">
                  <c:v>1104.0611848864642</c:v>
                </c:pt>
                <c:pt idx="17">
                  <c:v>1110.4586854110808</c:v>
                </c:pt>
                <c:pt idx="18">
                  <c:v>1116.8932563567234</c:v>
                </c:pt>
                <c:pt idx="19">
                  <c:v>1123.3651125285514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B-4641-A33B-FBD16B07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505664"/>
        <c:axId val="-121504576"/>
      </c:lineChart>
      <c:catAx>
        <c:axId val="-1215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Ending 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21504576"/>
        <c:crosses val="autoZero"/>
        <c:auto val="1"/>
        <c:lblAlgn val="ctr"/>
        <c:lblOffset val="100"/>
        <c:noMultiLvlLbl val="0"/>
      </c:catAx>
      <c:valAx>
        <c:axId val="-12150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Severity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-1215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Trend - 1'!$M$8</c:f>
              <c:strCache>
                <c:ptCount val="1"/>
                <c:pt idx="0">
                  <c:v>Average Premium</c:v>
                </c:pt>
              </c:strCache>
            </c:strRef>
          </c:tx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- 1'!$M$9:$M$28</c:f>
              <c:numCache>
                <c:formatCode>"$"#,##0.00</c:formatCode>
                <c:ptCount val="20"/>
                <c:pt idx="0">
                  <c:v>62.317465130382047</c:v>
                </c:pt>
                <c:pt idx="1">
                  <c:v>63.148282097649187</c:v>
                </c:pt>
                <c:pt idx="2">
                  <c:v>64.329341317365262</c:v>
                </c:pt>
                <c:pt idx="3">
                  <c:v>64.444181225940184</c:v>
                </c:pt>
                <c:pt idx="4">
                  <c:v>64.165938864628828</c:v>
                </c:pt>
                <c:pt idx="5">
                  <c:v>64.037122302158267</c:v>
                </c:pt>
                <c:pt idx="6">
                  <c:v>63.201424501424505</c:v>
                </c:pt>
                <c:pt idx="7">
                  <c:v>62.409361702127661</c:v>
                </c:pt>
                <c:pt idx="8">
                  <c:v>62.228490028490029</c:v>
                </c:pt>
                <c:pt idx="9">
                  <c:v>62.115120274914091</c:v>
                </c:pt>
                <c:pt idx="10">
                  <c:v>62.085755395683456</c:v>
                </c:pt>
                <c:pt idx="11">
                  <c:v>62.17870503597122</c:v>
                </c:pt>
                <c:pt idx="12">
                  <c:v>61.814601897096864</c:v>
                </c:pt>
                <c:pt idx="13">
                  <c:v>61.123746777427669</c:v>
                </c:pt>
                <c:pt idx="14">
                  <c:v>60.47342857142857</c:v>
                </c:pt>
                <c:pt idx="15">
                  <c:v>60.018264840182646</c:v>
                </c:pt>
                <c:pt idx="16">
                  <c:v>60.483660130718953</c:v>
                </c:pt>
                <c:pt idx="17">
                  <c:v>60.869417750141324</c:v>
                </c:pt>
                <c:pt idx="18">
                  <c:v>61.369252468265159</c:v>
                </c:pt>
                <c:pt idx="19">
                  <c:v>61.269930069930069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E-486D-A438-E6861541A683}"/>
            </c:ext>
          </c:extLst>
        </c:ser>
        <c:ser>
          <c:idx val="1"/>
          <c:order val="1"/>
          <c:tx>
            <c:strRef>
              <c:f>'Loss Trend - 1'!$N$8</c:f>
              <c:strCache>
                <c:ptCount val="1"/>
                <c:pt idx="0">
                  <c:v>20-pt fit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- 1'!$N$9:$N$28</c:f>
              <c:numCache>
                <c:formatCode>"$"#,##0.00</c:formatCode>
                <c:ptCount val="20"/>
                <c:pt idx="0">
                  <c:v>63.991562599871664</c:v>
                </c:pt>
                <c:pt idx="1">
                  <c:v>63.799547286191022</c:v>
                </c:pt>
                <c:pt idx="2">
                  <c:v>63.608108140354858</c:v>
                </c:pt>
                <c:pt idx="3">
                  <c:v>63.417243433493844</c:v>
                </c:pt>
                <c:pt idx="4">
                  <c:v>63.226951441926374</c:v>
                </c:pt>
                <c:pt idx="5">
                  <c:v>63.037230447142974</c:v>
                </c:pt>
                <c:pt idx="6">
                  <c:v>62.848078735790772</c:v>
                </c:pt>
                <c:pt idx="7">
                  <c:v>62.659494599658061</c:v>
                </c:pt>
                <c:pt idx="8">
                  <c:v>62.47147633565887</c:v>
                </c:pt>
                <c:pt idx="9">
                  <c:v>62.284022245817525</c:v>
                </c:pt>
                <c:pt idx="10">
                  <c:v>62.097130637253386</c:v>
                </c:pt>
                <c:pt idx="11">
                  <c:v>61.910799822165522</c:v>
                </c:pt>
                <c:pt idx="12">
                  <c:v>61.72502811781748</c:v>
                </c:pt>
                <c:pt idx="13">
                  <c:v>61.53981384652208</c:v>
                </c:pt>
                <c:pt idx="14">
                  <c:v>61.355155335626264</c:v>
                </c:pt>
                <c:pt idx="15">
                  <c:v>61.171050917496018</c:v>
                </c:pt>
                <c:pt idx="16">
                  <c:v>60.987498929501257</c:v>
                </c:pt>
                <c:pt idx="17">
                  <c:v>60.804497714000867</c:v>
                </c:pt>
                <c:pt idx="18">
                  <c:v>60.622045618327689</c:v>
                </c:pt>
                <c:pt idx="19">
                  <c:v>60.440140994773635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E-486D-A438-E6861541A683}"/>
            </c:ext>
          </c:extLst>
        </c:ser>
        <c:ser>
          <c:idx val="2"/>
          <c:order val="2"/>
          <c:tx>
            <c:strRef>
              <c:f>'Loss Trend - 1'!$O$8</c:f>
              <c:strCache>
                <c:ptCount val="1"/>
                <c:pt idx="0">
                  <c:v>12-pt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- 1'!$O$9:$O$28</c:f>
              <c:numCache>
                <c:formatCode>"$"#,##0.00</c:formatCode>
                <c:ptCount val="20"/>
                <c:pt idx="8">
                  <c:v>62.109366276321346</c:v>
                </c:pt>
                <c:pt idx="9">
                  <c:v>61.967209551018144</c:v>
                </c:pt>
                <c:pt idx="10">
                  <c:v>61.825378195876638</c:v>
                </c:pt>
                <c:pt idx="11">
                  <c:v>61.683871466185387</c:v>
                </c:pt>
                <c:pt idx="12">
                  <c:v>61.54268861893744</c:v>
                </c:pt>
                <c:pt idx="13">
                  <c:v>61.401828912826431</c:v>
                </c:pt>
                <c:pt idx="14">
                  <c:v>61.261291608242736</c:v>
                </c:pt>
                <c:pt idx="15">
                  <c:v>61.121075967269554</c:v>
                </c:pt>
                <c:pt idx="16">
                  <c:v>60.981181253679019</c:v>
                </c:pt>
                <c:pt idx="17">
                  <c:v>60.841606732928362</c:v>
                </c:pt>
                <c:pt idx="18">
                  <c:v>60.702351672156048</c:v>
                </c:pt>
                <c:pt idx="19">
                  <c:v>60.563415340177926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E-486D-A438-E6861541A683}"/>
            </c:ext>
          </c:extLst>
        </c:ser>
        <c:ser>
          <c:idx val="3"/>
          <c:order val="3"/>
          <c:tx>
            <c:strRef>
              <c:f>'Loss Trend - 1'!$P$8</c:f>
              <c:strCache>
                <c:ptCount val="1"/>
                <c:pt idx="0">
                  <c:v>6-pt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- 1'!$P$9:$P$28</c:f>
              <c:numCache>
                <c:formatCode>"$"#,##0.00</c:formatCode>
                <c:ptCount val="20"/>
                <c:pt idx="14">
                  <c:v>60.147216697360932</c:v>
                </c:pt>
                <c:pt idx="15">
                  <c:v>60.385808437098639</c:v>
                </c:pt>
                <c:pt idx="16">
                  <c:v>60.625346621599675</c:v>
                </c:pt>
                <c:pt idx="17">
                  <c:v>60.86583500521732</c:v>
                </c:pt>
                <c:pt idx="18">
                  <c:v>61.107277357197695</c:v>
                </c:pt>
                <c:pt idx="19">
                  <c:v>61.349677461738658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E-486D-A438-E6861541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502944"/>
        <c:axId val="-121497504"/>
      </c:lineChart>
      <c:catAx>
        <c:axId val="-1215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Ending 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21497504"/>
        <c:crosses val="autoZero"/>
        <c:auto val="1"/>
        <c:lblAlgn val="ctr"/>
        <c:lblOffset val="100"/>
        <c:noMultiLvlLbl val="0"/>
      </c:catAx>
      <c:valAx>
        <c:axId val="-121497504"/>
        <c:scaling>
          <c:orientation val="minMax"/>
          <c:min val="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Pure Premium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-1215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180975</xdr:rowOff>
    </xdr:from>
    <xdr:to>
      <xdr:col>8</xdr:col>
      <xdr:colOff>0</xdr:colOff>
      <xdr:row>16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E2BD976-6D6A-4CDC-B605-10CF0B1D5DA9}"/>
            </a:ext>
          </a:extLst>
        </xdr:cNvPr>
        <xdr:cNvCxnSpPr/>
      </xdr:nvCxnSpPr>
      <xdr:spPr>
        <a:xfrm flipV="1">
          <a:off x="1066800" y="371475"/>
          <a:ext cx="762000" cy="154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12</xdr:row>
      <xdr:rowOff>9525</xdr:rowOff>
    </xdr:from>
    <xdr:to>
      <xdr:col>42</xdr:col>
      <xdr:colOff>0</xdr:colOff>
      <xdr:row>16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C4DEF8-C95F-49BF-8E2E-57F875A7EED8}"/>
            </a:ext>
          </a:extLst>
        </xdr:cNvPr>
        <xdr:cNvCxnSpPr/>
      </xdr:nvCxnSpPr>
      <xdr:spPr>
        <a:xfrm flipV="1">
          <a:off x="7924800" y="1152525"/>
          <a:ext cx="381000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8</xdr:row>
      <xdr:rowOff>9525</xdr:rowOff>
    </xdr:from>
    <xdr:to>
      <xdr:col>33</xdr:col>
      <xdr:colOff>180975</xdr:colOff>
      <xdr:row>16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48131C2-0280-4FC8-BEA2-3C5056F71E2A}"/>
            </a:ext>
          </a:extLst>
        </xdr:cNvPr>
        <xdr:cNvCxnSpPr/>
      </xdr:nvCxnSpPr>
      <xdr:spPr>
        <a:xfrm flipV="1">
          <a:off x="6010275" y="390525"/>
          <a:ext cx="762000" cy="154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0</xdr:rowOff>
    </xdr:from>
    <xdr:to>
      <xdr:col>28</xdr:col>
      <xdr:colOff>0</xdr:colOff>
      <xdr:row>16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91E28E6-883E-4A00-BEE7-3CAD5C7E63A8}"/>
            </a:ext>
          </a:extLst>
        </xdr:cNvPr>
        <xdr:cNvCxnSpPr/>
      </xdr:nvCxnSpPr>
      <xdr:spPr>
        <a:xfrm flipV="1">
          <a:off x="4876800" y="381000"/>
          <a:ext cx="762000" cy="154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180975</xdr:rowOff>
    </xdr:from>
    <xdr:to>
      <xdr:col>18</xdr:col>
      <xdr:colOff>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490EBA6-4037-47CE-B5F7-FF3D90270CE2}"/>
            </a:ext>
          </a:extLst>
        </xdr:cNvPr>
        <xdr:cNvCxnSpPr/>
      </xdr:nvCxnSpPr>
      <xdr:spPr>
        <a:xfrm flipV="1">
          <a:off x="2971800" y="371475"/>
          <a:ext cx="762000" cy="154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85725</xdr:colOff>
      <xdr:row>14</xdr:row>
      <xdr:rowOff>180975</xdr:rowOff>
    </xdr:from>
    <xdr:to>
      <xdr:col>42</xdr:col>
      <xdr:colOff>133350</xdr:colOff>
      <xdr:row>20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9B2795E-A5D1-4611-8E73-40AFB2FA0FE4}"/>
            </a:ext>
          </a:extLst>
        </xdr:cNvPr>
        <xdr:cNvCxnSpPr/>
      </xdr:nvCxnSpPr>
      <xdr:spPr>
        <a:xfrm flipH="1" flipV="1">
          <a:off x="8201025" y="1704975"/>
          <a:ext cx="238125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</xdr:row>
      <xdr:rowOff>0</xdr:rowOff>
    </xdr:from>
    <xdr:to>
      <xdr:col>6</xdr:col>
      <xdr:colOff>9525</xdr:colOff>
      <xdr:row>36</xdr:row>
      <xdr:rowOff>19051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67E3618-50EA-4D14-8563-6CF35CEF7D4F}"/>
            </a:ext>
          </a:extLst>
        </xdr:cNvPr>
        <xdr:cNvCxnSpPr/>
      </xdr:nvCxnSpPr>
      <xdr:spPr>
        <a:xfrm flipV="1">
          <a:off x="685800" y="4095750"/>
          <a:ext cx="771525" cy="1562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28</xdr:row>
      <xdr:rowOff>9525</xdr:rowOff>
    </xdr:from>
    <xdr:to>
      <xdr:col>17</xdr:col>
      <xdr:colOff>180975</xdr:colOff>
      <xdr:row>44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E2C48BB-C4D2-47D4-9E77-EA7086AB21B8}"/>
            </a:ext>
          </a:extLst>
        </xdr:cNvPr>
        <xdr:cNvCxnSpPr/>
      </xdr:nvCxnSpPr>
      <xdr:spPr>
        <a:xfrm flipV="1">
          <a:off x="2200275" y="4105275"/>
          <a:ext cx="1524000" cy="3067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0</xdr:rowOff>
    </xdr:from>
    <xdr:to>
      <xdr:col>26</xdr:col>
      <xdr:colOff>9525</xdr:colOff>
      <xdr:row>26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2808E32-1B1D-4433-85B7-0249EE810DBC}"/>
            </a:ext>
          </a:extLst>
        </xdr:cNvPr>
        <xdr:cNvCxnSpPr/>
      </xdr:nvCxnSpPr>
      <xdr:spPr>
        <a:xfrm flipV="1">
          <a:off x="685800" y="1905000"/>
          <a:ext cx="4581525" cy="18192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0</xdr:rowOff>
    </xdr:from>
    <xdr:to>
      <xdr:col>34</xdr:col>
      <xdr:colOff>9525</xdr:colOff>
      <xdr:row>26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5304A2C-58FB-4A19-B65E-D22C59D06090}"/>
            </a:ext>
          </a:extLst>
        </xdr:cNvPr>
        <xdr:cNvCxnSpPr/>
      </xdr:nvCxnSpPr>
      <xdr:spPr>
        <a:xfrm flipV="1">
          <a:off x="3733800" y="1905000"/>
          <a:ext cx="3057525" cy="180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</xdr:colOff>
      <xdr:row>28</xdr:row>
      <xdr:rowOff>0</xdr:rowOff>
    </xdr:from>
    <xdr:to>
      <xdr:col>6</xdr:col>
      <xdr:colOff>1</xdr:colOff>
      <xdr:row>36</xdr:row>
      <xdr:rowOff>0</xdr:rowOff>
    </xdr:to>
    <xdr:sp macro="" textlink="">
      <xdr:nvSpPr>
        <xdr:cNvPr id="13" name="Freeform: Shape 12">
          <a:extLst>
            <a:ext uri="{FF2B5EF4-FFF2-40B4-BE49-F238E27FC236}">
              <a16:creationId xmlns:a16="http://schemas.microsoft.com/office/drawing/2014/main" id="{5F97A052-10F7-4E8F-9174-189A490E0E8C}"/>
            </a:ext>
          </a:extLst>
        </xdr:cNvPr>
        <xdr:cNvSpPr/>
      </xdr:nvSpPr>
      <xdr:spPr>
        <a:xfrm>
          <a:off x="692524" y="4101353"/>
          <a:ext cx="753036" cy="1546412"/>
        </a:xfrm>
        <a:custGeom>
          <a:avLst/>
          <a:gdLst>
            <a:gd name="connsiteX0" fmla="*/ 0 w 797859"/>
            <a:gd name="connsiteY0" fmla="*/ 1479176 h 1479176"/>
            <a:gd name="connsiteX1" fmla="*/ 797859 w 797859"/>
            <a:gd name="connsiteY1" fmla="*/ 0 h 1479176"/>
            <a:gd name="connsiteX2" fmla="*/ 8965 w 797859"/>
            <a:gd name="connsiteY2" fmla="*/ 8965 h 1479176"/>
            <a:gd name="connsiteX3" fmla="*/ 0 w 797859"/>
            <a:gd name="connsiteY3" fmla="*/ 1479176 h 14791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97859" h="1479176">
              <a:moveTo>
                <a:pt x="0" y="1479176"/>
              </a:moveTo>
              <a:lnTo>
                <a:pt x="797859" y="0"/>
              </a:lnTo>
              <a:lnTo>
                <a:pt x="8965" y="8965"/>
              </a:lnTo>
              <a:cubicBezTo>
                <a:pt x="5977" y="499035"/>
                <a:pt x="2988" y="989106"/>
                <a:pt x="0" y="1479176"/>
              </a:cubicBezTo>
              <a:close/>
            </a:path>
          </a:pathLst>
        </a:custGeom>
        <a:solidFill>
          <a:srgbClr val="92D050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8964</xdr:colOff>
      <xdr:row>28</xdr:row>
      <xdr:rowOff>0</xdr:rowOff>
    </xdr:from>
    <xdr:to>
      <xdr:col>17</xdr:col>
      <xdr:colOff>188259</xdr:colOff>
      <xdr:row>44</xdr:row>
      <xdr:rowOff>0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B0642B8F-9190-4216-8A92-2A8828975F82}"/>
            </a:ext>
          </a:extLst>
        </xdr:cNvPr>
        <xdr:cNvSpPr/>
      </xdr:nvSpPr>
      <xdr:spPr>
        <a:xfrm>
          <a:off x="717176" y="3854824"/>
          <a:ext cx="3137648" cy="2922494"/>
        </a:xfrm>
        <a:custGeom>
          <a:avLst/>
          <a:gdLst>
            <a:gd name="connsiteX0" fmla="*/ 17930 w 3137648"/>
            <a:gd name="connsiteY0" fmla="*/ 1470211 h 2922494"/>
            <a:gd name="connsiteX1" fmla="*/ 0 w 3137648"/>
            <a:gd name="connsiteY1" fmla="*/ 2922494 h 2922494"/>
            <a:gd name="connsiteX2" fmla="*/ 1559859 w 3137648"/>
            <a:gd name="connsiteY2" fmla="*/ 2913529 h 2922494"/>
            <a:gd name="connsiteX3" fmla="*/ 3137648 w 3137648"/>
            <a:gd name="connsiteY3" fmla="*/ 0 h 2922494"/>
            <a:gd name="connsiteX4" fmla="*/ 806824 w 3137648"/>
            <a:gd name="connsiteY4" fmla="*/ 8964 h 2922494"/>
            <a:gd name="connsiteX5" fmla="*/ 17930 w 3137648"/>
            <a:gd name="connsiteY5" fmla="*/ 1470211 h 29224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137648" h="2922494">
              <a:moveTo>
                <a:pt x="17930" y="1470211"/>
              </a:moveTo>
              <a:lnTo>
                <a:pt x="0" y="2922494"/>
              </a:lnTo>
              <a:lnTo>
                <a:pt x="1559859" y="2913529"/>
              </a:lnTo>
              <a:lnTo>
                <a:pt x="3137648" y="0"/>
              </a:lnTo>
              <a:lnTo>
                <a:pt x="806824" y="8964"/>
              </a:lnTo>
              <a:lnTo>
                <a:pt x="17930" y="1470211"/>
              </a:lnTo>
              <a:close/>
            </a:path>
          </a:pathLst>
        </a:custGeom>
        <a:solidFill>
          <a:srgbClr val="4F81BD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26894</xdr:colOff>
      <xdr:row>28</xdr:row>
      <xdr:rowOff>0</xdr:rowOff>
    </xdr:from>
    <xdr:to>
      <xdr:col>18</xdr:col>
      <xdr:colOff>26894</xdr:colOff>
      <xdr:row>44</xdr:row>
      <xdr:rowOff>0</xdr:rowOff>
    </xdr:to>
    <xdr:sp macro="" textlink="">
      <xdr:nvSpPr>
        <xdr:cNvPr id="15" name="Freeform: Shape 14">
          <a:extLst>
            <a:ext uri="{FF2B5EF4-FFF2-40B4-BE49-F238E27FC236}">
              <a16:creationId xmlns:a16="http://schemas.microsoft.com/office/drawing/2014/main" id="{9F6DEA24-FD52-4B9D-AC02-E2A0FF50C9C3}"/>
            </a:ext>
          </a:extLst>
        </xdr:cNvPr>
        <xdr:cNvSpPr/>
      </xdr:nvSpPr>
      <xdr:spPr>
        <a:xfrm>
          <a:off x="2312894" y="3854824"/>
          <a:ext cx="1577788" cy="2922494"/>
        </a:xfrm>
        <a:custGeom>
          <a:avLst/>
          <a:gdLst>
            <a:gd name="connsiteX0" fmla="*/ 0 w 1577788"/>
            <a:gd name="connsiteY0" fmla="*/ 2922494 h 2922494"/>
            <a:gd name="connsiteX1" fmla="*/ 1577788 w 1577788"/>
            <a:gd name="connsiteY1" fmla="*/ 2904564 h 2922494"/>
            <a:gd name="connsiteX2" fmla="*/ 1559859 w 1577788"/>
            <a:gd name="connsiteY2" fmla="*/ 0 h 2922494"/>
            <a:gd name="connsiteX3" fmla="*/ 0 w 1577788"/>
            <a:gd name="connsiteY3" fmla="*/ 2922494 h 29224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77788" h="2922494">
              <a:moveTo>
                <a:pt x="0" y="2922494"/>
              </a:moveTo>
              <a:lnTo>
                <a:pt x="1577788" y="2904564"/>
              </a:lnTo>
              <a:lnTo>
                <a:pt x="1559859" y="0"/>
              </a:lnTo>
              <a:lnTo>
                <a:pt x="0" y="2922494"/>
              </a:lnTo>
              <a:close/>
            </a:path>
          </a:pathLst>
        </a:custGeom>
        <a:solidFill>
          <a:srgbClr val="C0504D">
            <a:alpha val="50196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188259</xdr:colOff>
      <xdr:row>8</xdr:row>
      <xdr:rowOff>0</xdr:rowOff>
    </xdr:from>
    <xdr:to>
      <xdr:col>28</xdr:col>
      <xdr:colOff>17929</xdr:colOff>
      <xdr:row>11</xdr:row>
      <xdr:rowOff>161364</xdr:rowOff>
    </xdr:to>
    <xdr:sp macro="" textlink="">
      <xdr:nvSpPr>
        <xdr:cNvPr id="17" name="Freeform: Shape 16">
          <a:extLst>
            <a:ext uri="{FF2B5EF4-FFF2-40B4-BE49-F238E27FC236}">
              <a16:creationId xmlns:a16="http://schemas.microsoft.com/office/drawing/2014/main" id="{28FAA5AC-EB97-40D1-99C4-87EECA22B99F}"/>
            </a:ext>
          </a:extLst>
        </xdr:cNvPr>
        <xdr:cNvSpPr/>
      </xdr:nvSpPr>
      <xdr:spPr>
        <a:xfrm>
          <a:off x="5432612" y="358588"/>
          <a:ext cx="421341" cy="699247"/>
        </a:xfrm>
        <a:custGeom>
          <a:avLst/>
          <a:gdLst>
            <a:gd name="connsiteX0" fmla="*/ 0 w 421341"/>
            <a:gd name="connsiteY0" fmla="*/ 699247 h 699247"/>
            <a:gd name="connsiteX1" fmla="*/ 17929 w 421341"/>
            <a:gd name="connsiteY1" fmla="*/ 8965 h 699247"/>
            <a:gd name="connsiteX2" fmla="*/ 421341 w 421341"/>
            <a:gd name="connsiteY2" fmla="*/ 0 h 699247"/>
            <a:gd name="connsiteX3" fmla="*/ 0 w 421341"/>
            <a:gd name="connsiteY3" fmla="*/ 699247 h 6992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21341" h="699247">
              <a:moveTo>
                <a:pt x="0" y="699247"/>
              </a:moveTo>
              <a:lnTo>
                <a:pt x="17929" y="8965"/>
              </a:lnTo>
              <a:lnTo>
                <a:pt x="421341" y="0"/>
              </a:lnTo>
              <a:lnTo>
                <a:pt x="0" y="699247"/>
              </a:lnTo>
              <a:close/>
            </a:path>
          </a:pathLst>
        </a:custGeom>
        <a:solidFill>
          <a:srgbClr val="92D050">
            <a:alpha val="50196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8</xdr:row>
      <xdr:rowOff>0</xdr:rowOff>
    </xdr:from>
    <xdr:to>
      <xdr:col>34</xdr:col>
      <xdr:colOff>0</xdr:colOff>
      <xdr:row>16</xdr:row>
      <xdr:rowOff>11206</xdr:rowOff>
    </xdr:to>
    <xdr:sp macro="" textlink="">
      <xdr:nvSpPr>
        <xdr:cNvPr id="18" name="Freeform: Shape 17">
          <a:extLst>
            <a:ext uri="{FF2B5EF4-FFF2-40B4-BE49-F238E27FC236}">
              <a16:creationId xmlns:a16="http://schemas.microsoft.com/office/drawing/2014/main" id="{E5A0B09B-9FDA-4925-903B-673E938CA4DA}"/>
            </a:ext>
          </a:extLst>
        </xdr:cNvPr>
        <xdr:cNvSpPr/>
      </xdr:nvSpPr>
      <xdr:spPr>
        <a:xfrm>
          <a:off x="5255559" y="381000"/>
          <a:ext cx="1524000" cy="1535206"/>
        </a:xfrm>
        <a:custGeom>
          <a:avLst/>
          <a:gdLst>
            <a:gd name="connsiteX0" fmla="*/ 770965 w 1586753"/>
            <a:gd name="connsiteY0" fmla="*/ 1425388 h 1443318"/>
            <a:gd name="connsiteX1" fmla="*/ 1586753 w 1586753"/>
            <a:gd name="connsiteY1" fmla="*/ 0 h 1443318"/>
            <a:gd name="connsiteX2" fmla="*/ 421342 w 1586753"/>
            <a:gd name="connsiteY2" fmla="*/ 0 h 1443318"/>
            <a:gd name="connsiteX3" fmla="*/ 0 w 1586753"/>
            <a:gd name="connsiteY3" fmla="*/ 708212 h 1443318"/>
            <a:gd name="connsiteX4" fmla="*/ 8965 w 1586753"/>
            <a:gd name="connsiteY4" fmla="*/ 1443318 h 1443318"/>
            <a:gd name="connsiteX5" fmla="*/ 770965 w 1586753"/>
            <a:gd name="connsiteY5" fmla="*/ 1425388 h 14433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586753" h="1443318">
              <a:moveTo>
                <a:pt x="770965" y="1425388"/>
              </a:moveTo>
              <a:lnTo>
                <a:pt x="1586753" y="0"/>
              </a:lnTo>
              <a:lnTo>
                <a:pt x="421342" y="0"/>
              </a:lnTo>
              <a:lnTo>
                <a:pt x="0" y="708212"/>
              </a:lnTo>
              <a:lnTo>
                <a:pt x="8965" y="1443318"/>
              </a:lnTo>
              <a:lnTo>
                <a:pt x="770965" y="1425388"/>
              </a:lnTo>
              <a:close/>
            </a:path>
          </a:pathLst>
        </a:custGeom>
        <a:solidFill>
          <a:srgbClr val="4F81BD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11206</xdr:colOff>
      <xdr:row>7</xdr:row>
      <xdr:rowOff>190499</xdr:rowOff>
    </xdr:from>
    <xdr:to>
      <xdr:col>34</xdr:col>
      <xdr:colOff>0</xdr:colOff>
      <xdr:row>16</xdr:row>
      <xdr:rowOff>0</xdr:rowOff>
    </xdr:to>
    <xdr:sp macro="" textlink="">
      <xdr:nvSpPr>
        <xdr:cNvPr id="19" name="Freeform: Shape 18">
          <a:extLst>
            <a:ext uri="{FF2B5EF4-FFF2-40B4-BE49-F238E27FC236}">
              <a16:creationId xmlns:a16="http://schemas.microsoft.com/office/drawing/2014/main" id="{0A862F71-AF2A-4C9D-A625-8241A84ABAB2}"/>
            </a:ext>
          </a:extLst>
        </xdr:cNvPr>
        <xdr:cNvSpPr/>
      </xdr:nvSpPr>
      <xdr:spPr>
        <a:xfrm>
          <a:off x="6028765" y="380999"/>
          <a:ext cx="750794" cy="1524001"/>
        </a:xfrm>
        <a:custGeom>
          <a:avLst/>
          <a:gdLst>
            <a:gd name="connsiteX0" fmla="*/ 788894 w 815788"/>
            <a:gd name="connsiteY0" fmla="*/ 1434353 h 1434353"/>
            <a:gd name="connsiteX1" fmla="*/ 0 w 815788"/>
            <a:gd name="connsiteY1" fmla="*/ 1434353 h 1434353"/>
            <a:gd name="connsiteX2" fmla="*/ 815788 w 815788"/>
            <a:gd name="connsiteY2" fmla="*/ 0 h 1434353"/>
            <a:gd name="connsiteX3" fmla="*/ 788894 w 815788"/>
            <a:gd name="connsiteY3" fmla="*/ 1434353 h 1434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15788" h="1434353">
              <a:moveTo>
                <a:pt x="788894" y="1434353"/>
              </a:moveTo>
              <a:lnTo>
                <a:pt x="0" y="1434353"/>
              </a:lnTo>
              <a:lnTo>
                <a:pt x="815788" y="0"/>
              </a:lnTo>
              <a:cubicBezTo>
                <a:pt x="812800" y="478118"/>
                <a:pt x="809811" y="956235"/>
                <a:pt x="788894" y="1434353"/>
              </a:cubicBezTo>
              <a:close/>
            </a:path>
          </a:pathLst>
        </a:custGeom>
        <a:solidFill>
          <a:srgbClr val="C0504D">
            <a:alpha val="50196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168088</xdr:rowOff>
    </xdr:from>
    <xdr:to>
      <xdr:col>4</xdr:col>
      <xdr:colOff>0</xdr:colOff>
      <xdr:row>15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941E5FC-D321-4388-8BF4-F83D429C7E1D}"/>
            </a:ext>
          </a:extLst>
        </xdr:cNvPr>
        <xdr:cNvCxnSpPr/>
      </xdr:nvCxnSpPr>
      <xdr:spPr>
        <a:xfrm flipV="1">
          <a:off x="1064559" y="358588"/>
          <a:ext cx="0" cy="15559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7</xdr:row>
      <xdr:rowOff>44824</xdr:rowOff>
    </xdr:from>
    <xdr:to>
      <xdr:col>40</xdr:col>
      <xdr:colOff>11206</xdr:colOff>
      <xdr:row>15</xdr:row>
      <xdr:rowOff>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394CB5-2CE2-42A8-AF75-3E546101CFFE}"/>
            </a:ext>
          </a:extLst>
        </xdr:cNvPr>
        <xdr:cNvCxnSpPr/>
      </xdr:nvCxnSpPr>
      <xdr:spPr>
        <a:xfrm flipV="1">
          <a:off x="7922559" y="425824"/>
          <a:ext cx="11206" cy="14791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7</xdr:row>
      <xdr:rowOff>11206</xdr:rowOff>
    </xdr:from>
    <xdr:to>
      <xdr:col>30</xdr:col>
      <xdr:colOff>0</xdr:colOff>
      <xdr:row>15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69F90D8-0647-41BC-834C-7C64FE267AF9}"/>
            </a:ext>
          </a:extLst>
        </xdr:cNvPr>
        <xdr:cNvCxnSpPr/>
      </xdr:nvCxnSpPr>
      <xdr:spPr>
        <a:xfrm flipV="1">
          <a:off x="6008034" y="392206"/>
          <a:ext cx="9525" cy="15413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6</xdr:row>
      <xdr:rowOff>156882</xdr:rowOff>
    </xdr:from>
    <xdr:to>
      <xdr:col>24</xdr:col>
      <xdr:colOff>0</xdr:colOff>
      <xdr:row>15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A29A583-C701-49B2-BED2-FBB4CC85938B}"/>
            </a:ext>
          </a:extLst>
        </xdr:cNvPr>
        <xdr:cNvCxnSpPr/>
      </xdr:nvCxnSpPr>
      <xdr:spPr>
        <a:xfrm flipV="1">
          <a:off x="4874559" y="347382"/>
          <a:ext cx="0" cy="15766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0</xdr:rowOff>
    </xdr:from>
    <xdr:to>
      <xdr:col>14</xdr:col>
      <xdr:colOff>11206</xdr:colOff>
      <xdr:row>15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2ABD9BF-8626-402F-B12F-C8A9BE3CC189}"/>
            </a:ext>
          </a:extLst>
        </xdr:cNvPr>
        <xdr:cNvCxnSpPr/>
      </xdr:nvCxnSpPr>
      <xdr:spPr>
        <a:xfrm flipV="1">
          <a:off x="2969559" y="381000"/>
          <a:ext cx="11206" cy="1533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85725</xdr:colOff>
      <xdr:row>13</xdr:row>
      <xdr:rowOff>180975</xdr:rowOff>
    </xdr:from>
    <xdr:to>
      <xdr:col>42</xdr:col>
      <xdr:colOff>133350</xdr:colOff>
      <xdr:row>19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20077A3-25BF-44CD-B940-42320EE8C22E}"/>
            </a:ext>
          </a:extLst>
        </xdr:cNvPr>
        <xdr:cNvCxnSpPr/>
      </xdr:nvCxnSpPr>
      <xdr:spPr>
        <a:xfrm flipH="1" flipV="1">
          <a:off x="8201025" y="1704975"/>
          <a:ext cx="238125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9</xdr:col>
      <xdr:colOff>609599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9</xdr:col>
      <xdr:colOff>609599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9</xdr:col>
      <xdr:colOff>609599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9</xdr:col>
      <xdr:colOff>609599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sact.org/professionalism/standards/princip/sppcrat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showGridLines="0" tabSelected="1" zoomScale="85" zoomScaleNormal="85" workbookViewId="0">
      <selection activeCell="A13" sqref="A13"/>
    </sheetView>
  </sheetViews>
  <sheetFormatPr defaultRowHeight="14.4" x14ac:dyDescent="0.3"/>
  <cols>
    <col min="1" max="1" width="12.5546875" customWidth="1"/>
    <col min="2" max="2" width="91.44140625" bestFit="1" customWidth="1"/>
  </cols>
  <sheetData>
    <row r="1" spans="1:14" x14ac:dyDescent="0.3">
      <c r="A1" s="38" t="s">
        <v>0</v>
      </c>
    </row>
    <row r="2" spans="1:14" x14ac:dyDescent="0.3">
      <c r="A2" s="206">
        <v>1</v>
      </c>
      <c r="B2" t="s">
        <v>1</v>
      </c>
    </row>
    <row r="3" spans="1:14" x14ac:dyDescent="0.3">
      <c r="A3" s="206"/>
      <c r="B3" t="s">
        <v>2</v>
      </c>
    </row>
    <row r="4" spans="1:14" x14ac:dyDescent="0.3">
      <c r="A4" s="206">
        <v>2</v>
      </c>
      <c r="B4" t="s">
        <v>3</v>
      </c>
    </row>
    <row r="5" spans="1:14" x14ac:dyDescent="0.3">
      <c r="A5" s="206">
        <v>3</v>
      </c>
      <c r="B5" t="s">
        <v>4</v>
      </c>
    </row>
    <row r="6" spans="1:14" x14ac:dyDescent="0.3">
      <c r="A6" s="206"/>
      <c r="B6" s="163" t="s">
        <v>5</v>
      </c>
    </row>
    <row r="7" spans="1:14" x14ac:dyDescent="0.3">
      <c r="A7" s="206"/>
      <c r="B7" s="163" t="s">
        <v>6</v>
      </c>
    </row>
    <row r="8" spans="1:14" x14ac:dyDescent="0.3">
      <c r="A8" s="206"/>
      <c r="B8" s="163" t="s">
        <v>7</v>
      </c>
    </row>
    <row r="9" spans="1:14" x14ac:dyDescent="0.3">
      <c r="A9" s="206"/>
      <c r="B9" s="163" t="s">
        <v>8</v>
      </c>
    </row>
    <row r="10" spans="1:14" x14ac:dyDescent="0.3">
      <c r="A10" s="206"/>
    </row>
    <row r="11" spans="1:14" x14ac:dyDescent="0.3">
      <c r="A11" s="38" t="s">
        <v>9</v>
      </c>
      <c r="N11" s="1"/>
    </row>
    <row r="12" spans="1:14" x14ac:dyDescent="0.3">
      <c r="A12" s="206">
        <v>1</v>
      </c>
      <c r="B12" t="s">
        <v>10</v>
      </c>
    </row>
    <row r="13" spans="1:14" x14ac:dyDescent="0.3">
      <c r="A13" s="206">
        <v>2</v>
      </c>
      <c r="B13" t="str">
        <f>"The effective date for the new rates is "&amp;TEXT(EffDate,"m/d/yyyy")&amp;"."</f>
        <v>The effective date for the new rates is 1/1/2020.</v>
      </c>
    </row>
    <row r="14" spans="1:14" x14ac:dyDescent="0.3">
      <c r="A14" s="206">
        <v>3</v>
      </c>
      <c r="B14" s="39" t="s">
        <v>11</v>
      </c>
    </row>
    <row r="15" spans="1:14" x14ac:dyDescent="0.3">
      <c r="A15" s="38"/>
    </row>
    <row r="16" spans="1:14" x14ac:dyDescent="0.3">
      <c r="A16" s="38" t="s">
        <v>12</v>
      </c>
    </row>
    <row r="17" spans="1:2" x14ac:dyDescent="0.3">
      <c r="A17" t="s">
        <v>13</v>
      </c>
    </row>
    <row r="19" spans="1:2" x14ac:dyDescent="0.3">
      <c r="A19" t="s">
        <v>14</v>
      </c>
      <c r="B19" t="s">
        <v>15</v>
      </c>
    </row>
    <row r="20" spans="1:2" x14ac:dyDescent="0.3">
      <c r="A20" t="s">
        <v>16</v>
      </c>
      <c r="B20" t="s">
        <v>17</v>
      </c>
    </row>
    <row r="21" spans="1:2" x14ac:dyDescent="0.3">
      <c r="A21" t="s">
        <v>18</v>
      </c>
      <c r="B21" t="s">
        <v>19</v>
      </c>
    </row>
    <row r="22" spans="1:2" x14ac:dyDescent="0.3">
      <c r="A22" t="s">
        <v>20</v>
      </c>
      <c r="B22" t="s">
        <v>21</v>
      </c>
    </row>
    <row r="23" spans="1:2" x14ac:dyDescent="0.3">
      <c r="B23" t="s">
        <v>22</v>
      </c>
    </row>
    <row r="24" spans="1:2" x14ac:dyDescent="0.3">
      <c r="B24" t="s">
        <v>23</v>
      </c>
    </row>
  </sheetData>
  <hyperlinks>
    <hyperlink ref="A16" r:id="rId1" display="https://www.casact.org/professionalism/standards/princip/sppcrate.pdf" xr:uid="{00000000-0004-0000-0000-000000000000}"/>
  </hyperlinks>
  <pageMargins left="0.7" right="0.7" top="0.75" bottom="0.75" header="0.3" footer="0.3"/>
  <pageSetup orientation="portrait" r:id="rId2"/>
  <headerFooter>
    <oddFooter>&amp;R&amp;1#&amp;"Calibri"&amp;10&amp;K317100Public Information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pageSetUpPr fitToPage="1"/>
  </sheetPr>
  <dimension ref="A1:P45"/>
  <sheetViews>
    <sheetView showGridLines="0" zoomScale="85" zoomScaleNormal="85" workbookViewId="0">
      <selection activeCell="C9" sqref="C9"/>
    </sheetView>
  </sheetViews>
  <sheetFormatPr defaultRowHeight="14.4" x14ac:dyDescent="0.3"/>
  <cols>
    <col min="1" max="1" width="12.44140625" bestFit="1" customWidth="1"/>
    <col min="2" max="2" width="9.44140625" bestFit="1" customWidth="1"/>
    <col min="3" max="3" width="10.109375" bestFit="1" customWidth="1"/>
    <col min="4" max="4" width="10.44140625" customWidth="1"/>
    <col min="5" max="5" width="11.88671875" bestFit="1" customWidth="1"/>
    <col min="6" max="8" width="9.44140625" bestFit="1" customWidth="1"/>
    <col min="11" max="11" width="9.44140625" bestFit="1" customWidth="1"/>
    <col min="12" max="12" width="18.88671875" bestFit="1" customWidth="1"/>
    <col min="13" max="13" width="17.109375" bestFit="1" customWidth="1"/>
    <col min="14" max="16" width="9.44140625" bestFit="1" customWidth="1"/>
  </cols>
  <sheetData>
    <row r="1" spans="1:16" ht="15" thickBot="1" x14ac:dyDescent="0.35">
      <c r="A1" s="157" t="s">
        <v>159</v>
      </c>
      <c r="B1" s="158"/>
      <c r="C1" s="158"/>
      <c r="D1" s="158"/>
      <c r="E1" s="158"/>
      <c r="F1" s="158"/>
      <c r="G1" s="177"/>
    </row>
    <row r="3" spans="1:16" x14ac:dyDescent="0.3">
      <c r="A3" s="15" t="str">
        <f>State</f>
        <v>Texachussetts</v>
      </c>
      <c r="B3" s="15"/>
      <c r="C3" s="15"/>
      <c r="D3" s="15"/>
      <c r="E3" s="15"/>
      <c r="F3" s="15"/>
      <c r="G3" s="15"/>
      <c r="H3" s="15"/>
      <c r="I3" s="15"/>
    </row>
    <row r="4" spans="1:16" x14ac:dyDescent="0.3">
      <c r="A4" s="15" t="str">
        <f>Company</f>
        <v>CAS Rocks Insurance</v>
      </c>
      <c r="B4" s="15"/>
      <c r="C4" s="15"/>
      <c r="D4" s="15"/>
      <c r="E4" s="15"/>
      <c r="F4" s="15"/>
      <c r="G4" s="15"/>
      <c r="H4" s="15"/>
      <c r="I4" s="15"/>
    </row>
    <row r="5" spans="1:16" x14ac:dyDescent="0.3">
      <c r="A5" s="15" t="str">
        <f>LOB</f>
        <v>Private Passenger Auto: Property Damage Liability</v>
      </c>
      <c r="B5" s="15"/>
      <c r="C5" s="15"/>
      <c r="D5" s="15"/>
      <c r="E5" s="15"/>
      <c r="F5" s="15"/>
      <c r="G5" s="15"/>
      <c r="H5" s="15"/>
      <c r="I5" s="15"/>
    </row>
    <row r="6" spans="1:16" x14ac:dyDescent="0.3">
      <c r="A6" s="15"/>
      <c r="B6" s="15"/>
      <c r="C6" s="15"/>
      <c r="D6" s="15"/>
      <c r="E6" s="15"/>
      <c r="F6" s="15"/>
      <c r="G6" s="15"/>
      <c r="H6" s="15"/>
      <c r="I6" s="15"/>
    </row>
    <row r="7" spans="1:16" x14ac:dyDescent="0.3">
      <c r="C7" s="16" t="s">
        <v>124</v>
      </c>
      <c r="D7" s="16" t="s">
        <v>117</v>
      </c>
      <c r="E7" s="16" t="s">
        <v>110</v>
      </c>
      <c r="F7" s="16" t="s">
        <v>112</v>
      </c>
      <c r="G7" s="16" t="s">
        <v>160</v>
      </c>
      <c r="H7" s="16" t="s">
        <v>161</v>
      </c>
    </row>
    <row r="8" spans="1:16" ht="57.6" x14ac:dyDescent="0.3">
      <c r="A8" s="16" t="s">
        <v>162</v>
      </c>
      <c r="B8" s="16" t="s">
        <v>153</v>
      </c>
      <c r="C8" s="33" t="s">
        <v>163</v>
      </c>
      <c r="D8" s="33" t="s">
        <v>164</v>
      </c>
      <c r="E8" s="33" t="s">
        <v>165</v>
      </c>
      <c r="F8" s="33" t="s">
        <v>166</v>
      </c>
      <c r="G8" s="33" t="s">
        <v>167</v>
      </c>
      <c r="H8" s="33" t="s">
        <v>168</v>
      </c>
      <c r="L8" t="s">
        <v>169</v>
      </c>
      <c r="M8" t="s">
        <v>170</v>
      </c>
      <c r="N8" t="s">
        <v>171</v>
      </c>
      <c r="O8" t="s">
        <v>172</v>
      </c>
      <c r="P8" t="s">
        <v>173</v>
      </c>
    </row>
    <row r="9" spans="1:16" x14ac:dyDescent="0.3">
      <c r="A9" s="16">
        <f t="shared" ref="A9:A30" si="0">IF(B10=1,A10-1,A10)</f>
        <v>2013</v>
      </c>
      <c r="B9" s="16">
        <f t="shared" ref="B9:B27" si="1">IF(B10=1,4,B10-1)</f>
        <v>2</v>
      </c>
      <c r="C9" s="144">
        <f>'Indication Numbers'!O5</f>
        <v>277117</v>
      </c>
      <c r="D9" s="183">
        <f>'CRL - 4 Written Premium'!L12</f>
        <v>1.1855237625000001</v>
      </c>
      <c r="E9" s="142">
        <f>C9*D9</f>
        <v>328528.78849271254</v>
      </c>
      <c r="F9" s="166">
        <f>'Indication Numbers'!N5</f>
        <v>3188</v>
      </c>
      <c r="G9" s="151">
        <f t="shared" ref="G9:G31" si="2">E9/F9</f>
        <v>103.0516902423816</v>
      </c>
      <c r="K9">
        <f t="shared" ref="K9:K12" si="3">K8+1</f>
        <v>1</v>
      </c>
      <c r="L9" t="str">
        <f t="shared" ref="L9:L31" si="4">A9&amp;"-"&amp;B9</f>
        <v>2013-2</v>
      </c>
      <c r="M9" s="7">
        <f t="shared" ref="M9:M31" si="5">G9</f>
        <v>103.0516902423816</v>
      </c>
      <c r="N9" s="7"/>
      <c r="O9" s="7"/>
      <c r="P9" s="7"/>
    </row>
    <row r="10" spans="1:16" x14ac:dyDescent="0.3">
      <c r="A10" s="16">
        <f t="shared" si="0"/>
        <v>2013</v>
      </c>
      <c r="B10" s="16">
        <f t="shared" si="1"/>
        <v>3</v>
      </c>
      <c r="C10" s="144">
        <f>'Indication Numbers'!O6</f>
        <v>279071</v>
      </c>
      <c r="D10" s="183">
        <f>'CRL - 4 Written Premium'!L13</f>
        <v>1.1855237625000001</v>
      </c>
      <c r="E10" s="142">
        <f t="shared" ref="E10:E31" si="6">C10*D10</f>
        <v>330845.30192463752</v>
      </c>
      <c r="F10" s="166">
        <f>'Indication Numbers'!N6</f>
        <v>3194</v>
      </c>
      <c r="G10" s="151">
        <f t="shared" si="2"/>
        <v>103.58337568085082</v>
      </c>
      <c r="K10">
        <f t="shared" si="3"/>
        <v>2</v>
      </c>
      <c r="L10" t="str">
        <f t="shared" si="4"/>
        <v>2013-3</v>
      </c>
      <c r="M10" s="7">
        <f t="shared" si="5"/>
        <v>103.58337568085082</v>
      </c>
      <c r="N10" s="7"/>
      <c r="O10" s="7"/>
      <c r="P10" s="7"/>
    </row>
    <row r="11" spans="1:16" x14ac:dyDescent="0.3">
      <c r="A11" s="16">
        <f t="shared" si="0"/>
        <v>2013</v>
      </c>
      <c r="B11" s="16">
        <f t="shared" si="1"/>
        <v>4</v>
      </c>
      <c r="C11" s="144">
        <f>'Indication Numbers'!O7</f>
        <v>281252</v>
      </c>
      <c r="D11" s="183">
        <f>'CRL - 4 Written Premium'!L14</f>
        <v>1.1855237625000001</v>
      </c>
      <c r="E11" s="142">
        <f t="shared" si="6"/>
        <v>333430.92925065005</v>
      </c>
      <c r="F11" s="166">
        <f>'Indication Numbers'!N7</f>
        <v>3202</v>
      </c>
      <c r="G11" s="151">
        <f t="shared" si="2"/>
        <v>104.13208283905374</v>
      </c>
      <c r="K11">
        <f t="shared" si="3"/>
        <v>3</v>
      </c>
      <c r="L11" t="str">
        <f t="shared" si="4"/>
        <v>2013-4</v>
      </c>
      <c r="M11" s="7">
        <f t="shared" si="5"/>
        <v>104.13208283905374</v>
      </c>
      <c r="N11" s="7"/>
      <c r="O11" s="7"/>
      <c r="P11" s="7"/>
    </row>
    <row r="12" spans="1:16" x14ac:dyDescent="0.3">
      <c r="A12" s="16">
        <f t="shared" si="0"/>
        <v>2014</v>
      </c>
      <c r="B12" s="16">
        <f t="shared" si="1"/>
        <v>1</v>
      </c>
      <c r="C12" s="144">
        <f>'Indication Numbers'!O8</f>
        <v>283211</v>
      </c>
      <c r="D12" s="183">
        <f>'CRL - 4 Written Premium'!L15</f>
        <v>1.1855237625000001</v>
      </c>
      <c r="E12" s="142">
        <f t="shared" si="6"/>
        <v>335753.37030138756</v>
      </c>
      <c r="F12" s="166">
        <f>'Indication Numbers'!N8</f>
        <v>3206</v>
      </c>
      <c r="G12" s="151">
        <f t="shared" si="2"/>
        <v>104.72656590810591</v>
      </c>
      <c r="K12">
        <f t="shared" si="3"/>
        <v>4</v>
      </c>
      <c r="L12" t="str">
        <f t="shared" si="4"/>
        <v>2014-1</v>
      </c>
      <c r="M12" s="7">
        <f t="shared" si="5"/>
        <v>104.72656590810591</v>
      </c>
      <c r="N12" s="151">
        <f t="shared" ref="N12:N31" si="7">GROWTH($M$13:$M$31,$K$13:$K$31,$K12)</f>
        <v>104.89337384798108</v>
      </c>
      <c r="O12" s="7"/>
      <c r="P12" s="7"/>
    </row>
    <row r="13" spans="1:16" x14ac:dyDescent="0.3">
      <c r="A13" s="16">
        <f t="shared" si="0"/>
        <v>2014</v>
      </c>
      <c r="B13" s="16">
        <f t="shared" si="1"/>
        <v>2</v>
      </c>
      <c r="C13" s="144">
        <f>'Indication Numbers'!O9</f>
        <v>282040</v>
      </c>
      <c r="D13" s="183">
        <f>'CRL - 4 Written Premium'!L16</f>
        <v>1.2479197500000001</v>
      </c>
      <c r="E13" s="142">
        <f t="shared" si="6"/>
        <v>351963.28629000002</v>
      </c>
      <c r="F13" s="166">
        <f>'Indication Numbers'!N9</f>
        <v>3216</v>
      </c>
      <c r="G13" s="151">
        <f t="shared" si="2"/>
        <v>109.44132036380597</v>
      </c>
      <c r="H13" s="147">
        <f>G13/G9-1</f>
        <v>6.2004127311213519E-2</v>
      </c>
      <c r="K13">
        <f t="shared" ref="K13:K31" si="8">K12+1</f>
        <v>5</v>
      </c>
      <c r="L13" t="str">
        <f t="shared" si="4"/>
        <v>2014-2</v>
      </c>
      <c r="M13" s="7">
        <f t="shared" si="5"/>
        <v>109.44132036380597</v>
      </c>
      <c r="N13" s="151">
        <f t="shared" si="7"/>
        <v>105.33898479233783</v>
      </c>
      <c r="O13" s="7"/>
      <c r="P13" s="7"/>
    </row>
    <row r="14" spans="1:16" x14ac:dyDescent="0.3">
      <c r="A14" s="16">
        <f t="shared" si="0"/>
        <v>2014</v>
      </c>
      <c r="B14" s="16">
        <f t="shared" si="1"/>
        <v>3</v>
      </c>
      <c r="C14" s="144">
        <f>'Indication Numbers'!O10</f>
        <v>280578</v>
      </c>
      <c r="D14" s="183">
        <f>'CRL - 4 Written Premium'!L17</f>
        <v>1.2479197500000001</v>
      </c>
      <c r="E14" s="142">
        <f t="shared" si="6"/>
        <v>350138.82761550002</v>
      </c>
      <c r="F14" s="166">
        <f>'Indication Numbers'!N10</f>
        <v>3223</v>
      </c>
      <c r="G14" s="151">
        <f t="shared" si="2"/>
        <v>108.63755123037544</v>
      </c>
      <c r="H14" s="147">
        <f t="shared" ref="H14:H31" si="9">G14/G10-1</f>
        <v>4.8793307963789001E-2</v>
      </c>
      <c r="K14">
        <f t="shared" si="8"/>
        <v>6</v>
      </c>
      <c r="L14" t="str">
        <f t="shared" si="4"/>
        <v>2014-3</v>
      </c>
      <c r="M14" s="7">
        <f t="shared" si="5"/>
        <v>108.63755123037544</v>
      </c>
      <c r="N14" s="151">
        <f t="shared" si="7"/>
        <v>105.78648879348592</v>
      </c>
      <c r="O14" s="7"/>
      <c r="P14" s="7"/>
    </row>
    <row r="15" spans="1:16" x14ac:dyDescent="0.3">
      <c r="A15" s="16">
        <f t="shared" si="0"/>
        <v>2014</v>
      </c>
      <c r="B15" s="16">
        <f t="shared" si="1"/>
        <v>4</v>
      </c>
      <c r="C15" s="144">
        <f>'Indication Numbers'!O11</f>
        <v>278937</v>
      </c>
      <c r="D15" s="183">
        <f>'CRL - 4 Written Premium'!L18</f>
        <v>1.2479197500000001</v>
      </c>
      <c r="E15" s="142">
        <f t="shared" si="6"/>
        <v>348090.99130575004</v>
      </c>
      <c r="F15" s="166">
        <f>'Indication Numbers'!N11</f>
        <v>3229</v>
      </c>
      <c r="G15" s="151">
        <f t="shared" si="2"/>
        <v>107.80148383578508</v>
      </c>
      <c r="H15" s="147">
        <f t="shared" si="9"/>
        <v>3.5237948734807789E-2</v>
      </c>
      <c r="K15">
        <f t="shared" si="8"/>
        <v>7</v>
      </c>
      <c r="L15" t="str">
        <f t="shared" si="4"/>
        <v>2014-4</v>
      </c>
      <c r="M15" s="7">
        <f t="shared" si="5"/>
        <v>107.80148383578508</v>
      </c>
      <c r="N15" s="151">
        <f t="shared" si="7"/>
        <v>106.23589389356179</v>
      </c>
      <c r="O15" s="7"/>
      <c r="P15" s="7"/>
    </row>
    <row r="16" spans="1:16" x14ac:dyDescent="0.3">
      <c r="A16" s="16">
        <f t="shared" si="0"/>
        <v>2015</v>
      </c>
      <c r="B16" s="16">
        <f t="shared" si="1"/>
        <v>1</v>
      </c>
      <c r="C16" s="144">
        <f>'Indication Numbers'!O12</f>
        <v>277452</v>
      </c>
      <c r="D16" s="183">
        <f>'CRL - 4 Written Premium'!L19</f>
        <v>1.2479197500000001</v>
      </c>
      <c r="E16" s="142">
        <f t="shared" si="6"/>
        <v>346237.83047700004</v>
      </c>
      <c r="F16" s="166">
        <f>'Indication Numbers'!N12</f>
        <v>3238</v>
      </c>
      <c r="G16" s="151">
        <f t="shared" si="2"/>
        <v>106.92953381006795</v>
      </c>
      <c r="H16" s="147">
        <f t="shared" si="9"/>
        <v>2.1035425757157666E-2</v>
      </c>
      <c r="K16">
        <f t="shared" si="8"/>
        <v>8</v>
      </c>
      <c r="L16" t="str">
        <f t="shared" si="4"/>
        <v>2015-1</v>
      </c>
      <c r="M16" s="7">
        <f t="shared" si="5"/>
        <v>106.92953381006795</v>
      </c>
      <c r="N16" s="151">
        <f t="shared" si="7"/>
        <v>106.68720816886675</v>
      </c>
      <c r="O16" s="7"/>
      <c r="P16" s="7"/>
    </row>
    <row r="17" spans="1:16" x14ac:dyDescent="0.3">
      <c r="A17" s="16">
        <f t="shared" si="0"/>
        <v>2015</v>
      </c>
      <c r="B17" s="16">
        <f t="shared" si="1"/>
        <v>2</v>
      </c>
      <c r="C17" s="144">
        <f>'Indication Numbers'!O13</f>
        <v>279179</v>
      </c>
      <c r="D17" s="183">
        <f>'CRL - 4 Written Premium'!L20</f>
        <v>1.2479197500000001</v>
      </c>
      <c r="E17" s="142">
        <f t="shared" si="6"/>
        <v>348392.98788525001</v>
      </c>
      <c r="F17" s="166">
        <f>'Indication Numbers'!N13</f>
        <v>3243</v>
      </c>
      <c r="G17" s="151">
        <f t="shared" si="2"/>
        <v>107.42922845675301</v>
      </c>
      <c r="H17" s="147">
        <f t="shared" si="9"/>
        <v>-1.8385120906476149E-2</v>
      </c>
      <c r="K17">
        <f t="shared" si="8"/>
        <v>9</v>
      </c>
      <c r="L17" t="str">
        <f t="shared" si="4"/>
        <v>2015-2</v>
      </c>
      <c r="M17" s="7">
        <f t="shared" si="5"/>
        <v>107.42922845675301</v>
      </c>
      <c r="N17" s="151">
        <f t="shared" si="7"/>
        <v>107.14043973001199</v>
      </c>
      <c r="O17" s="7"/>
      <c r="P17" s="7"/>
    </row>
    <row r="18" spans="1:16" x14ac:dyDescent="0.3">
      <c r="A18" s="16">
        <f t="shared" si="0"/>
        <v>2015</v>
      </c>
      <c r="B18" s="16">
        <f t="shared" si="1"/>
        <v>3</v>
      </c>
      <c r="C18" s="144">
        <f>'Indication Numbers'!O14</f>
        <v>288297</v>
      </c>
      <c r="D18" s="183">
        <f>'CRL - 4 Written Premium'!L21</f>
        <v>1.1344725000000002</v>
      </c>
      <c r="E18" s="142">
        <f t="shared" si="6"/>
        <v>327065.01833250007</v>
      </c>
      <c r="F18" s="166">
        <f>'Indication Numbers'!N14</f>
        <v>3251</v>
      </c>
      <c r="G18" s="151">
        <f t="shared" si="2"/>
        <v>100.60443504537068</v>
      </c>
      <c r="H18" s="147">
        <f t="shared" si="9"/>
        <v>-7.3944194194600632E-2</v>
      </c>
      <c r="K18">
        <f t="shared" si="8"/>
        <v>10</v>
      </c>
      <c r="L18" t="str">
        <f t="shared" si="4"/>
        <v>2015-3</v>
      </c>
      <c r="M18" s="7">
        <f t="shared" si="5"/>
        <v>100.60443504537068</v>
      </c>
      <c r="N18" s="151">
        <f t="shared" si="7"/>
        <v>107.59559672206451</v>
      </c>
      <c r="O18" s="7"/>
      <c r="P18" s="7"/>
    </row>
    <row r="19" spans="1:16" x14ac:dyDescent="0.3">
      <c r="A19" s="16">
        <f t="shared" si="0"/>
        <v>2015</v>
      </c>
      <c r="B19" s="16">
        <f t="shared" si="1"/>
        <v>4</v>
      </c>
      <c r="C19" s="144">
        <f>'Indication Numbers'!O15</f>
        <v>297831</v>
      </c>
      <c r="D19" s="183">
        <f>'CRL - 4 Written Premium'!L22</f>
        <v>1.1344725000000002</v>
      </c>
      <c r="E19" s="142">
        <f t="shared" si="6"/>
        <v>337881.07914750004</v>
      </c>
      <c r="F19" s="166">
        <f>'Indication Numbers'!N15</f>
        <v>3261</v>
      </c>
      <c r="G19" s="151">
        <f t="shared" si="2"/>
        <v>103.6127197631095</v>
      </c>
      <c r="H19" s="147">
        <f t="shared" si="9"/>
        <v>-3.8856274734180518E-2</v>
      </c>
      <c r="K19">
        <f t="shared" si="8"/>
        <v>11</v>
      </c>
      <c r="L19" t="str">
        <f t="shared" si="4"/>
        <v>2015-4</v>
      </c>
      <c r="M19" s="7">
        <f t="shared" si="5"/>
        <v>103.6127197631095</v>
      </c>
      <c r="N19" s="151">
        <f t="shared" si="7"/>
        <v>108.05268732469335</v>
      </c>
      <c r="O19" s="7"/>
      <c r="P19" s="7"/>
    </row>
    <row r="20" spans="1:16" x14ac:dyDescent="0.3">
      <c r="A20" s="16">
        <f t="shared" si="0"/>
        <v>2016</v>
      </c>
      <c r="B20" s="16">
        <f t="shared" si="1"/>
        <v>1</v>
      </c>
      <c r="C20" s="144">
        <f>'Indication Numbers'!O16</f>
        <v>307551</v>
      </c>
      <c r="D20" s="183">
        <f>'CRL - 4 Written Premium'!L23</f>
        <v>1.1344725000000002</v>
      </c>
      <c r="E20" s="142">
        <f t="shared" si="6"/>
        <v>348908.15184750006</v>
      </c>
      <c r="F20" s="166">
        <f>'Indication Numbers'!N16</f>
        <v>3271</v>
      </c>
      <c r="G20" s="151">
        <f t="shared" si="2"/>
        <v>106.66712071155612</v>
      </c>
      <c r="H20" s="147">
        <f t="shared" si="9"/>
        <v>-2.4540750264369082E-3</v>
      </c>
      <c r="K20">
        <f t="shared" si="8"/>
        <v>12</v>
      </c>
      <c r="L20" t="str">
        <f t="shared" si="4"/>
        <v>2016-1</v>
      </c>
      <c r="M20" s="7">
        <f t="shared" si="5"/>
        <v>106.66712071155612</v>
      </c>
      <c r="N20" s="151">
        <f t="shared" si="7"/>
        <v>108.51171975231669</v>
      </c>
      <c r="O20" s="151">
        <f t="shared" ref="O20:O31" si="10">GROWTH($M$20:$M$31,$K$20:$K$31,$K20)</f>
        <v>107.88251640288333</v>
      </c>
      <c r="P20" s="7"/>
    </row>
    <row r="21" spans="1:16" x14ac:dyDescent="0.3">
      <c r="A21" s="16">
        <f t="shared" si="0"/>
        <v>2016</v>
      </c>
      <c r="B21" s="16">
        <f t="shared" si="1"/>
        <v>2</v>
      </c>
      <c r="C21" s="144">
        <f>'Indication Numbers'!O17</f>
        <v>317030</v>
      </c>
      <c r="D21" s="183">
        <f>'CRL - 4 Written Premium'!L24</f>
        <v>1.1344725000000002</v>
      </c>
      <c r="E21" s="142">
        <f t="shared" si="6"/>
        <v>359661.81667500007</v>
      </c>
      <c r="F21" s="166">
        <f>'Indication Numbers'!N17</f>
        <v>3277</v>
      </c>
      <c r="G21" s="151">
        <f t="shared" si="2"/>
        <v>109.75337707506868</v>
      </c>
      <c r="H21" s="147">
        <f t="shared" si="9"/>
        <v>2.1634229824626372E-2</v>
      </c>
      <c r="K21">
        <f t="shared" si="8"/>
        <v>13</v>
      </c>
      <c r="L21" t="str">
        <f t="shared" si="4"/>
        <v>2016-2</v>
      </c>
      <c r="M21" s="7">
        <f t="shared" si="5"/>
        <v>109.75337707506868</v>
      </c>
      <c r="N21" s="151">
        <f t="shared" si="7"/>
        <v>108.97270225424937</v>
      </c>
      <c r="O21" s="151">
        <f t="shared" si="10"/>
        <v>108.49612271953514</v>
      </c>
      <c r="P21" s="7"/>
    </row>
    <row r="22" spans="1:16" x14ac:dyDescent="0.3">
      <c r="A22" s="16">
        <f t="shared" si="0"/>
        <v>2016</v>
      </c>
      <c r="B22" s="16">
        <f t="shared" si="1"/>
        <v>3</v>
      </c>
      <c r="C22" s="144">
        <f>'Indication Numbers'!O18</f>
        <v>319160</v>
      </c>
      <c r="D22" s="183">
        <f>'CRL - 4 Written Premium'!L25</f>
        <v>1.1344725000000002</v>
      </c>
      <c r="E22" s="142">
        <f t="shared" si="6"/>
        <v>362078.24310000008</v>
      </c>
      <c r="F22" s="166">
        <f>'Indication Numbers'!N18</f>
        <v>3282</v>
      </c>
      <c r="G22" s="151">
        <f t="shared" si="2"/>
        <v>110.32243848263256</v>
      </c>
      <c r="H22" s="147">
        <f t="shared" si="9"/>
        <v>9.6596173249014816E-2</v>
      </c>
      <c r="K22">
        <f t="shared" si="8"/>
        <v>14</v>
      </c>
      <c r="L22" t="str">
        <f t="shared" si="4"/>
        <v>2016-3</v>
      </c>
      <c r="M22" s="7">
        <f t="shared" si="5"/>
        <v>110.32243848263256</v>
      </c>
      <c r="N22" s="151">
        <f t="shared" si="7"/>
        <v>109.43564311485129</v>
      </c>
      <c r="O22" s="151">
        <f t="shared" si="10"/>
        <v>109.11321906148845</v>
      </c>
      <c r="P22" s="7"/>
    </row>
    <row r="23" spans="1:16" x14ac:dyDescent="0.3">
      <c r="A23" s="16">
        <f t="shared" si="0"/>
        <v>2016</v>
      </c>
      <c r="B23" s="16">
        <f t="shared" si="1"/>
        <v>4</v>
      </c>
      <c r="C23" s="144">
        <f>'Indication Numbers'!O19</f>
        <v>325431</v>
      </c>
      <c r="D23" s="183">
        <f>'CRL - 4 Written Premium'!L26</f>
        <v>1.0804500000000001</v>
      </c>
      <c r="E23" s="142">
        <f t="shared" si="6"/>
        <v>351611.92395000003</v>
      </c>
      <c r="F23" s="166">
        <f>'Indication Numbers'!N19</f>
        <v>3289</v>
      </c>
      <c r="G23" s="151">
        <f t="shared" si="2"/>
        <v>106.90541926117362</v>
      </c>
      <c r="H23" s="147">
        <f t="shared" si="9"/>
        <v>3.1778911948187938E-2</v>
      </c>
      <c r="K23">
        <f t="shared" si="8"/>
        <v>15</v>
      </c>
      <c r="L23" t="str">
        <f t="shared" si="4"/>
        <v>2016-4</v>
      </c>
      <c r="M23" s="7">
        <f t="shared" si="5"/>
        <v>106.90541926117362</v>
      </c>
      <c r="N23" s="151">
        <f t="shared" si="7"/>
        <v>109.90055065367609</v>
      </c>
      <c r="O23" s="151">
        <f t="shared" si="10"/>
        <v>109.7338252790549</v>
      </c>
      <c r="P23" s="7"/>
    </row>
    <row r="24" spans="1:16" x14ac:dyDescent="0.3">
      <c r="A24" s="16">
        <f t="shared" si="0"/>
        <v>2017</v>
      </c>
      <c r="B24" s="16">
        <f t="shared" si="1"/>
        <v>1</v>
      </c>
      <c r="C24" s="144">
        <f>'Indication Numbers'!O20</f>
        <v>331725</v>
      </c>
      <c r="D24" s="183">
        <f>'CRL - 4 Written Premium'!L27</f>
        <v>1.0804500000000001</v>
      </c>
      <c r="E24" s="142">
        <f t="shared" si="6"/>
        <v>358412.27625000005</v>
      </c>
      <c r="F24" s="166">
        <f>'Indication Numbers'!N20</f>
        <v>3296</v>
      </c>
      <c r="G24" s="151">
        <f t="shared" si="2"/>
        <v>108.74158866808254</v>
      </c>
      <c r="H24" s="147">
        <f t="shared" si="9"/>
        <v>1.9448054308469631E-2</v>
      </c>
      <c r="K24">
        <f t="shared" si="8"/>
        <v>16</v>
      </c>
      <c r="L24" t="str">
        <f t="shared" si="4"/>
        <v>2017-1</v>
      </c>
      <c r="M24" s="7">
        <f t="shared" si="5"/>
        <v>108.74158866808254</v>
      </c>
      <c r="N24" s="151">
        <f t="shared" si="7"/>
        <v>110.36743322562087</v>
      </c>
      <c r="O24" s="151">
        <f t="shared" si="10"/>
        <v>110.35796133544925</v>
      </c>
      <c r="P24" s="7"/>
    </row>
    <row r="25" spans="1:16" x14ac:dyDescent="0.3">
      <c r="A25" s="16">
        <f t="shared" si="0"/>
        <v>2017</v>
      </c>
      <c r="B25" s="16">
        <f t="shared" si="1"/>
        <v>2</v>
      </c>
      <c r="C25" s="144">
        <f>'Indication Numbers'!O21</f>
        <v>338297</v>
      </c>
      <c r="D25" s="183">
        <f>'CRL - 4 Written Premium'!L28</f>
        <v>1.0804500000000001</v>
      </c>
      <c r="E25" s="142">
        <f t="shared" si="6"/>
        <v>365512.99365000002</v>
      </c>
      <c r="F25" s="166">
        <f>'Indication Numbers'!N21</f>
        <v>3304</v>
      </c>
      <c r="G25" s="151">
        <f t="shared" si="2"/>
        <v>110.62741938559323</v>
      </c>
      <c r="H25" s="147">
        <f t="shared" si="9"/>
        <v>7.9636940002922874E-3</v>
      </c>
      <c r="K25">
        <f t="shared" si="8"/>
        <v>17</v>
      </c>
      <c r="L25" t="str">
        <f t="shared" si="4"/>
        <v>2017-2</v>
      </c>
      <c r="M25" s="7">
        <f t="shared" si="5"/>
        <v>110.62741938559323</v>
      </c>
      <c r="N25" s="151">
        <f t="shared" si="7"/>
        <v>110.83629922107617</v>
      </c>
      <c r="O25" s="151">
        <f t="shared" si="10"/>
        <v>110.98564730743162</v>
      </c>
      <c r="P25" s="7"/>
    </row>
    <row r="26" spans="1:16" x14ac:dyDescent="0.3">
      <c r="A26" s="16">
        <f t="shared" si="0"/>
        <v>2017</v>
      </c>
      <c r="B26" s="16">
        <f t="shared" si="1"/>
        <v>3</v>
      </c>
      <c r="C26" s="144">
        <f>'Indication Numbers'!O22</f>
        <v>343624</v>
      </c>
      <c r="D26" s="183">
        <f>'CRL - 4 Written Premium'!L29</f>
        <v>1.1025000000000003</v>
      </c>
      <c r="E26" s="142">
        <f t="shared" si="6"/>
        <v>378845.46000000008</v>
      </c>
      <c r="F26" s="166">
        <f>'Indication Numbers'!N22</f>
        <v>3316</v>
      </c>
      <c r="G26" s="151">
        <f t="shared" si="2"/>
        <v>114.24772617611583</v>
      </c>
      <c r="H26" s="147">
        <f t="shared" si="9"/>
        <v>3.5580138976906373E-2</v>
      </c>
      <c r="K26">
        <f t="shared" si="8"/>
        <v>18</v>
      </c>
      <c r="L26" t="str">
        <f t="shared" si="4"/>
        <v>2017-3</v>
      </c>
      <c r="M26" s="7">
        <f t="shared" si="5"/>
        <v>114.24772617611583</v>
      </c>
      <c r="N26" s="151">
        <f t="shared" si="7"/>
        <v>111.30715706607684</v>
      </c>
      <c r="O26" s="151">
        <f t="shared" si="10"/>
        <v>111.61690338595326</v>
      </c>
      <c r="P26" s="151">
        <f t="shared" ref="P26:P31" si="11">GROWTH($M$26:$M$31,$K$26:$K$31,$K26)</f>
        <v>114.81847785364509</v>
      </c>
    </row>
    <row r="27" spans="1:16" x14ac:dyDescent="0.3">
      <c r="A27" s="16">
        <f t="shared" si="0"/>
        <v>2017</v>
      </c>
      <c r="B27" s="16">
        <f t="shared" si="1"/>
        <v>4</v>
      </c>
      <c r="C27" s="144">
        <f>'Indication Numbers'!O23</f>
        <v>344361</v>
      </c>
      <c r="D27" s="183">
        <f>'CRL - 4 Written Premium'!L30</f>
        <v>1.1025000000000003</v>
      </c>
      <c r="E27" s="142">
        <f t="shared" si="6"/>
        <v>379658.00250000006</v>
      </c>
      <c r="F27" s="166">
        <f>'Indication Numbers'!N23</f>
        <v>3323</v>
      </c>
      <c r="G27" s="151">
        <f t="shared" si="2"/>
        <v>114.25158065001507</v>
      </c>
      <c r="H27" s="147">
        <f t="shared" si="9"/>
        <v>6.8716454597072651E-2</v>
      </c>
      <c r="K27">
        <f t="shared" si="8"/>
        <v>19</v>
      </c>
      <c r="L27" t="str">
        <f t="shared" si="4"/>
        <v>2017-4</v>
      </c>
      <c r="M27" s="7">
        <f t="shared" si="5"/>
        <v>114.25158065001507</v>
      </c>
      <c r="N27" s="151">
        <f t="shared" si="7"/>
        <v>111.78001522245344</v>
      </c>
      <c r="O27" s="151">
        <f t="shared" si="10"/>
        <v>112.25174987680603</v>
      </c>
      <c r="P27" s="151">
        <f t="shared" si="11"/>
        <v>114.42328726250972</v>
      </c>
    </row>
    <row r="28" spans="1:16" x14ac:dyDescent="0.3">
      <c r="A28" s="16">
        <f t="shared" si="0"/>
        <v>2018</v>
      </c>
      <c r="B28" s="16">
        <f t="shared" ref="B28:B30" si="12">B29-1</f>
        <v>1</v>
      </c>
      <c r="C28" s="144">
        <f>'Indication Numbers'!O24</f>
        <v>345268</v>
      </c>
      <c r="D28" s="183">
        <f>'CRL - 4 Written Premium'!L31</f>
        <v>1.1025000000000003</v>
      </c>
      <c r="E28" s="142">
        <f t="shared" si="6"/>
        <v>380657.97000000009</v>
      </c>
      <c r="F28" s="166">
        <f>'Indication Numbers'!N24</f>
        <v>3331</v>
      </c>
      <c r="G28" s="151">
        <f t="shared" si="2"/>
        <v>114.27738516961875</v>
      </c>
      <c r="H28" s="147">
        <f t="shared" si="9"/>
        <v>5.0907813370590027E-2</v>
      </c>
      <c r="K28">
        <f t="shared" si="8"/>
        <v>20</v>
      </c>
      <c r="L28" t="str">
        <f t="shared" si="4"/>
        <v>2018-1</v>
      </c>
      <c r="M28" s="7">
        <f t="shared" si="5"/>
        <v>114.27738516961875</v>
      </c>
      <c r="N28" s="151">
        <f t="shared" si="7"/>
        <v>112.25488218798434</v>
      </c>
      <c r="O28" s="151">
        <f t="shared" si="10"/>
        <v>112.89020720127557</v>
      </c>
      <c r="P28" s="151">
        <f t="shared" si="11"/>
        <v>114.02945686710453</v>
      </c>
    </row>
    <row r="29" spans="1:16" x14ac:dyDescent="0.3">
      <c r="A29" s="16">
        <f t="shared" si="0"/>
        <v>2018</v>
      </c>
      <c r="B29" s="16">
        <f t="shared" si="12"/>
        <v>2</v>
      </c>
      <c r="C29" s="144">
        <f>'Indication Numbers'!O25</f>
        <v>345633</v>
      </c>
      <c r="D29" s="183">
        <f>'CRL - 4 Written Premium'!L32</f>
        <v>1.1025000000000003</v>
      </c>
      <c r="E29" s="142">
        <f t="shared" si="6"/>
        <v>381060.38250000007</v>
      </c>
      <c r="F29" s="166">
        <f>'Indication Numbers'!N25</f>
        <v>3335</v>
      </c>
      <c r="G29" s="151">
        <f t="shared" si="2"/>
        <v>114.26098425787109</v>
      </c>
      <c r="H29" s="147">
        <f t="shared" si="9"/>
        <v>3.2845065829593567E-2</v>
      </c>
      <c r="K29">
        <f t="shared" si="8"/>
        <v>21</v>
      </c>
      <c r="L29" t="str">
        <f t="shared" si="4"/>
        <v>2018-2</v>
      </c>
      <c r="M29" s="7">
        <f t="shared" si="5"/>
        <v>114.26098425787109</v>
      </c>
      <c r="N29" s="151">
        <f t="shared" si="7"/>
        <v>112.73176649654836</v>
      </c>
      <c r="O29" s="151">
        <f t="shared" si="10"/>
        <v>113.53229589679829</v>
      </c>
      <c r="P29" s="151">
        <f t="shared" si="11"/>
        <v>113.63698198580889</v>
      </c>
    </row>
    <row r="30" spans="1:16" x14ac:dyDescent="0.3">
      <c r="A30" s="16">
        <f t="shared" si="0"/>
        <v>2018</v>
      </c>
      <c r="B30" s="16">
        <f t="shared" si="12"/>
        <v>3</v>
      </c>
      <c r="C30" s="144">
        <f>'Indication Numbers'!O26</f>
        <v>348348</v>
      </c>
      <c r="D30" s="183">
        <f>'CRL - 4 Written Premium'!L33</f>
        <v>1.1025000000000003</v>
      </c>
      <c r="E30" s="142">
        <f t="shared" si="6"/>
        <v>384053.6700000001</v>
      </c>
      <c r="F30" s="166">
        <f>'Indication Numbers'!N26</f>
        <v>3346</v>
      </c>
      <c r="G30" s="151">
        <f t="shared" si="2"/>
        <v>114.77993723849376</v>
      </c>
      <c r="H30" s="147">
        <f t="shared" si="9"/>
        <v>4.6583952275558449E-3</v>
      </c>
      <c r="K30">
        <f t="shared" si="8"/>
        <v>22</v>
      </c>
      <c r="L30" t="str">
        <f t="shared" si="4"/>
        <v>2018-3</v>
      </c>
      <c r="M30" s="7">
        <f t="shared" si="5"/>
        <v>114.77993723849376</v>
      </c>
      <c r="N30" s="151">
        <f t="shared" si="7"/>
        <v>113.21067671827822</v>
      </c>
      <c r="O30" s="151">
        <f t="shared" si="10"/>
        <v>114.17803661762186</v>
      </c>
      <c r="P30" s="151">
        <f t="shared" si="11"/>
        <v>113.2458579531157</v>
      </c>
    </row>
    <row r="31" spans="1:16" x14ac:dyDescent="0.3">
      <c r="A31" s="16">
        <f>LatestYear</f>
        <v>2018</v>
      </c>
      <c r="B31" s="16">
        <v>4</v>
      </c>
      <c r="C31" s="144">
        <f>'Indication Numbers'!O27</f>
        <v>355263</v>
      </c>
      <c r="D31" s="183">
        <f>'CRL - 4 Written Premium'!L34</f>
        <v>1.05</v>
      </c>
      <c r="E31" s="142">
        <f t="shared" si="6"/>
        <v>373026.15</v>
      </c>
      <c r="F31" s="166">
        <f>'Indication Numbers'!N27</f>
        <v>3354</v>
      </c>
      <c r="G31" s="151">
        <f t="shared" si="2"/>
        <v>111.21829159212881</v>
      </c>
      <c r="H31" s="147">
        <f t="shared" si="9"/>
        <v>-2.6549208690408332E-2</v>
      </c>
      <c r="K31">
        <f t="shared" si="8"/>
        <v>23</v>
      </c>
      <c r="L31" t="str">
        <f t="shared" si="4"/>
        <v>2018-4</v>
      </c>
      <c r="M31" s="7">
        <f t="shared" si="5"/>
        <v>111.21829159212881</v>
      </c>
      <c r="N31" s="151">
        <f t="shared" si="7"/>
        <v>113.69162145971453</v>
      </c>
      <c r="O31" s="151">
        <f t="shared" si="10"/>
        <v>114.8274501354697</v>
      </c>
      <c r="P31" s="151">
        <f t="shared" si="11"/>
        <v>112.85608011957596</v>
      </c>
    </row>
    <row r="33" spans="1:10" x14ac:dyDescent="0.3">
      <c r="G33" s="8" t="s">
        <v>174</v>
      </c>
      <c r="H33" s="8"/>
    </row>
    <row r="34" spans="1:10" x14ac:dyDescent="0.3">
      <c r="G34" t="s">
        <v>175</v>
      </c>
      <c r="H34" s="186">
        <f>LOGEST(G12:G$31)^4-1</f>
        <v>1.7194006681418905E-2</v>
      </c>
    </row>
    <row r="35" spans="1:10" x14ac:dyDescent="0.3">
      <c r="G35" t="s">
        <v>176</v>
      </c>
      <c r="H35" s="186">
        <f>LOGEST(G16:G$31)^4-1</f>
        <v>2.6455491358313044E-2</v>
      </c>
    </row>
    <row r="36" spans="1:10" x14ac:dyDescent="0.3">
      <c r="G36" t="s">
        <v>177</v>
      </c>
      <c r="H36" s="186">
        <f>LOGEST(G20:G$31)^4-1</f>
        <v>2.2945747050629128E-2</v>
      </c>
    </row>
    <row r="37" spans="1:10" x14ac:dyDescent="0.3">
      <c r="G37" t="s">
        <v>178</v>
      </c>
      <c r="H37" s="186">
        <f>LOGEST(G24:G$31)^4-1</f>
        <v>1.6441381415656542E-2</v>
      </c>
    </row>
    <row r="38" spans="1:10" x14ac:dyDescent="0.3">
      <c r="G38" t="s">
        <v>179</v>
      </c>
      <c r="H38" s="186">
        <f>LOGEST(G26:G$31)^4-1</f>
        <v>-1.3696575062891125E-2</v>
      </c>
    </row>
    <row r="39" spans="1:10" x14ac:dyDescent="0.3">
      <c r="G39" t="s">
        <v>180</v>
      </c>
      <c r="H39" s="186">
        <f>LOGEST(G28:G$31)^4-1</f>
        <v>-3.0280075522090888E-2</v>
      </c>
    </row>
    <row r="41" spans="1:10" x14ac:dyDescent="0.3">
      <c r="G41" s="9" t="s">
        <v>181</v>
      </c>
      <c r="H41" s="45">
        <v>0.02</v>
      </c>
      <c r="J41" s="140" t="s">
        <v>182</v>
      </c>
    </row>
    <row r="42" spans="1:10" x14ac:dyDescent="0.3">
      <c r="J42" s="140" t="s">
        <v>183</v>
      </c>
    </row>
    <row r="43" spans="1:10" x14ac:dyDescent="0.3">
      <c r="A43" t="s">
        <v>110</v>
      </c>
      <c r="B43" s="148" t="s">
        <v>184</v>
      </c>
      <c r="C43" s="149"/>
      <c r="D43" s="149"/>
      <c r="E43" s="149"/>
      <c r="F43" s="149"/>
      <c r="G43" s="149"/>
      <c r="J43" s="140" t="s">
        <v>185</v>
      </c>
    </row>
    <row r="44" spans="1:10" x14ac:dyDescent="0.3">
      <c r="A44" t="s">
        <v>160</v>
      </c>
      <c r="B44" s="148" t="s">
        <v>186</v>
      </c>
      <c r="C44" s="149"/>
      <c r="D44" s="149"/>
      <c r="E44" s="149"/>
      <c r="F44" s="149"/>
      <c r="G44" s="149"/>
      <c r="J44" s="164" t="s">
        <v>106</v>
      </c>
    </row>
    <row r="45" spans="1:10" x14ac:dyDescent="0.3">
      <c r="A45" t="s">
        <v>161</v>
      </c>
      <c r="B45" s="148" t="s">
        <v>187</v>
      </c>
      <c r="C45" s="149"/>
      <c r="D45" s="149"/>
      <c r="E45" s="149"/>
      <c r="F45" s="149"/>
      <c r="G45" s="149"/>
    </row>
  </sheetData>
  <printOptions horizontalCentered="1"/>
  <pageMargins left="0.7" right="0.7" top="0.75" bottom="0.75" header="0.3" footer="0.3"/>
  <pageSetup fitToWidth="0" orientation="portrait" r:id="rId1"/>
  <headerFooter>
    <oddFooter>&amp;R&amp;1#&amp;"Calibri"&amp;10&amp;K317100Public Information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40"/>
  <sheetViews>
    <sheetView showGridLines="0" zoomScale="85" zoomScaleNormal="85" workbookViewId="0">
      <selection activeCell="F27" sqref="F27"/>
    </sheetView>
  </sheetViews>
  <sheetFormatPr defaultRowHeight="14.4" x14ac:dyDescent="0.3"/>
  <cols>
    <col min="3" max="3" width="5.44140625" bestFit="1" customWidth="1"/>
    <col min="4" max="4" width="5.5546875" bestFit="1" customWidth="1"/>
    <col min="5" max="5" width="10.109375" bestFit="1" customWidth="1"/>
    <col min="6" max="6" width="9.5546875" bestFit="1" customWidth="1"/>
  </cols>
  <sheetData>
    <row r="2" spans="1:10" x14ac:dyDescent="0.3">
      <c r="A2" s="15" t="str">
        <f>State</f>
        <v>Texachussetts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3">
      <c r="A3" s="15" t="str">
        <f>Company</f>
        <v>CAS Rocks Insurance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3">
      <c r="A4" s="15" t="str">
        <f>LOB</f>
        <v>Private Passenger Auto: Property Damage Liability</v>
      </c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3">
      <c r="E6" s="2"/>
      <c r="F6" s="2"/>
      <c r="G6" s="2"/>
      <c r="H6" s="2"/>
      <c r="I6" s="2"/>
      <c r="J6" s="2"/>
    </row>
    <row r="7" spans="1:10" x14ac:dyDescent="0.3">
      <c r="E7" s="2"/>
      <c r="F7" s="2"/>
      <c r="G7" s="2"/>
      <c r="H7" s="2"/>
    </row>
    <row r="8" spans="1:10" x14ac:dyDescent="0.3">
      <c r="E8" s="2"/>
      <c r="F8" s="2"/>
      <c r="G8" s="2"/>
      <c r="H8" s="2"/>
    </row>
    <row r="9" spans="1:10" x14ac:dyDescent="0.3">
      <c r="E9" s="2"/>
      <c r="F9" s="2"/>
      <c r="G9" s="2"/>
      <c r="H9" s="2"/>
    </row>
    <row r="10" spans="1:10" x14ac:dyDescent="0.3">
      <c r="E10" s="2"/>
      <c r="F10" s="2"/>
      <c r="G10" s="2"/>
      <c r="H10" s="2"/>
    </row>
    <row r="11" spans="1:10" x14ac:dyDescent="0.3">
      <c r="E11" s="2"/>
      <c r="F11" s="2"/>
      <c r="G11" s="2"/>
      <c r="H11" s="2"/>
    </row>
    <row r="12" spans="1:10" x14ac:dyDescent="0.3">
      <c r="E12" s="2"/>
      <c r="F12" s="2"/>
      <c r="G12" s="2"/>
      <c r="H12" s="2"/>
    </row>
    <row r="13" spans="1:10" x14ac:dyDescent="0.3">
      <c r="E13" s="2"/>
      <c r="F13" s="2"/>
      <c r="G13" s="2"/>
      <c r="H13" s="2"/>
    </row>
    <row r="14" spans="1:10" x14ac:dyDescent="0.3">
      <c r="E14" s="2"/>
      <c r="F14" s="2"/>
      <c r="G14" s="2"/>
      <c r="H14" s="2"/>
    </row>
    <row r="15" spans="1:10" x14ac:dyDescent="0.3">
      <c r="E15" s="2"/>
      <c r="F15" s="2"/>
      <c r="G15" s="2"/>
      <c r="H15" s="2"/>
    </row>
    <row r="16" spans="1:10" x14ac:dyDescent="0.3">
      <c r="E16" s="2"/>
      <c r="F16" s="2"/>
      <c r="G16" s="2"/>
      <c r="H16" s="2"/>
    </row>
    <row r="17" spans="3:8" x14ac:dyDescent="0.3">
      <c r="E17" s="2"/>
      <c r="F17" s="2"/>
      <c r="G17" s="2"/>
      <c r="H17" s="2"/>
    </row>
    <row r="18" spans="3:8" x14ac:dyDescent="0.3">
      <c r="E18" s="2"/>
      <c r="F18" s="2"/>
      <c r="G18" s="2"/>
      <c r="H18" s="2"/>
    </row>
    <row r="19" spans="3:8" x14ac:dyDescent="0.3">
      <c r="E19" s="2"/>
      <c r="F19" s="2"/>
      <c r="G19" s="2"/>
      <c r="H19" s="2"/>
    </row>
    <row r="20" spans="3:8" x14ac:dyDescent="0.3">
      <c r="E20" s="2"/>
      <c r="F20" s="2"/>
      <c r="G20" s="2"/>
      <c r="H20" s="2"/>
    </row>
    <row r="21" spans="3:8" x14ac:dyDescent="0.3">
      <c r="E21" s="2"/>
      <c r="F21" s="2"/>
      <c r="G21" s="2"/>
      <c r="H21" s="2"/>
    </row>
    <row r="22" spans="3:8" x14ac:dyDescent="0.3">
      <c r="E22" s="2"/>
      <c r="F22" s="2"/>
      <c r="G22" s="2"/>
      <c r="H22" s="2"/>
    </row>
    <row r="23" spans="3:8" x14ac:dyDescent="0.3">
      <c r="E23" s="2"/>
      <c r="F23" s="2"/>
      <c r="G23" s="2"/>
      <c r="H23" s="2"/>
    </row>
    <row r="24" spans="3:8" x14ac:dyDescent="0.3">
      <c r="E24" s="2"/>
      <c r="F24" s="2"/>
      <c r="G24" s="2"/>
      <c r="H24" s="2"/>
    </row>
    <row r="25" spans="3:8" x14ac:dyDescent="0.3">
      <c r="E25" s="2"/>
      <c r="F25" s="2"/>
      <c r="G25" s="2"/>
      <c r="H25" s="2"/>
    </row>
    <row r="26" spans="3:8" x14ac:dyDescent="0.3">
      <c r="C26" s="8" t="str">
        <f>'Premium Trend - 1'!G33</f>
        <v>Exponential Trend</v>
      </c>
      <c r="D26" s="8"/>
      <c r="E26" s="2"/>
      <c r="F26" s="18" t="s">
        <v>188</v>
      </c>
      <c r="G26" s="2"/>
      <c r="H26" s="2"/>
    </row>
    <row r="27" spans="3:8" x14ac:dyDescent="0.3">
      <c r="C27" t="str">
        <f>'Premium Trend - 1'!G34</f>
        <v>20 pt</v>
      </c>
      <c r="D27" s="4">
        <f>'Premium Trend - 1'!H34</f>
        <v>1.7194006681418905E-2</v>
      </c>
      <c r="E27" s="2"/>
      <c r="F27" s="4">
        <f>'Premium Trend - 1'!H41</f>
        <v>0.02</v>
      </c>
      <c r="G27" s="2"/>
      <c r="H27" s="2"/>
    </row>
    <row r="28" spans="3:8" x14ac:dyDescent="0.3">
      <c r="C28" t="str">
        <f>'Premium Trend - 1'!G35</f>
        <v>16 pt</v>
      </c>
      <c r="D28" s="4">
        <f>'Premium Trend - 1'!H35</f>
        <v>2.6455491358313044E-2</v>
      </c>
      <c r="E28" s="2"/>
      <c r="F28" s="4"/>
      <c r="G28" s="2"/>
      <c r="H28" s="2"/>
    </row>
    <row r="29" spans="3:8" x14ac:dyDescent="0.3">
      <c r="C29" t="str">
        <f>'Premium Trend - 1'!G36</f>
        <v>12 pt</v>
      </c>
      <c r="D29" s="4">
        <f>'Premium Trend - 1'!H36</f>
        <v>2.2945747050629128E-2</v>
      </c>
      <c r="E29" s="2"/>
      <c r="F29" s="4"/>
      <c r="G29" s="2"/>
      <c r="H29" s="2"/>
    </row>
    <row r="30" spans="3:8" x14ac:dyDescent="0.3">
      <c r="E30" s="2"/>
      <c r="F30" s="2"/>
      <c r="G30" s="2"/>
      <c r="H30" s="2"/>
    </row>
    <row r="31" spans="3:8" x14ac:dyDescent="0.3">
      <c r="E31" s="2"/>
      <c r="F31" s="2"/>
      <c r="G31" s="2"/>
      <c r="H31" s="2"/>
    </row>
    <row r="32" spans="3:8" x14ac:dyDescent="0.3">
      <c r="E32" s="2"/>
      <c r="F32" s="2"/>
      <c r="G32" s="2"/>
      <c r="H32" s="2"/>
    </row>
    <row r="33" spans="5:8" x14ac:dyDescent="0.3">
      <c r="E33" s="2"/>
      <c r="F33" s="2"/>
      <c r="G33" s="2"/>
      <c r="H33" s="2"/>
    </row>
    <row r="34" spans="5:8" x14ac:dyDescent="0.3">
      <c r="E34" s="2"/>
      <c r="F34" s="2"/>
      <c r="G34" s="2"/>
      <c r="H34" s="2"/>
    </row>
    <row r="35" spans="5:8" x14ac:dyDescent="0.3">
      <c r="E35" s="2"/>
      <c r="F35" s="2"/>
      <c r="G35" s="2"/>
      <c r="H35" s="2"/>
    </row>
    <row r="36" spans="5:8" x14ac:dyDescent="0.3">
      <c r="E36" s="2"/>
      <c r="F36" s="2"/>
      <c r="G36" s="2"/>
      <c r="H36" s="2"/>
    </row>
    <row r="37" spans="5:8" x14ac:dyDescent="0.3">
      <c r="E37" s="2"/>
      <c r="F37" s="2"/>
      <c r="G37" s="2"/>
      <c r="H37" s="2"/>
    </row>
    <row r="38" spans="5:8" x14ac:dyDescent="0.3">
      <c r="E38" s="2"/>
      <c r="F38" s="2"/>
      <c r="G38" s="2"/>
      <c r="H38" s="2"/>
    </row>
    <row r="39" spans="5:8" x14ac:dyDescent="0.3">
      <c r="E39" s="2"/>
      <c r="F39" s="2"/>
      <c r="G39" s="2"/>
      <c r="H39" s="2"/>
    </row>
    <row r="40" spans="5:8" x14ac:dyDescent="0.3">
      <c r="E40" s="2"/>
      <c r="F40" s="2"/>
      <c r="G40" s="2"/>
      <c r="H40" s="2"/>
    </row>
  </sheetData>
  <printOptions horizontalCentered="1"/>
  <pageMargins left="0.7" right="0.7" top="0.75" bottom="0.75" header="0.3" footer="0.3"/>
  <pageSetup orientation="landscape" r:id="rId1"/>
  <headerFooter>
    <oddFooter>&amp;R&amp;1#&amp;"Calibri"&amp;10&amp;K317100Public Information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22"/>
  <sheetViews>
    <sheetView showGridLines="0" zoomScale="85" zoomScaleNormal="85" workbookViewId="0">
      <selection activeCell="G17" sqref="G17"/>
    </sheetView>
  </sheetViews>
  <sheetFormatPr defaultRowHeight="14.4" x14ac:dyDescent="0.3"/>
  <cols>
    <col min="1" max="1" width="12.44140625" bestFit="1" customWidth="1"/>
    <col min="2" max="2" width="13.44140625" bestFit="1" customWidth="1"/>
    <col min="3" max="3" width="10.109375" bestFit="1" customWidth="1"/>
    <col min="4" max="4" width="9.5546875" bestFit="1" customWidth="1"/>
    <col min="5" max="5" width="9.44140625" customWidth="1"/>
    <col min="12" max="12" width="10.5546875" customWidth="1"/>
  </cols>
  <sheetData>
    <row r="1" spans="1:11" x14ac:dyDescent="0.3">
      <c r="A1" s="170" t="s">
        <v>189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</row>
    <row r="2" spans="1:11" ht="15" thickBot="1" x14ac:dyDescent="0.35">
      <c r="A2" s="173" t="s">
        <v>190</v>
      </c>
      <c r="B2" s="174"/>
      <c r="C2" s="174"/>
      <c r="D2" s="174"/>
      <c r="E2" s="174"/>
      <c r="F2" s="174"/>
      <c r="G2" s="174"/>
      <c r="H2" s="174"/>
      <c r="I2" s="174"/>
      <c r="J2" s="174"/>
      <c r="K2" s="175"/>
    </row>
    <row r="5" spans="1:11" x14ac:dyDescent="0.3">
      <c r="A5" s="15"/>
      <c r="B5" s="15" t="str">
        <f>State</f>
        <v>Texachussetts</v>
      </c>
      <c r="C5" s="15"/>
      <c r="D5" s="15"/>
      <c r="E5" s="15"/>
    </row>
    <row r="6" spans="1:11" x14ac:dyDescent="0.3">
      <c r="A6" s="15"/>
      <c r="B6" s="15" t="str">
        <f>Company</f>
        <v>CAS Rocks Insurance</v>
      </c>
      <c r="C6" s="15"/>
      <c r="D6" s="15"/>
      <c r="E6" s="15"/>
    </row>
    <row r="7" spans="1:11" x14ac:dyDescent="0.3">
      <c r="A7" s="15"/>
      <c r="B7" s="15" t="str">
        <f>LOB</f>
        <v>Private Passenger Auto: Property Damage Liability</v>
      </c>
      <c r="C7" s="15"/>
      <c r="D7" s="15"/>
      <c r="E7" s="15"/>
    </row>
    <row r="9" spans="1:11" x14ac:dyDescent="0.3">
      <c r="C9" s="32">
        <f>L9+1</f>
        <v>1</v>
      </c>
      <c r="D9" s="32">
        <f>C9+1</f>
        <v>2</v>
      </c>
      <c r="E9" s="32">
        <f>D9+1</f>
        <v>3</v>
      </c>
    </row>
    <row r="10" spans="1:11" ht="57.6" x14ac:dyDescent="0.3">
      <c r="B10" s="16" t="s">
        <v>122</v>
      </c>
      <c r="C10" s="33" t="s">
        <v>181</v>
      </c>
      <c r="D10" s="33" t="s">
        <v>191</v>
      </c>
      <c r="E10" s="33" t="s">
        <v>192</v>
      </c>
    </row>
    <row r="12" spans="1:11" x14ac:dyDescent="0.3">
      <c r="B12" s="16">
        <f t="shared" ref="B12:B15" si="0">B13-1</f>
        <v>2014</v>
      </c>
      <c r="C12" s="34">
        <f>'Premium Trend - 1'!$H$41</f>
        <v>0.02</v>
      </c>
      <c r="D12" s="187">
        <f>YEARFRAC(DATE(B12,7,1),EDATE(EffDate,9))</f>
        <v>6.25</v>
      </c>
      <c r="E12" s="187">
        <f t="shared" ref="E12:E16" si="1">(1+C12)^D12</f>
        <v>1.1317514862911209</v>
      </c>
      <c r="G12" s="6"/>
    </row>
    <row r="13" spans="1:11" x14ac:dyDescent="0.3">
      <c r="B13" s="16">
        <f t="shared" si="0"/>
        <v>2015</v>
      </c>
      <c r="C13" s="34">
        <f>'Premium Trend - 1'!$H$41</f>
        <v>0.02</v>
      </c>
      <c r="D13" s="187">
        <f>YEARFRAC(DATE(B13,7,1),EDATE(EffDate,9))</f>
        <v>5.25</v>
      </c>
      <c r="E13" s="187">
        <f t="shared" si="1"/>
        <v>1.1095602806775695</v>
      </c>
    </row>
    <row r="14" spans="1:11" x14ac:dyDescent="0.3">
      <c r="B14" s="16">
        <f t="shared" si="0"/>
        <v>2016</v>
      </c>
      <c r="C14" s="34">
        <f>'Premium Trend - 1'!$H$41</f>
        <v>0.02</v>
      </c>
      <c r="D14" s="187">
        <f>YEARFRAC(DATE(B14,7,1),EDATE(EffDate,9))</f>
        <v>4.25</v>
      </c>
      <c r="E14" s="187">
        <f t="shared" si="1"/>
        <v>1.0878041967427152</v>
      </c>
    </row>
    <row r="15" spans="1:11" x14ac:dyDescent="0.3">
      <c r="B15" s="16">
        <f t="shared" si="0"/>
        <v>2017</v>
      </c>
      <c r="C15" s="34">
        <f>'Premium Trend - 1'!$H$41</f>
        <v>0.02</v>
      </c>
      <c r="D15" s="187">
        <f>YEARFRAC(DATE(B15,7,1),EDATE(EffDate,9))</f>
        <v>3.25</v>
      </c>
      <c r="E15" s="187">
        <f t="shared" si="1"/>
        <v>1.0664747026889365</v>
      </c>
    </row>
    <row r="16" spans="1:11" x14ac:dyDescent="0.3">
      <c r="B16" s="16">
        <f>LatestYear</f>
        <v>2018</v>
      </c>
      <c r="C16" s="34">
        <f>'Premium Trend - 1'!$H$41</f>
        <v>0.02</v>
      </c>
      <c r="D16" s="187">
        <f>YEARFRAC(DATE(B16,7,1),EDATE(EffDate,9))</f>
        <v>2.25</v>
      </c>
      <c r="E16" s="187">
        <f t="shared" si="1"/>
        <v>1.0455634340087612</v>
      </c>
    </row>
    <row r="19" spans="2:4" x14ac:dyDescent="0.3">
      <c r="B19" s="13">
        <v>1</v>
      </c>
      <c r="C19" t="s">
        <v>193</v>
      </c>
    </row>
    <row r="20" spans="2:4" x14ac:dyDescent="0.3">
      <c r="B20" s="13">
        <v>2</v>
      </c>
      <c r="C20" t="str">
        <f>"From 07/01/XXXX to "&amp;TEXT(EDATE(EffDate,9)-1,"mm/dd/yyyy")&amp;","</f>
        <v>From 07/01/XXXX to 09/30/2020,</v>
      </c>
    </row>
    <row r="21" spans="2:4" x14ac:dyDescent="0.3">
      <c r="B21" s="13"/>
      <c r="C21" t="str">
        <f>"midpoint upcoming 6 month policy year."</f>
        <v>midpoint upcoming 6 month policy year.</v>
      </c>
    </row>
    <row r="22" spans="2:4" x14ac:dyDescent="0.3">
      <c r="B22" s="13">
        <v>3</v>
      </c>
      <c r="C22" s="148" t="s">
        <v>194</v>
      </c>
      <c r="D22" s="149"/>
    </row>
  </sheetData>
  <printOptions horizontalCentered="1"/>
  <pageMargins left="0.7" right="0.7" top="0.75" bottom="0.75" header="0.3" footer="0.3"/>
  <pageSetup fitToHeight="0" orientation="landscape" r:id="rId1"/>
  <headerFooter>
    <oddFooter>&amp;R&amp;1#&amp;"Calibri"&amp;10&amp;K317100Public Information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FF"/>
    <pageSetUpPr fitToPage="1"/>
  </sheetPr>
  <dimension ref="A1:O42"/>
  <sheetViews>
    <sheetView showGridLines="0" zoomScale="85" zoomScaleNormal="85" workbookViewId="0">
      <selection activeCell="I19" sqref="I19"/>
    </sheetView>
  </sheetViews>
  <sheetFormatPr defaultRowHeight="14.4" x14ac:dyDescent="0.3"/>
  <cols>
    <col min="1" max="1" width="12.44140625" bestFit="1" customWidth="1"/>
    <col min="2" max="2" width="18.109375" bestFit="1" customWidth="1"/>
    <col min="4" max="7" width="10.109375" customWidth="1"/>
    <col min="8" max="8" width="10.109375" bestFit="1" customWidth="1"/>
  </cols>
  <sheetData>
    <row r="1" spans="1:15" ht="15" thickBot="1" x14ac:dyDescent="0.35">
      <c r="A1" s="157" t="s">
        <v>195</v>
      </c>
      <c r="B1" s="158"/>
      <c r="C1" s="158"/>
      <c r="D1" s="158"/>
      <c r="E1" s="158"/>
      <c r="F1" s="158"/>
      <c r="G1" s="158"/>
      <c r="H1" s="158"/>
      <c r="I1" s="177"/>
    </row>
    <row r="3" spans="1:15" x14ac:dyDescent="0.3">
      <c r="A3" s="15" t="str">
        <f>State</f>
        <v>Texachussetts</v>
      </c>
      <c r="B3" s="15"/>
      <c r="C3" s="15"/>
      <c r="D3" s="15"/>
      <c r="E3" s="15"/>
      <c r="F3" s="15"/>
      <c r="G3" s="15"/>
      <c r="H3" s="15"/>
      <c r="I3" s="15"/>
    </row>
    <row r="4" spans="1:15" x14ac:dyDescent="0.3">
      <c r="A4" s="15" t="str">
        <f>Company</f>
        <v>CAS Rocks Insurance</v>
      </c>
      <c r="B4" s="15"/>
      <c r="C4" s="15"/>
      <c r="D4" s="15"/>
      <c r="E4" s="15"/>
      <c r="F4" s="15"/>
      <c r="G4" s="15"/>
      <c r="H4" s="15"/>
      <c r="I4" s="15"/>
    </row>
    <row r="5" spans="1:15" x14ac:dyDescent="0.3">
      <c r="A5" s="15" t="str">
        <f>LOB</f>
        <v>Private Passenger Auto: Property Damage Liability</v>
      </c>
      <c r="B5" s="15"/>
      <c r="C5" s="15"/>
      <c r="D5" s="15"/>
      <c r="E5" s="15"/>
      <c r="F5" s="15"/>
      <c r="G5" s="15"/>
      <c r="H5" s="15"/>
      <c r="I5" s="15"/>
    </row>
    <row r="7" spans="1:15" x14ac:dyDescent="0.3">
      <c r="D7" s="49" t="s">
        <v>196</v>
      </c>
      <c r="E7" s="49"/>
      <c r="F7" s="49"/>
      <c r="G7" s="49"/>
      <c r="H7" s="49"/>
    </row>
    <row r="8" spans="1:15" x14ac:dyDescent="0.3">
      <c r="B8" t="s">
        <v>197</v>
      </c>
      <c r="D8" s="16" t="str">
        <f>EvalMonths&amp;" Mos"</f>
        <v>15 Mos</v>
      </c>
      <c r="E8" s="16" t="str">
        <f>EvalMonths+12&amp;" Mos"</f>
        <v>27 Mos</v>
      </c>
      <c r="F8" s="16" t="str">
        <f>EvalMonths+24&amp;" Mos"</f>
        <v>39 Mos</v>
      </c>
      <c r="G8" s="16" t="str">
        <f>EvalMonths+36&amp;" Mos"</f>
        <v>51 Mos</v>
      </c>
      <c r="H8" s="16" t="str">
        <f>EvalMonths+48&amp;" Mos"</f>
        <v>63 Mos</v>
      </c>
      <c r="K8" s="16"/>
      <c r="L8" s="16"/>
      <c r="M8" s="16"/>
      <c r="N8" s="16"/>
      <c r="O8" s="16"/>
    </row>
    <row r="10" spans="1:15" x14ac:dyDescent="0.3">
      <c r="B10">
        <f t="shared" ref="B10:B15" si="0">B11-1</f>
        <v>2012</v>
      </c>
      <c r="D10" s="188">
        <v>705088</v>
      </c>
      <c r="E10" s="188">
        <v>725592</v>
      </c>
      <c r="F10" s="188">
        <v>738686</v>
      </c>
      <c r="G10" s="188">
        <v>753027</v>
      </c>
      <c r="H10" s="188">
        <v>732239</v>
      </c>
    </row>
    <row r="11" spans="1:15" x14ac:dyDescent="0.3">
      <c r="B11">
        <f t="shared" si="0"/>
        <v>2013</v>
      </c>
      <c r="D11" s="188">
        <v>712475</v>
      </c>
      <c r="E11" s="188">
        <v>753295</v>
      </c>
      <c r="F11" s="188">
        <v>782248</v>
      </c>
      <c r="G11" s="188">
        <v>800258</v>
      </c>
      <c r="H11" s="188">
        <v>813949</v>
      </c>
    </row>
    <row r="12" spans="1:15" x14ac:dyDescent="0.3">
      <c r="B12">
        <f t="shared" si="0"/>
        <v>2014</v>
      </c>
      <c r="D12" s="188">
        <v>714196</v>
      </c>
      <c r="E12" s="188">
        <v>763913</v>
      </c>
      <c r="F12" s="188">
        <v>855150</v>
      </c>
      <c r="G12" s="188">
        <v>874106</v>
      </c>
      <c r="H12" s="188">
        <v>856495</v>
      </c>
    </row>
    <row r="13" spans="1:15" x14ac:dyDescent="0.3">
      <c r="B13">
        <f t="shared" si="0"/>
        <v>2015</v>
      </c>
      <c r="D13" s="188">
        <v>764101</v>
      </c>
      <c r="E13" s="188">
        <v>861114</v>
      </c>
      <c r="F13" s="188">
        <v>884498</v>
      </c>
      <c r="G13" s="188">
        <v>867184</v>
      </c>
      <c r="H13" s="188"/>
    </row>
    <row r="14" spans="1:15" x14ac:dyDescent="0.3">
      <c r="B14">
        <f t="shared" si="0"/>
        <v>2016</v>
      </c>
      <c r="D14" s="188">
        <v>774384</v>
      </c>
      <c r="E14" s="188">
        <v>846167</v>
      </c>
      <c r="F14" s="188">
        <v>835120</v>
      </c>
      <c r="G14" s="188"/>
      <c r="H14" s="188"/>
    </row>
    <row r="15" spans="1:15" x14ac:dyDescent="0.3">
      <c r="B15">
        <f t="shared" si="0"/>
        <v>2017</v>
      </c>
      <c r="D15" s="188">
        <v>785068</v>
      </c>
      <c r="E15" s="188">
        <v>821509</v>
      </c>
      <c r="F15" s="188"/>
      <c r="G15" s="188"/>
      <c r="H15" s="188"/>
    </row>
    <row r="16" spans="1:15" x14ac:dyDescent="0.3">
      <c r="B16">
        <f>LatestYear</f>
        <v>2018</v>
      </c>
      <c r="D16" s="188">
        <v>797866</v>
      </c>
      <c r="E16" s="188"/>
      <c r="F16" s="188"/>
      <c r="G16" s="188"/>
      <c r="H16" s="188"/>
    </row>
    <row r="19" spans="1:8" x14ac:dyDescent="0.3">
      <c r="B19" t="s">
        <v>198</v>
      </c>
      <c r="D19" s="37" t="str">
        <f>LEFT(D8,2)&amp;"-"&amp;LEFT(E8,2)</f>
        <v>15-27</v>
      </c>
      <c r="E19" s="37" t="str">
        <f t="shared" ref="E19:G19" si="1">LEFT(E8,2)&amp;"-"&amp;LEFT(F8,2)</f>
        <v>27-39</v>
      </c>
      <c r="F19" s="37" t="str">
        <f t="shared" si="1"/>
        <v>39-51</v>
      </c>
      <c r="G19" s="37" t="str">
        <f t="shared" si="1"/>
        <v>51-63</v>
      </c>
      <c r="H19" s="37" t="str">
        <f>LEFT(H8,2)&amp;"-Ult"</f>
        <v>63-Ult</v>
      </c>
    </row>
    <row r="20" spans="1:8" x14ac:dyDescent="0.3">
      <c r="B20">
        <f t="shared" ref="B20:B25" si="2">B10</f>
        <v>2012</v>
      </c>
      <c r="D20" s="152">
        <f t="shared" ref="D20:H25" si="3">IF(ISBLANK(E10),"",E10/D10)</f>
        <v>1.0290800580920396</v>
      </c>
      <c r="E20" s="152">
        <f t="shared" si="3"/>
        <v>1.0180459542001565</v>
      </c>
      <c r="F20" s="152">
        <f t="shared" si="3"/>
        <v>1.0194142030578621</v>
      </c>
      <c r="G20" s="152">
        <f t="shared" si="3"/>
        <v>0.97239408414306527</v>
      </c>
      <c r="H20" s="35" t="str">
        <f t="shared" si="3"/>
        <v/>
      </c>
    </row>
    <row r="21" spans="1:8" x14ac:dyDescent="0.3">
      <c r="B21">
        <f t="shared" si="2"/>
        <v>2013</v>
      </c>
      <c r="D21" s="152">
        <f t="shared" si="3"/>
        <v>1.0572932383592406</v>
      </c>
      <c r="E21" s="152">
        <f t="shared" si="3"/>
        <v>1.0384351416111881</v>
      </c>
      <c r="F21" s="152">
        <f t="shared" si="3"/>
        <v>1.0230233890019533</v>
      </c>
      <c r="G21" s="152">
        <f t="shared" si="3"/>
        <v>1.0171082325949881</v>
      </c>
      <c r="H21" s="35" t="str">
        <f t="shared" si="3"/>
        <v/>
      </c>
    </row>
    <row r="22" spans="1:8" x14ac:dyDescent="0.3">
      <c r="B22">
        <f t="shared" si="2"/>
        <v>2014</v>
      </c>
      <c r="D22" s="152">
        <f t="shared" si="3"/>
        <v>1.0696125433354429</v>
      </c>
      <c r="E22" s="152">
        <f t="shared" si="3"/>
        <v>1.1194337575090356</v>
      </c>
      <c r="F22" s="152">
        <f t="shared" si="3"/>
        <v>1.022166871309127</v>
      </c>
      <c r="G22" s="152">
        <f t="shared" si="3"/>
        <v>0.97985255792775705</v>
      </c>
      <c r="H22" s="35" t="str">
        <f t="shared" si="3"/>
        <v/>
      </c>
    </row>
    <row r="23" spans="1:8" x14ac:dyDescent="0.3">
      <c r="B23">
        <f t="shared" si="2"/>
        <v>2015</v>
      </c>
      <c r="D23" s="152">
        <f t="shared" si="3"/>
        <v>1.1269635820395472</v>
      </c>
      <c r="E23" s="152">
        <f t="shared" si="3"/>
        <v>1.0271555218008301</v>
      </c>
      <c r="F23" s="152">
        <f t="shared" si="3"/>
        <v>0.98042505466377539</v>
      </c>
      <c r="G23" s="35" t="str">
        <f t="shared" si="3"/>
        <v/>
      </c>
      <c r="H23" s="35" t="str">
        <f t="shared" si="3"/>
        <v/>
      </c>
    </row>
    <row r="24" spans="1:8" x14ac:dyDescent="0.3">
      <c r="B24">
        <f t="shared" si="2"/>
        <v>2016</v>
      </c>
      <c r="D24" s="152">
        <f t="shared" si="3"/>
        <v>1.0926969048947293</v>
      </c>
      <c r="E24" s="152">
        <f t="shared" si="3"/>
        <v>0.98694465749668803</v>
      </c>
      <c r="F24" s="35" t="str">
        <f t="shared" si="3"/>
        <v/>
      </c>
      <c r="G24" s="35" t="str">
        <f t="shared" si="3"/>
        <v/>
      </c>
      <c r="H24" s="35" t="str">
        <f t="shared" si="3"/>
        <v/>
      </c>
    </row>
    <row r="25" spans="1:8" x14ac:dyDescent="0.3">
      <c r="B25">
        <f t="shared" si="2"/>
        <v>2017</v>
      </c>
      <c r="D25" s="152">
        <f t="shared" si="3"/>
        <v>1.0464176351602663</v>
      </c>
      <c r="E25" s="35" t="str">
        <f t="shared" si="3"/>
        <v/>
      </c>
      <c r="F25" s="35" t="str">
        <f t="shared" si="3"/>
        <v/>
      </c>
      <c r="G25" s="35" t="str">
        <f t="shared" si="3"/>
        <v/>
      </c>
      <c r="H25" s="35" t="str">
        <f t="shared" si="3"/>
        <v/>
      </c>
    </row>
    <row r="27" spans="1:8" x14ac:dyDescent="0.3">
      <c r="A27" s="13">
        <v>1</v>
      </c>
      <c r="B27" t="s">
        <v>199</v>
      </c>
      <c r="D27" s="152">
        <f>AVERAGE(D20:D25)</f>
        <v>1.0703439936468777</v>
      </c>
      <c r="E27" s="152">
        <f t="shared" ref="E27:G27" si="4">AVERAGE(E20:E25)</f>
        <v>1.0380030065235797</v>
      </c>
      <c r="F27" s="152">
        <f t="shared" si="4"/>
        <v>1.0112573795081794</v>
      </c>
      <c r="G27" s="152">
        <f t="shared" si="4"/>
        <v>0.98978495822193679</v>
      </c>
    </row>
    <row r="28" spans="1:8" x14ac:dyDescent="0.3">
      <c r="A28" s="13">
        <f t="shared" ref="A28:A34" si="5">A27+1</f>
        <v>2</v>
      </c>
      <c r="B28" t="s">
        <v>200</v>
      </c>
      <c r="D28" s="152">
        <f>AVERAGE(D23:D25)</f>
        <v>1.0886927073648476</v>
      </c>
      <c r="E28" s="152">
        <f>AVERAGE(E22:E24)</f>
        <v>1.0445113122688512</v>
      </c>
      <c r="F28" s="152">
        <f>AVERAGE(F21:F23)</f>
        <v>1.0085384383249518</v>
      </c>
      <c r="G28" s="152">
        <f>AVERAGE(G20:G22)</f>
        <v>0.98978495822193679</v>
      </c>
    </row>
    <row r="29" spans="1:8" x14ac:dyDescent="0.3">
      <c r="A29" s="13">
        <f t="shared" si="5"/>
        <v>3</v>
      </c>
      <c r="B29" t="s">
        <v>201</v>
      </c>
      <c r="D29" s="152">
        <f t="shared" ref="D29" si="6">AVERAGE(D22:D25)</f>
        <v>1.0839226663574963</v>
      </c>
      <c r="E29" s="152">
        <f>AVERAGE(E21:E24)</f>
        <v>1.0429922696044356</v>
      </c>
      <c r="F29" s="152">
        <f>AVERAGE(F20:F23)</f>
        <v>1.0112573795081794</v>
      </c>
      <c r="G29" s="35"/>
    </row>
    <row r="30" spans="1:8" x14ac:dyDescent="0.3">
      <c r="A30" s="13">
        <f t="shared" si="5"/>
        <v>4</v>
      </c>
      <c r="B30" t="s">
        <v>202</v>
      </c>
      <c r="D30" s="152">
        <f>(SUM(D20:D25)-MIN(D20:D25)-MAX(D20:D25))/(COUNT(D20:D25)-2)</f>
        <v>1.0665050804374197</v>
      </c>
      <c r="E30" s="152">
        <f t="shared" ref="E30:G30" si="7">(SUM(E20:E25)-MIN(E20:E25)-MAX(E20:E25))/(COUNT(E20:E25)-2)</f>
        <v>1.0278788725373917</v>
      </c>
      <c r="F30" s="152">
        <f t="shared" si="7"/>
        <v>1.0207905371834944</v>
      </c>
      <c r="G30" s="152">
        <f t="shared" si="7"/>
        <v>0.97985255792775705</v>
      </c>
    </row>
    <row r="31" spans="1:8" x14ac:dyDescent="0.3">
      <c r="A31" s="13">
        <f t="shared" si="5"/>
        <v>5</v>
      </c>
      <c r="B31" t="s">
        <v>203</v>
      </c>
      <c r="D31" s="152">
        <f>PRODUCT(D20:D25)^(1/COUNT(D20:D25))</f>
        <v>1.0698698731758236</v>
      </c>
      <c r="E31" s="152">
        <f t="shared" ref="E31:G31" si="8">PRODUCT(E20:E25)^(1/COUNT(E20:E25))</f>
        <v>1.0370861460974501</v>
      </c>
      <c r="F31" s="152">
        <f t="shared" si="8"/>
        <v>1.011097674094537</v>
      </c>
      <c r="G31" s="152">
        <f t="shared" si="8"/>
        <v>0.98959327683035847</v>
      </c>
    </row>
    <row r="33" spans="1:10" x14ac:dyDescent="0.3">
      <c r="A33" s="13">
        <f>A31+1</f>
        <v>6</v>
      </c>
      <c r="B33" t="s">
        <v>204</v>
      </c>
      <c r="D33" s="189">
        <v>1.0665</v>
      </c>
      <c r="E33" s="189">
        <v>1.0279</v>
      </c>
      <c r="F33" s="189">
        <v>1.0207999999999999</v>
      </c>
      <c r="G33" s="189">
        <v>0.97989999999999999</v>
      </c>
      <c r="H33" s="189">
        <v>1</v>
      </c>
      <c r="J33" s="140" t="s">
        <v>205</v>
      </c>
    </row>
    <row r="34" spans="1:10" x14ac:dyDescent="0.3">
      <c r="A34" s="13">
        <f t="shared" si="5"/>
        <v>7</v>
      </c>
      <c r="B34" t="s">
        <v>206</v>
      </c>
      <c r="D34" s="152">
        <f>PRODUCT(D33:$H33)</f>
        <v>1.096564406308272</v>
      </c>
      <c r="E34" s="152">
        <f>PRODUCT(E33:$H33)</f>
        <v>1.028189785568</v>
      </c>
      <c r="F34" s="152">
        <f>PRODUCT(F33:$H33)</f>
        <v>1.0002819199999999</v>
      </c>
      <c r="G34" s="152">
        <f>PRODUCT(G33:$H33)</f>
        <v>0.97989999999999999</v>
      </c>
      <c r="H34" s="152">
        <f>PRODUCT(H33:$H33)</f>
        <v>1</v>
      </c>
      <c r="J34" s="140" t="s">
        <v>207</v>
      </c>
    </row>
    <row r="35" spans="1:10" x14ac:dyDescent="0.3">
      <c r="J35" s="140" t="s">
        <v>208</v>
      </c>
    </row>
    <row r="36" spans="1:10" x14ac:dyDescent="0.3">
      <c r="A36" s="13">
        <v>1</v>
      </c>
      <c r="B36" t="s">
        <v>209</v>
      </c>
      <c r="J36" s="164" t="s">
        <v>106</v>
      </c>
    </row>
    <row r="37" spans="1:10" x14ac:dyDescent="0.3">
      <c r="A37" s="13">
        <f t="shared" ref="A37:A40" si="9">A36+1</f>
        <v>2</v>
      </c>
      <c r="B37" t="s">
        <v>209</v>
      </c>
    </row>
    <row r="38" spans="1:10" x14ac:dyDescent="0.3">
      <c r="A38" s="13">
        <f t="shared" si="9"/>
        <v>3</v>
      </c>
      <c r="B38" t="s">
        <v>209</v>
      </c>
    </row>
    <row r="39" spans="1:10" x14ac:dyDescent="0.3">
      <c r="A39" s="13">
        <f t="shared" si="9"/>
        <v>4</v>
      </c>
      <c r="B39" t="s">
        <v>210</v>
      </c>
    </row>
    <row r="40" spans="1:10" x14ac:dyDescent="0.3">
      <c r="A40" s="13">
        <f t="shared" si="9"/>
        <v>5</v>
      </c>
      <c r="B40" s="14" t="s">
        <v>211</v>
      </c>
    </row>
    <row r="41" spans="1:10" x14ac:dyDescent="0.3">
      <c r="A41" s="13">
        <f>A40+2</f>
        <v>7</v>
      </c>
      <c r="B41" s="148" t="s">
        <v>212</v>
      </c>
      <c r="C41" s="149"/>
    </row>
    <row r="42" spans="1:10" x14ac:dyDescent="0.3">
      <c r="A42" s="13"/>
    </row>
  </sheetData>
  <printOptions horizontalCentered="1"/>
  <pageMargins left="0.7" right="0.7" top="0.75" bottom="0.75" header="0.3" footer="0.3"/>
  <pageSetup scale="87" orientation="landscape" r:id="rId1"/>
  <headerFooter>
    <oddFooter>&amp;R&amp;1#&amp;"Calibri"&amp;10&amp;K317100Public Information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</sheetPr>
  <dimension ref="A1:X48"/>
  <sheetViews>
    <sheetView showGridLines="0" zoomScale="85" zoomScaleNormal="85" workbookViewId="0">
      <selection activeCell="E9" sqref="E9"/>
    </sheetView>
  </sheetViews>
  <sheetFormatPr defaultRowHeight="14.4" x14ac:dyDescent="0.3"/>
  <cols>
    <col min="1" max="1" width="13.109375" bestFit="1" customWidth="1"/>
    <col min="3" max="4" width="9.44140625" bestFit="1" customWidth="1"/>
    <col min="5" max="5" width="15" bestFit="1" customWidth="1"/>
    <col min="6" max="7" width="10.5546875" bestFit="1" customWidth="1"/>
    <col min="8" max="8" width="9.44140625" bestFit="1" customWidth="1"/>
    <col min="11" max="11" width="9.44140625" bestFit="1" customWidth="1"/>
    <col min="13" max="16" width="9.44140625" bestFit="1" customWidth="1"/>
    <col min="17" max="18" width="10.5546875" bestFit="1" customWidth="1"/>
    <col min="19" max="19" width="10.109375" bestFit="1" customWidth="1"/>
    <col min="20" max="20" width="10.5546875" bestFit="1" customWidth="1"/>
    <col min="21" max="24" width="9.44140625" bestFit="1" customWidth="1"/>
  </cols>
  <sheetData>
    <row r="1" spans="1:24" ht="15" thickBot="1" x14ac:dyDescent="0.35">
      <c r="A1" s="157" t="s">
        <v>213</v>
      </c>
      <c r="B1" s="158"/>
      <c r="C1" s="158"/>
      <c r="D1" s="158"/>
      <c r="E1" s="158"/>
      <c r="F1" s="177"/>
    </row>
    <row r="3" spans="1:24" x14ac:dyDescent="0.3">
      <c r="A3" s="15" t="str">
        <f>State</f>
        <v>Texachussetts</v>
      </c>
      <c r="B3" s="15"/>
      <c r="C3" s="15"/>
      <c r="D3" s="15"/>
      <c r="E3" s="15"/>
      <c r="F3" s="15"/>
      <c r="G3" s="15"/>
      <c r="H3" s="15"/>
    </row>
    <row r="4" spans="1:24" x14ac:dyDescent="0.3">
      <c r="A4" s="15" t="str">
        <f>Company</f>
        <v>CAS Rocks Insurance</v>
      </c>
      <c r="B4" s="15"/>
      <c r="C4" s="15"/>
      <c r="D4" s="15"/>
      <c r="E4" s="15"/>
      <c r="F4" s="15"/>
      <c r="G4" s="15"/>
      <c r="H4" s="15"/>
    </row>
    <row r="5" spans="1:24" x14ac:dyDescent="0.3">
      <c r="A5" s="15" t="str">
        <f>LOB</f>
        <v>Private Passenger Auto: Property Damage Liability</v>
      </c>
      <c r="B5" s="15"/>
      <c r="C5" s="15"/>
      <c r="D5" s="15"/>
      <c r="E5" s="15"/>
      <c r="F5" s="15"/>
      <c r="G5" s="15"/>
      <c r="H5" s="15"/>
    </row>
    <row r="6" spans="1:24" x14ac:dyDescent="0.3">
      <c r="K6" s="19"/>
      <c r="L6" s="20"/>
      <c r="M6" s="19" t="s">
        <v>214</v>
      </c>
      <c r="N6" s="25" t="s">
        <v>214</v>
      </c>
      <c r="O6" s="25" t="s">
        <v>214</v>
      </c>
      <c r="P6" s="20" t="s">
        <v>214</v>
      </c>
      <c r="Q6" s="19" t="s">
        <v>215</v>
      </c>
      <c r="R6" s="25" t="s">
        <v>215</v>
      </c>
      <c r="S6" s="25" t="s">
        <v>215</v>
      </c>
      <c r="T6" s="20" t="s">
        <v>215</v>
      </c>
      <c r="U6" s="19" t="s">
        <v>216</v>
      </c>
      <c r="V6" s="25" t="s">
        <v>216</v>
      </c>
      <c r="W6" s="25" t="s">
        <v>216</v>
      </c>
      <c r="X6" s="20" t="s">
        <v>216</v>
      </c>
    </row>
    <row r="7" spans="1:24" x14ac:dyDescent="0.3">
      <c r="C7" s="32">
        <v>1</v>
      </c>
      <c r="D7" s="32">
        <f t="shared" ref="D7:H7" si="0">C7+1</f>
        <v>2</v>
      </c>
      <c r="E7" s="32">
        <f t="shared" si="0"/>
        <v>3</v>
      </c>
      <c r="F7" s="32">
        <f t="shared" si="0"/>
        <v>4</v>
      </c>
      <c r="G7" s="32">
        <f t="shared" si="0"/>
        <v>5</v>
      </c>
      <c r="H7" s="32">
        <f t="shared" si="0"/>
        <v>6</v>
      </c>
      <c r="K7" s="21" t="s">
        <v>217</v>
      </c>
      <c r="L7" s="22" t="s">
        <v>217</v>
      </c>
      <c r="M7" s="21" t="s">
        <v>217</v>
      </c>
      <c r="N7" t="s">
        <v>217</v>
      </c>
      <c r="O7" t="s">
        <v>217</v>
      </c>
      <c r="P7" s="22" t="s">
        <v>217</v>
      </c>
      <c r="Q7" s="21" t="s">
        <v>217</v>
      </c>
      <c r="R7" t="s">
        <v>217</v>
      </c>
      <c r="S7" t="s">
        <v>217</v>
      </c>
      <c r="T7" s="22" t="s">
        <v>217</v>
      </c>
      <c r="U7" s="21" t="s">
        <v>217</v>
      </c>
      <c r="V7" t="s">
        <v>217</v>
      </c>
      <c r="W7" t="s">
        <v>217</v>
      </c>
      <c r="X7" s="22" t="s">
        <v>217</v>
      </c>
    </row>
    <row r="8" spans="1:24" ht="43.2" x14ac:dyDescent="0.3">
      <c r="A8" s="33" t="s">
        <v>162</v>
      </c>
      <c r="B8" s="33" t="s">
        <v>153</v>
      </c>
      <c r="C8" s="33" t="s">
        <v>218</v>
      </c>
      <c r="D8" s="33" t="s">
        <v>219</v>
      </c>
      <c r="E8" s="33" t="s">
        <v>220</v>
      </c>
      <c r="F8" s="33" t="s">
        <v>221</v>
      </c>
      <c r="G8" s="33" t="s">
        <v>222</v>
      </c>
      <c r="H8" s="33" t="s">
        <v>223</v>
      </c>
      <c r="K8" s="21"/>
      <c r="L8" s="22" t="s">
        <v>169</v>
      </c>
      <c r="M8" s="21" t="s">
        <v>170</v>
      </c>
      <c r="N8" t="s">
        <v>171</v>
      </c>
      <c r="O8" t="s">
        <v>172</v>
      </c>
      <c r="P8" s="22" t="s">
        <v>173</v>
      </c>
      <c r="Q8" s="21" t="s">
        <v>224</v>
      </c>
      <c r="R8" t="s">
        <v>171</v>
      </c>
      <c r="S8" t="s">
        <v>172</v>
      </c>
      <c r="T8" s="22" t="s">
        <v>173</v>
      </c>
      <c r="U8" s="21" t="s">
        <v>225</v>
      </c>
      <c r="V8" t="s">
        <v>171</v>
      </c>
      <c r="W8" t="s">
        <v>172</v>
      </c>
      <c r="X8" s="22" t="s">
        <v>173</v>
      </c>
    </row>
    <row r="9" spans="1:24" x14ac:dyDescent="0.3">
      <c r="A9" s="16">
        <f t="shared" ref="A9:A21" si="1">IF(B10=1,A10-1,A10)</f>
        <v>2014</v>
      </c>
      <c r="B9" s="16">
        <f t="shared" ref="B9:B21" si="2">IF(B10=1,4,B10-1)</f>
        <v>1</v>
      </c>
      <c r="C9" s="188">
        <f>'Indication Numbers'!S5</f>
        <v>3298</v>
      </c>
      <c r="D9" s="188">
        <f>'Indication Numbers'!T5</f>
        <v>194</v>
      </c>
      <c r="E9" s="188">
        <f>'Indication Numbers'!U5</f>
        <v>205523</v>
      </c>
      <c r="F9" s="152">
        <f>D9/C9</f>
        <v>5.8823529411764705E-2</v>
      </c>
      <c r="G9" s="153">
        <f>E9/D9</f>
        <v>1059.3969072164948</v>
      </c>
      <c r="H9" s="153">
        <f>E9/C9</f>
        <v>62.317465130382047</v>
      </c>
      <c r="K9" s="21">
        <f t="shared" ref="K9:K28" si="3">K8+1</f>
        <v>1</v>
      </c>
      <c r="L9" s="22" t="str">
        <f t="shared" ref="L9:L28" si="4">A9&amp;"-"&amp;B9</f>
        <v>2014-1</v>
      </c>
      <c r="M9" s="26">
        <f>H9</f>
        <v>62.317465130382047</v>
      </c>
      <c r="N9" s="151">
        <f t="shared" ref="N9:N28" si="5">GROWTH($M$9:$M$28,$K$9:$K$28,$K9)</f>
        <v>63.991562599871664</v>
      </c>
      <c r="O9" s="7"/>
      <c r="P9" s="27"/>
      <c r="Q9" s="26">
        <f t="shared" ref="Q9:Q28" si="6">G9</f>
        <v>1059.3969072164948</v>
      </c>
      <c r="R9" s="151">
        <f t="shared" ref="R9:R28" si="7">GROWTH($Q$9:$Q$28,$K$9:$K$28,$K9)</f>
        <v>1090.3505415953209</v>
      </c>
      <c r="S9" s="7"/>
      <c r="T9" s="27"/>
      <c r="U9" s="29">
        <f t="shared" ref="U9:U28" si="8">F9</f>
        <v>5.8823529411764705E-2</v>
      </c>
      <c r="V9" s="193">
        <f t="shared" ref="V9:V28" si="9">GROWTH($U$9:$U$28,$K$9:$K$28,$K9)</f>
        <v>5.868898134928599E-2</v>
      </c>
      <c r="W9" s="12"/>
      <c r="X9" s="30"/>
    </row>
    <row r="10" spans="1:24" x14ac:dyDescent="0.3">
      <c r="A10" s="16">
        <f t="shared" si="1"/>
        <v>2014</v>
      </c>
      <c r="B10" s="16">
        <f t="shared" si="2"/>
        <v>2</v>
      </c>
      <c r="C10" s="188">
        <f>'Indication Numbers'!S6</f>
        <v>3318</v>
      </c>
      <c r="D10" s="188">
        <f>'Indication Numbers'!T6</f>
        <v>195</v>
      </c>
      <c r="E10" s="188">
        <f>'Indication Numbers'!U6</f>
        <v>209526</v>
      </c>
      <c r="F10" s="152">
        <f t="shared" ref="F10:F28" si="10">D10/C10</f>
        <v>5.8770343580470161E-2</v>
      </c>
      <c r="G10" s="153">
        <f t="shared" ref="G10:G28" si="11">E10/D10</f>
        <v>1074.4923076923078</v>
      </c>
      <c r="H10" s="153">
        <f t="shared" ref="H10:H28" si="12">E10/C10</f>
        <v>63.148282097649187</v>
      </c>
      <c r="K10" s="21">
        <f t="shared" si="3"/>
        <v>2</v>
      </c>
      <c r="L10" s="22" t="str">
        <f t="shared" si="4"/>
        <v>2014-2</v>
      </c>
      <c r="M10" s="26">
        <f t="shared" ref="M10:M28" si="13">H10</f>
        <v>63.148282097649187</v>
      </c>
      <c r="N10" s="151">
        <f t="shared" si="5"/>
        <v>63.799547286191022</v>
      </c>
      <c r="O10" s="7"/>
      <c r="P10" s="27"/>
      <c r="Q10" s="26">
        <f t="shared" si="6"/>
        <v>1074.4923076923078</v>
      </c>
      <c r="R10" s="151">
        <f t="shared" si="7"/>
        <v>1091.801332670213</v>
      </c>
      <c r="S10" s="7"/>
      <c r="T10" s="27"/>
      <c r="U10" s="29">
        <f t="shared" si="8"/>
        <v>5.8770343580470161E-2</v>
      </c>
      <c r="V10" s="193">
        <f t="shared" si="9"/>
        <v>5.8435124941784759E-2</v>
      </c>
      <c r="W10" s="12"/>
      <c r="X10" s="30"/>
    </row>
    <row r="11" spans="1:24" x14ac:dyDescent="0.3">
      <c r="A11" s="16">
        <f t="shared" si="1"/>
        <v>2014</v>
      </c>
      <c r="B11" s="16">
        <f t="shared" si="2"/>
        <v>3</v>
      </c>
      <c r="C11" s="188">
        <f>'Indication Numbers'!S7</f>
        <v>3340</v>
      </c>
      <c r="D11" s="188">
        <f>'Indication Numbers'!T7</f>
        <v>198</v>
      </c>
      <c r="E11" s="188">
        <f>'Indication Numbers'!U7</f>
        <v>214860</v>
      </c>
      <c r="F11" s="152">
        <f t="shared" si="10"/>
        <v>5.9281437125748501E-2</v>
      </c>
      <c r="G11" s="153">
        <f t="shared" si="11"/>
        <v>1085.1515151515152</v>
      </c>
      <c r="H11" s="153">
        <f t="shared" si="12"/>
        <v>64.329341317365262</v>
      </c>
      <c r="K11" s="21">
        <f t="shared" si="3"/>
        <v>3</v>
      </c>
      <c r="L11" s="22" t="str">
        <f t="shared" si="4"/>
        <v>2014-3</v>
      </c>
      <c r="M11" s="26">
        <f t="shared" si="13"/>
        <v>64.329341317365262</v>
      </c>
      <c r="N11" s="151">
        <f t="shared" si="5"/>
        <v>63.608108140354858</v>
      </c>
      <c r="O11" s="7"/>
      <c r="P11" s="27"/>
      <c r="Q11" s="26">
        <f t="shared" si="6"/>
        <v>1085.1515151515152</v>
      </c>
      <c r="R11" s="151">
        <f t="shared" si="7"/>
        <v>1093.2540541286498</v>
      </c>
      <c r="S11" s="7"/>
      <c r="T11" s="27"/>
      <c r="U11" s="29">
        <f t="shared" si="8"/>
        <v>5.9281437125748501E-2</v>
      </c>
      <c r="V11" s="193">
        <f t="shared" si="9"/>
        <v>5.8182366578143692E-2</v>
      </c>
      <c r="W11" s="12"/>
      <c r="X11" s="30"/>
    </row>
    <row r="12" spans="1:24" x14ac:dyDescent="0.3">
      <c r="A12" s="16">
        <f t="shared" si="1"/>
        <v>2014</v>
      </c>
      <c r="B12" s="16">
        <f t="shared" si="2"/>
        <v>4</v>
      </c>
      <c r="C12" s="188">
        <f>'Indication Numbers'!S8</f>
        <v>3377</v>
      </c>
      <c r="D12" s="188">
        <f>'Indication Numbers'!T8</f>
        <v>198</v>
      </c>
      <c r="E12" s="188">
        <f>'Indication Numbers'!U8</f>
        <v>217628</v>
      </c>
      <c r="F12" s="152">
        <f t="shared" si="10"/>
        <v>5.8631921824104233E-2</v>
      </c>
      <c r="G12" s="153">
        <f t="shared" si="11"/>
        <v>1099.1313131313132</v>
      </c>
      <c r="H12" s="153">
        <f t="shared" si="12"/>
        <v>64.444181225940184</v>
      </c>
      <c r="K12" s="21">
        <f t="shared" si="3"/>
        <v>4</v>
      </c>
      <c r="L12" s="22" t="str">
        <f t="shared" si="4"/>
        <v>2014-4</v>
      </c>
      <c r="M12" s="26">
        <f t="shared" si="13"/>
        <v>64.444181225940184</v>
      </c>
      <c r="N12" s="151">
        <f t="shared" si="5"/>
        <v>63.417243433493844</v>
      </c>
      <c r="O12" s="7"/>
      <c r="P12" s="27"/>
      <c r="Q12" s="26">
        <f t="shared" si="6"/>
        <v>1099.1313131313132</v>
      </c>
      <c r="R12" s="151">
        <f t="shared" si="7"/>
        <v>1094.708708539147</v>
      </c>
      <c r="S12" s="7"/>
      <c r="T12" s="27"/>
      <c r="U12" s="29">
        <f t="shared" si="8"/>
        <v>5.8631921824104233E-2</v>
      </c>
      <c r="V12" s="193">
        <f t="shared" si="9"/>
        <v>5.7930701508826107E-2</v>
      </c>
      <c r="W12" s="12"/>
      <c r="X12" s="30"/>
    </row>
    <row r="13" spans="1:24" x14ac:dyDescent="0.3">
      <c r="A13" s="16">
        <f t="shared" si="1"/>
        <v>2015</v>
      </c>
      <c r="B13" s="16">
        <f t="shared" si="2"/>
        <v>1</v>
      </c>
      <c r="C13" s="188">
        <f>'Indication Numbers'!S9</f>
        <v>3435</v>
      </c>
      <c r="D13" s="188">
        <f>'Indication Numbers'!T9</f>
        <v>200</v>
      </c>
      <c r="E13" s="188">
        <f>'Indication Numbers'!U9</f>
        <v>220410</v>
      </c>
      <c r="F13" s="152">
        <f t="shared" si="10"/>
        <v>5.8224163027656477E-2</v>
      </c>
      <c r="G13" s="153">
        <f t="shared" si="11"/>
        <v>1102.05</v>
      </c>
      <c r="H13" s="153">
        <f t="shared" si="12"/>
        <v>64.165938864628828</v>
      </c>
      <c r="K13" s="21">
        <f t="shared" si="3"/>
        <v>5</v>
      </c>
      <c r="L13" s="22" t="str">
        <f t="shared" si="4"/>
        <v>2015-1</v>
      </c>
      <c r="M13" s="26">
        <f t="shared" si="13"/>
        <v>64.165938864628828</v>
      </c>
      <c r="N13" s="151">
        <f t="shared" si="5"/>
        <v>63.226951441926374</v>
      </c>
      <c r="O13" s="7"/>
      <c r="P13" s="27"/>
      <c r="Q13" s="26">
        <f t="shared" si="6"/>
        <v>1102.05</v>
      </c>
      <c r="R13" s="151">
        <f t="shared" si="7"/>
        <v>1096.1652984736388</v>
      </c>
      <c r="S13" s="7"/>
      <c r="T13" s="27"/>
      <c r="U13" s="29">
        <f t="shared" si="8"/>
        <v>5.8224163027656477E-2</v>
      </c>
      <c r="V13" s="193">
        <f t="shared" si="9"/>
        <v>5.7680125004839204E-2</v>
      </c>
      <c r="W13" s="12"/>
      <c r="X13" s="30"/>
    </row>
    <row r="14" spans="1:24" x14ac:dyDescent="0.3">
      <c r="A14" s="16">
        <f t="shared" si="1"/>
        <v>2015</v>
      </c>
      <c r="B14" s="16">
        <f t="shared" si="2"/>
        <v>2</v>
      </c>
      <c r="C14" s="188">
        <f>'Indication Numbers'!S10</f>
        <v>3475</v>
      </c>
      <c r="D14" s="188">
        <f>'Indication Numbers'!T10</f>
        <v>201</v>
      </c>
      <c r="E14" s="188">
        <f>'Indication Numbers'!U10</f>
        <v>222529</v>
      </c>
      <c r="F14" s="152">
        <f t="shared" si="10"/>
        <v>5.7841726618705035E-2</v>
      </c>
      <c r="G14" s="153">
        <f t="shared" si="11"/>
        <v>1107.1094527363184</v>
      </c>
      <c r="H14" s="153">
        <f t="shared" si="12"/>
        <v>64.037122302158267</v>
      </c>
      <c r="K14" s="21">
        <f t="shared" si="3"/>
        <v>6</v>
      </c>
      <c r="L14" s="22" t="str">
        <f t="shared" si="4"/>
        <v>2015-2</v>
      </c>
      <c r="M14" s="26">
        <f t="shared" si="13"/>
        <v>64.037122302158267</v>
      </c>
      <c r="N14" s="151">
        <f t="shared" si="5"/>
        <v>63.037230447142974</v>
      </c>
      <c r="O14" s="7"/>
      <c r="P14" s="27"/>
      <c r="Q14" s="26">
        <f t="shared" si="6"/>
        <v>1107.1094527363184</v>
      </c>
      <c r="R14" s="151">
        <f t="shared" si="7"/>
        <v>1097.6238265074815</v>
      </c>
      <c r="S14" s="7"/>
      <c r="T14" s="27"/>
      <c r="U14" s="29">
        <f t="shared" si="8"/>
        <v>5.7841726618705035E-2</v>
      </c>
      <c r="V14" s="193">
        <f t="shared" si="9"/>
        <v>5.7430632357645249E-2</v>
      </c>
      <c r="W14" s="12"/>
      <c r="X14" s="30"/>
    </row>
    <row r="15" spans="1:24" x14ac:dyDescent="0.3">
      <c r="A15" s="16">
        <f t="shared" si="1"/>
        <v>2015</v>
      </c>
      <c r="B15" s="16">
        <f t="shared" si="2"/>
        <v>3</v>
      </c>
      <c r="C15" s="188">
        <f>'Indication Numbers'!S11</f>
        <v>3510</v>
      </c>
      <c r="D15" s="188">
        <f>'Indication Numbers'!T11</f>
        <v>199</v>
      </c>
      <c r="E15" s="188">
        <f>'Indication Numbers'!U11</f>
        <v>221837</v>
      </c>
      <c r="F15" s="152">
        <f t="shared" si="10"/>
        <v>5.6695156695156693E-2</v>
      </c>
      <c r="G15" s="153">
        <f t="shared" si="11"/>
        <v>1114.7587939698492</v>
      </c>
      <c r="H15" s="153">
        <f t="shared" si="12"/>
        <v>63.201424501424505</v>
      </c>
      <c r="K15" s="21">
        <f t="shared" si="3"/>
        <v>7</v>
      </c>
      <c r="L15" s="22" t="str">
        <f t="shared" si="4"/>
        <v>2015-3</v>
      </c>
      <c r="M15" s="26">
        <f t="shared" si="13"/>
        <v>63.201424501424505</v>
      </c>
      <c r="N15" s="151">
        <f t="shared" si="5"/>
        <v>62.848078735790772</v>
      </c>
      <c r="O15" s="7"/>
      <c r="P15" s="27"/>
      <c r="Q15" s="26">
        <f t="shared" si="6"/>
        <v>1114.7587939698492</v>
      </c>
      <c r="R15" s="151">
        <f t="shared" si="7"/>
        <v>1099.0842952194578</v>
      </c>
      <c r="S15" s="7"/>
      <c r="T15" s="27"/>
      <c r="U15" s="29">
        <f t="shared" si="8"/>
        <v>5.6695156695156693E-2</v>
      </c>
      <c r="V15" s="193">
        <f t="shared" si="9"/>
        <v>5.7182218879073043E-2</v>
      </c>
      <c r="W15" s="12"/>
      <c r="X15" s="30"/>
    </row>
    <row r="16" spans="1:24" x14ac:dyDescent="0.3">
      <c r="A16" s="16">
        <f t="shared" si="1"/>
        <v>2015</v>
      </c>
      <c r="B16" s="16">
        <f t="shared" si="2"/>
        <v>4</v>
      </c>
      <c r="C16" s="188">
        <f>'Indication Numbers'!S12</f>
        <v>3525</v>
      </c>
      <c r="D16" s="188">
        <f>'Indication Numbers'!T12</f>
        <v>196</v>
      </c>
      <c r="E16" s="188">
        <f>'Indication Numbers'!U12</f>
        <v>219993</v>
      </c>
      <c r="F16" s="152">
        <f t="shared" si="10"/>
        <v>5.5602836879432627E-2</v>
      </c>
      <c r="G16" s="153">
        <f t="shared" si="11"/>
        <v>1122.4132653061224</v>
      </c>
      <c r="H16" s="153">
        <f t="shared" si="12"/>
        <v>62.409361702127661</v>
      </c>
      <c r="K16" s="21">
        <f t="shared" si="3"/>
        <v>8</v>
      </c>
      <c r="L16" s="22" t="str">
        <f t="shared" si="4"/>
        <v>2015-4</v>
      </c>
      <c r="M16" s="26">
        <f t="shared" si="13"/>
        <v>62.409361702127661</v>
      </c>
      <c r="N16" s="151">
        <f t="shared" si="5"/>
        <v>62.659494599658061</v>
      </c>
      <c r="O16" s="7"/>
      <c r="P16" s="27"/>
      <c r="Q16" s="26">
        <f t="shared" si="6"/>
        <v>1122.4132653061224</v>
      </c>
      <c r="R16" s="151">
        <f t="shared" si="7"/>
        <v>1100.5467071917815</v>
      </c>
      <c r="S16" s="7"/>
      <c r="T16" s="27"/>
      <c r="U16" s="29">
        <f t="shared" si="8"/>
        <v>5.5602836879432627E-2</v>
      </c>
      <c r="V16" s="193">
        <f t="shared" si="9"/>
        <v>5.6934879901229855E-2</v>
      </c>
      <c r="W16" s="12"/>
      <c r="X16" s="30"/>
    </row>
    <row r="17" spans="1:24" x14ac:dyDescent="0.3">
      <c r="A17" s="16">
        <f t="shared" si="1"/>
        <v>2016</v>
      </c>
      <c r="B17" s="16">
        <f t="shared" si="2"/>
        <v>1</v>
      </c>
      <c r="C17" s="188">
        <f>'Indication Numbers'!S13</f>
        <v>3510</v>
      </c>
      <c r="D17" s="188">
        <f>'Indication Numbers'!T13</f>
        <v>194</v>
      </c>
      <c r="E17" s="188">
        <f>'Indication Numbers'!U13</f>
        <v>218422</v>
      </c>
      <c r="F17" s="152">
        <f t="shared" si="10"/>
        <v>5.5270655270655271E-2</v>
      </c>
      <c r="G17" s="153">
        <f t="shared" si="11"/>
        <v>1125.8865979381444</v>
      </c>
      <c r="H17" s="153">
        <f t="shared" si="12"/>
        <v>62.228490028490029</v>
      </c>
      <c r="K17" s="21">
        <f t="shared" si="3"/>
        <v>9</v>
      </c>
      <c r="L17" s="22" t="str">
        <f t="shared" si="4"/>
        <v>2016-1</v>
      </c>
      <c r="M17" s="26">
        <f t="shared" si="13"/>
        <v>62.228490028490029</v>
      </c>
      <c r="N17" s="151">
        <f t="shared" si="5"/>
        <v>62.47147633565887</v>
      </c>
      <c r="O17" s="151">
        <f t="shared" ref="O17:O28" si="14">GROWTH($M$17:$M$28,$K$17:$K$28,$K17)</f>
        <v>62.109366276321346</v>
      </c>
      <c r="P17" s="27"/>
      <c r="Q17" s="26">
        <f t="shared" si="6"/>
        <v>1125.8865979381444</v>
      </c>
      <c r="R17" s="151">
        <f t="shared" si="7"/>
        <v>1102.0110650101028</v>
      </c>
      <c r="S17" s="151">
        <f t="shared" ref="S17:S28" si="15">GROWTH($Q$17:$Q$28,$K$17:$K$28,$K17)</f>
        <v>1113.7085380263422</v>
      </c>
      <c r="T17" s="27"/>
      <c r="U17" s="29">
        <f t="shared" si="8"/>
        <v>5.5270655270655271E-2</v>
      </c>
      <c r="V17" s="193">
        <f t="shared" si="9"/>
        <v>5.6688610776413705E-2</v>
      </c>
      <c r="W17" s="193">
        <f t="shared" ref="W17:W28" si="16">GROWTH($U$17:$U$28,$K$17:$K$28,$K17)</f>
        <v>5.5768061531061335E-2</v>
      </c>
      <c r="X17" s="30"/>
    </row>
    <row r="18" spans="1:24" x14ac:dyDescent="0.3">
      <c r="A18" s="16">
        <f t="shared" si="1"/>
        <v>2016</v>
      </c>
      <c r="B18" s="16">
        <f t="shared" si="2"/>
        <v>2</v>
      </c>
      <c r="C18" s="188">
        <f>'Indication Numbers'!S14</f>
        <v>3492</v>
      </c>
      <c r="D18" s="188">
        <f>'Indication Numbers'!T14</f>
        <v>193</v>
      </c>
      <c r="E18" s="188">
        <f>'Indication Numbers'!U14</f>
        <v>216906</v>
      </c>
      <c r="F18" s="152">
        <f t="shared" si="10"/>
        <v>5.5269186712485679E-2</v>
      </c>
      <c r="G18" s="153">
        <f t="shared" si="11"/>
        <v>1123.8652849740934</v>
      </c>
      <c r="H18" s="153">
        <f t="shared" si="12"/>
        <v>62.115120274914091</v>
      </c>
      <c r="K18" s="21">
        <f t="shared" si="3"/>
        <v>10</v>
      </c>
      <c r="L18" s="22" t="str">
        <f t="shared" si="4"/>
        <v>2016-2</v>
      </c>
      <c r="M18" s="26">
        <f t="shared" si="13"/>
        <v>62.115120274914091</v>
      </c>
      <c r="N18" s="151">
        <f t="shared" si="5"/>
        <v>62.284022245817525</v>
      </c>
      <c r="O18" s="151">
        <f t="shared" si="14"/>
        <v>61.967209551018144</v>
      </c>
      <c r="P18" s="27"/>
      <c r="Q18" s="26">
        <f t="shared" si="6"/>
        <v>1123.8652849740934</v>
      </c>
      <c r="R18" s="151">
        <f t="shared" si="7"/>
        <v>1103.4773712635119</v>
      </c>
      <c r="S18" s="151">
        <f t="shared" si="15"/>
        <v>1113.0581949553216</v>
      </c>
      <c r="T18" s="27"/>
      <c r="U18" s="29">
        <f t="shared" si="8"/>
        <v>5.5269186712485679E-2</v>
      </c>
      <c r="V18" s="193">
        <f t="shared" si="9"/>
        <v>5.644340687702603E-2</v>
      </c>
      <c r="W18" s="193">
        <f t="shared" si="16"/>
        <v>5.5672928721849604E-2</v>
      </c>
      <c r="X18" s="30"/>
    </row>
    <row r="19" spans="1:24" x14ac:dyDescent="0.3">
      <c r="A19" s="16">
        <f t="shared" si="1"/>
        <v>2016</v>
      </c>
      <c r="B19" s="16">
        <f t="shared" si="2"/>
        <v>3</v>
      </c>
      <c r="C19" s="188">
        <f>'Indication Numbers'!S15</f>
        <v>3475</v>
      </c>
      <c r="D19" s="188">
        <f>'Indication Numbers'!T15</f>
        <v>193</v>
      </c>
      <c r="E19" s="188">
        <f>'Indication Numbers'!U15</f>
        <v>215748</v>
      </c>
      <c r="F19" s="152">
        <f t="shared" si="10"/>
        <v>5.5539568345323739E-2</v>
      </c>
      <c r="G19" s="153">
        <f t="shared" si="11"/>
        <v>1117.8652849740934</v>
      </c>
      <c r="H19" s="153">
        <f t="shared" si="12"/>
        <v>62.085755395683456</v>
      </c>
      <c r="K19" s="21">
        <f t="shared" si="3"/>
        <v>11</v>
      </c>
      <c r="L19" s="22" t="str">
        <f t="shared" si="4"/>
        <v>2016-3</v>
      </c>
      <c r="M19" s="26">
        <f t="shared" si="13"/>
        <v>62.085755395683456</v>
      </c>
      <c r="N19" s="151">
        <f t="shared" si="5"/>
        <v>62.097130637253386</v>
      </c>
      <c r="O19" s="151">
        <f t="shared" si="14"/>
        <v>61.825378195876638</v>
      </c>
      <c r="P19" s="27"/>
      <c r="Q19" s="26">
        <f t="shared" si="6"/>
        <v>1117.8652849740934</v>
      </c>
      <c r="R19" s="151">
        <f t="shared" si="7"/>
        <v>1104.945628544544</v>
      </c>
      <c r="S19" s="151">
        <f t="shared" si="15"/>
        <v>1112.4082316480326</v>
      </c>
      <c r="T19" s="27"/>
      <c r="U19" s="29">
        <f t="shared" si="8"/>
        <v>5.5539568345323739E-2</v>
      </c>
      <c r="V19" s="193">
        <f t="shared" si="9"/>
        <v>5.6199263595484716E-2</v>
      </c>
      <c r="W19" s="193">
        <f t="shared" si="16"/>
        <v>5.5577958196409982E-2</v>
      </c>
      <c r="X19" s="30"/>
    </row>
    <row r="20" spans="1:24" x14ac:dyDescent="0.3">
      <c r="A20" s="16">
        <f t="shared" si="1"/>
        <v>2016</v>
      </c>
      <c r="B20" s="16">
        <f t="shared" si="2"/>
        <v>4</v>
      </c>
      <c r="C20" s="188">
        <f>'Indication Numbers'!S16</f>
        <v>3475</v>
      </c>
      <c r="D20" s="188">
        <f>'Indication Numbers'!T16</f>
        <v>195</v>
      </c>
      <c r="E20" s="188">
        <f>'Indication Numbers'!U16</f>
        <v>216071</v>
      </c>
      <c r="F20" s="152">
        <f t="shared" si="10"/>
        <v>5.6115107913669061E-2</v>
      </c>
      <c r="G20" s="153">
        <f t="shared" si="11"/>
        <v>1108.0564102564103</v>
      </c>
      <c r="H20" s="153">
        <f t="shared" si="12"/>
        <v>62.17870503597122</v>
      </c>
      <c r="K20" s="21">
        <f t="shared" si="3"/>
        <v>12</v>
      </c>
      <c r="L20" s="22" t="str">
        <f t="shared" si="4"/>
        <v>2016-4</v>
      </c>
      <c r="M20" s="26">
        <f t="shared" si="13"/>
        <v>62.17870503597122</v>
      </c>
      <c r="N20" s="151">
        <f t="shared" si="5"/>
        <v>61.910799822165522</v>
      </c>
      <c r="O20" s="151">
        <f t="shared" si="14"/>
        <v>61.683871466185387</v>
      </c>
      <c r="P20" s="27"/>
      <c r="Q20" s="26">
        <f t="shared" si="6"/>
        <v>1108.0564102564103</v>
      </c>
      <c r="R20" s="151">
        <f t="shared" si="7"/>
        <v>1106.4158394491844</v>
      </c>
      <c r="S20" s="151">
        <f t="shared" si="15"/>
        <v>1111.7586478827141</v>
      </c>
      <c r="T20" s="27"/>
      <c r="U20" s="29">
        <f t="shared" si="8"/>
        <v>5.6115107913669061E-2</v>
      </c>
      <c r="V20" s="193">
        <f t="shared" si="9"/>
        <v>5.5956176344137534E-2</v>
      </c>
      <c r="W20" s="193">
        <f t="shared" si="16"/>
        <v>5.548314967790819E-2</v>
      </c>
      <c r="X20" s="30"/>
    </row>
    <row r="21" spans="1:24" x14ac:dyDescent="0.3">
      <c r="A21" s="16">
        <f t="shared" si="1"/>
        <v>2017</v>
      </c>
      <c r="B21" s="16">
        <f t="shared" si="2"/>
        <v>1</v>
      </c>
      <c r="C21" s="188">
        <f>'Indication Numbers'!S17</f>
        <v>3479</v>
      </c>
      <c r="D21" s="188">
        <f>'Indication Numbers'!T17</f>
        <v>195</v>
      </c>
      <c r="E21" s="188">
        <f>'Indication Numbers'!U17</f>
        <v>215053</v>
      </c>
      <c r="F21" s="152">
        <f t="shared" si="10"/>
        <v>5.605058924978442E-2</v>
      </c>
      <c r="G21" s="153">
        <f t="shared" si="11"/>
        <v>1102.8358974358973</v>
      </c>
      <c r="H21" s="153">
        <f t="shared" si="12"/>
        <v>61.814601897096864</v>
      </c>
      <c r="K21" s="21">
        <f t="shared" si="3"/>
        <v>13</v>
      </c>
      <c r="L21" s="22" t="str">
        <f t="shared" si="4"/>
        <v>2017-1</v>
      </c>
      <c r="M21" s="26">
        <f t="shared" si="13"/>
        <v>61.814601897096864</v>
      </c>
      <c r="N21" s="151">
        <f t="shared" si="5"/>
        <v>61.72502811781748</v>
      </c>
      <c r="O21" s="151">
        <f t="shared" si="14"/>
        <v>61.54268861893744</v>
      </c>
      <c r="P21" s="27"/>
      <c r="Q21" s="26">
        <f t="shared" si="6"/>
        <v>1102.8358974358973</v>
      </c>
      <c r="R21" s="151">
        <f t="shared" si="7"/>
        <v>1107.8880065768715</v>
      </c>
      <c r="S21" s="151">
        <f t="shared" si="15"/>
        <v>1111.1094434377351</v>
      </c>
      <c r="T21" s="27"/>
      <c r="U21" s="29">
        <f t="shared" si="8"/>
        <v>5.605058924978442E-2</v>
      </c>
      <c r="V21" s="193">
        <f t="shared" si="9"/>
        <v>5.5714140555175914E-2</v>
      </c>
      <c r="W21" s="193">
        <f t="shared" si="16"/>
        <v>5.5388502889982191E-2</v>
      </c>
      <c r="X21" s="30"/>
    </row>
    <row r="22" spans="1:24" x14ac:dyDescent="0.3">
      <c r="A22" s="16">
        <f t="shared" ref="A22:A27" si="17">IF(B23=1,A23-1,A23)</f>
        <v>2017</v>
      </c>
      <c r="B22" s="16">
        <f t="shared" ref="B22:B24" si="18">IF(B23=1,4,B23-1)</f>
        <v>2</v>
      </c>
      <c r="C22" s="188">
        <f>'Indication Numbers'!S18</f>
        <v>3491</v>
      </c>
      <c r="D22" s="188">
        <f>'Indication Numbers'!T18</f>
        <v>194</v>
      </c>
      <c r="E22" s="188">
        <f>'Indication Numbers'!U18</f>
        <v>213383</v>
      </c>
      <c r="F22" s="152">
        <f t="shared" si="10"/>
        <v>5.5571469492981952E-2</v>
      </c>
      <c r="G22" s="153">
        <f t="shared" si="11"/>
        <v>1099.9123711340205</v>
      </c>
      <c r="H22" s="153">
        <f t="shared" si="12"/>
        <v>61.123746777427669</v>
      </c>
      <c r="K22" s="21">
        <f t="shared" si="3"/>
        <v>14</v>
      </c>
      <c r="L22" s="22" t="str">
        <f t="shared" si="4"/>
        <v>2017-2</v>
      </c>
      <c r="M22" s="26">
        <f t="shared" si="13"/>
        <v>61.123746777427669</v>
      </c>
      <c r="N22" s="151">
        <f t="shared" si="5"/>
        <v>61.53981384652208</v>
      </c>
      <c r="O22" s="151">
        <f t="shared" si="14"/>
        <v>61.401828912826431</v>
      </c>
      <c r="P22" s="27"/>
      <c r="Q22" s="26">
        <f t="shared" si="6"/>
        <v>1099.9123711340205</v>
      </c>
      <c r="R22" s="151">
        <f t="shared" si="7"/>
        <v>1109.362132530503</v>
      </c>
      <c r="S22" s="151">
        <f t="shared" si="15"/>
        <v>1110.4606180915939</v>
      </c>
      <c r="T22" s="27"/>
      <c r="U22" s="29">
        <f t="shared" si="8"/>
        <v>5.5571469492981952E-2</v>
      </c>
      <c r="V22" s="193">
        <f t="shared" si="9"/>
        <v>5.5473151680549157E-2</v>
      </c>
      <c r="W22" s="193">
        <f t="shared" si="16"/>
        <v>5.5294017556741383E-2</v>
      </c>
      <c r="X22" s="30"/>
    </row>
    <row r="23" spans="1:24" x14ac:dyDescent="0.3">
      <c r="A23" s="16">
        <f t="shared" si="17"/>
        <v>2017</v>
      </c>
      <c r="B23" s="16">
        <f t="shared" si="18"/>
        <v>3</v>
      </c>
      <c r="C23" s="188">
        <f>'Indication Numbers'!S19</f>
        <v>3500</v>
      </c>
      <c r="D23" s="188">
        <f>'Indication Numbers'!T19</f>
        <v>193</v>
      </c>
      <c r="E23" s="188">
        <f>'Indication Numbers'!U19</f>
        <v>211657</v>
      </c>
      <c r="F23" s="152">
        <f t="shared" si="10"/>
        <v>5.5142857142857146E-2</v>
      </c>
      <c r="G23" s="153">
        <f t="shared" si="11"/>
        <v>1096.6683937823834</v>
      </c>
      <c r="H23" s="153">
        <f t="shared" si="12"/>
        <v>60.47342857142857</v>
      </c>
      <c r="K23" s="21">
        <f t="shared" si="3"/>
        <v>15</v>
      </c>
      <c r="L23" s="22" t="str">
        <f t="shared" si="4"/>
        <v>2017-3</v>
      </c>
      <c r="M23" s="26">
        <f t="shared" si="13"/>
        <v>60.47342857142857</v>
      </c>
      <c r="N23" s="151">
        <f t="shared" si="5"/>
        <v>61.355155335626264</v>
      </c>
      <c r="O23" s="151">
        <f t="shared" si="14"/>
        <v>61.261291608242736</v>
      </c>
      <c r="P23" s="191">
        <f t="shared" ref="P23:P28" si="19">GROWTH($M$23:$M$28,$K$23:$K$28,$K23)</f>
        <v>60.147216697360932</v>
      </c>
      <c r="Q23" s="26">
        <f t="shared" si="6"/>
        <v>1096.6683937823834</v>
      </c>
      <c r="R23" s="151">
        <f t="shared" si="7"/>
        <v>1110.8382199164405</v>
      </c>
      <c r="S23" s="151">
        <f t="shared" si="15"/>
        <v>1109.8121716229184</v>
      </c>
      <c r="T23" s="191">
        <f t="shared" ref="T23:T28" si="20">GROWTH($Q$23:$Q$28,$K$23:$K$28,$K23)</f>
        <v>1091.3765420601515</v>
      </c>
      <c r="U23" s="29">
        <f t="shared" si="8"/>
        <v>5.5142857142857146E-2</v>
      </c>
      <c r="V23" s="193">
        <f t="shared" si="9"/>
        <v>5.5233205191878916E-2</v>
      </c>
      <c r="W23" s="193">
        <f t="shared" si="16"/>
        <v>5.5199693402765801E-2</v>
      </c>
      <c r="X23" s="195">
        <f t="shared" ref="X23:X28" si="21">GROWTH($U$23:$U$28,$K$23:$K$28,$K23)</f>
        <v>5.5111333604278528E-2</v>
      </c>
    </row>
    <row r="24" spans="1:24" x14ac:dyDescent="0.3">
      <c r="A24" s="16">
        <f t="shared" si="17"/>
        <v>2017</v>
      </c>
      <c r="B24" s="16">
        <f t="shared" si="18"/>
        <v>4</v>
      </c>
      <c r="C24" s="188">
        <f>'Indication Numbers'!S20</f>
        <v>3504</v>
      </c>
      <c r="D24" s="188">
        <f>'Indication Numbers'!T20</f>
        <v>192</v>
      </c>
      <c r="E24" s="188">
        <f>'Indication Numbers'!U20</f>
        <v>210304</v>
      </c>
      <c r="F24" s="152">
        <f t="shared" si="10"/>
        <v>5.4794520547945202E-2</v>
      </c>
      <c r="G24" s="153">
        <f t="shared" si="11"/>
        <v>1095.3333333333333</v>
      </c>
      <c r="H24" s="153">
        <f t="shared" si="12"/>
        <v>60.018264840182646</v>
      </c>
      <c r="K24" s="21">
        <f t="shared" si="3"/>
        <v>16</v>
      </c>
      <c r="L24" s="22" t="str">
        <f t="shared" si="4"/>
        <v>2017-4</v>
      </c>
      <c r="M24" s="26">
        <f t="shared" si="13"/>
        <v>60.018264840182646</v>
      </c>
      <c r="N24" s="151">
        <f t="shared" si="5"/>
        <v>61.171050917496018</v>
      </c>
      <c r="O24" s="151">
        <f t="shared" si="14"/>
        <v>61.121075967269554</v>
      </c>
      <c r="P24" s="191">
        <f t="shared" si="19"/>
        <v>60.385808437098639</v>
      </c>
      <c r="Q24" s="26">
        <f t="shared" si="6"/>
        <v>1095.3333333333333</v>
      </c>
      <c r="R24" s="151">
        <f t="shared" si="7"/>
        <v>1112.3162713445124</v>
      </c>
      <c r="S24" s="151">
        <f t="shared" si="15"/>
        <v>1109.1641038104651</v>
      </c>
      <c r="T24" s="191">
        <f t="shared" si="20"/>
        <v>1097.7005412152364</v>
      </c>
      <c r="U24" s="29">
        <f t="shared" si="8"/>
        <v>5.4794520547945202E-2</v>
      </c>
      <c r="V24" s="193">
        <f t="shared" si="9"/>
        <v>5.4994296580374122E-2</v>
      </c>
      <c r="W24" s="193">
        <f t="shared" si="16"/>
        <v>5.5105530153105299E-2</v>
      </c>
      <c r="X24" s="195">
        <f t="shared" si="21"/>
        <v>5.5011185810519003E-2</v>
      </c>
    </row>
    <row r="25" spans="1:24" x14ac:dyDescent="0.3">
      <c r="A25" s="16">
        <f t="shared" si="17"/>
        <v>2018</v>
      </c>
      <c r="B25" s="16">
        <f t="shared" ref="B25:B27" si="22">B26-1</f>
        <v>1</v>
      </c>
      <c r="C25" s="188">
        <f>'Indication Numbers'!S21</f>
        <v>3519</v>
      </c>
      <c r="D25" s="188">
        <f>'Indication Numbers'!T21</f>
        <v>194</v>
      </c>
      <c r="E25" s="188">
        <f>'Indication Numbers'!U21</f>
        <v>212842</v>
      </c>
      <c r="F25" s="152">
        <f t="shared" si="10"/>
        <v>5.5129298096050015E-2</v>
      </c>
      <c r="G25" s="153">
        <f t="shared" si="11"/>
        <v>1097.1237113402062</v>
      </c>
      <c r="H25" s="153">
        <f t="shared" si="12"/>
        <v>60.483660130718953</v>
      </c>
      <c r="K25" s="21">
        <f t="shared" si="3"/>
        <v>17</v>
      </c>
      <c r="L25" s="22" t="str">
        <f t="shared" si="4"/>
        <v>2018-1</v>
      </c>
      <c r="M25" s="26">
        <f t="shared" si="13"/>
        <v>60.483660130718953</v>
      </c>
      <c r="N25" s="151">
        <f t="shared" si="5"/>
        <v>60.987498929501257</v>
      </c>
      <c r="O25" s="151">
        <f t="shared" si="14"/>
        <v>60.981181253679019</v>
      </c>
      <c r="P25" s="191">
        <f t="shared" si="19"/>
        <v>60.625346621599675</v>
      </c>
      <c r="Q25" s="26">
        <f t="shared" si="6"/>
        <v>1097.1237113402062</v>
      </c>
      <c r="R25" s="151">
        <f t="shared" si="7"/>
        <v>1113.7962894280206</v>
      </c>
      <c r="S25" s="151">
        <f t="shared" si="15"/>
        <v>1108.5164144331204</v>
      </c>
      <c r="T25" s="191">
        <f t="shared" si="20"/>
        <v>1104.0611848864642</v>
      </c>
      <c r="U25" s="29">
        <f t="shared" si="8"/>
        <v>5.5129298096050015E-2</v>
      </c>
      <c r="V25" s="193">
        <f t="shared" si="9"/>
        <v>5.4756421356746299E-2</v>
      </c>
      <c r="W25" s="193">
        <f t="shared" si="16"/>
        <v>5.5011527533278773E-2</v>
      </c>
      <c r="X25" s="195">
        <f t="shared" si="21"/>
        <v>5.4911220004382325E-2</v>
      </c>
    </row>
    <row r="26" spans="1:24" x14ac:dyDescent="0.3">
      <c r="A26" s="16">
        <f t="shared" si="17"/>
        <v>2018</v>
      </c>
      <c r="B26" s="16">
        <f t="shared" si="22"/>
        <v>2</v>
      </c>
      <c r="C26" s="188">
        <f>'Indication Numbers'!S22</f>
        <v>3538</v>
      </c>
      <c r="D26" s="188">
        <f>'Indication Numbers'!T22</f>
        <v>194</v>
      </c>
      <c r="E26" s="188">
        <f>'Indication Numbers'!U22</f>
        <v>215356</v>
      </c>
      <c r="F26" s="152">
        <f t="shared" si="10"/>
        <v>5.4833239118145846E-2</v>
      </c>
      <c r="G26" s="153">
        <f t="shared" si="11"/>
        <v>1110.0824742268042</v>
      </c>
      <c r="H26" s="153">
        <f t="shared" si="12"/>
        <v>60.869417750141324</v>
      </c>
      <c r="K26" s="21">
        <f t="shared" si="3"/>
        <v>18</v>
      </c>
      <c r="L26" s="22" t="str">
        <f t="shared" si="4"/>
        <v>2018-2</v>
      </c>
      <c r="M26" s="26">
        <f t="shared" si="13"/>
        <v>60.869417750141324</v>
      </c>
      <c r="N26" s="151">
        <f t="shared" si="5"/>
        <v>60.804497714000867</v>
      </c>
      <c r="O26" s="151">
        <f t="shared" si="14"/>
        <v>60.841606732928362</v>
      </c>
      <c r="P26" s="191">
        <f t="shared" si="19"/>
        <v>60.86583500521732</v>
      </c>
      <c r="Q26" s="26">
        <f t="shared" si="6"/>
        <v>1110.0824742268042</v>
      </c>
      <c r="R26" s="151">
        <f t="shared" si="7"/>
        <v>1115.2782767837441</v>
      </c>
      <c r="S26" s="151">
        <f t="shared" si="15"/>
        <v>1107.8691032698994</v>
      </c>
      <c r="T26" s="191">
        <f t="shared" si="20"/>
        <v>1110.4586854110808</v>
      </c>
      <c r="U26" s="29">
        <f t="shared" si="8"/>
        <v>5.4833239118145846E-2</v>
      </c>
      <c r="V26" s="193">
        <f t="shared" si="9"/>
        <v>5.4519575051125153E-2</v>
      </c>
      <c r="W26" s="193">
        <f t="shared" si="16"/>
        <v>5.4917685269273341E-2</v>
      </c>
      <c r="X26" s="195">
        <f t="shared" si="21"/>
        <v>5.4811435855162322E-2</v>
      </c>
    </row>
    <row r="27" spans="1:24" x14ac:dyDescent="0.3">
      <c r="A27" s="16">
        <f t="shared" si="17"/>
        <v>2018</v>
      </c>
      <c r="B27" s="16">
        <f t="shared" si="22"/>
        <v>3</v>
      </c>
      <c r="C27" s="188">
        <f>'Indication Numbers'!S23</f>
        <v>3545</v>
      </c>
      <c r="D27" s="188">
        <f>'Indication Numbers'!T23</f>
        <v>194</v>
      </c>
      <c r="E27" s="188">
        <f>'Indication Numbers'!U23</f>
        <v>217554</v>
      </c>
      <c r="F27" s="152">
        <f t="shared" si="10"/>
        <v>5.4724964739069112E-2</v>
      </c>
      <c r="G27" s="153">
        <f t="shared" si="11"/>
        <v>1121.4123711340205</v>
      </c>
      <c r="H27" s="153">
        <f t="shared" si="12"/>
        <v>61.369252468265159</v>
      </c>
      <c r="K27" s="21">
        <f t="shared" si="3"/>
        <v>19</v>
      </c>
      <c r="L27" s="22" t="str">
        <f t="shared" si="4"/>
        <v>2018-3</v>
      </c>
      <c r="M27" s="26">
        <f t="shared" si="13"/>
        <v>61.369252468265159</v>
      </c>
      <c r="N27" s="151">
        <f t="shared" si="5"/>
        <v>60.622045618327689</v>
      </c>
      <c r="O27" s="151">
        <f t="shared" si="14"/>
        <v>60.702351672156048</v>
      </c>
      <c r="P27" s="191">
        <f t="shared" si="19"/>
        <v>61.107277357197695</v>
      </c>
      <c r="Q27" s="26">
        <f t="shared" si="6"/>
        <v>1121.4123711340205</v>
      </c>
      <c r="R27" s="151">
        <f t="shared" si="7"/>
        <v>1116.7622360319428</v>
      </c>
      <c r="S27" s="151">
        <f t="shared" si="15"/>
        <v>1107.222170099946</v>
      </c>
      <c r="T27" s="191">
        <f t="shared" si="20"/>
        <v>1116.8932563567234</v>
      </c>
      <c r="U27" s="29">
        <f t="shared" si="8"/>
        <v>5.4724964739069112E-2</v>
      </c>
      <c r="V27" s="193">
        <f t="shared" si="9"/>
        <v>5.4283753212974593E-2</v>
      </c>
      <c r="W27" s="193">
        <f t="shared" si="16"/>
        <v>5.4824003087543538E-2</v>
      </c>
      <c r="X27" s="195">
        <f t="shared" si="21"/>
        <v>5.4711833032753752E-2</v>
      </c>
    </row>
    <row r="28" spans="1:24" x14ac:dyDescent="0.3">
      <c r="A28" s="16">
        <f>LatestYear</f>
        <v>2018</v>
      </c>
      <c r="B28" s="16">
        <v>4</v>
      </c>
      <c r="C28" s="188">
        <f>'Indication Numbers'!S24</f>
        <v>3575</v>
      </c>
      <c r="D28" s="188">
        <f>'Indication Numbers'!T24</f>
        <v>195</v>
      </c>
      <c r="E28" s="188">
        <f>'Indication Numbers'!U24</f>
        <v>219040</v>
      </c>
      <c r="F28" s="152">
        <f t="shared" si="10"/>
        <v>5.4545454545454543E-2</v>
      </c>
      <c r="G28" s="153">
        <f t="shared" si="11"/>
        <v>1123.2820512820513</v>
      </c>
      <c r="H28" s="153">
        <f t="shared" si="12"/>
        <v>61.269930069930069</v>
      </c>
      <c r="K28" s="23">
        <f t="shared" si="3"/>
        <v>20</v>
      </c>
      <c r="L28" s="24" t="str">
        <f t="shared" si="4"/>
        <v>2018-4</v>
      </c>
      <c r="M28" s="28">
        <f t="shared" si="13"/>
        <v>61.269930069930069</v>
      </c>
      <c r="N28" s="190">
        <f t="shared" si="5"/>
        <v>60.440140994773635</v>
      </c>
      <c r="O28" s="190">
        <f t="shared" si="14"/>
        <v>60.563415340177926</v>
      </c>
      <c r="P28" s="192">
        <f t="shared" si="19"/>
        <v>61.349677461738658</v>
      </c>
      <c r="Q28" s="28">
        <f t="shared" si="6"/>
        <v>1123.2820512820513</v>
      </c>
      <c r="R28" s="190">
        <f t="shared" si="7"/>
        <v>1118.2481697963647</v>
      </c>
      <c r="S28" s="190">
        <f t="shared" si="15"/>
        <v>1106.575614702534</v>
      </c>
      <c r="T28" s="192">
        <f t="shared" si="20"/>
        <v>1123.3651125285514</v>
      </c>
      <c r="U28" s="31">
        <f t="shared" si="8"/>
        <v>5.4545454545454543E-2</v>
      </c>
      <c r="V28" s="194">
        <f t="shared" si="9"/>
        <v>5.4048951411009148E-2</v>
      </c>
      <c r="W28" s="194">
        <f t="shared" si="16"/>
        <v>5.4730480715010549E-2</v>
      </c>
      <c r="X28" s="196">
        <f t="shared" si="21"/>
        <v>5.4612411207651257E-2</v>
      </c>
    </row>
    <row r="29" spans="1:24" x14ac:dyDescent="0.3">
      <c r="M29" s="7"/>
      <c r="N29" s="7"/>
      <c r="O29" s="7"/>
      <c r="P29" s="7"/>
    </row>
    <row r="30" spans="1:24" x14ac:dyDescent="0.3">
      <c r="F30" s="8" t="s">
        <v>174</v>
      </c>
      <c r="G30" s="15"/>
      <c r="H30" s="15"/>
      <c r="M30" s="7"/>
      <c r="N30" s="7"/>
      <c r="O30" s="7"/>
      <c r="P30" s="7"/>
    </row>
    <row r="31" spans="1:24" ht="28.8" x14ac:dyDescent="0.3">
      <c r="E31" s="8"/>
      <c r="F31" s="2" t="s">
        <v>221</v>
      </c>
      <c r="G31" s="2" t="s">
        <v>222</v>
      </c>
      <c r="H31" s="2" t="s">
        <v>223</v>
      </c>
      <c r="M31" s="7"/>
      <c r="N31" s="7"/>
      <c r="O31" s="7"/>
      <c r="P31" s="7"/>
    </row>
    <row r="32" spans="1:24" x14ac:dyDescent="0.3">
      <c r="E32" t="s">
        <v>175</v>
      </c>
      <c r="F32" s="155">
        <f>LOGEST(F$9:F$28)^4-1</f>
        <v>-1.7189876553532102E-2</v>
      </c>
      <c r="G32" s="155">
        <f>LOGEST(G$9:G$28)^4-1</f>
        <v>5.3329242812225619E-3</v>
      </c>
      <c r="H32" s="155">
        <f>LOGEST(H$9:H$28)^4-1</f>
        <v>-1.1948624582373224E-2</v>
      </c>
      <c r="J32" s="4"/>
    </row>
    <row r="33" spans="1:10" x14ac:dyDescent="0.3">
      <c r="E33" t="s">
        <v>176</v>
      </c>
      <c r="F33" s="155">
        <f>LOGEST(F$13:F$28)^4-1</f>
        <v>-1.2943677684725374E-2</v>
      </c>
      <c r="G33" s="155">
        <f>LOGEST(G$13:G$28)^4-1</f>
        <v>-9.7947534613340714E-4</v>
      </c>
      <c r="H33" s="155">
        <f>LOGEST(H$13:H$28)^4-1</f>
        <v>-1.3910475017678281E-2</v>
      </c>
      <c r="J33" s="4"/>
    </row>
    <row r="34" spans="1:10" x14ac:dyDescent="0.3">
      <c r="E34" t="s">
        <v>177</v>
      </c>
      <c r="F34" s="155">
        <f>LOGEST(F$17:F$28)^4-1</f>
        <v>-6.8060217740890661E-3</v>
      </c>
      <c r="G34" s="155">
        <f>LOGEST(G$17:G$28)^4-1</f>
        <v>-2.3337296068619562E-3</v>
      </c>
      <c r="H34" s="155">
        <f>LOGEST(H$17:H$28)^4-1</f>
        <v>-9.1238679664321642E-3</v>
      </c>
      <c r="J34" s="4"/>
    </row>
    <row r="35" spans="1:10" x14ac:dyDescent="0.3">
      <c r="E35" t="s">
        <v>178</v>
      </c>
      <c r="F35" s="155">
        <f>LOGEST(F$21:F$28)^4-1</f>
        <v>-1.3155203326677412E-2</v>
      </c>
      <c r="G35" s="155">
        <f>LOGEST(G$21:G$28)^4-1</f>
        <v>1.2626028513777587E-2</v>
      </c>
      <c r="H35" s="155">
        <f>LOGEST(H$21:H$28)^4-1</f>
        <v>-6.9527278520631342E-4</v>
      </c>
      <c r="J35" s="4"/>
    </row>
    <row r="36" spans="1:10" x14ac:dyDescent="0.3">
      <c r="E36" t="s">
        <v>179</v>
      </c>
      <c r="F36" s="155">
        <f>LOGEST(F$23:F$28)^4-1</f>
        <v>-7.2489730405247421E-3</v>
      </c>
      <c r="G36" s="155">
        <f>LOGEST(G$23:G$28)^4-1</f>
        <v>2.3380303051415696E-2</v>
      </c>
      <c r="H36" s="155">
        <f>LOGEST(H$23:H$28)^4-1</f>
        <v>1.596184682439139E-2</v>
      </c>
      <c r="J36" s="4"/>
    </row>
    <row r="37" spans="1:10" x14ac:dyDescent="0.3">
      <c r="E37" t="s">
        <v>180</v>
      </c>
      <c r="F37" s="155">
        <f>LOGEST(F$25:F$28)^4-1</f>
        <v>-1.3475311686557689E-2</v>
      </c>
      <c r="G37" s="155">
        <f>LOGEST(G$25:G$28)^4-1</f>
        <v>3.2865807297282501E-2</v>
      </c>
      <c r="H37" s="155">
        <f>LOGEST(H$25:H$28)^4-1</f>
        <v>1.8947618613563089E-2</v>
      </c>
      <c r="J37" s="4"/>
    </row>
    <row r="39" spans="1:10" x14ac:dyDescent="0.3">
      <c r="E39" t="s">
        <v>226</v>
      </c>
    </row>
    <row r="40" spans="1:10" x14ac:dyDescent="0.3">
      <c r="E40" t="s">
        <v>227</v>
      </c>
      <c r="F40" s="169">
        <v>-0.01</v>
      </c>
      <c r="G40" s="169">
        <v>5.0000000000000001E-3</v>
      </c>
      <c r="H40" s="155">
        <f t="shared" ref="H40:H41" si="23">(1+F40)*(1+G40)-1</f>
        <v>-5.05000000000011E-3</v>
      </c>
      <c r="J40" s="140" t="s">
        <v>228</v>
      </c>
    </row>
    <row r="41" spans="1:10" x14ac:dyDescent="0.3">
      <c r="E41" t="s">
        <v>229</v>
      </c>
      <c r="F41" s="169">
        <v>-0.01</v>
      </c>
      <c r="G41" s="169">
        <v>1.4999999999999999E-2</v>
      </c>
      <c r="H41" s="155">
        <f t="shared" si="23"/>
        <v>4.8499999999997989E-3</v>
      </c>
      <c r="J41" s="140" t="s">
        <v>230</v>
      </c>
    </row>
    <row r="42" spans="1:10" x14ac:dyDescent="0.3">
      <c r="J42" s="140" t="s">
        <v>231</v>
      </c>
    </row>
    <row r="43" spans="1:10" x14ac:dyDescent="0.3">
      <c r="A43" s="13">
        <v>1</v>
      </c>
      <c r="B43" t="s">
        <v>232</v>
      </c>
      <c r="J43" s="164" t="s">
        <v>233</v>
      </c>
    </row>
    <row r="44" spans="1:10" x14ac:dyDescent="0.3">
      <c r="A44" s="13">
        <f>A43+1</f>
        <v>2</v>
      </c>
      <c r="B44" t="s">
        <v>232</v>
      </c>
    </row>
    <row r="45" spans="1:10" x14ac:dyDescent="0.3">
      <c r="A45" s="13">
        <f>A44+1</f>
        <v>3</v>
      </c>
      <c r="B45" t="s">
        <v>232</v>
      </c>
    </row>
    <row r="46" spans="1:10" x14ac:dyDescent="0.3">
      <c r="A46" s="13">
        <f>A45+1</f>
        <v>4</v>
      </c>
      <c r="B46" s="148" t="s">
        <v>234</v>
      </c>
    </row>
    <row r="47" spans="1:10" x14ac:dyDescent="0.3">
      <c r="A47" s="13">
        <f>A46+1</f>
        <v>5</v>
      </c>
      <c r="B47" s="148" t="s">
        <v>128</v>
      </c>
    </row>
    <row r="48" spans="1:10" x14ac:dyDescent="0.3">
      <c r="A48" s="13">
        <f>A47+1</f>
        <v>6</v>
      </c>
      <c r="B48" s="148" t="s">
        <v>235</v>
      </c>
    </row>
  </sheetData>
  <printOptions horizontalCentered="1"/>
  <pageMargins left="0.7" right="0.7" top="0.75" bottom="0.75" header="0.3" footer="0.3"/>
  <pageSetup scale="93" orientation="portrait" r:id="rId1"/>
  <headerFooter>
    <oddFooter>&amp;R&amp;1#&amp;"Calibri"&amp;10&amp;K317100Public Information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40"/>
  <sheetViews>
    <sheetView showGridLines="0" zoomScale="85" zoomScaleNormal="85" workbookViewId="0">
      <selection activeCell="B11" sqref="B11"/>
    </sheetView>
  </sheetViews>
  <sheetFormatPr defaultRowHeight="14.4" x14ac:dyDescent="0.3"/>
  <cols>
    <col min="3" max="3" width="5.44140625" bestFit="1" customWidth="1"/>
    <col min="4" max="4" width="6.88671875" bestFit="1" customWidth="1"/>
    <col min="5" max="5" width="10.109375" bestFit="1" customWidth="1"/>
    <col min="6" max="6" width="11.109375" bestFit="1" customWidth="1"/>
    <col min="7" max="7" width="12.109375" customWidth="1"/>
  </cols>
  <sheetData>
    <row r="2" spans="1:10" x14ac:dyDescent="0.3">
      <c r="A2" s="15" t="str">
        <f>State</f>
        <v>Texachussetts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3">
      <c r="A3" s="15" t="str">
        <f>Company</f>
        <v>CAS Rocks Insurance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3">
      <c r="A4" s="15" t="str">
        <f>LOB</f>
        <v>Private Passenger Auto: Property Damage Liability</v>
      </c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3">
      <c r="A6" s="15" t="s">
        <v>236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3">
      <c r="E7" s="2"/>
      <c r="F7" s="2"/>
      <c r="G7" s="2"/>
      <c r="H7" s="2"/>
    </row>
    <row r="8" spans="1:10" x14ac:dyDescent="0.3">
      <c r="E8" s="2"/>
      <c r="F8" s="2"/>
      <c r="G8" s="2"/>
      <c r="H8" s="2"/>
    </row>
    <row r="9" spans="1:10" x14ac:dyDescent="0.3">
      <c r="E9" s="2"/>
      <c r="F9" s="2"/>
      <c r="G9" s="2"/>
      <c r="H9" s="2"/>
    </row>
    <row r="10" spans="1:10" x14ac:dyDescent="0.3">
      <c r="E10" s="2"/>
      <c r="F10" s="2"/>
      <c r="G10" s="2"/>
      <c r="H10" s="2"/>
    </row>
    <row r="11" spans="1:10" x14ac:dyDescent="0.3">
      <c r="E11" s="2"/>
      <c r="F11" s="2"/>
      <c r="G11" s="2"/>
      <c r="H11" s="2"/>
    </row>
    <row r="12" spans="1:10" x14ac:dyDescent="0.3">
      <c r="E12" s="2"/>
      <c r="F12" s="2"/>
      <c r="G12" s="2"/>
      <c r="H12" s="2"/>
    </row>
    <row r="13" spans="1:10" x14ac:dyDescent="0.3">
      <c r="E13" s="2"/>
      <c r="F13" s="2"/>
      <c r="G13" s="2"/>
      <c r="H13" s="2"/>
    </row>
    <row r="14" spans="1:10" x14ac:dyDescent="0.3">
      <c r="E14" s="2"/>
      <c r="F14" s="2"/>
      <c r="G14" s="2"/>
      <c r="H14" s="2"/>
    </row>
    <row r="15" spans="1:10" x14ac:dyDescent="0.3">
      <c r="E15" s="2"/>
      <c r="F15" s="2"/>
      <c r="G15" s="2"/>
      <c r="H15" s="2"/>
    </row>
    <row r="16" spans="1:10" x14ac:dyDescent="0.3">
      <c r="E16" s="2"/>
      <c r="F16" s="2"/>
      <c r="G16" s="2"/>
      <c r="H16" s="2"/>
    </row>
    <row r="17" spans="3:8" x14ac:dyDescent="0.3">
      <c r="E17" s="2"/>
      <c r="F17" s="2"/>
      <c r="G17" s="2"/>
      <c r="H17" s="2"/>
    </row>
    <row r="18" spans="3:8" x14ac:dyDescent="0.3">
      <c r="E18" s="2"/>
      <c r="F18" s="2"/>
      <c r="G18" s="2"/>
      <c r="H18" s="2"/>
    </row>
    <row r="19" spans="3:8" x14ac:dyDescent="0.3">
      <c r="E19" s="2"/>
      <c r="F19" s="2"/>
      <c r="G19" s="2"/>
      <c r="H19" s="2"/>
    </row>
    <row r="20" spans="3:8" x14ac:dyDescent="0.3">
      <c r="E20" s="2"/>
      <c r="F20" s="2"/>
      <c r="G20" s="2"/>
      <c r="H20" s="2"/>
    </row>
    <row r="21" spans="3:8" x14ac:dyDescent="0.3">
      <c r="E21" s="2"/>
      <c r="F21" s="2"/>
      <c r="G21" s="2"/>
      <c r="H21" s="2"/>
    </row>
    <row r="22" spans="3:8" x14ac:dyDescent="0.3">
      <c r="E22" s="2"/>
      <c r="F22" s="2"/>
      <c r="G22" s="2"/>
      <c r="H22" s="2"/>
    </row>
    <row r="23" spans="3:8" x14ac:dyDescent="0.3">
      <c r="E23" s="2"/>
      <c r="F23" s="2"/>
      <c r="G23" s="2"/>
      <c r="H23" s="2"/>
    </row>
    <row r="24" spans="3:8" x14ac:dyDescent="0.3">
      <c r="E24" s="2"/>
      <c r="F24" s="2"/>
      <c r="G24" s="2"/>
      <c r="H24" s="2"/>
    </row>
    <row r="25" spans="3:8" x14ac:dyDescent="0.3">
      <c r="E25" s="2"/>
      <c r="F25" s="2"/>
      <c r="G25" s="2"/>
      <c r="H25" s="2"/>
    </row>
    <row r="26" spans="3:8" x14ac:dyDescent="0.3">
      <c r="C26" s="8" t="str">
        <f>'Premium Trend - 1'!G33</f>
        <v>Exponential Trend</v>
      </c>
      <c r="D26" s="8"/>
      <c r="E26" s="2"/>
      <c r="G26" s="18" t="s">
        <v>226</v>
      </c>
      <c r="H26" s="2"/>
    </row>
    <row r="27" spans="3:8" x14ac:dyDescent="0.3">
      <c r="C27" t="str">
        <f>'Premium Trend - 1'!G34</f>
        <v>20 pt</v>
      </c>
      <c r="D27" s="4">
        <f>'Loss Trend - 1'!F32</f>
        <v>-1.7189876553532102E-2</v>
      </c>
      <c r="E27" s="2"/>
      <c r="F27" t="s">
        <v>227</v>
      </c>
      <c r="G27" s="4">
        <f>'Loss Trend - 1'!F40</f>
        <v>-0.01</v>
      </c>
      <c r="H27" s="2"/>
    </row>
    <row r="28" spans="3:8" x14ac:dyDescent="0.3">
      <c r="C28" t="str">
        <f>'Premium Trend - 1'!G35</f>
        <v>16 pt</v>
      </c>
      <c r="D28" s="4">
        <f>'Loss Trend - 1'!F34</f>
        <v>-6.8060217740890661E-3</v>
      </c>
      <c r="E28" s="2"/>
      <c r="F28" s="4" t="s">
        <v>229</v>
      </c>
      <c r="G28" s="4">
        <f>'Loss Trend - 1'!F41</f>
        <v>-0.01</v>
      </c>
      <c r="H28" s="2"/>
    </row>
    <row r="29" spans="3:8" x14ac:dyDescent="0.3">
      <c r="C29" t="str">
        <f>'Premium Trend - 1'!G36</f>
        <v>12 pt</v>
      </c>
      <c r="D29" s="4">
        <f>'Loss Trend - 1'!F36</f>
        <v>-7.2489730405247421E-3</v>
      </c>
      <c r="E29" s="2"/>
      <c r="F29" s="4"/>
      <c r="G29" s="2"/>
      <c r="H29" s="2"/>
    </row>
    <row r="30" spans="3:8" x14ac:dyDescent="0.3">
      <c r="E30" s="2"/>
      <c r="F30" s="2"/>
      <c r="G30" s="2"/>
      <c r="H30" s="2"/>
    </row>
    <row r="31" spans="3:8" x14ac:dyDescent="0.3">
      <c r="E31" s="2"/>
      <c r="F31" s="2"/>
      <c r="G31" s="2"/>
      <c r="H31" s="2"/>
    </row>
    <row r="32" spans="3:8" x14ac:dyDescent="0.3">
      <c r="E32" s="2"/>
      <c r="F32" s="2"/>
      <c r="G32" s="2"/>
      <c r="H32" s="2"/>
    </row>
    <row r="33" spans="5:8" x14ac:dyDescent="0.3">
      <c r="E33" s="2"/>
      <c r="F33" s="2"/>
      <c r="G33" s="2"/>
      <c r="H33" s="2"/>
    </row>
    <row r="34" spans="5:8" x14ac:dyDescent="0.3">
      <c r="E34" s="2"/>
      <c r="F34" s="2"/>
      <c r="G34" s="2"/>
      <c r="H34" s="2"/>
    </row>
    <row r="35" spans="5:8" x14ac:dyDescent="0.3">
      <c r="E35" s="2"/>
      <c r="F35" s="2"/>
      <c r="G35" s="2"/>
      <c r="H35" s="2"/>
    </row>
    <row r="36" spans="5:8" x14ac:dyDescent="0.3">
      <c r="E36" s="2"/>
      <c r="F36" s="2"/>
      <c r="G36" s="2"/>
      <c r="H36" s="2"/>
    </row>
    <row r="37" spans="5:8" x14ac:dyDescent="0.3">
      <c r="E37" s="2"/>
      <c r="F37" s="2"/>
      <c r="G37" s="2"/>
      <c r="H37" s="2"/>
    </row>
    <row r="38" spans="5:8" x14ac:dyDescent="0.3">
      <c r="E38" s="2"/>
      <c r="F38" s="2"/>
      <c r="G38" s="2"/>
      <c r="H38" s="2"/>
    </row>
    <row r="39" spans="5:8" x14ac:dyDescent="0.3">
      <c r="E39" s="2"/>
      <c r="F39" s="2"/>
      <c r="G39" s="2"/>
      <c r="H39" s="2"/>
    </row>
    <row r="40" spans="5:8" x14ac:dyDescent="0.3">
      <c r="E40" s="2"/>
      <c r="F40" s="2"/>
      <c r="G40" s="2"/>
      <c r="H40" s="2"/>
    </row>
  </sheetData>
  <printOptions horizontalCentered="1"/>
  <pageMargins left="0.7" right="0.7" top="0.75" bottom="0.75" header="0.3" footer="0.3"/>
  <pageSetup orientation="landscape" r:id="rId1"/>
  <headerFooter>
    <oddFooter>&amp;R&amp;1#&amp;"Calibri"&amp;10&amp;K317100Public Information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40"/>
  <sheetViews>
    <sheetView showGridLines="0" zoomScale="85" zoomScaleNormal="85" workbookViewId="0">
      <selection activeCell="B11" sqref="B11"/>
    </sheetView>
  </sheetViews>
  <sheetFormatPr defaultRowHeight="14.4" x14ac:dyDescent="0.3"/>
  <cols>
    <col min="3" max="3" width="5.44140625" bestFit="1" customWidth="1"/>
    <col min="4" max="4" width="6.88671875" bestFit="1" customWidth="1"/>
    <col min="5" max="5" width="10.109375" bestFit="1" customWidth="1"/>
    <col min="6" max="6" width="11.109375" bestFit="1" customWidth="1"/>
    <col min="7" max="7" width="12.109375" customWidth="1"/>
  </cols>
  <sheetData>
    <row r="2" spans="1:10" x14ac:dyDescent="0.3">
      <c r="A2" s="15" t="str">
        <f>State</f>
        <v>Texachussetts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3">
      <c r="A3" s="15" t="str">
        <f>Company</f>
        <v>CAS Rocks Insurance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3">
      <c r="A4" s="15" t="str">
        <f>LOB</f>
        <v>Private Passenger Auto: Property Damage Liability</v>
      </c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3">
      <c r="A6" s="15" t="s">
        <v>237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3">
      <c r="E7" s="2"/>
      <c r="F7" s="2"/>
      <c r="G7" s="2"/>
      <c r="H7" s="2"/>
    </row>
    <row r="8" spans="1:10" x14ac:dyDescent="0.3">
      <c r="E8" s="2"/>
      <c r="F8" s="2"/>
      <c r="G8" s="2"/>
      <c r="H8" s="2"/>
    </row>
    <row r="9" spans="1:10" x14ac:dyDescent="0.3">
      <c r="E9" s="2"/>
      <c r="F9" s="2"/>
      <c r="G9" s="2"/>
      <c r="H9" s="2"/>
    </row>
    <row r="10" spans="1:10" x14ac:dyDescent="0.3">
      <c r="E10" s="2"/>
      <c r="F10" s="2"/>
      <c r="G10" s="2"/>
      <c r="H10" s="2"/>
    </row>
    <row r="11" spans="1:10" x14ac:dyDescent="0.3">
      <c r="E11" s="2"/>
      <c r="F11" s="2"/>
      <c r="G11" s="2"/>
      <c r="H11" s="2"/>
    </row>
    <row r="12" spans="1:10" x14ac:dyDescent="0.3">
      <c r="E12" s="2"/>
      <c r="F12" s="2"/>
      <c r="G12" s="2"/>
      <c r="H12" s="2"/>
    </row>
    <row r="13" spans="1:10" x14ac:dyDescent="0.3">
      <c r="E13" s="2"/>
      <c r="F13" s="2"/>
      <c r="G13" s="2"/>
      <c r="H13" s="2"/>
    </row>
    <row r="14" spans="1:10" x14ac:dyDescent="0.3">
      <c r="E14" s="2"/>
      <c r="F14" s="2"/>
      <c r="G14" s="2"/>
      <c r="H14" s="2"/>
    </row>
    <row r="15" spans="1:10" x14ac:dyDescent="0.3">
      <c r="E15" s="2"/>
      <c r="F15" s="2"/>
      <c r="G15" s="2"/>
      <c r="H15" s="2"/>
    </row>
    <row r="16" spans="1:10" x14ac:dyDescent="0.3">
      <c r="E16" s="2"/>
      <c r="F16" s="2"/>
      <c r="G16" s="2"/>
      <c r="H16" s="2"/>
    </row>
    <row r="17" spans="3:8" x14ac:dyDescent="0.3">
      <c r="E17" s="2"/>
      <c r="F17" s="2"/>
      <c r="G17" s="2"/>
      <c r="H17" s="2"/>
    </row>
    <row r="18" spans="3:8" x14ac:dyDescent="0.3">
      <c r="E18" s="2"/>
      <c r="F18" s="2"/>
      <c r="G18" s="2"/>
      <c r="H18" s="2"/>
    </row>
    <row r="19" spans="3:8" x14ac:dyDescent="0.3">
      <c r="E19" s="2"/>
      <c r="F19" s="2"/>
      <c r="G19" s="2"/>
      <c r="H19" s="2"/>
    </row>
    <row r="20" spans="3:8" x14ac:dyDescent="0.3">
      <c r="E20" s="2"/>
      <c r="F20" s="2"/>
      <c r="G20" s="2"/>
      <c r="H20" s="2"/>
    </row>
    <row r="21" spans="3:8" x14ac:dyDescent="0.3">
      <c r="E21" s="2"/>
      <c r="F21" s="2"/>
      <c r="G21" s="2"/>
      <c r="H21" s="2"/>
    </row>
    <row r="22" spans="3:8" x14ac:dyDescent="0.3">
      <c r="E22" s="2"/>
      <c r="F22" s="2"/>
      <c r="G22" s="2"/>
      <c r="H22" s="2"/>
    </row>
    <row r="23" spans="3:8" x14ac:dyDescent="0.3">
      <c r="E23" s="2"/>
      <c r="F23" s="2"/>
      <c r="G23" s="2"/>
      <c r="H23" s="2"/>
    </row>
    <row r="24" spans="3:8" x14ac:dyDescent="0.3">
      <c r="E24" s="2"/>
      <c r="F24" s="2"/>
      <c r="G24" s="2"/>
      <c r="H24" s="2"/>
    </row>
    <row r="25" spans="3:8" x14ac:dyDescent="0.3">
      <c r="E25" s="2"/>
      <c r="F25" s="2"/>
      <c r="G25" s="2"/>
      <c r="H25" s="2"/>
    </row>
    <row r="26" spans="3:8" x14ac:dyDescent="0.3">
      <c r="C26" s="8" t="str">
        <f>'Premium Trend - 1'!G33</f>
        <v>Exponential Trend</v>
      </c>
      <c r="D26" s="8"/>
      <c r="E26" s="2"/>
      <c r="G26" s="18" t="s">
        <v>226</v>
      </c>
      <c r="H26" s="2"/>
    </row>
    <row r="27" spans="3:8" x14ac:dyDescent="0.3">
      <c r="C27" t="str">
        <f>'Premium Trend - 1'!G34</f>
        <v>20 pt</v>
      </c>
      <c r="D27" s="4">
        <f>'Loss Trend - 1'!G32</f>
        <v>5.3329242812225619E-3</v>
      </c>
      <c r="E27" s="2"/>
      <c r="F27" t="s">
        <v>227</v>
      </c>
      <c r="G27" s="4">
        <f>'Loss Trend - 1'!G40</f>
        <v>5.0000000000000001E-3</v>
      </c>
      <c r="H27" s="2"/>
    </row>
    <row r="28" spans="3:8" x14ac:dyDescent="0.3">
      <c r="C28" t="str">
        <f>'Premium Trend - 1'!G35</f>
        <v>16 pt</v>
      </c>
      <c r="D28" s="4">
        <f>'Loss Trend - 1'!G34</f>
        <v>-2.3337296068619562E-3</v>
      </c>
      <c r="E28" s="2"/>
      <c r="F28" s="4" t="s">
        <v>229</v>
      </c>
      <c r="G28" s="4">
        <f>'Loss Trend - 1'!G41</f>
        <v>1.4999999999999999E-2</v>
      </c>
      <c r="H28" s="2"/>
    </row>
    <row r="29" spans="3:8" x14ac:dyDescent="0.3">
      <c r="C29" t="str">
        <f>'Premium Trend - 1'!G36</f>
        <v>12 pt</v>
      </c>
      <c r="D29" s="4">
        <f>'Loss Trend - 1'!G36</f>
        <v>2.3380303051415696E-2</v>
      </c>
      <c r="E29" s="2"/>
      <c r="F29" s="4"/>
      <c r="G29" s="2"/>
      <c r="H29" s="2"/>
    </row>
    <row r="30" spans="3:8" x14ac:dyDescent="0.3">
      <c r="E30" s="2"/>
      <c r="F30" s="2"/>
      <c r="G30" s="2"/>
      <c r="H30" s="2"/>
    </row>
    <row r="31" spans="3:8" x14ac:dyDescent="0.3">
      <c r="E31" s="2"/>
      <c r="F31" s="2"/>
      <c r="G31" s="2"/>
      <c r="H31" s="2"/>
    </row>
    <row r="32" spans="3:8" x14ac:dyDescent="0.3">
      <c r="E32" s="2"/>
      <c r="F32" s="2"/>
      <c r="G32" s="2"/>
      <c r="H32" s="2"/>
    </row>
    <row r="33" spans="5:8" x14ac:dyDescent="0.3">
      <c r="E33" s="2"/>
      <c r="F33" s="2"/>
      <c r="G33" s="2"/>
      <c r="H33" s="2"/>
    </row>
    <row r="34" spans="5:8" x14ac:dyDescent="0.3">
      <c r="E34" s="2"/>
      <c r="F34" s="2"/>
      <c r="G34" s="2"/>
      <c r="H34" s="2"/>
    </row>
    <row r="35" spans="5:8" x14ac:dyDescent="0.3">
      <c r="E35" s="2"/>
      <c r="F35" s="2"/>
      <c r="G35" s="2"/>
      <c r="H35" s="2"/>
    </row>
    <row r="36" spans="5:8" x14ac:dyDescent="0.3">
      <c r="E36" s="2"/>
      <c r="F36" s="2"/>
      <c r="G36" s="2"/>
      <c r="H36" s="2"/>
    </row>
    <row r="37" spans="5:8" x14ac:dyDescent="0.3">
      <c r="E37" s="2"/>
      <c r="F37" s="2"/>
      <c r="G37" s="2"/>
      <c r="H37" s="2"/>
    </row>
    <row r="38" spans="5:8" x14ac:dyDescent="0.3">
      <c r="E38" s="2"/>
      <c r="F38" s="2"/>
      <c r="G38" s="2"/>
      <c r="H38" s="2"/>
    </row>
    <row r="39" spans="5:8" x14ac:dyDescent="0.3">
      <c r="E39" s="2"/>
      <c r="F39" s="2"/>
      <c r="G39" s="2"/>
      <c r="H39" s="2"/>
    </row>
    <row r="40" spans="5:8" x14ac:dyDescent="0.3">
      <c r="E40" s="2"/>
      <c r="F40" s="2"/>
      <c r="G40" s="2"/>
      <c r="H40" s="2"/>
    </row>
  </sheetData>
  <printOptions horizontalCentered="1"/>
  <pageMargins left="0.7" right="0.7" top="0.75" bottom="0.75" header="0.3" footer="0.3"/>
  <pageSetup orientation="landscape" r:id="rId1"/>
  <headerFooter>
    <oddFooter>&amp;R&amp;1#&amp;"Calibri"&amp;10&amp;K317100Public Information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40"/>
  <sheetViews>
    <sheetView showGridLines="0" zoomScale="85" zoomScaleNormal="85" workbookViewId="0">
      <selection activeCell="B11" sqref="B11"/>
    </sheetView>
  </sheetViews>
  <sheetFormatPr defaultRowHeight="14.4" x14ac:dyDescent="0.3"/>
  <cols>
    <col min="3" max="3" width="5.44140625" bestFit="1" customWidth="1"/>
    <col min="4" max="4" width="6.88671875" bestFit="1" customWidth="1"/>
    <col min="5" max="5" width="10.109375" bestFit="1" customWidth="1"/>
    <col min="6" max="6" width="11.109375" bestFit="1" customWidth="1"/>
    <col min="7" max="7" width="12.109375" customWidth="1"/>
  </cols>
  <sheetData>
    <row r="2" spans="1:10" x14ac:dyDescent="0.3">
      <c r="A2" s="15" t="str">
        <f>State</f>
        <v>Texachussetts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3">
      <c r="A3" s="15" t="str">
        <f>Company</f>
        <v>CAS Rocks Insurance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3">
      <c r="A4" s="15" t="str">
        <f>LOB</f>
        <v>Private Passenger Auto: Property Damage Liability</v>
      </c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3">
      <c r="A6" s="15" t="s">
        <v>238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3">
      <c r="E7" s="2"/>
      <c r="F7" s="2"/>
      <c r="G7" s="2"/>
      <c r="H7" s="2"/>
    </row>
    <row r="8" spans="1:10" x14ac:dyDescent="0.3">
      <c r="E8" s="2"/>
      <c r="F8" s="2"/>
      <c r="G8" s="2"/>
      <c r="H8" s="2"/>
    </row>
    <row r="9" spans="1:10" x14ac:dyDescent="0.3">
      <c r="E9" s="2"/>
      <c r="F9" s="2"/>
      <c r="G9" s="2"/>
      <c r="H9" s="2"/>
    </row>
    <row r="10" spans="1:10" x14ac:dyDescent="0.3">
      <c r="E10" s="2"/>
      <c r="F10" s="2"/>
      <c r="G10" s="2"/>
      <c r="H10" s="2"/>
    </row>
    <row r="11" spans="1:10" x14ac:dyDescent="0.3">
      <c r="E11" s="2"/>
      <c r="F11" s="2"/>
      <c r="G11" s="2"/>
      <c r="H11" s="2"/>
    </row>
    <row r="12" spans="1:10" x14ac:dyDescent="0.3">
      <c r="E12" s="2"/>
      <c r="F12" s="2"/>
      <c r="G12" s="2"/>
      <c r="H12" s="2"/>
    </row>
    <row r="13" spans="1:10" x14ac:dyDescent="0.3">
      <c r="E13" s="2"/>
      <c r="F13" s="2"/>
      <c r="G13" s="2"/>
      <c r="H13" s="2"/>
    </row>
    <row r="14" spans="1:10" x14ac:dyDescent="0.3">
      <c r="E14" s="2"/>
      <c r="F14" s="2"/>
      <c r="G14" s="2"/>
      <c r="H14" s="2"/>
    </row>
    <row r="15" spans="1:10" x14ac:dyDescent="0.3">
      <c r="E15" s="2"/>
      <c r="F15" s="2"/>
      <c r="G15" s="2"/>
      <c r="H15" s="2"/>
    </row>
    <row r="16" spans="1:10" x14ac:dyDescent="0.3">
      <c r="E16" s="2"/>
      <c r="F16" s="2"/>
      <c r="G16" s="2"/>
      <c r="H16" s="2"/>
    </row>
    <row r="17" spans="3:8" x14ac:dyDescent="0.3">
      <c r="E17" s="2"/>
      <c r="F17" s="2"/>
      <c r="G17" s="2"/>
      <c r="H17" s="2"/>
    </row>
    <row r="18" spans="3:8" x14ac:dyDescent="0.3">
      <c r="E18" s="2"/>
      <c r="F18" s="2"/>
      <c r="G18" s="2"/>
      <c r="H18" s="2"/>
    </row>
    <row r="19" spans="3:8" x14ac:dyDescent="0.3">
      <c r="E19" s="2"/>
      <c r="F19" s="2"/>
      <c r="G19" s="2"/>
      <c r="H19" s="2"/>
    </row>
    <row r="20" spans="3:8" x14ac:dyDescent="0.3">
      <c r="E20" s="2"/>
      <c r="F20" s="2"/>
      <c r="G20" s="2"/>
      <c r="H20" s="2"/>
    </row>
    <row r="21" spans="3:8" x14ac:dyDescent="0.3">
      <c r="E21" s="2"/>
      <c r="F21" s="2"/>
      <c r="G21" s="2"/>
      <c r="H21" s="2"/>
    </row>
    <row r="22" spans="3:8" x14ac:dyDescent="0.3">
      <c r="E22" s="2"/>
      <c r="F22" s="2"/>
      <c r="G22" s="2"/>
      <c r="H22" s="2"/>
    </row>
    <row r="23" spans="3:8" x14ac:dyDescent="0.3">
      <c r="E23" s="2"/>
      <c r="F23" s="2"/>
      <c r="G23" s="2"/>
      <c r="H23" s="2"/>
    </row>
    <row r="24" spans="3:8" x14ac:dyDescent="0.3">
      <c r="E24" s="2"/>
      <c r="F24" s="2"/>
      <c r="G24" s="2"/>
      <c r="H24" s="2"/>
    </row>
    <row r="25" spans="3:8" x14ac:dyDescent="0.3">
      <c r="E25" s="2"/>
      <c r="F25" s="2"/>
      <c r="G25" s="2"/>
      <c r="H25" s="2"/>
    </row>
    <row r="26" spans="3:8" x14ac:dyDescent="0.3">
      <c r="C26" s="8" t="str">
        <f>'Premium Trend - 1'!G33</f>
        <v>Exponential Trend</v>
      </c>
      <c r="D26" s="8"/>
      <c r="E26" s="2"/>
      <c r="G26" s="18" t="s">
        <v>239</v>
      </c>
      <c r="H26" s="2"/>
    </row>
    <row r="27" spans="3:8" x14ac:dyDescent="0.3">
      <c r="C27" t="str">
        <f>'Premium Trend - 1'!G34</f>
        <v>20 pt</v>
      </c>
      <c r="D27" s="4">
        <f>'Loss Trend - 1'!H32</f>
        <v>-1.1948624582373224E-2</v>
      </c>
      <c r="E27" s="2"/>
      <c r="F27" t="s">
        <v>227</v>
      </c>
      <c r="G27" s="4">
        <f>'Loss Trend - 1'!H40</f>
        <v>-5.05000000000011E-3</v>
      </c>
      <c r="H27" s="2"/>
    </row>
    <row r="28" spans="3:8" x14ac:dyDescent="0.3">
      <c r="C28" t="str">
        <f>'Premium Trend - 1'!G35</f>
        <v>16 pt</v>
      </c>
      <c r="D28" s="4">
        <f>'Loss Trend - 1'!H34</f>
        <v>-9.1238679664321642E-3</v>
      </c>
      <c r="E28" s="2"/>
      <c r="F28" s="4" t="s">
        <v>229</v>
      </c>
      <c r="G28" s="4">
        <f>'Loss Trend - 1'!H41</f>
        <v>4.8499999999997989E-3</v>
      </c>
      <c r="H28" s="2"/>
    </row>
    <row r="29" spans="3:8" x14ac:dyDescent="0.3">
      <c r="C29" t="str">
        <f>'Premium Trend - 1'!G36</f>
        <v>12 pt</v>
      </c>
      <c r="D29" s="4">
        <f>'Loss Trend - 1'!H36</f>
        <v>1.596184682439139E-2</v>
      </c>
      <c r="E29" s="2"/>
      <c r="F29" s="4" t="s">
        <v>240</v>
      </c>
      <c r="G29" s="2"/>
      <c r="H29" s="2"/>
    </row>
    <row r="30" spans="3:8" x14ac:dyDescent="0.3">
      <c r="E30" s="2"/>
      <c r="F30" s="2"/>
      <c r="G30" s="2"/>
      <c r="H30" s="2"/>
    </row>
    <row r="31" spans="3:8" x14ac:dyDescent="0.3">
      <c r="E31" s="2"/>
      <c r="F31" s="2"/>
      <c r="G31" s="2"/>
      <c r="H31" s="2"/>
    </row>
    <row r="32" spans="3:8" x14ac:dyDescent="0.3">
      <c r="E32" s="2"/>
      <c r="F32" s="2"/>
      <c r="G32" s="2"/>
      <c r="H32" s="2"/>
    </row>
    <row r="33" spans="5:8" x14ac:dyDescent="0.3">
      <c r="E33" s="2"/>
      <c r="F33" s="2"/>
      <c r="G33" s="2"/>
      <c r="H33" s="2"/>
    </row>
    <row r="34" spans="5:8" x14ac:dyDescent="0.3">
      <c r="E34" s="2"/>
      <c r="F34" s="2"/>
      <c r="G34" s="2"/>
      <c r="H34" s="2"/>
    </row>
    <row r="35" spans="5:8" x14ac:dyDescent="0.3">
      <c r="E35" s="2"/>
      <c r="F35" s="2"/>
      <c r="G35" s="2"/>
      <c r="H35" s="2"/>
    </row>
    <row r="36" spans="5:8" x14ac:dyDescent="0.3">
      <c r="E36" s="2"/>
      <c r="F36" s="2"/>
      <c r="G36" s="2"/>
      <c r="H36" s="2"/>
    </row>
    <row r="37" spans="5:8" x14ac:dyDescent="0.3">
      <c r="E37" s="2"/>
      <c r="F37" s="2"/>
      <c r="G37" s="2"/>
      <c r="H37" s="2"/>
    </row>
    <row r="38" spans="5:8" x14ac:dyDescent="0.3">
      <c r="E38" s="2"/>
      <c r="F38" s="2"/>
      <c r="G38" s="2"/>
      <c r="H38" s="2"/>
    </row>
    <row r="39" spans="5:8" x14ac:dyDescent="0.3">
      <c r="E39" s="2"/>
      <c r="F39" s="2"/>
      <c r="G39" s="2"/>
      <c r="H39" s="2"/>
    </row>
    <row r="40" spans="5:8" x14ac:dyDescent="0.3">
      <c r="E40" s="2"/>
      <c r="F40" s="2"/>
      <c r="G40" s="2"/>
      <c r="H40" s="2"/>
    </row>
  </sheetData>
  <printOptions horizontalCentered="1"/>
  <pageMargins left="0.7" right="0.7" top="0.75" bottom="0.75" header="0.3" footer="0.3"/>
  <pageSetup orientation="landscape" r:id="rId1"/>
  <headerFooter>
    <oddFooter>&amp;R&amp;1#&amp;"Calibri"&amp;10&amp;K317100Public Information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L44"/>
  <sheetViews>
    <sheetView showGridLines="0" zoomScale="85" zoomScaleNormal="85" workbookViewId="0">
      <selection activeCell="K15" sqref="K15"/>
    </sheetView>
  </sheetViews>
  <sheetFormatPr defaultRowHeight="14.4" x14ac:dyDescent="0.3"/>
  <cols>
    <col min="1" max="1" width="12.44140625" bestFit="1" customWidth="1"/>
    <col min="3" max="3" width="10.5546875" bestFit="1" customWidth="1"/>
    <col min="5" max="5" width="14.88671875" bestFit="1" customWidth="1"/>
    <col min="6" max="6" width="11.44140625" bestFit="1" customWidth="1"/>
  </cols>
  <sheetData>
    <row r="1" spans="1:11" x14ac:dyDescent="0.3">
      <c r="A1" s="170" t="s">
        <v>189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</row>
    <row r="2" spans="1:11" ht="15" thickBot="1" x14ac:dyDescent="0.35">
      <c r="A2" s="173" t="s">
        <v>241</v>
      </c>
      <c r="B2" s="174"/>
      <c r="C2" s="174"/>
      <c r="D2" s="174"/>
      <c r="E2" s="174"/>
      <c r="F2" s="174"/>
      <c r="G2" s="174"/>
      <c r="H2" s="174"/>
      <c r="I2" s="174"/>
      <c r="J2" s="174"/>
      <c r="K2" s="175"/>
    </row>
    <row r="5" spans="1:11" x14ac:dyDescent="0.3">
      <c r="A5" s="15" t="str">
        <f>State</f>
        <v>Texachussetts</v>
      </c>
      <c r="B5" s="15"/>
      <c r="C5" s="15"/>
      <c r="D5" s="15"/>
      <c r="E5" s="15"/>
      <c r="F5" s="15"/>
      <c r="G5" s="15"/>
      <c r="H5" s="15"/>
    </row>
    <row r="6" spans="1:11" x14ac:dyDescent="0.3">
      <c r="A6" s="15" t="str">
        <f>Company</f>
        <v>CAS Rocks Insurance</v>
      </c>
      <c r="B6" s="15"/>
      <c r="C6" s="15"/>
      <c r="D6" s="15"/>
      <c r="E6" s="15"/>
      <c r="F6" s="15"/>
      <c r="G6" s="15"/>
      <c r="H6" s="15"/>
    </row>
    <row r="7" spans="1:11" x14ac:dyDescent="0.3">
      <c r="A7" s="15" t="str">
        <f>LOB</f>
        <v>Private Passenger Auto: Property Damage Liability</v>
      </c>
      <c r="B7" s="15"/>
      <c r="C7" s="15"/>
      <c r="D7" s="15"/>
      <c r="E7" s="15"/>
      <c r="F7" s="15"/>
      <c r="G7" s="15"/>
      <c r="H7" s="15"/>
    </row>
    <row r="9" spans="1:11" x14ac:dyDescent="0.3">
      <c r="B9" s="32">
        <v>1</v>
      </c>
      <c r="C9" s="32">
        <f t="shared" ref="C9:H9" si="0">B9+1</f>
        <v>2</v>
      </c>
      <c r="D9" s="32">
        <f t="shared" si="0"/>
        <v>3</v>
      </c>
      <c r="E9" s="32">
        <f t="shared" si="0"/>
        <v>4</v>
      </c>
      <c r="F9" s="32">
        <f t="shared" si="0"/>
        <v>5</v>
      </c>
      <c r="G9" s="32">
        <f t="shared" si="0"/>
        <v>6</v>
      </c>
      <c r="H9" s="32">
        <f t="shared" si="0"/>
        <v>7</v>
      </c>
    </row>
    <row r="10" spans="1:11" x14ac:dyDescent="0.3">
      <c r="A10" s="16"/>
      <c r="B10" s="16" t="s">
        <v>204</v>
      </c>
      <c r="C10" s="16" t="s">
        <v>227</v>
      </c>
      <c r="D10" s="16" t="s">
        <v>227</v>
      </c>
      <c r="E10" s="16" t="s">
        <v>204</v>
      </c>
      <c r="F10" s="16" t="s">
        <v>229</v>
      </c>
      <c r="G10" s="16" t="s">
        <v>229</v>
      </c>
      <c r="H10" s="16" t="s">
        <v>242</v>
      </c>
    </row>
    <row r="11" spans="1:11" x14ac:dyDescent="0.3">
      <c r="A11" s="16" t="s">
        <v>243</v>
      </c>
      <c r="B11" s="16" t="s">
        <v>227</v>
      </c>
      <c r="C11" s="16" t="s">
        <v>244</v>
      </c>
      <c r="D11" s="16" t="s">
        <v>245</v>
      </c>
      <c r="E11" s="16" t="s">
        <v>229</v>
      </c>
      <c r="F11" s="16" t="s">
        <v>246</v>
      </c>
      <c r="G11" s="16" t="s">
        <v>245</v>
      </c>
      <c r="H11" s="16" t="s">
        <v>245</v>
      </c>
    </row>
    <row r="12" spans="1:11" x14ac:dyDescent="0.3">
      <c r="A12" s="16" t="s">
        <v>247</v>
      </c>
      <c r="B12" s="16" t="s">
        <v>245</v>
      </c>
      <c r="C12" s="16" t="s">
        <v>248</v>
      </c>
      <c r="D12" s="16" t="s">
        <v>249</v>
      </c>
      <c r="E12" s="16" t="s">
        <v>245</v>
      </c>
      <c r="F12" s="16" t="s">
        <v>248</v>
      </c>
      <c r="G12" s="16" t="s">
        <v>249</v>
      </c>
      <c r="H12" s="16" t="s">
        <v>249</v>
      </c>
    </row>
    <row r="13" spans="1:11" x14ac:dyDescent="0.3">
      <c r="A13" s="16">
        <f t="shared" ref="A13:A16" si="1">A14-1</f>
        <v>2014</v>
      </c>
      <c r="B13" s="34">
        <f>'Loss Trend - 1'!H40</f>
        <v>-5.05000000000011E-3</v>
      </c>
      <c r="C13" s="197">
        <f t="shared" ref="C13:C17" si="2">YEARFRAC(DATEVALUE("7/1/"&amp;A13),DATEVALUE("7/1/"&amp;$A$17))</f>
        <v>4</v>
      </c>
      <c r="D13" s="143">
        <f t="shared" ref="D13:D17" si="3">(1+B13)^C13</f>
        <v>0.97995250049987703</v>
      </c>
      <c r="E13" s="34">
        <f>'Loss Trend - 1'!$H$41</f>
        <v>4.8499999999997989E-3</v>
      </c>
      <c r="F13" s="198">
        <f t="shared" ref="F13:F16" si="4">F14</f>
        <v>2.25</v>
      </c>
      <c r="G13" s="143">
        <f t="shared" ref="G13:G17" si="5">(1+E13)^F13</f>
        <v>1.0109455918727208</v>
      </c>
      <c r="H13" s="143">
        <f t="shared" ref="H13:H17" si="6">D13*G13</f>
        <v>0.99067866062500098</v>
      </c>
    </row>
    <row r="14" spans="1:11" x14ac:dyDescent="0.3">
      <c r="A14" s="16">
        <f t="shared" si="1"/>
        <v>2015</v>
      </c>
      <c r="B14" s="34">
        <f t="shared" ref="B14:B17" si="7">B13</f>
        <v>-5.05000000000011E-3</v>
      </c>
      <c r="C14" s="197">
        <f t="shared" si="2"/>
        <v>3</v>
      </c>
      <c r="D14" s="143">
        <f t="shared" si="3"/>
        <v>0.98492637871237465</v>
      </c>
      <c r="E14" s="34">
        <f>'Loss Trend - 1'!$H$41</f>
        <v>4.8499999999997989E-3</v>
      </c>
      <c r="F14" s="198">
        <f t="shared" si="4"/>
        <v>2.25</v>
      </c>
      <c r="G14" s="143">
        <f t="shared" si="5"/>
        <v>1.0109455918727208</v>
      </c>
      <c r="H14" s="143">
        <f t="shared" si="6"/>
        <v>0.99570698087843712</v>
      </c>
    </row>
    <row r="15" spans="1:11" x14ac:dyDescent="0.3">
      <c r="A15" s="16">
        <f t="shared" si="1"/>
        <v>2016</v>
      </c>
      <c r="B15" s="34">
        <f t="shared" si="7"/>
        <v>-5.05000000000011E-3</v>
      </c>
      <c r="C15" s="197">
        <f t="shared" si="2"/>
        <v>2</v>
      </c>
      <c r="D15" s="143">
        <f t="shared" si="3"/>
        <v>0.98992550249999978</v>
      </c>
      <c r="E15" s="34">
        <f>'Loss Trend - 1'!$H$41</f>
        <v>4.8499999999997989E-3</v>
      </c>
      <c r="F15" s="198">
        <f t="shared" si="4"/>
        <v>2.25</v>
      </c>
      <c r="G15" s="143">
        <f t="shared" si="5"/>
        <v>1.0109455918727208</v>
      </c>
      <c r="H15" s="143">
        <f t="shared" si="6"/>
        <v>1.0007608230347629</v>
      </c>
    </row>
    <row r="16" spans="1:11" x14ac:dyDescent="0.3">
      <c r="A16" s="16">
        <f t="shared" si="1"/>
        <v>2017</v>
      </c>
      <c r="B16" s="34">
        <f t="shared" si="7"/>
        <v>-5.05000000000011E-3</v>
      </c>
      <c r="C16" s="197">
        <f t="shared" si="2"/>
        <v>1</v>
      </c>
      <c r="D16" s="143">
        <f t="shared" si="3"/>
        <v>0.99494999999999989</v>
      </c>
      <c r="E16" s="34">
        <f>'Loss Trend - 1'!$H$41</f>
        <v>4.8499999999997989E-3</v>
      </c>
      <c r="F16" s="198">
        <f t="shared" si="4"/>
        <v>2.25</v>
      </c>
      <c r="G16" s="143">
        <f t="shared" si="5"/>
        <v>1.0109455918727208</v>
      </c>
      <c r="H16" s="143">
        <f t="shared" si="6"/>
        <v>1.0058403166337635</v>
      </c>
    </row>
    <row r="17" spans="1:12" x14ac:dyDescent="0.3">
      <c r="A17" s="16">
        <f>LatestYear</f>
        <v>2018</v>
      </c>
      <c r="B17" s="34">
        <f t="shared" si="7"/>
        <v>-5.05000000000011E-3</v>
      </c>
      <c r="C17" s="197">
        <f t="shared" si="2"/>
        <v>0</v>
      </c>
      <c r="D17" s="143">
        <f t="shared" si="3"/>
        <v>1</v>
      </c>
      <c r="E17" s="34">
        <f>'Loss Trend - 1'!$H$41</f>
        <v>4.8499999999997989E-3</v>
      </c>
      <c r="F17" s="197">
        <f>YEARFRAC(DATEVALUE("7/1/"&amp;LatestYear),EDATE(EffDate,9))</f>
        <v>2.25</v>
      </c>
      <c r="G17" s="143">
        <f t="shared" si="5"/>
        <v>1.0109455918727208</v>
      </c>
      <c r="H17" s="143">
        <f t="shared" si="6"/>
        <v>1.0109455918727208</v>
      </c>
    </row>
    <row r="18" spans="1:12" x14ac:dyDescent="0.3">
      <c r="C18" s="10"/>
      <c r="D18" s="10"/>
      <c r="E18" s="3"/>
      <c r="F18" s="6"/>
      <c r="G18" s="7"/>
      <c r="H18" s="7"/>
    </row>
    <row r="19" spans="1:12" x14ac:dyDescent="0.3">
      <c r="A19" s="13">
        <v>1</v>
      </c>
      <c r="B19" t="s">
        <v>65</v>
      </c>
      <c r="C19" s="10"/>
      <c r="D19" s="10"/>
      <c r="E19" s="3"/>
      <c r="F19" s="6"/>
      <c r="G19" s="7"/>
      <c r="H19" s="7"/>
    </row>
    <row r="20" spans="1:12" x14ac:dyDescent="0.3">
      <c r="A20" s="13">
        <f t="shared" ref="A20:A25" si="8">A19+1</f>
        <v>2</v>
      </c>
      <c r="B20" t="str">
        <f>"From 07/01/xxxx to 07/01/"&amp;LatestYear</f>
        <v>From 07/01/xxxx to 07/01/2018</v>
      </c>
      <c r="C20" s="10"/>
      <c r="D20" s="10"/>
      <c r="E20" s="3"/>
      <c r="F20" s="6"/>
      <c r="G20" s="7"/>
      <c r="H20" s="7"/>
    </row>
    <row r="21" spans="1:12" x14ac:dyDescent="0.3">
      <c r="A21" s="13">
        <f t="shared" si="8"/>
        <v>3</v>
      </c>
      <c r="B21" s="148" t="s">
        <v>194</v>
      </c>
      <c r="C21" s="154"/>
      <c r="D21" s="10"/>
      <c r="E21" s="3"/>
      <c r="F21" s="6"/>
      <c r="G21" s="7"/>
      <c r="H21" s="7"/>
    </row>
    <row r="22" spans="1:12" x14ac:dyDescent="0.3">
      <c r="A22" s="13">
        <f t="shared" si="8"/>
        <v>4</v>
      </c>
      <c r="B22" t="s">
        <v>65</v>
      </c>
      <c r="C22" s="10"/>
      <c r="D22" s="10"/>
      <c r="E22" s="3"/>
      <c r="F22" s="6"/>
      <c r="G22" s="7"/>
      <c r="H22" s="7"/>
      <c r="L22" s="46"/>
    </row>
    <row r="23" spans="1:12" x14ac:dyDescent="0.3">
      <c r="A23" s="13">
        <f t="shared" si="8"/>
        <v>5</v>
      </c>
      <c r="B23" t="str">
        <f>"From 07/01/"&amp;LatestYear&amp;" to "&amp;TEXT(EDATE(EffDate,9)-1,"mm/dd/yyyy")&amp;" the midpoint of the upcoming policy term."</f>
        <v>From 07/01/2018 to 09/30/2020 the midpoint of the upcoming policy term.</v>
      </c>
      <c r="C23" s="10"/>
      <c r="D23" s="10"/>
      <c r="E23" s="3"/>
      <c r="F23" s="6"/>
      <c r="G23" s="7"/>
      <c r="H23" s="7"/>
    </row>
    <row r="24" spans="1:12" x14ac:dyDescent="0.3">
      <c r="A24" s="13">
        <f t="shared" si="8"/>
        <v>6</v>
      </c>
      <c r="B24" s="148" t="s">
        <v>250</v>
      </c>
      <c r="C24" s="154"/>
      <c r="D24" s="10"/>
      <c r="E24" s="3"/>
      <c r="F24" s="6"/>
      <c r="G24" s="7"/>
      <c r="H24" s="7"/>
    </row>
    <row r="25" spans="1:12" x14ac:dyDescent="0.3">
      <c r="A25" s="13">
        <f t="shared" si="8"/>
        <v>7</v>
      </c>
      <c r="B25" s="148" t="s">
        <v>251</v>
      </c>
      <c r="C25" s="154"/>
      <c r="D25" s="10"/>
      <c r="E25" s="3"/>
      <c r="F25" s="6"/>
      <c r="G25" s="7"/>
      <c r="H25" s="7"/>
    </row>
    <row r="26" spans="1:12" x14ac:dyDescent="0.3">
      <c r="C26" s="10"/>
      <c r="D26" s="10"/>
      <c r="E26" s="3"/>
      <c r="F26" s="6"/>
      <c r="G26" s="7"/>
      <c r="H26" s="7"/>
    </row>
    <row r="27" spans="1:12" x14ac:dyDescent="0.3">
      <c r="C27" s="10"/>
      <c r="D27" s="10"/>
      <c r="E27" s="3"/>
      <c r="F27" s="6"/>
      <c r="G27" s="7"/>
      <c r="H27" s="7"/>
    </row>
    <row r="28" spans="1:12" x14ac:dyDescent="0.3">
      <c r="C28" s="10"/>
      <c r="D28" s="10"/>
      <c r="E28" s="3"/>
      <c r="F28" s="6"/>
      <c r="G28" s="7"/>
      <c r="H28" s="7"/>
    </row>
    <row r="29" spans="1:12" x14ac:dyDescent="0.3">
      <c r="C29" s="10"/>
      <c r="D29" s="10"/>
      <c r="E29" s="3"/>
      <c r="F29" s="6"/>
      <c r="G29" s="7"/>
      <c r="H29" s="7"/>
    </row>
    <row r="30" spans="1:12" x14ac:dyDescent="0.3">
      <c r="C30" s="10"/>
      <c r="D30" s="10"/>
      <c r="E30" s="3"/>
      <c r="F30" s="6"/>
      <c r="G30" s="7"/>
      <c r="H30" s="7"/>
    </row>
    <row r="31" spans="1:12" x14ac:dyDescent="0.3">
      <c r="C31" s="10"/>
      <c r="D31" s="10"/>
      <c r="E31" s="3"/>
      <c r="F31" s="6"/>
      <c r="G31" s="7"/>
      <c r="H31" s="7"/>
    </row>
    <row r="32" spans="1:12" x14ac:dyDescent="0.3">
      <c r="C32" s="10"/>
      <c r="D32" s="10"/>
      <c r="E32" s="3"/>
      <c r="F32" s="6"/>
      <c r="G32" s="7"/>
      <c r="H32" s="7"/>
    </row>
    <row r="34" spans="5:12" x14ac:dyDescent="0.3">
      <c r="E34" s="8"/>
      <c r="F34" s="8"/>
    </row>
    <row r="35" spans="5:12" x14ac:dyDescent="0.3">
      <c r="F35" s="4"/>
      <c r="J35" s="4"/>
      <c r="K35" s="4"/>
      <c r="L35" s="4"/>
    </row>
    <row r="36" spans="5:12" x14ac:dyDescent="0.3">
      <c r="F36" s="4"/>
      <c r="J36" s="4"/>
      <c r="K36" s="4"/>
      <c r="L36" s="4"/>
    </row>
    <row r="37" spans="5:12" x14ac:dyDescent="0.3">
      <c r="F37" s="4"/>
      <c r="J37" s="4"/>
      <c r="K37" s="4"/>
      <c r="L37" s="4"/>
    </row>
    <row r="38" spans="5:12" x14ac:dyDescent="0.3">
      <c r="F38" s="4"/>
      <c r="J38" s="4"/>
      <c r="K38" s="4"/>
      <c r="L38" s="4"/>
    </row>
    <row r="39" spans="5:12" x14ac:dyDescent="0.3">
      <c r="F39" s="4"/>
      <c r="J39" s="4"/>
      <c r="K39" s="4"/>
      <c r="L39" s="4"/>
    </row>
    <row r="40" spans="5:12" x14ac:dyDescent="0.3">
      <c r="F40" s="4"/>
      <c r="J40" s="4"/>
      <c r="K40" s="4"/>
      <c r="L40" s="4"/>
    </row>
    <row r="43" spans="5:12" x14ac:dyDescent="0.3">
      <c r="F43" s="11"/>
      <c r="G43" s="11"/>
      <c r="H43" s="11"/>
    </row>
    <row r="44" spans="5:12" x14ac:dyDescent="0.3">
      <c r="F44" s="11"/>
      <c r="G44" s="11"/>
      <c r="H44" s="11"/>
    </row>
  </sheetData>
  <printOptions horizontalCentered="1"/>
  <pageMargins left="0.7" right="0.7" top="0.75" bottom="0.75" header="0.3" footer="0.3"/>
  <pageSetup fitToHeight="0" orientation="landscape" r:id="rId1"/>
  <headerFooter>
    <oddFooter>&amp;R&amp;1#&amp;"Calibri"&amp;10&amp;K317100Public Information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28"/>
  <sheetViews>
    <sheetView showGridLines="0" zoomScale="85" zoomScaleNormal="85" workbookViewId="0">
      <selection activeCell="G18" sqref="G18"/>
    </sheetView>
  </sheetViews>
  <sheetFormatPr defaultRowHeight="14.4" x14ac:dyDescent="0.3"/>
  <cols>
    <col min="1" max="1" width="15.44140625" customWidth="1"/>
    <col min="2" max="2" width="16.5546875" customWidth="1"/>
    <col min="3" max="3" width="15.44140625" customWidth="1"/>
    <col min="4" max="4" width="10.44140625" bestFit="1" customWidth="1"/>
    <col min="10" max="10" width="9.6640625" customWidth="1"/>
    <col min="11" max="11" width="15.88671875" customWidth="1"/>
  </cols>
  <sheetData>
    <row r="1" spans="1:11" x14ac:dyDescent="0.3">
      <c r="A1" s="170" t="s">
        <v>252</v>
      </c>
      <c r="B1" s="171"/>
      <c r="C1" s="171"/>
      <c r="D1" s="171"/>
      <c r="E1" s="171"/>
      <c r="F1" s="171"/>
      <c r="G1" s="171"/>
      <c r="H1" s="171"/>
      <c r="I1" s="171"/>
      <c r="J1" s="172"/>
    </row>
    <row r="2" spans="1:11" ht="15" thickBot="1" x14ac:dyDescent="0.35">
      <c r="A2" s="173" t="s">
        <v>253</v>
      </c>
      <c r="B2" s="174"/>
      <c r="C2" s="174"/>
      <c r="D2" s="174"/>
      <c r="E2" s="174"/>
      <c r="F2" s="174"/>
      <c r="G2" s="174"/>
      <c r="H2" s="174"/>
      <c r="I2" s="174"/>
      <c r="J2" s="175"/>
    </row>
    <row r="5" spans="1:11" x14ac:dyDescent="0.3">
      <c r="A5" s="15" t="str">
        <f>State</f>
        <v>Texachussetts</v>
      </c>
      <c r="B5" s="15"/>
      <c r="C5" s="15"/>
      <c r="D5" s="15"/>
    </row>
    <row r="6" spans="1:11" x14ac:dyDescent="0.3">
      <c r="A6" s="15" t="str">
        <f>Company</f>
        <v>CAS Rocks Insurance</v>
      </c>
      <c r="B6" s="15"/>
      <c r="C6" s="15"/>
      <c r="D6" s="15"/>
    </row>
    <row r="7" spans="1:11" x14ac:dyDescent="0.3">
      <c r="A7" s="15" t="str">
        <f>LOB</f>
        <v>Private Passenger Auto: Property Damage Liability</v>
      </c>
      <c r="B7" s="15"/>
      <c r="C7" s="15"/>
      <c r="D7" s="15"/>
    </row>
    <row r="9" spans="1:11" x14ac:dyDescent="0.3">
      <c r="B9" s="32">
        <v>1</v>
      </c>
      <c r="C9" s="32">
        <f t="shared" ref="C9:D9" si="0">B9+1</f>
        <v>2</v>
      </c>
      <c r="D9" s="32">
        <f t="shared" si="0"/>
        <v>3</v>
      </c>
      <c r="I9" s="46"/>
    </row>
    <row r="10" spans="1:11" x14ac:dyDescent="0.3">
      <c r="A10" s="16"/>
      <c r="B10" s="16"/>
      <c r="C10" s="16"/>
      <c r="D10" s="16"/>
      <c r="I10" s="48"/>
      <c r="J10" s="47"/>
    </row>
    <row r="11" spans="1:11" x14ac:dyDescent="0.3">
      <c r="A11" s="16"/>
      <c r="B11" s="9" t="s">
        <v>254</v>
      </c>
      <c r="C11" s="9" t="s">
        <v>254</v>
      </c>
      <c r="D11" s="16" t="s">
        <v>255</v>
      </c>
      <c r="I11" s="47"/>
      <c r="J11" s="47"/>
    </row>
    <row r="12" spans="1:11" ht="16.2" x14ac:dyDescent="0.3">
      <c r="A12" s="16" t="s">
        <v>122</v>
      </c>
      <c r="B12" s="9" t="s">
        <v>256</v>
      </c>
      <c r="C12" s="9" t="s">
        <v>257</v>
      </c>
      <c r="D12" s="16" t="s">
        <v>258</v>
      </c>
      <c r="I12" s="47"/>
      <c r="J12" s="47"/>
      <c r="K12" s="47"/>
    </row>
    <row r="13" spans="1:11" x14ac:dyDescent="0.3">
      <c r="A13">
        <f t="shared" ref="A13:A14" si="1">A14-1</f>
        <v>2016</v>
      </c>
      <c r="B13" s="144">
        <f>'Indication Numbers'!S28</f>
        <v>283299252</v>
      </c>
      <c r="C13" s="144">
        <f>'Indication Numbers'!T28</f>
        <v>41170520</v>
      </c>
      <c r="D13" s="155">
        <f t="shared" ref="D13:D16" si="2">C13/B13</f>
        <v>0.14532519838774582</v>
      </c>
    </row>
    <row r="14" spans="1:11" x14ac:dyDescent="0.3">
      <c r="A14">
        <f t="shared" si="1"/>
        <v>2017</v>
      </c>
      <c r="B14" s="144">
        <f>'Indication Numbers'!S29</f>
        <v>290213410</v>
      </c>
      <c r="C14" s="144">
        <f>'Indication Numbers'!T29</f>
        <v>41262210</v>
      </c>
      <c r="D14" s="155">
        <f t="shared" si="2"/>
        <v>0.14217885383035883</v>
      </c>
    </row>
    <row r="15" spans="1:11" x14ac:dyDescent="0.3">
      <c r="A15">
        <f>LatestYear</f>
        <v>2018</v>
      </c>
      <c r="B15" s="144">
        <f>'Indication Numbers'!S30</f>
        <v>293934810</v>
      </c>
      <c r="C15" s="144">
        <f>'Indication Numbers'!T30</f>
        <v>41959671</v>
      </c>
      <c r="D15" s="155">
        <f t="shared" si="2"/>
        <v>0.14275162237504296</v>
      </c>
    </row>
    <row r="16" spans="1:11" x14ac:dyDescent="0.3">
      <c r="A16" t="s">
        <v>47</v>
      </c>
      <c r="B16" s="185">
        <f>SUM(B13:B15)</f>
        <v>867447472</v>
      </c>
      <c r="C16" s="185">
        <f>SUM(C13:C15)</f>
        <v>124392401</v>
      </c>
      <c r="D16" s="155">
        <f t="shared" si="2"/>
        <v>0.14340049975959812</v>
      </c>
    </row>
    <row r="17" spans="1:4" x14ac:dyDescent="0.3">
      <c r="D17" s="16"/>
    </row>
    <row r="18" spans="1:4" x14ac:dyDescent="0.3">
      <c r="B18" s="13">
        <f>D9+1</f>
        <v>4</v>
      </c>
      <c r="C18" t="s">
        <v>259</v>
      </c>
      <c r="D18" s="205">
        <f>D16</f>
        <v>0.14340049975959812</v>
      </c>
    </row>
    <row r="19" spans="1:4" x14ac:dyDescent="0.3">
      <c r="B19" s="13">
        <f>B18+1</f>
        <v>5</v>
      </c>
      <c r="C19" t="s">
        <v>44</v>
      </c>
      <c r="D19" s="156">
        <f>1+D18</f>
        <v>1.1434004997595981</v>
      </c>
    </row>
    <row r="20" spans="1:4" x14ac:dyDescent="0.3">
      <c r="D20" s="16"/>
    </row>
    <row r="21" spans="1:4" x14ac:dyDescent="0.3">
      <c r="A21" s="17" t="s">
        <v>110</v>
      </c>
      <c r="B21" s="148" t="s">
        <v>234</v>
      </c>
    </row>
    <row r="22" spans="1:4" x14ac:dyDescent="0.3">
      <c r="A22" s="17" t="s">
        <v>160</v>
      </c>
      <c r="B22" s="148" t="s">
        <v>260</v>
      </c>
    </row>
    <row r="23" spans="1:4" x14ac:dyDescent="0.3">
      <c r="A23" s="17"/>
    </row>
    <row r="24" spans="1:4" x14ac:dyDescent="0.3">
      <c r="A24" t="s">
        <v>261</v>
      </c>
    </row>
    <row r="25" spans="1:4" x14ac:dyDescent="0.3">
      <c r="A25" s="17" t="s">
        <v>262</v>
      </c>
      <c r="B25" t="s">
        <v>263</v>
      </c>
    </row>
    <row r="26" spans="1:4" x14ac:dyDescent="0.3">
      <c r="A26" s="52"/>
      <c r="B26" t="s">
        <v>264</v>
      </c>
    </row>
    <row r="27" spans="1:4" x14ac:dyDescent="0.3">
      <c r="A27" s="17" t="s">
        <v>265</v>
      </c>
      <c r="B27" t="s">
        <v>266</v>
      </c>
    </row>
    <row r="28" spans="1:4" x14ac:dyDescent="0.3">
      <c r="B28" t="s">
        <v>267</v>
      </c>
    </row>
  </sheetData>
  <printOptions horizontalCentered="1"/>
  <pageMargins left="0.7" right="0.7" top="0.75" bottom="0.75" header="0.3" footer="0.3"/>
  <pageSetup fitToHeight="0" orientation="landscape" r:id="rId1"/>
  <headerFooter>
    <oddFooter>&amp;R&amp;1#&amp;"Calibri"&amp;10&amp;K317100Public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0"/>
  <sheetViews>
    <sheetView showGridLines="0" zoomScale="85" zoomScaleNormal="85" workbookViewId="0">
      <selection activeCell="B6" sqref="B6"/>
    </sheetView>
  </sheetViews>
  <sheetFormatPr defaultRowHeight="14.4" x14ac:dyDescent="0.3"/>
  <cols>
    <col min="2" max="2" width="46.44140625" bestFit="1" customWidth="1"/>
    <col min="3" max="3" width="30.109375" bestFit="1" customWidth="1"/>
  </cols>
  <sheetData>
    <row r="3" spans="2:3" x14ac:dyDescent="0.3">
      <c r="B3" s="43">
        <v>2018</v>
      </c>
      <c r="C3" s="40" t="s">
        <v>24</v>
      </c>
    </row>
    <row r="4" spans="2:3" x14ac:dyDescent="0.3">
      <c r="B4" s="41" t="str">
        <f>"3/31/"&amp;LatestYear+1</f>
        <v>3/31/2019</v>
      </c>
      <c r="C4" s="40" t="s">
        <v>25</v>
      </c>
    </row>
    <row r="5" spans="2:3" x14ac:dyDescent="0.3">
      <c r="B5" s="50">
        <f>MONTH(EvalDate)+YEAR(EvalDate)*12-12*(LatestYear)</f>
        <v>15</v>
      </c>
      <c r="C5" s="40" t="s">
        <v>26</v>
      </c>
    </row>
    <row r="6" spans="2:3" x14ac:dyDescent="0.3">
      <c r="B6" s="44">
        <v>43831</v>
      </c>
      <c r="C6" s="40" t="s">
        <v>27</v>
      </c>
    </row>
    <row r="8" spans="2:3" x14ac:dyDescent="0.3">
      <c r="B8" s="141" t="s">
        <v>28</v>
      </c>
      <c r="C8" s="40" t="s">
        <v>29</v>
      </c>
    </row>
    <row r="9" spans="2:3" x14ac:dyDescent="0.3">
      <c r="B9" s="43" t="s">
        <v>30</v>
      </c>
      <c r="C9" s="40" t="s">
        <v>31</v>
      </c>
    </row>
    <row r="10" spans="2:3" x14ac:dyDescent="0.3">
      <c r="B10" s="43" t="s">
        <v>32</v>
      </c>
      <c r="C10" s="40" t="s">
        <v>33</v>
      </c>
    </row>
  </sheetData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00FF"/>
    <pageSetUpPr fitToPage="1"/>
  </sheetPr>
  <dimension ref="A1:K50"/>
  <sheetViews>
    <sheetView showGridLines="0" zoomScale="85" zoomScaleNormal="85" workbookViewId="0">
      <selection activeCell="C49" sqref="C49:F50"/>
    </sheetView>
  </sheetViews>
  <sheetFormatPr defaultRowHeight="14.4" x14ac:dyDescent="0.3"/>
  <cols>
    <col min="1" max="1" width="12.44140625" bestFit="1" customWidth="1"/>
    <col min="2" max="2" width="4.109375" customWidth="1"/>
    <col min="3" max="3" width="34.5546875" customWidth="1"/>
    <col min="5" max="5" width="14.5546875" bestFit="1" customWidth="1"/>
    <col min="6" max="6" width="19.5546875" customWidth="1"/>
    <col min="7" max="7" width="14.109375" bestFit="1" customWidth="1"/>
    <col min="8" max="9" width="9.44140625" bestFit="1" customWidth="1"/>
  </cols>
  <sheetData>
    <row r="1" spans="1:11" x14ac:dyDescent="0.3">
      <c r="A1" s="15" t="str">
        <f>State</f>
        <v>Texachussetts</v>
      </c>
      <c r="B1" s="15"/>
      <c r="C1" s="15"/>
      <c r="D1" s="15"/>
      <c r="E1" s="15"/>
      <c r="F1" s="15"/>
      <c r="G1" s="15"/>
      <c r="H1" s="15"/>
      <c r="I1" s="15"/>
    </row>
    <row r="2" spans="1:11" x14ac:dyDescent="0.3">
      <c r="A2" s="15" t="str">
        <f>Company</f>
        <v>CAS Rocks Insurance</v>
      </c>
      <c r="B2" s="15"/>
      <c r="C2" s="15"/>
      <c r="D2" s="15"/>
      <c r="E2" s="15"/>
      <c r="F2" s="15"/>
      <c r="G2" s="15"/>
      <c r="H2" s="15"/>
      <c r="I2" s="15"/>
    </row>
    <row r="3" spans="1:11" x14ac:dyDescent="0.3">
      <c r="A3" s="15" t="str">
        <f>LOB</f>
        <v>Private Passenger Auto: Property Damage Liability</v>
      </c>
      <c r="B3" s="15"/>
      <c r="C3" s="15"/>
      <c r="D3" s="15"/>
      <c r="E3" s="15"/>
      <c r="F3" s="15"/>
      <c r="G3" s="15"/>
      <c r="H3" s="15"/>
      <c r="I3" s="15"/>
    </row>
    <row r="6" spans="1:11" x14ac:dyDescent="0.3">
      <c r="H6" s="16" t="s">
        <v>268</v>
      </c>
    </row>
    <row r="7" spans="1:11" x14ac:dyDescent="0.3">
      <c r="E7">
        <f t="shared" ref="E7:F7" si="0">F7-1</f>
        <v>2016</v>
      </c>
      <c r="F7">
        <f t="shared" si="0"/>
        <v>2017</v>
      </c>
      <c r="G7">
        <f>LatestYear</f>
        <v>2018</v>
      </c>
      <c r="H7" s="16" t="s">
        <v>269</v>
      </c>
      <c r="I7" t="s">
        <v>204</v>
      </c>
    </row>
    <row r="8" spans="1:11" x14ac:dyDescent="0.3">
      <c r="A8" s="13">
        <v>1</v>
      </c>
      <c r="B8" t="s">
        <v>270</v>
      </c>
    </row>
    <row r="9" spans="1:11" x14ac:dyDescent="0.3">
      <c r="B9" t="s">
        <v>271</v>
      </c>
      <c r="C9" t="s">
        <v>272</v>
      </c>
      <c r="E9" s="144">
        <f>'Indication Numbers'!Y5</f>
        <v>29143368</v>
      </c>
      <c r="F9" s="144">
        <f>'Indication Numbers'!Y6</f>
        <v>29940978</v>
      </c>
      <c r="G9" s="144">
        <f>'Indication Numbers'!Y7</f>
        <v>30763160</v>
      </c>
    </row>
    <row r="10" spans="1:11" x14ac:dyDescent="0.3">
      <c r="B10" t="s">
        <v>273</v>
      </c>
      <c r="C10" t="s">
        <v>274</v>
      </c>
      <c r="E10" s="144">
        <f>'Indication Numbers'!F7</f>
        <v>466001205</v>
      </c>
      <c r="F10" s="144">
        <f>'Indication Numbers'!F8</f>
        <v>478971842</v>
      </c>
      <c r="G10" s="144">
        <f>'Indication Numbers'!F9</f>
        <v>491904082</v>
      </c>
    </row>
    <row r="11" spans="1:11" x14ac:dyDescent="0.3">
      <c r="B11" t="s">
        <v>275</v>
      </c>
      <c r="C11" t="s">
        <v>276</v>
      </c>
      <c r="E11" s="147">
        <f t="shared" ref="E11:G11" si="1">E9/E10</f>
        <v>6.253925459270003E-2</v>
      </c>
      <c r="F11" s="147">
        <f t="shared" si="1"/>
        <v>6.2510935663729478E-2</v>
      </c>
      <c r="G11" s="147">
        <f t="shared" si="1"/>
        <v>6.2538940264374551E-2</v>
      </c>
      <c r="H11" s="147">
        <f>SUM(E9:G9)/SUM(E10:G10)</f>
        <v>6.2529707089519687E-2</v>
      </c>
      <c r="I11" s="165">
        <f>H11</f>
        <v>6.2529707089519687E-2</v>
      </c>
    </row>
    <row r="12" spans="1:11" x14ac:dyDescent="0.3">
      <c r="B12" t="s">
        <v>277</v>
      </c>
      <c r="C12" t="s">
        <v>278</v>
      </c>
      <c r="E12" s="3"/>
      <c r="F12" s="3"/>
      <c r="G12" s="3"/>
      <c r="I12" s="45">
        <v>0.75</v>
      </c>
      <c r="K12" s="140" t="s">
        <v>279</v>
      </c>
    </row>
    <row r="13" spans="1:11" x14ac:dyDescent="0.3">
      <c r="B13" t="s">
        <v>280</v>
      </c>
      <c r="C13" t="s">
        <v>281</v>
      </c>
      <c r="I13" s="147">
        <f>I11*I12</f>
        <v>4.6897280317139765E-2</v>
      </c>
      <c r="K13" s="164" t="s">
        <v>106</v>
      </c>
    </row>
    <row r="14" spans="1:11" x14ac:dyDescent="0.3">
      <c r="B14" t="s">
        <v>282</v>
      </c>
      <c r="C14" t="s">
        <v>283</v>
      </c>
      <c r="I14" s="147">
        <f>I11-I13</f>
        <v>1.5632426772379922E-2</v>
      </c>
      <c r="K14" s="161"/>
    </row>
    <row r="15" spans="1:11" x14ac:dyDescent="0.3">
      <c r="K15" s="162"/>
    </row>
    <row r="16" spans="1:11" x14ac:dyDescent="0.3">
      <c r="A16" s="13">
        <f>A8+1</f>
        <v>2</v>
      </c>
      <c r="B16" t="s">
        <v>284</v>
      </c>
    </row>
    <row r="17" spans="1:9" x14ac:dyDescent="0.3">
      <c r="B17" t="s">
        <v>271</v>
      </c>
      <c r="C17" t="s">
        <v>285</v>
      </c>
      <c r="E17" s="144">
        <f>'Indication Numbers'!X5</f>
        <v>40158296</v>
      </c>
      <c r="F17" s="144">
        <f>'Indication Numbers'!X6</f>
        <v>40912479</v>
      </c>
      <c r="G17" s="144">
        <f>'Indication Numbers'!X7</f>
        <v>41652543</v>
      </c>
    </row>
    <row r="18" spans="1:9" x14ac:dyDescent="0.3">
      <c r="B18" t="s">
        <v>273</v>
      </c>
      <c r="C18" t="s">
        <v>286</v>
      </c>
      <c r="E18" s="144">
        <f>'Indication Numbers'!E7</f>
        <v>468850020</v>
      </c>
      <c r="F18" s="144">
        <f>'Indication Numbers'!E8</f>
        <v>482345783</v>
      </c>
      <c r="G18" s="144">
        <f>'Indication Numbers'!E9</f>
        <v>495356701</v>
      </c>
    </row>
    <row r="19" spans="1:9" x14ac:dyDescent="0.3">
      <c r="B19" t="s">
        <v>275</v>
      </c>
      <c r="C19" t="s">
        <v>276</v>
      </c>
      <c r="E19" s="147">
        <f t="shared" ref="E19" si="2">E17/E18</f>
        <v>8.565275522436791E-2</v>
      </c>
      <c r="F19" s="147">
        <f t="shared" ref="F19" si="3">F17/F18</f>
        <v>8.4819812760755495E-2</v>
      </c>
      <c r="G19" s="147">
        <f t="shared" ref="G19" si="4">G17/G18</f>
        <v>8.4085958493978263E-2</v>
      </c>
      <c r="H19" s="147">
        <f>SUM(E17:G17)/SUM(E18:G18)</f>
        <v>8.4838481604121579E-2</v>
      </c>
      <c r="I19" s="165">
        <f>H19</f>
        <v>8.4838481604121579E-2</v>
      </c>
    </row>
    <row r="20" spans="1:9" x14ac:dyDescent="0.3">
      <c r="B20" t="s">
        <v>277</v>
      </c>
      <c r="C20" t="s">
        <v>278</v>
      </c>
      <c r="E20" s="3"/>
      <c r="F20" s="3"/>
      <c r="G20" s="3"/>
      <c r="I20" s="45">
        <v>0.75</v>
      </c>
    </row>
    <row r="21" spans="1:9" x14ac:dyDescent="0.3">
      <c r="B21" t="s">
        <v>280</v>
      </c>
      <c r="C21" t="s">
        <v>281</v>
      </c>
      <c r="I21" s="147">
        <f>I19*I20</f>
        <v>6.3628861203091192E-2</v>
      </c>
    </row>
    <row r="22" spans="1:9" x14ac:dyDescent="0.3">
      <c r="B22" t="s">
        <v>282</v>
      </c>
      <c r="C22" t="s">
        <v>283</v>
      </c>
      <c r="I22" s="147">
        <f>I19-I21</f>
        <v>2.1209620401030388E-2</v>
      </c>
    </row>
    <row r="24" spans="1:9" x14ac:dyDescent="0.3">
      <c r="A24" s="13">
        <f>A16+1</f>
        <v>3</v>
      </c>
      <c r="B24" t="s">
        <v>287</v>
      </c>
    </row>
    <row r="25" spans="1:9" x14ac:dyDescent="0.3">
      <c r="B25" t="s">
        <v>271</v>
      </c>
      <c r="C25" t="s">
        <v>288</v>
      </c>
      <c r="E25" s="144">
        <f>'Indication Numbers'!AA5</f>
        <v>3124</v>
      </c>
      <c r="F25" s="144">
        <f>'Indication Numbers'!AA6</f>
        <v>3190</v>
      </c>
      <c r="G25" s="144">
        <f>'Indication Numbers'!AA7</f>
        <v>3229</v>
      </c>
    </row>
    <row r="26" spans="1:9" x14ac:dyDescent="0.3">
      <c r="B26" t="s">
        <v>273</v>
      </c>
      <c r="C26" t="s">
        <v>289</v>
      </c>
      <c r="E26" s="144">
        <f>'Indication Numbers'!C7</f>
        <v>1289484</v>
      </c>
      <c r="F26" s="144">
        <f>'Indication Numbers'!C8</f>
        <v>1380129</v>
      </c>
      <c r="G26" s="144">
        <f>'Indication Numbers'!C9</f>
        <v>1407811</v>
      </c>
    </row>
    <row r="27" spans="1:9" x14ac:dyDescent="0.3">
      <c r="B27" t="s">
        <v>275</v>
      </c>
      <c r="C27" t="s">
        <v>276</v>
      </c>
      <c r="E27" s="147">
        <f t="shared" ref="E27" si="5">E25/E26</f>
        <v>2.4226744961550512E-3</v>
      </c>
      <c r="F27" s="147">
        <f t="shared" ref="F27" si="6">F25/F26</f>
        <v>2.311378139289878E-3</v>
      </c>
      <c r="G27" s="147">
        <f t="shared" ref="G27" si="7">G25/G26</f>
        <v>2.2936317446020809E-3</v>
      </c>
      <c r="H27" s="147">
        <f>SUM(E25:G25)/SUM(E26:G26)</f>
        <v>2.3404482830336015E-3</v>
      </c>
      <c r="I27" s="165">
        <f>H27</f>
        <v>2.3404482830336015E-3</v>
      </c>
    </row>
    <row r="28" spans="1:9" x14ac:dyDescent="0.3">
      <c r="B28" t="s">
        <v>277</v>
      </c>
      <c r="C28" t="s">
        <v>278</v>
      </c>
      <c r="I28" s="165">
        <v>1</v>
      </c>
    </row>
    <row r="29" spans="1:9" x14ac:dyDescent="0.3">
      <c r="B29" t="s">
        <v>280</v>
      </c>
      <c r="C29" t="s">
        <v>281</v>
      </c>
      <c r="I29" s="147">
        <f>I27*I28</f>
        <v>2.3404482830336015E-3</v>
      </c>
    </row>
    <row r="30" spans="1:9" x14ac:dyDescent="0.3">
      <c r="B30" t="s">
        <v>282</v>
      </c>
      <c r="C30" t="s">
        <v>283</v>
      </c>
      <c r="I30" s="147">
        <f>I27-I29</f>
        <v>0</v>
      </c>
    </row>
    <row r="32" spans="1:9" x14ac:dyDescent="0.3">
      <c r="A32" s="13">
        <f>A24+1</f>
        <v>4</v>
      </c>
      <c r="B32" t="s">
        <v>290</v>
      </c>
    </row>
    <row r="33" spans="1:9" x14ac:dyDescent="0.3">
      <c r="B33" t="s">
        <v>271</v>
      </c>
      <c r="C33" t="s">
        <v>291</v>
      </c>
      <c r="E33" s="144">
        <f>'Indication Numbers'!Z5</f>
        <v>145073</v>
      </c>
      <c r="F33" s="144">
        <f>'Indication Numbers'!Z6</f>
        <v>154235</v>
      </c>
      <c r="G33" s="144">
        <f>'Indication Numbers'!Z7</f>
        <v>158712</v>
      </c>
    </row>
    <row r="34" spans="1:9" x14ac:dyDescent="0.3">
      <c r="B34" t="s">
        <v>273</v>
      </c>
      <c r="C34" t="s">
        <v>289</v>
      </c>
      <c r="E34" s="144">
        <f>'Indication Numbers'!C7</f>
        <v>1289484</v>
      </c>
      <c r="F34" s="144">
        <f>'Indication Numbers'!C8</f>
        <v>1380129</v>
      </c>
      <c r="G34" s="144">
        <f>'Indication Numbers'!C9</f>
        <v>1407811</v>
      </c>
    </row>
    <row r="35" spans="1:9" x14ac:dyDescent="0.3">
      <c r="B35" t="s">
        <v>275</v>
      </c>
      <c r="C35" t="s">
        <v>276</v>
      </c>
      <c r="E35" s="147">
        <f t="shared" ref="E35" si="8">E33/E34</f>
        <v>0.11250469179920031</v>
      </c>
      <c r="F35" s="147">
        <f t="shared" ref="F35" si="9">F33/F34</f>
        <v>0.11175404617974118</v>
      </c>
      <c r="G35" s="147">
        <f t="shared" ref="G35" si="10">G33/G34</f>
        <v>0.11273672389262479</v>
      </c>
      <c r="H35" s="147">
        <f>SUM(E33:G33)/SUM(E34:G34)</f>
        <v>0.11233072645866606</v>
      </c>
      <c r="I35" s="165">
        <f>H35</f>
        <v>0.11233072645866606</v>
      </c>
    </row>
    <row r="36" spans="1:9" x14ac:dyDescent="0.3">
      <c r="B36" t="s">
        <v>277</v>
      </c>
      <c r="C36" t="s">
        <v>278</v>
      </c>
      <c r="I36" s="165">
        <v>0</v>
      </c>
    </row>
    <row r="37" spans="1:9" x14ac:dyDescent="0.3">
      <c r="B37" t="s">
        <v>280</v>
      </c>
      <c r="C37" t="s">
        <v>281</v>
      </c>
      <c r="I37" s="147">
        <f>I35*I36</f>
        <v>0</v>
      </c>
    </row>
    <row r="38" spans="1:9" x14ac:dyDescent="0.3">
      <c r="B38" t="s">
        <v>282</v>
      </c>
      <c r="C38" t="s">
        <v>283</v>
      </c>
      <c r="I38" s="147">
        <f>I35-I37</f>
        <v>0.11233072645866606</v>
      </c>
    </row>
    <row r="40" spans="1:9" x14ac:dyDescent="0.3">
      <c r="A40" s="13">
        <f>A32+1</f>
        <v>5</v>
      </c>
      <c r="B40" t="s">
        <v>292</v>
      </c>
    </row>
    <row r="41" spans="1:9" x14ac:dyDescent="0.3">
      <c r="B41" t="s">
        <v>271</v>
      </c>
      <c r="C41" t="s">
        <v>293</v>
      </c>
      <c r="E41" s="144">
        <f>'Indication Numbers'!AB5</f>
        <v>27338</v>
      </c>
      <c r="F41" s="144">
        <f>'Indication Numbers'!AB6</f>
        <v>27549</v>
      </c>
      <c r="G41" s="144">
        <f>'Indication Numbers'!AB7</f>
        <v>29853</v>
      </c>
    </row>
    <row r="42" spans="1:9" x14ac:dyDescent="0.3">
      <c r="B42" t="s">
        <v>273</v>
      </c>
      <c r="C42" t="s">
        <v>289</v>
      </c>
      <c r="E42" s="144">
        <f>'Indication Numbers'!C7</f>
        <v>1289484</v>
      </c>
      <c r="F42" s="144">
        <f>'Indication Numbers'!C8</f>
        <v>1380129</v>
      </c>
      <c r="G42" s="144">
        <f>'Indication Numbers'!C9</f>
        <v>1407811</v>
      </c>
    </row>
    <row r="43" spans="1:9" x14ac:dyDescent="0.3">
      <c r="B43" t="s">
        <v>275</v>
      </c>
      <c r="C43" t="s">
        <v>276</v>
      </c>
      <c r="E43" s="147">
        <f t="shared" ref="E43" si="11">E41/E42</f>
        <v>2.1200728353356846E-2</v>
      </c>
      <c r="F43" s="147">
        <f t="shared" ref="F43" si="12">F41/F42</f>
        <v>1.9961177542099324E-2</v>
      </c>
      <c r="G43" s="147">
        <f t="shared" ref="G43" si="13">G41/G42</f>
        <v>2.1205261217592419E-2</v>
      </c>
      <c r="H43" s="147">
        <f>SUM(E41:G41)/SUM(E42:G42)</f>
        <v>2.0782729488029696E-2</v>
      </c>
      <c r="I43" s="165">
        <f>H43</f>
        <v>2.0782729488029696E-2</v>
      </c>
    </row>
    <row r="44" spans="1:9" x14ac:dyDescent="0.3">
      <c r="B44" t="s">
        <v>277</v>
      </c>
      <c r="C44" t="s">
        <v>278</v>
      </c>
      <c r="I44" s="165">
        <v>0</v>
      </c>
    </row>
    <row r="45" spans="1:9" x14ac:dyDescent="0.3">
      <c r="B45" t="s">
        <v>280</v>
      </c>
      <c r="C45" t="s">
        <v>281</v>
      </c>
      <c r="I45" s="147">
        <f>I43*I44</f>
        <v>0</v>
      </c>
    </row>
    <row r="46" spans="1:9" x14ac:dyDescent="0.3">
      <c r="B46" t="s">
        <v>282</v>
      </c>
      <c r="C46" t="s">
        <v>283</v>
      </c>
      <c r="I46" s="147">
        <f>I43-I45</f>
        <v>2.0782729488029696E-2</v>
      </c>
    </row>
    <row r="49" spans="1:9" x14ac:dyDescent="0.3">
      <c r="A49" s="13">
        <f>A40+1</f>
        <v>6</v>
      </c>
      <c r="C49" s="148" t="s">
        <v>50</v>
      </c>
      <c r="D49" s="148" t="s">
        <v>294</v>
      </c>
      <c r="E49" s="148"/>
      <c r="F49" s="148"/>
      <c r="I49" s="147">
        <f>I13+I21+I29+I37+I45</f>
        <v>0.11286658980326457</v>
      </c>
    </row>
    <row r="50" spans="1:9" x14ac:dyDescent="0.3">
      <c r="A50" s="13">
        <f>A49+1</f>
        <v>7</v>
      </c>
      <c r="C50" s="148" t="s">
        <v>52</v>
      </c>
      <c r="D50" s="148" t="s">
        <v>295</v>
      </c>
      <c r="E50" s="148"/>
      <c r="F50" s="148"/>
      <c r="I50" s="147">
        <f>I14+I22+I30+I38+I46</f>
        <v>0.16995550312010607</v>
      </c>
    </row>
  </sheetData>
  <printOptions horizontalCentered="1"/>
  <pageMargins left="0.7" right="0.7" top="0.75" bottom="0.75" header="0.3" footer="0.3"/>
  <pageSetup scale="83" orientation="portrait" r:id="rId1"/>
  <headerFooter>
    <oddFooter>&amp;R&amp;1#&amp;"Calibri"&amp;10&amp;K317100Public Information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AB30"/>
  <sheetViews>
    <sheetView zoomScale="85" zoomScaleNormal="85" workbookViewId="0">
      <selection activeCell="F26" sqref="F26"/>
    </sheetView>
  </sheetViews>
  <sheetFormatPr defaultColWidth="9.109375" defaultRowHeight="14.4" x14ac:dyDescent="0.3"/>
  <cols>
    <col min="1" max="1" width="9.109375" style="180"/>
    <col min="2" max="2" width="15.5546875" style="180" bestFit="1" customWidth="1"/>
    <col min="3" max="3" width="22.44140625" style="180" bestFit="1" customWidth="1"/>
    <col min="4" max="4" width="21.88671875" style="180" bestFit="1" customWidth="1"/>
    <col min="5" max="5" width="29" style="180" bestFit="1" customWidth="1"/>
    <col min="6" max="6" width="28.5546875" style="180" bestFit="1" customWidth="1"/>
    <col min="7" max="7" width="9.109375" style="180"/>
    <col min="8" max="8" width="12.5546875" style="180" bestFit="1" customWidth="1"/>
    <col min="9" max="9" width="15" style="180" bestFit="1" customWidth="1"/>
    <col min="10" max="10" width="13.5546875" style="180" bestFit="1" customWidth="1"/>
    <col min="11" max="11" width="9.109375" style="180"/>
    <col min="12" max="12" width="11.88671875" style="180" bestFit="1" customWidth="1"/>
    <col min="13" max="13" width="8" style="180" bestFit="1" customWidth="1"/>
    <col min="14" max="14" width="17" style="180" bestFit="1" customWidth="1"/>
    <col min="15" max="15" width="16.5546875" style="180" bestFit="1" customWidth="1"/>
    <col min="16" max="16" width="19.109375" style="180" customWidth="1"/>
    <col min="17" max="17" width="11.88671875" style="180" bestFit="1" customWidth="1"/>
    <col min="18" max="18" width="14.109375" style="180" bestFit="1" customWidth="1"/>
    <col min="19" max="19" width="16.44140625" style="180" bestFit="1" customWidth="1"/>
    <col min="20" max="20" width="19.109375" style="180" bestFit="1" customWidth="1"/>
    <col min="21" max="21" width="11.88671875" style="180" bestFit="1" customWidth="1"/>
    <col min="22" max="22" width="8.5546875" style="180" customWidth="1"/>
    <col min="23" max="23" width="5.109375" style="180" bestFit="1" customWidth="1"/>
    <col min="24" max="24" width="39.109375" style="180" bestFit="1" customWidth="1"/>
    <col min="25" max="25" width="30.44140625" style="180" bestFit="1" customWidth="1"/>
    <col min="26" max="26" width="27.44140625" style="180" bestFit="1" customWidth="1"/>
    <col min="27" max="27" width="23.5546875" style="180" bestFit="1" customWidth="1"/>
    <col min="28" max="28" width="18.88671875" style="180" bestFit="1" customWidth="1"/>
    <col min="29" max="16384" width="9.109375" style="180"/>
  </cols>
  <sheetData>
    <row r="2" spans="2:28" ht="21" x14ac:dyDescent="0.4">
      <c r="B2" s="212" t="s">
        <v>296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199"/>
      <c r="Q2" s="212" t="s">
        <v>242</v>
      </c>
      <c r="R2" s="212"/>
      <c r="S2" s="212"/>
      <c r="T2" s="212"/>
      <c r="U2" s="212"/>
      <c r="W2" s="213" t="s">
        <v>297</v>
      </c>
      <c r="X2" s="213"/>
      <c r="Y2" s="213"/>
      <c r="Z2" s="213"/>
      <c r="AA2" s="213"/>
      <c r="AB2" s="213"/>
    </row>
    <row r="4" spans="2:28" x14ac:dyDescent="0.3">
      <c r="B4" s="200" t="s">
        <v>36</v>
      </c>
      <c r="C4" s="200" t="s">
        <v>289</v>
      </c>
      <c r="D4" s="200" t="s">
        <v>298</v>
      </c>
      <c r="E4" s="200" t="s">
        <v>286</v>
      </c>
      <c r="F4" s="200" t="s">
        <v>274</v>
      </c>
      <c r="H4" s="200" t="s">
        <v>299</v>
      </c>
      <c r="I4" s="200" t="s">
        <v>94</v>
      </c>
      <c r="J4" s="200" t="s">
        <v>96</v>
      </c>
      <c r="L4" s="200" t="s">
        <v>162</v>
      </c>
      <c r="M4" s="200" t="s">
        <v>153</v>
      </c>
      <c r="N4" s="200" t="s">
        <v>166</v>
      </c>
      <c r="O4" s="200" t="s">
        <v>163</v>
      </c>
      <c r="P4" s="200"/>
      <c r="Q4" s="200" t="s">
        <v>162</v>
      </c>
      <c r="R4" s="200" t="s">
        <v>153</v>
      </c>
      <c r="S4" s="200" t="s">
        <v>218</v>
      </c>
      <c r="T4" s="200" t="s">
        <v>219</v>
      </c>
      <c r="U4" s="200" t="s">
        <v>220</v>
      </c>
      <c r="W4" s="200" t="s">
        <v>247</v>
      </c>
      <c r="X4" s="200" t="s">
        <v>300</v>
      </c>
      <c r="Y4" s="200" t="s">
        <v>272</v>
      </c>
      <c r="Z4" s="200" t="s">
        <v>291</v>
      </c>
      <c r="AA4" s="200" t="s">
        <v>301</v>
      </c>
      <c r="AB4" s="200" t="s">
        <v>293</v>
      </c>
    </row>
    <row r="5" spans="2:28" x14ac:dyDescent="0.3">
      <c r="B5" s="180">
        <v>2014</v>
      </c>
      <c r="D5" s="201">
        <v>1122372</v>
      </c>
      <c r="H5" s="180" t="s">
        <v>302</v>
      </c>
      <c r="I5" s="202" t="str">
        <f>"4/1/"&amp;TEXT(YEAR(EffDate)-6,"00")</f>
        <v>4/1/2014</v>
      </c>
      <c r="J5" s="203">
        <v>-0.05</v>
      </c>
      <c r="L5" s="180">
        <v>2013</v>
      </c>
      <c r="M5" s="180">
        <v>2</v>
      </c>
      <c r="N5" s="166">
        <v>3188</v>
      </c>
      <c r="O5" s="201">
        <v>277117</v>
      </c>
      <c r="Q5" s="180">
        <v>2014</v>
      </c>
      <c r="R5" s="180">
        <v>1</v>
      </c>
      <c r="S5" s="201">
        <v>3298</v>
      </c>
      <c r="T5" s="180">
        <v>194</v>
      </c>
      <c r="U5" s="201">
        <v>205523</v>
      </c>
      <c r="W5" s="180">
        <v>2016</v>
      </c>
      <c r="X5" s="201">
        <v>40158296</v>
      </c>
      <c r="Y5" s="201">
        <v>29143368</v>
      </c>
      <c r="Z5" s="201">
        <v>145073</v>
      </c>
      <c r="AA5" s="201">
        <v>3124</v>
      </c>
      <c r="AB5" s="201">
        <v>27338</v>
      </c>
    </row>
    <row r="6" spans="2:28" x14ac:dyDescent="0.3">
      <c r="B6" s="180">
        <v>2015</v>
      </c>
      <c r="D6" s="201">
        <v>1154508</v>
      </c>
      <c r="H6" s="180" t="s">
        <v>303</v>
      </c>
      <c r="I6" s="202" t="str">
        <f>"7/1/"&amp;TEXT(YEAR(EffDate)-5,"00")</f>
        <v>7/1/2015</v>
      </c>
      <c r="J6" s="203">
        <v>0.1</v>
      </c>
      <c r="L6" s="180">
        <v>2013</v>
      </c>
      <c r="M6" s="180">
        <v>3</v>
      </c>
      <c r="N6" s="166">
        <v>3194</v>
      </c>
      <c r="O6" s="201">
        <v>279071</v>
      </c>
      <c r="Q6" s="180">
        <v>2014</v>
      </c>
      <c r="R6" s="180">
        <v>2</v>
      </c>
      <c r="S6" s="201">
        <v>3318</v>
      </c>
      <c r="T6" s="180">
        <v>195</v>
      </c>
      <c r="U6" s="201">
        <v>209526</v>
      </c>
      <c r="W6" s="180">
        <v>2017</v>
      </c>
      <c r="X6" s="201">
        <v>40912479</v>
      </c>
      <c r="Y6" s="201">
        <v>29940978</v>
      </c>
      <c r="Z6" s="201">
        <v>154235</v>
      </c>
      <c r="AA6" s="201">
        <v>3190</v>
      </c>
      <c r="AB6" s="201">
        <v>27549</v>
      </c>
    </row>
    <row r="7" spans="2:28" x14ac:dyDescent="0.3">
      <c r="B7" s="180">
        <v>2016</v>
      </c>
      <c r="C7" s="201">
        <v>1289484</v>
      </c>
      <c r="D7" s="201">
        <v>1280545</v>
      </c>
      <c r="E7" s="201">
        <v>468850020</v>
      </c>
      <c r="F7" s="201">
        <v>466001205</v>
      </c>
      <c r="H7" s="180" t="s">
        <v>304</v>
      </c>
      <c r="I7" s="202" t="str">
        <f>"10/1/"&amp;TEXT(YEAR(EffDate)-4,"00")</f>
        <v>10/1/2016</v>
      </c>
      <c r="J7" s="203">
        <v>0.05</v>
      </c>
      <c r="L7" s="180">
        <v>2013</v>
      </c>
      <c r="M7" s="180">
        <v>4</v>
      </c>
      <c r="N7" s="166">
        <v>3202</v>
      </c>
      <c r="O7" s="201">
        <v>281252</v>
      </c>
      <c r="Q7" s="180">
        <v>2014</v>
      </c>
      <c r="R7" s="180">
        <v>3</v>
      </c>
      <c r="S7" s="201">
        <v>3340</v>
      </c>
      <c r="T7" s="180">
        <v>198</v>
      </c>
      <c r="U7" s="201">
        <v>214860</v>
      </c>
      <c r="W7" s="180">
        <v>2018</v>
      </c>
      <c r="X7" s="201">
        <v>41652543</v>
      </c>
      <c r="Y7" s="201">
        <v>30763160</v>
      </c>
      <c r="Z7" s="201">
        <v>158712</v>
      </c>
      <c r="AA7" s="201">
        <v>3229</v>
      </c>
      <c r="AB7" s="201">
        <v>29853</v>
      </c>
    </row>
    <row r="8" spans="2:28" x14ac:dyDescent="0.3">
      <c r="B8" s="180">
        <v>2017</v>
      </c>
      <c r="C8" s="201">
        <v>1380129</v>
      </c>
      <c r="D8" s="201">
        <v>1369976</v>
      </c>
      <c r="E8" s="201">
        <v>482345783</v>
      </c>
      <c r="F8" s="201">
        <v>478971842</v>
      </c>
      <c r="H8" s="180" t="s">
        <v>305</v>
      </c>
      <c r="I8" s="202" t="str">
        <f>"7/1/"&amp;TEXT(YEAR(EffDate)-3,"00")</f>
        <v>7/1/2017</v>
      </c>
      <c r="J8" s="203">
        <v>-0.02</v>
      </c>
      <c r="L8" s="180">
        <v>2014</v>
      </c>
      <c r="M8" s="180">
        <v>1</v>
      </c>
      <c r="N8" s="166">
        <v>3206</v>
      </c>
      <c r="O8" s="201">
        <v>283211</v>
      </c>
      <c r="Q8" s="180">
        <v>2014</v>
      </c>
      <c r="R8" s="180">
        <v>4</v>
      </c>
      <c r="S8" s="201">
        <v>3377</v>
      </c>
      <c r="T8" s="180">
        <v>198</v>
      </c>
      <c r="U8" s="201">
        <v>217628</v>
      </c>
    </row>
    <row r="9" spans="2:28" x14ac:dyDescent="0.3">
      <c r="B9" s="180">
        <v>2018</v>
      </c>
      <c r="C9" s="201">
        <v>1407811</v>
      </c>
      <c r="D9" s="201">
        <v>1397750</v>
      </c>
      <c r="E9" s="201">
        <v>495356701</v>
      </c>
      <c r="F9" s="201">
        <v>491904082</v>
      </c>
      <c r="H9" s="180" t="s">
        <v>306</v>
      </c>
      <c r="I9" s="202" t="str">
        <f>"10/1/"&amp;TEXT(YEAR(EffDate)-2,"00")</f>
        <v>10/1/2018</v>
      </c>
      <c r="J9" s="203">
        <v>0.05</v>
      </c>
      <c r="L9" s="180">
        <v>2014</v>
      </c>
      <c r="M9" s="180">
        <v>2</v>
      </c>
      <c r="N9" s="166">
        <v>3216</v>
      </c>
      <c r="O9" s="201">
        <v>282040</v>
      </c>
      <c r="Q9" s="180">
        <v>2015</v>
      </c>
      <c r="R9" s="180">
        <v>1</v>
      </c>
      <c r="S9" s="201">
        <v>3435</v>
      </c>
      <c r="T9" s="180">
        <v>200</v>
      </c>
      <c r="U9" s="201">
        <v>220410</v>
      </c>
    </row>
    <row r="10" spans="2:28" x14ac:dyDescent="0.3">
      <c r="H10" s="180" t="s">
        <v>307</v>
      </c>
      <c r="I10" s="202" t="str">
        <f>"1/1/"&amp;TEXT(YEAR(EffDate)-1,"00")</f>
        <v>1/1/2019</v>
      </c>
      <c r="J10" s="203">
        <v>0.05</v>
      </c>
      <c r="L10" s="180">
        <v>2014</v>
      </c>
      <c r="M10" s="180">
        <v>3</v>
      </c>
      <c r="N10" s="166">
        <v>3223</v>
      </c>
      <c r="O10" s="201">
        <v>280578</v>
      </c>
      <c r="Q10" s="180">
        <v>2015</v>
      </c>
      <c r="R10" s="180">
        <v>2</v>
      </c>
      <c r="S10" s="201">
        <v>3475</v>
      </c>
      <c r="T10" s="180">
        <v>201</v>
      </c>
      <c r="U10" s="201">
        <v>222529</v>
      </c>
    </row>
    <row r="11" spans="2:28" x14ac:dyDescent="0.3">
      <c r="L11" s="180">
        <v>2014</v>
      </c>
      <c r="M11" s="180">
        <v>4</v>
      </c>
      <c r="N11" s="166">
        <v>3229</v>
      </c>
      <c r="O11" s="201">
        <v>278937</v>
      </c>
      <c r="Q11" s="180">
        <v>2015</v>
      </c>
      <c r="R11" s="180">
        <v>3</v>
      </c>
      <c r="S11" s="201">
        <v>3510</v>
      </c>
      <c r="T11" s="180">
        <v>199</v>
      </c>
      <c r="U11" s="201">
        <v>221837</v>
      </c>
    </row>
    <row r="12" spans="2:28" x14ac:dyDescent="0.3">
      <c r="L12" s="180">
        <v>2015</v>
      </c>
      <c r="M12" s="180">
        <v>1</v>
      </c>
      <c r="N12" s="166">
        <v>3238</v>
      </c>
      <c r="O12" s="201">
        <v>277452</v>
      </c>
      <c r="Q12" s="180">
        <v>2015</v>
      </c>
      <c r="R12" s="180">
        <v>4</v>
      </c>
      <c r="S12" s="201">
        <v>3525</v>
      </c>
      <c r="T12" s="180">
        <v>196</v>
      </c>
      <c r="U12" s="201">
        <v>219993</v>
      </c>
    </row>
    <row r="13" spans="2:28" x14ac:dyDescent="0.3">
      <c r="L13" s="180">
        <v>2015</v>
      </c>
      <c r="M13" s="180">
        <v>2</v>
      </c>
      <c r="N13" s="166">
        <v>3243</v>
      </c>
      <c r="O13" s="201">
        <v>279179</v>
      </c>
      <c r="Q13" s="180">
        <v>2016</v>
      </c>
      <c r="R13" s="180">
        <v>1</v>
      </c>
      <c r="S13" s="201">
        <v>3510</v>
      </c>
      <c r="T13" s="180">
        <v>194</v>
      </c>
      <c r="U13" s="201">
        <v>218422</v>
      </c>
    </row>
    <row r="14" spans="2:28" x14ac:dyDescent="0.3">
      <c r="L14" s="180">
        <v>2015</v>
      </c>
      <c r="M14" s="180">
        <v>3</v>
      </c>
      <c r="N14" s="166">
        <v>3251</v>
      </c>
      <c r="O14" s="201">
        <v>288297</v>
      </c>
      <c r="Q14" s="180">
        <v>2016</v>
      </c>
      <c r="R14" s="180">
        <v>2</v>
      </c>
      <c r="S14" s="201">
        <v>3492</v>
      </c>
      <c r="T14" s="180">
        <v>193</v>
      </c>
      <c r="U14" s="201">
        <v>216906</v>
      </c>
    </row>
    <row r="15" spans="2:28" x14ac:dyDescent="0.3">
      <c r="L15" s="180">
        <v>2015</v>
      </c>
      <c r="M15" s="180">
        <v>4</v>
      </c>
      <c r="N15" s="166">
        <v>3261</v>
      </c>
      <c r="O15" s="201">
        <v>297831</v>
      </c>
      <c r="Q15" s="180">
        <v>2016</v>
      </c>
      <c r="R15" s="180">
        <v>3</v>
      </c>
      <c r="S15" s="201">
        <v>3475</v>
      </c>
      <c r="T15" s="180">
        <v>193</v>
      </c>
      <c r="U15" s="201">
        <v>215748</v>
      </c>
    </row>
    <row r="16" spans="2:28" x14ac:dyDescent="0.3">
      <c r="L16" s="180">
        <v>2016</v>
      </c>
      <c r="M16" s="180">
        <v>1</v>
      </c>
      <c r="N16" s="166">
        <v>3271</v>
      </c>
      <c r="O16" s="201">
        <v>307551</v>
      </c>
      <c r="Q16" s="180">
        <v>2016</v>
      </c>
      <c r="R16" s="180">
        <v>4</v>
      </c>
      <c r="S16" s="201">
        <v>3475</v>
      </c>
      <c r="T16" s="180">
        <v>195</v>
      </c>
      <c r="U16" s="201">
        <v>216071</v>
      </c>
    </row>
    <row r="17" spans="12:21" x14ac:dyDescent="0.3">
      <c r="L17" s="180">
        <v>2016</v>
      </c>
      <c r="M17" s="180">
        <v>2</v>
      </c>
      <c r="N17" s="166">
        <v>3277</v>
      </c>
      <c r="O17" s="201">
        <v>317030</v>
      </c>
      <c r="Q17" s="180">
        <v>2017</v>
      </c>
      <c r="R17" s="180">
        <v>1</v>
      </c>
      <c r="S17" s="201">
        <v>3479</v>
      </c>
      <c r="T17" s="180">
        <v>195</v>
      </c>
      <c r="U17" s="201">
        <v>215053</v>
      </c>
    </row>
    <row r="18" spans="12:21" x14ac:dyDescent="0.3">
      <c r="L18" s="180">
        <v>2016</v>
      </c>
      <c r="M18" s="180">
        <v>3</v>
      </c>
      <c r="N18" s="166">
        <v>3282</v>
      </c>
      <c r="O18" s="201">
        <v>319160</v>
      </c>
      <c r="Q18" s="180">
        <v>2017</v>
      </c>
      <c r="R18" s="180">
        <v>2</v>
      </c>
      <c r="S18" s="201">
        <v>3491</v>
      </c>
      <c r="T18" s="180">
        <v>194</v>
      </c>
      <c r="U18" s="201">
        <v>213383</v>
      </c>
    </row>
    <row r="19" spans="12:21" x14ac:dyDescent="0.3">
      <c r="L19" s="180">
        <v>2016</v>
      </c>
      <c r="M19" s="180">
        <v>4</v>
      </c>
      <c r="N19" s="166">
        <v>3289</v>
      </c>
      <c r="O19" s="201">
        <v>325431</v>
      </c>
      <c r="Q19" s="180">
        <v>2017</v>
      </c>
      <c r="R19" s="180">
        <v>3</v>
      </c>
      <c r="S19" s="201">
        <v>3500</v>
      </c>
      <c r="T19" s="180">
        <v>193</v>
      </c>
      <c r="U19" s="201">
        <v>211657</v>
      </c>
    </row>
    <row r="20" spans="12:21" x14ac:dyDescent="0.3">
      <c r="L20" s="180">
        <v>2017</v>
      </c>
      <c r="M20" s="180">
        <v>1</v>
      </c>
      <c r="N20" s="166">
        <v>3296</v>
      </c>
      <c r="O20" s="201">
        <v>331725</v>
      </c>
      <c r="Q20" s="180">
        <v>2017</v>
      </c>
      <c r="R20" s="180">
        <v>4</v>
      </c>
      <c r="S20" s="201">
        <v>3504</v>
      </c>
      <c r="T20" s="180">
        <v>192</v>
      </c>
      <c r="U20" s="201">
        <v>210304</v>
      </c>
    </row>
    <row r="21" spans="12:21" x14ac:dyDescent="0.3">
      <c r="L21" s="180">
        <v>2017</v>
      </c>
      <c r="M21" s="180">
        <v>2</v>
      </c>
      <c r="N21" s="166">
        <v>3304</v>
      </c>
      <c r="O21" s="201">
        <v>338297</v>
      </c>
      <c r="Q21" s="180">
        <v>2018</v>
      </c>
      <c r="R21" s="180">
        <v>1</v>
      </c>
      <c r="S21" s="201">
        <v>3519</v>
      </c>
      <c r="T21" s="180">
        <v>194</v>
      </c>
      <c r="U21" s="201">
        <v>212842</v>
      </c>
    </row>
    <row r="22" spans="12:21" x14ac:dyDescent="0.3">
      <c r="L22" s="180">
        <v>2017</v>
      </c>
      <c r="M22" s="180">
        <v>3</v>
      </c>
      <c r="N22" s="166">
        <v>3316</v>
      </c>
      <c r="O22" s="201">
        <v>343624</v>
      </c>
      <c r="Q22" s="180">
        <v>2018</v>
      </c>
      <c r="R22" s="180">
        <v>2</v>
      </c>
      <c r="S22" s="201">
        <v>3538</v>
      </c>
      <c r="T22" s="180">
        <v>194</v>
      </c>
      <c r="U22" s="201">
        <v>215356</v>
      </c>
    </row>
    <row r="23" spans="12:21" x14ac:dyDescent="0.3">
      <c r="L23" s="180">
        <v>2017</v>
      </c>
      <c r="M23" s="180">
        <v>4</v>
      </c>
      <c r="N23" s="166">
        <v>3323</v>
      </c>
      <c r="O23" s="201">
        <v>344361</v>
      </c>
      <c r="Q23" s="180">
        <v>2018</v>
      </c>
      <c r="R23" s="180">
        <v>3</v>
      </c>
      <c r="S23" s="201">
        <v>3545</v>
      </c>
      <c r="T23" s="180">
        <v>194</v>
      </c>
      <c r="U23" s="201">
        <v>217554</v>
      </c>
    </row>
    <row r="24" spans="12:21" x14ac:dyDescent="0.3">
      <c r="L24" s="180">
        <v>2018</v>
      </c>
      <c r="M24" s="180">
        <v>1</v>
      </c>
      <c r="N24" s="166">
        <v>3331</v>
      </c>
      <c r="O24" s="201">
        <v>345268</v>
      </c>
      <c r="Q24" s="180">
        <v>2018</v>
      </c>
      <c r="R24" s="180">
        <v>4</v>
      </c>
      <c r="S24" s="201">
        <v>3575</v>
      </c>
      <c r="T24" s="180">
        <v>195</v>
      </c>
      <c r="U24" s="201">
        <v>219040</v>
      </c>
    </row>
    <row r="25" spans="12:21" x14ac:dyDescent="0.3">
      <c r="L25" s="180">
        <v>2018</v>
      </c>
      <c r="M25" s="180">
        <v>2</v>
      </c>
      <c r="N25" s="166">
        <v>3335</v>
      </c>
      <c r="O25" s="201">
        <v>345633</v>
      </c>
    </row>
    <row r="26" spans="12:21" x14ac:dyDescent="0.3">
      <c r="L26" s="180">
        <v>2018</v>
      </c>
      <c r="M26" s="180">
        <v>3</v>
      </c>
      <c r="N26" s="166">
        <v>3346</v>
      </c>
      <c r="O26" s="201">
        <v>348348</v>
      </c>
      <c r="P26" s="200"/>
      <c r="S26" s="200" t="s">
        <v>254</v>
      </c>
      <c r="T26" s="200" t="s">
        <v>254</v>
      </c>
    </row>
    <row r="27" spans="12:21" x14ac:dyDescent="0.3">
      <c r="L27" s="180">
        <v>2018</v>
      </c>
      <c r="M27" s="180">
        <v>4</v>
      </c>
      <c r="N27" s="166">
        <v>3354</v>
      </c>
      <c r="O27" s="201">
        <v>355263</v>
      </c>
      <c r="P27" s="200"/>
      <c r="R27" s="200" t="s">
        <v>122</v>
      </c>
      <c r="S27" s="200" t="s">
        <v>308</v>
      </c>
      <c r="T27" s="200" t="s">
        <v>309</v>
      </c>
    </row>
    <row r="28" spans="12:21" x14ac:dyDescent="0.3">
      <c r="P28" s="201"/>
      <c r="R28" s="180">
        <v>2016</v>
      </c>
      <c r="S28" s="201">
        <v>283299252</v>
      </c>
      <c r="T28" s="201">
        <v>41170520</v>
      </c>
    </row>
    <row r="29" spans="12:21" x14ac:dyDescent="0.3">
      <c r="P29" s="201"/>
      <c r="R29" s="180">
        <v>2017</v>
      </c>
      <c r="S29" s="201">
        <v>290213410</v>
      </c>
      <c r="T29" s="201">
        <v>41262210</v>
      </c>
    </row>
    <row r="30" spans="12:21" x14ac:dyDescent="0.3">
      <c r="P30" s="201"/>
      <c r="R30" s="180">
        <v>2018</v>
      </c>
      <c r="S30" s="201">
        <v>293934810</v>
      </c>
      <c r="T30" s="201">
        <v>41959671</v>
      </c>
    </row>
  </sheetData>
  <mergeCells count="3">
    <mergeCell ref="Q2:U2"/>
    <mergeCell ref="B2:O2"/>
    <mergeCell ref="W2:AB2"/>
  </mergeCells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pageSetUpPr fitToPage="1"/>
  </sheetPr>
  <dimension ref="A1:N49"/>
  <sheetViews>
    <sheetView showGridLines="0" topLeftCell="E10" zoomScale="85" zoomScaleNormal="85" workbookViewId="0">
      <selection activeCell="L20" sqref="L20"/>
    </sheetView>
  </sheetViews>
  <sheetFormatPr defaultRowHeight="14.4" x14ac:dyDescent="0.3"/>
  <cols>
    <col min="1" max="1" width="13.109375" bestFit="1" customWidth="1"/>
    <col min="2" max="2" width="10.88671875" customWidth="1"/>
    <col min="3" max="3" width="15.44140625" customWidth="1"/>
    <col min="4" max="4" width="12.5546875" customWidth="1"/>
    <col min="5" max="5" width="18.109375" customWidth="1"/>
    <col min="6" max="6" width="3" customWidth="1"/>
    <col min="7" max="7" width="20.33203125" customWidth="1"/>
    <col min="8" max="8" width="16.44140625" customWidth="1"/>
    <col min="11" max="11" width="18" customWidth="1"/>
    <col min="12" max="12" width="14.5546875" customWidth="1"/>
  </cols>
  <sheetData>
    <row r="1" spans="1:13" x14ac:dyDescent="0.3">
      <c r="A1" s="170" t="s">
        <v>34</v>
      </c>
      <c r="B1" s="171"/>
      <c r="C1" s="171"/>
      <c r="D1" s="171"/>
      <c r="E1" s="171"/>
      <c r="F1" s="171"/>
      <c r="G1" s="172"/>
    </row>
    <row r="2" spans="1:13" ht="15" thickBot="1" x14ac:dyDescent="0.35">
      <c r="A2" s="173" t="s">
        <v>35</v>
      </c>
      <c r="B2" s="174"/>
      <c r="C2" s="174"/>
      <c r="D2" s="174"/>
      <c r="E2" s="174"/>
      <c r="F2" s="174"/>
      <c r="G2" s="175"/>
    </row>
    <row r="5" spans="1:13" x14ac:dyDescent="0.3">
      <c r="A5" s="15" t="str">
        <f>State</f>
        <v>Texachussetts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3">
      <c r="A6" s="15" t="str">
        <f>Company</f>
        <v>CAS Rocks Insurance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A7" s="15" t="str">
        <f>LOB</f>
        <v>Private Passenger Auto: Property Damage Liability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9" spans="1:13" x14ac:dyDescent="0.3">
      <c r="B9" s="32">
        <v>1</v>
      </c>
      <c r="C9" s="32">
        <f>B9+1</f>
        <v>2</v>
      </c>
      <c r="D9" s="32">
        <f t="shared" ref="D9:L9" si="0">C9+1</f>
        <v>3</v>
      </c>
      <c r="E9" s="32">
        <f t="shared" si="0"/>
        <v>4</v>
      </c>
      <c r="F9" s="32"/>
      <c r="G9" s="32">
        <f>E9+1</f>
        <v>5</v>
      </c>
      <c r="H9" s="32">
        <f t="shared" si="0"/>
        <v>6</v>
      </c>
      <c r="I9" s="32">
        <f t="shared" si="0"/>
        <v>7</v>
      </c>
      <c r="J9" s="32">
        <f t="shared" si="0"/>
        <v>8</v>
      </c>
      <c r="K9" s="32">
        <f t="shared" si="0"/>
        <v>9</v>
      </c>
      <c r="L9" s="32">
        <f t="shared" si="0"/>
        <v>10</v>
      </c>
    </row>
    <row r="10" spans="1:13" ht="43.2" x14ac:dyDescent="0.3">
      <c r="A10" s="33" t="s">
        <v>36</v>
      </c>
      <c r="B10" s="33" t="s">
        <v>37</v>
      </c>
      <c r="C10" s="33" t="s">
        <v>38</v>
      </c>
      <c r="D10" s="33" t="s">
        <v>39</v>
      </c>
      <c r="E10" s="33" t="s">
        <v>40</v>
      </c>
      <c r="F10" s="33"/>
      <c r="G10" s="33" t="s">
        <v>41</v>
      </c>
      <c r="H10" s="33" t="s">
        <v>42</v>
      </c>
      <c r="I10" s="33" t="s">
        <v>43</v>
      </c>
      <c r="J10" s="33" t="s">
        <v>44</v>
      </c>
      <c r="K10" s="33" t="s">
        <v>45</v>
      </c>
      <c r="L10" s="33" t="s">
        <v>46</v>
      </c>
      <c r="M10" s="2"/>
    </row>
    <row r="11" spans="1:13" x14ac:dyDescent="0.3">
      <c r="A11">
        <f t="shared" ref="A11:A14" si="1">A12-1</f>
        <v>2014</v>
      </c>
      <c r="B11" s="144">
        <f>'Indication Numbers'!D5</f>
        <v>1122372</v>
      </c>
      <c r="C11" s="16">
        <f>ROUND('CRL - 2 Earned Premium'!K11,4)</f>
        <v>1.2159</v>
      </c>
      <c r="D11" s="35">
        <f>ROUND('Premium Trend - 3'!E12,4)</f>
        <v>1.1317999999999999</v>
      </c>
      <c r="E11" s="146">
        <f>B11*C11*D11</f>
        <v>1544558.5355306398</v>
      </c>
      <c r="F11" s="167"/>
      <c r="G11" s="168">
        <f>'Loss Development'!H12</f>
        <v>856495</v>
      </c>
      <c r="H11" s="35">
        <f>ROUND('Loss Development'!$H$34,4)</f>
        <v>1</v>
      </c>
      <c r="I11" s="35">
        <f>ROUND('Loss Trend - 5'!H13,4)</f>
        <v>0.99070000000000003</v>
      </c>
      <c r="J11" s="16">
        <f>ULAE!$D$19</f>
        <v>1.1434004997595981</v>
      </c>
      <c r="K11" s="146">
        <f t="shared" ref="K11:K15" si="2">PRODUCT(G11:J11)</f>
        <v>970209.16469891008</v>
      </c>
      <c r="L11" s="184">
        <f>K11/E11</f>
        <v>0.62814658193940864</v>
      </c>
    </row>
    <row r="12" spans="1:13" x14ac:dyDescent="0.3">
      <c r="A12">
        <f t="shared" si="1"/>
        <v>2015</v>
      </c>
      <c r="B12" s="144">
        <f>'Indication Numbers'!D6</f>
        <v>1154508</v>
      </c>
      <c r="C12" s="16">
        <f>ROUND('CRL - 2 Earned Premium'!K12,4)</f>
        <v>1.2175</v>
      </c>
      <c r="D12" s="35">
        <f>ROUND('Premium Trend - 3'!E13,4)</f>
        <v>1.1095999999999999</v>
      </c>
      <c r="E12" s="146">
        <f t="shared" ref="E12:E15" si="3">B12*C12*D12</f>
        <v>1559668.7285039998</v>
      </c>
      <c r="F12" s="167"/>
      <c r="G12" s="168">
        <f>'Loss Development'!G13</f>
        <v>867184</v>
      </c>
      <c r="H12" s="35">
        <f>ROUND('Loss Development'!$G$34,4)</f>
        <v>0.97989999999999999</v>
      </c>
      <c r="I12" s="35">
        <f>ROUND('Loss Trend - 5'!H14,4)</f>
        <v>0.99570000000000003</v>
      </c>
      <c r="J12" s="16">
        <f>ULAE!$D$19</f>
        <v>1.1434004997595981</v>
      </c>
      <c r="K12" s="146">
        <f t="shared" si="2"/>
        <v>967430.77536316786</v>
      </c>
      <c r="L12" s="184">
        <f t="shared" ref="L12:L17" si="4">K12/E12</f>
        <v>0.62027965149439546</v>
      </c>
    </row>
    <row r="13" spans="1:13" x14ac:dyDescent="0.3">
      <c r="A13">
        <f t="shared" si="1"/>
        <v>2016</v>
      </c>
      <c r="B13" s="144">
        <f>'Indication Numbers'!D7</f>
        <v>1280545</v>
      </c>
      <c r="C13" s="16">
        <f>ROUND('CRL - 2 Earned Premium'!K13,4)</f>
        <v>1.1309</v>
      </c>
      <c r="D13" s="35">
        <f>ROUND('Premium Trend - 3'!E14,4)</f>
        <v>1.0878000000000001</v>
      </c>
      <c r="E13" s="146">
        <f t="shared" si="3"/>
        <v>1575317.5207959001</v>
      </c>
      <c r="F13" s="167"/>
      <c r="G13" s="168">
        <f>'Loss Development'!F14</f>
        <v>835120</v>
      </c>
      <c r="H13" s="35">
        <f>ROUND('Loss Development'!$F$34,4)</f>
        <v>1.0003</v>
      </c>
      <c r="I13" s="35">
        <f>ROUND('Loss Trend - 5'!H15,4)</f>
        <v>1.0007999999999999</v>
      </c>
      <c r="J13" s="16">
        <f>ULAE!$D$19</f>
        <v>1.1434004997595981</v>
      </c>
      <c r="K13" s="146">
        <f t="shared" si="2"/>
        <v>955927.21881752077</v>
      </c>
      <c r="L13" s="184">
        <f t="shared" si="4"/>
        <v>0.6068155823814847</v>
      </c>
    </row>
    <row r="14" spans="1:13" x14ac:dyDescent="0.3">
      <c r="A14">
        <f t="shared" si="1"/>
        <v>2017</v>
      </c>
      <c r="B14" s="144">
        <f>'Indication Numbers'!D8</f>
        <v>1369976</v>
      </c>
      <c r="C14" s="16">
        <f>ROUND('CRL - 2 Earned Premium'!K14,4)</f>
        <v>1.0891</v>
      </c>
      <c r="D14" s="35">
        <f>ROUND('Premium Trend - 3'!E15,4)</f>
        <v>1.0665</v>
      </c>
      <c r="E14" s="146">
        <f t="shared" si="3"/>
        <v>1591261.5788964001</v>
      </c>
      <c r="F14" s="167"/>
      <c r="G14" s="168">
        <f>'Loss Development'!E15</f>
        <v>821509</v>
      </c>
      <c r="H14" s="35">
        <f>ROUND('Loss Development'!$E$34,4)</f>
        <v>1.0282</v>
      </c>
      <c r="I14" s="35">
        <f>ROUND('Loss Trend - 5'!H16,4)</f>
        <v>1.0058</v>
      </c>
      <c r="J14" s="16">
        <f>ULAE!$D$19</f>
        <v>1.1434004997595981</v>
      </c>
      <c r="K14" s="146">
        <f t="shared" si="2"/>
        <v>971404.10456166323</v>
      </c>
      <c r="L14" s="184">
        <f t="shared" si="4"/>
        <v>0.61046160948306727</v>
      </c>
    </row>
    <row r="15" spans="1:13" x14ac:dyDescent="0.3">
      <c r="A15">
        <f>LatestYear</f>
        <v>2018</v>
      </c>
      <c r="B15" s="144">
        <f>'Indication Numbers'!D9</f>
        <v>1397750</v>
      </c>
      <c r="C15" s="16">
        <f>ROUND('CRL - 2 Earned Premium'!K15,4)</f>
        <v>1.0991</v>
      </c>
      <c r="D15" s="35">
        <f>ROUND('Premium Trend - 3'!E16,4)</f>
        <v>1.0456000000000001</v>
      </c>
      <c r="E15" s="146">
        <f t="shared" si="3"/>
        <v>1606320.80134</v>
      </c>
      <c r="F15" s="167"/>
      <c r="G15" s="168">
        <f>'Loss Development'!D16</f>
        <v>797866</v>
      </c>
      <c r="H15" s="35">
        <f>ROUND('Loss Development'!$D$34,4)</f>
        <v>1.0966</v>
      </c>
      <c r="I15" s="35">
        <f>ROUND('Loss Trend - 5'!H17,4)</f>
        <v>1.0108999999999999</v>
      </c>
      <c r="J15" s="16">
        <f>ULAE!$D$19</f>
        <v>1.1434004997595981</v>
      </c>
      <c r="K15" s="146">
        <f t="shared" si="2"/>
        <v>1011311.1008354942</v>
      </c>
      <c r="L15" s="184">
        <f t="shared" si="4"/>
        <v>0.62958227272650269</v>
      </c>
    </row>
    <row r="16" spans="1:13" x14ac:dyDescent="0.3">
      <c r="B16" s="3"/>
    </row>
    <row r="17" spans="1:14" x14ac:dyDescent="0.3">
      <c r="A17" t="s">
        <v>47</v>
      </c>
      <c r="B17" s="185">
        <f>SUM(B11:B16)</f>
        <v>6325151</v>
      </c>
      <c r="E17" s="146">
        <f>SUM(E11:E16)</f>
        <v>7877127.1650669398</v>
      </c>
      <c r="F17" s="3"/>
      <c r="G17" s="146">
        <f>SUM(G11:G16)</f>
        <v>4178174</v>
      </c>
      <c r="K17" s="146">
        <f>SUM(K11:K16)</f>
        <v>4876282.3642767556</v>
      </c>
      <c r="L17" s="147">
        <f t="shared" si="4"/>
        <v>0.61904324534734323</v>
      </c>
    </row>
    <row r="19" spans="1:14" x14ac:dyDescent="0.3">
      <c r="E19" s="13">
        <f>L9+1</f>
        <v>11</v>
      </c>
      <c r="F19" s="13"/>
      <c r="G19" t="s">
        <v>48</v>
      </c>
      <c r="L19" s="45">
        <f>L17</f>
        <v>0.61904324534734323</v>
      </c>
      <c r="N19" s="140" t="s">
        <v>49</v>
      </c>
    </row>
    <row r="20" spans="1:14" x14ac:dyDescent="0.3">
      <c r="E20" s="13">
        <f>E19+1</f>
        <v>12</v>
      </c>
      <c r="F20" s="13"/>
      <c r="G20" t="s">
        <v>50</v>
      </c>
      <c r="L20" s="165">
        <f>Expense!I49</f>
        <v>0.11286658980326457</v>
      </c>
      <c r="N20" s="140" t="s">
        <v>51</v>
      </c>
    </row>
    <row r="21" spans="1:14" x14ac:dyDescent="0.3">
      <c r="E21" s="13">
        <f t="shared" ref="E21:E28" si="5">E20+1</f>
        <v>13</v>
      </c>
      <c r="F21" s="13"/>
      <c r="G21" t="s">
        <v>52</v>
      </c>
      <c r="L21" s="165">
        <f>Expense!I50</f>
        <v>0.16995550312010607</v>
      </c>
      <c r="N21" s="164" t="s">
        <v>53</v>
      </c>
    </row>
    <row r="22" spans="1:14" x14ac:dyDescent="0.3">
      <c r="E22" s="13">
        <f t="shared" si="5"/>
        <v>14</v>
      </c>
      <c r="F22" s="13"/>
      <c r="G22" t="s">
        <v>54</v>
      </c>
      <c r="L22" s="165">
        <v>0.05</v>
      </c>
    </row>
    <row r="23" spans="1:14" x14ac:dyDescent="0.3">
      <c r="E23" s="13">
        <f t="shared" si="5"/>
        <v>15</v>
      </c>
      <c r="F23" s="13"/>
      <c r="G23" t="s">
        <v>55</v>
      </c>
      <c r="L23" s="181">
        <f>1-L21-L22</f>
        <v>0.78004449687989386</v>
      </c>
    </row>
    <row r="24" spans="1:14" x14ac:dyDescent="0.3">
      <c r="E24" s="13">
        <f t="shared" si="5"/>
        <v>16</v>
      </c>
      <c r="F24" s="13"/>
      <c r="G24" t="s">
        <v>56</v>
      </c>
      <c r="L24" s="181">
        <f>(L19+L20)/L23-1</f>
        <v>-6.1707584531164872E-2</v>
      </c>
    </row>
    <row r="25" spans="1:14" x14ac:dyDescent="0.3">
      <c r="E25" s="13">
        <f t="shared" si="5"/>
        <v>17</v>
      </c>
      <c r="F25" s="13"/>
      <c r="G25" t="s">
        <v>57</v>
      </c>
      <c r="L25" s="165">
        <f>Credibility!C9</f>
        <v>1</v>
      </c>
    </row>
    <row r="26" spans="1:14" x14ac:dyDescent="0.3">
      <c r="E26" s="13">
        <f t="shared" si="5"/>
        <v>18</v>
      </c>
      <c r="F26" s="13"/>
      <c r="G26" t="s">
        <v>58</v>
      </c>
      <c r="L26" s="165">
        <f>Credibility!C24</f>
        <v>6.2082352941176255E-2</v>
      </c>
    </row>
    <row r="27" spans="1:14" x14ac:dyDescent="0.3">
      <c r="E27" s="13">
        <f t="shared" si="5"/>
        <v>19</v>
      </c>
      <c r="F27" s="13"/>
      <c r="G27" t="s">
        <v>59</v>
      </c>
      <c r="L27" s="181">
        <f>L24*L25+L26*(1-L25)</f>
        <v>-6.1707584531164872E-2</v>
      </c>
    </row>
    <row r="28" spans="1:14" x14ac:dyDescent="0.3">
      <c r="E28" s="13">
        <f t="shared" si="5"/>
        <v>20</v>
      </c>
      <c r="F28" s="13"/>
      <c r="G28" t="s">
        <v>60</v>
      </c>
      <c r="L28" s="165">
        <f>L27</f>
        <v>-6.1707584531164872E-2</v>
      </c>
    </row>
    <row r="30" spans="1:14" x14ac:dyDescent="0.3">
      <c r="A30" s="13">
        <v>2</v>
      </c>
      <c r="B30" t="s">
        <v>61</v>
      </c>
    </row>
    <row r="31" spans="1:14" x14ac:dyDescent="0.3">
      <c r="A31" s="13">
        <f>A30+1</f>
        <v>3</v>
      </c>
      <c r="B31" t="s">
        <v>62</v>
      </c>
    </row>
    <row r="32" spans="1:14" x14ac:dyDescent="0.3">
      <c r="A32" s="13">
        <f t="shared" ref="A32:A45" si="6">A31+1</f>
        <v>4</v>
      </c>
      <c r="B32" s="148" t="s">
        <v>63</v>
      </c>
      <c r="C32" s="149"/>
    </row>
    <row r="33" spans="1:4" x14ac:dyDescent="0.3">
      <c r="A33" s="13">
        <f t="shared" si="6"/>
        <v>5</v>
      </c>
      <c r="B33" t="str">
        <f>"Case Incurred Losses and ALAE Evaluated As Of "&amp;TEXT(Inputs!B4,"mm/d/yyyy")</f>
        <v>Case Incurred Losses and ALAE Evaluated As Of 03/31/2019</v>
      </c>
    </row>
    <row r="34" spans="1:4" x14ac:dyDescent="0.3">
      <c r="A34" s="13">
        <f t="shared" si="6"/>
        <v>6</v>
      </c>
      <c r="B34" t="s">
        <v>64</v>
      </c>
    </row>
    <row r="35" spans="1:4" x14ac:dyDescent="0.3">
      <c r="A35" s="13">
        <f t="shared" si="6"/>
        <v>7</v>
      </c>
      <c r="B35" t="s">
        <v>65</v>
      </c>
    </row>
    <row r="36" spans="1:4" x14ac:dyDescent="0.3">
      <c r="A36" s="13">
        <f t="shared" si="6"/>
        <v>8</v>
      </c>
      <c r="B36" t="s">
        <v>66</v>
      </c>
    </row>
    <row r="37" spans="1:4" x14ac:dyDescent="0.3">
      <c r="A37" s="13">
        <f t="shared" si="6"/>
        <v>9</v>
      </c>
      <c r="B37" s="148" t="s">
        <v>67</v>
      </c>
      <c r="C37" s="149"/>
    </row>
    <row r="38" spans="1:4" x14ac:dyDescent="0.3">
      <c r="A38" s="13">
        <f t="shared" si="6"/>
        <v>10</v>
      </c>
      <c r="B38" s="148" t="s">
        <v>68</v>
      </c>
      <c r="C38" s="149"/>
    </row>
    <row r="39" spans="1:4" x14ac:dyDescent="0.3">
      <c r="A39" s="13">
        <f>A38+2</f>
        <v>12</v>
      </c>
      <c r="B39" t="s">
        <v>69</v>
      </c>
    </row>
    <row r="40" spans="1:4" x14ac:dyDescent="0.3">
      <c r="A40" s="13">
        <f t="shared" si="6"/>
        <v>13</v>
      </c>
      <c r="B40" t="s">
        <v>69</v>
      </c>
    </row>
    <row r="41" spans="1:4" x14ac:dyDescent="0.3">
      <c r="A41" s="13">
        <f t="shared" si="6"/>
        <v>14</v>
      </c>
      <c r="B41" t="s">
        <v>70</v>
      </c>
    </row>
    <row r="42" spans="1:4" x14ac:dyDescent="0.3">
      <c r="A42" s="13">
        <f t="shared" si="6"/>
        <v>15</v>
      </c>
      <c r="B42" s="148" t="s">
        <v>71</v>
      </c>
      <c r="C42" s="149"/>
    </row>
    <row r="43" spans="1:4" x14ac:dyDescent="0.3">
      <c r="A43" s="13">
        <f t="shared" si="6"/>
        <v>16</v>
      </c>
      <c r="B43" s="148" t="s">
        <v>72</v>
      </c>
      <c r="C43" s="149"/>
    </row>
    <row r="44" spans="1:4" x14ac:dyDescent="0.3">
      <c r="A44" s="13">
        <f t="shared" si="6"/>
        <v>17</v>
      </c>
      <c r="B44" t="s">
        <v>73</v>
      </c>
    </row>
    <row r="45" spans="1:4" x14ac:dyDescent="0.3">
      <c r="A45" s="13">
        <f t="shared" si="6"/>
        <v>18</v>
      </c>
      <c r="B45" t="s">
        <v>73</v>
      </c>
    </row>
    <row r="46" spans="1:4" x14ac:dyDescent="0.3">
      <c r="A46" s="13">
        <f>A45+1</f>
        <v>19</v>
      </c>
      <c r="B46" s="148" t="s">
        <v>74</v>
      </c>
      <c r="C46" s="149"/>
      <c r="D46" s="149"/>
    </row>
    <row r="47" spans="1:4" x14ac:dyDescent="0.3">
      <c r="A47" s="13"/>
    </row>
    <row r="48" spans="1:4" x14ac:dyDescent="0.3">
      <c r="A48" s="13"/>
    </row>
    <row r="49" spans="1:1" x14ac:dyDescent="0.3">
      <c r="A49" s="13"/>
    </row>
  </sheetData>
  <printOptions horizontalCentered="1"/>
  <pageMargins left="0.7" right="0.7" top="0.75" bottom="0.75" header="0.3" footer="0.3"/>
  <pageSetup scale="74" fitToHeight="0" orientation="landscape" r:id="rId1"/>
  <headerFooter>
    <oddFooter>&amp;R&amp;1#&amp;"Calibri"&amp;10&amp;K317100Public Information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25"/>
  <sheetViews>
    <sheetView showGridLines="0" zoomScale="85" zoomScaleNormal="85" zoomScaleSheetLayoutView="85" workbookViewId="0">
      <selection activeCell="C7" sqref="C7"/>
    </sheetView>
  </sheetViews>
  <sheetFormatPr defaultRowHeight="14.4" x14ac:dyDescent="0.3"/>
  <cols>
    <col min="1" max="1" width="11.88671875" bestFit="1" customWidth="1"/>
    <col min="2" max="2" width="83.5546875" bestFit="1" customWidth="1"/>
  </cols>
  <sheetData>
    <row r="1" spans="1:4" ht="15" thickBot="1" x14ac:dyDescent="0.35">
      <c r="A1" s="176" t="s">
        <v>75</v>
      </c>
      <c r="B1" s="177"/>
    </row>
    <row r="3" spans="1:4" x14ac:dyDescent="0.3">
      <c r="A3" s="15" t="str">
        <f>State</f>
        <v>Texachussetts</v>
      </c>
      <c r="B3" s="15"/>
      <c r="C3" s="15"/>
      <c r="D3" s="15"/>
    </row>
    <row r="4" spans="1:4" x14ac:dyDescent="0.3">
      <c r="A4" s="15" t="str">
        <f>Company</f>
        <v>CAS Rocks Insurance</v>
      </c>
      <c r="B4" s="15"/>
      <c r="C4" s="15"/>
      <c r="D4" s="15"/>
    </row>
    <row r="5" spans="1:4" x14ac:dyDescent="0.3">
      <c r="A5" s="15" t="str">
        <f>LOB</f>
        <v>Private Passenger Auto: Property Damage Liability</v>
      </c>
      <c r="B5" s="15"/>
      <c r="C5" s="15"/>
      <c r="D5" s="15"/>
    </row>
    <row r="7" spans="1:4" x14ac:dyDescent="0.3">
      <c r="A7" s="13">
        <v>1</v>
      </c>
      <c r="B7" t="s">
        <v>76</v>
      </c>
      <c r="C7" s="145">
        <f>SUM('Indication Numbers'!T5:T24)</f>
        <v>3907</v>
      </c>
    </row>
    <row r="8" spans="1:4" x14ac:dyDescent="0.3">
      <c r="A8" s="13">
        <f>A7+1</f>
        <v>2</v>
      </c>
      <c r="B8" t="s">
        <v>77</v>
      </c>
      <c r="C8" s="166">
        <v>1082</v>
      </c>
    </row>
    <row r="9" spans="1:4" x14ac:dyDescent="0.3">
      <c r="A9" s="13">
        <f>A8+1</f>
        <v>3</v>
      </c>
      <c r="B9" t="s">
        <v>57</v>
      </c>
      <c r="C9" s="181">
        <f>MIN((C7/C8)^0.5,1)</f>
        <v>1</v>
      </c>
    </row>
    <row r="10" spans="1:4" x14ac:dyDescent="0.3">
      <c r="B10" s="5" t="s">
        <v>78</v>
      </c>
      <c r="C10" s="180"/>
    </row>
    <row r="11" spans="1:4" x14ac:dyDescent="0.3">
      <c r="A11" s="13">
        <f>A9+1</f>
        <v>4</v>
      </c>
      <c r="B11" t="s">
        <v>79</v>
      </c>
      <c r="C11" s="165">
        <v>0.13200000000000001</v>
      </c>
    </row>
    <row r="12" spans="1:4" x14ac:dyDescent="0.3">
      <c r="A12" s="13">
        <f>A11+1</f>
        <v>5</v>
      </c>
      <c r="B12" t="s">
        <v>80</v>
      </c>
      <c r="C12" s="165">
        <f>VLOOKUP(MAX('Current Rate Level - 1'!$C$11:$C$16),'Current Rate Level - 1'!$C$11:$D$16,2,FALSE)</f>
        <v>0.05</v>
      </c>
    </row>
    <row r="13" spans="1:4" x14ac:dyDescent="0.3">
      <c r="B13" s="5" t="s">
        <v>81</v>
      </c>
      <c r="C13" s="165"/>
    </row>
    <row r="14" spans="1:4" x14ac:dyDescent="0.3">
      <c r="A14" s="13">
        <f>A12+1</f>
        <v>6</v>
      </c>
      <c r="B14" t="s">
        <v>82</v>
      </c>
      <c r="C14" s="181">
        <f>(1+C11)/(1+C12)-1</f>
        <v>7.8095238095238217E-2</v>
      </c>
    </row>
    <row r="15" spans="1:4" x14ac:dyDescent="0.3">
      <c r="B15" s="150" t="s">
        <v>83</v>
      </c>
      <c r="C15" s="165"/>
    </row>
    <row r="16" spans="1:4" x14ac:dyDescent="0.3">
      <c r="A16" s="13">
        <f>A14+1</f>
        <v>7</v>
      </c>
      <c r="B16" t="s">
        <v>84</v>
      </c>
      <c r="C16" s="165">
        <f>'Loss Trend - 1'!H41</f>
        <v>4.8499999999997989E-3</v>
      </c>
    </row>
    <row r="17" spans="1:3" x14ac:dyDescent="0.3">
      <c r="B17" s="5" t="s">
        <v>65</v>
      </c>
      <c r="C17" s="165"/>
    </row>
    <row r="18" spans="1:3" x14ac:dyDescent="0.3">
      <c r="A18" s="13">
        <f>A16+1</f>
        <v>8</v>
      </c>
      <c r="B18" t="s">
        <v>85</v>
      </c>
      <c r="C18" s="165">
        <f>'Premium Trend - 1'!H41</f>
        <v>0.02</v>
      </c>
    </row>
    <row r="19" spans="1:3" x14ac:dyDescent="0.3">
      <c r="B19" s="5" t="s">
        <v>86</v>
      </c>
      <c r="C19" s="165"/>
    </row>
    <row r="20" spans="1:3" x14ac:dyDescent="0.3">
      <c r="A20" s="13">
        <f>A18+1</f>
        <v>9</v>
      </c>
      <c r="B20" t="s">
        <v>87</v>
      </c>
      <c r="C20" s="181">
        <f>(1+C16)/(1+C18)-1</f>
        <v>-1.4852941176470846E-2</v>
      </c>
    </row>
    <row r="21" spans="1:3" x14ac:dyDescent="0.3">
      <c r="B21" s="150" t="s">
        <v>88</v>
      </c>
      <c r="C21" s="180"/>
    </row>
    <row r="22" spans="1:3" x14ac:dyDescent="0.3">
      <c r="A22" s="13">
        <f>A20+1</f>
        <v>10</v>
      </c>
      <c r="B22" t="s">
        <v>89</v>
      </c>
      <c r="C22" s="204">
        <f>IF(MAX('Current Rate Level - 1'!$C$11:$C$16)&gt;EffDate,"ERROR - Check Effective Date",YEARFRAC(MAX('Current Rate Level - 1'!$C$11:$C$16),EffDate))</f>
        <v>1</v>
      </c>
    </row>
    <row r="23" spans="1:3" x14ac:dyDescent="0.3">
      <c r="B23" s="5" t="str">
        <f>"From Last Rate Change effective Date ("&amp;TEXT(MAX('Current Rate Level - 1'!$C$11:$C$16),"mm/dd/yyyy")&amp;") to Proposed Effective Date ("&amp;TEXT(EffDate,"mm/dd/yyyy")&amp;")"</f>
        <v>From Last Rate Change effective Date (01/01/2019) to Proposed Effective Date (01/01/2020)</v>
      </c>
      <c r="C23" s="180"/>
    </row>
    <row r="24" spans="1:3" x14ac:dyDescent="0.3">
      <c r="A24" s="13">
        <f>A22+1</f>
        <v>11</v>
      </c>
      <c r="B24" t="s">
        <v>58</v>
      </c>
      <c r="C24" s="181">
        <f>((1+C14)*(1+C20)^C22)-1</f>
        <v>6.2082352941176255E-2</v>
      </c>
    </row>
    <row r="25" spans="1:3" x14ac:dyDescent="0.3">
      <c r="B25" s="150" t="s">
        <v>90</v>
      </c>
      <c r="C25" s="180"/>
    </row>
  </sheetData>
  <printOptions horizontalCentered="1"/>
  <pageMargins left="0.7" right="0.7" top="0.75" bottom="0.75" header="0.3" footer="0.3"/>
  <pageSetup fitToHeight="0" orientation="landscape" r:id="rId1"/>
  <headerFooter>
    <oddFooter>&amp;R&amp;1#&amp;"Calibri"&amp;10&amp;K317100Public Information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pageSetUpPr fitToPage="1"/>
  </sheetPr>
  <dimension ref="A1:H21"/>
  <sheetViews>
    <sheetView showGridLines="0" zoomScale="85" zoomScaleNormal="85" zoomScaleSheetLayoutView="85" workbookViewId="0">
      <selection activeCell="H10" sqref="H10:H13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" width="13.5546875" hidden="1" customWidth="1"/>
    <col min="4" max="4" width="13.109375" customWidth="1"/>
    <col min="5" max="5" width="15.5546875" bestFit="1" customWidth="1"/>
    <col min="6" max="6" width="16.44140625" customWidth="1"/>
    <col min="9" max="9" width="13.5546875" customWidth="1"/>
  </cols>
  <sheetData>
    <row r="1" spans="1:8" x14ac:dyDescent="0.3">
      <c r="A1" s="171" t="s">
        <v>91</v>
      </c>
      <c r="B1" s="171"/>
      <c r="C1" s="171"/>
      <c r="D1" s="171"/>
      <c r="E1" s="171"/>
      <c r="F1" s="171"/>
      <c r="G1" s="171"/>
      <c r="H1" s="172"/>
    </row>
    <row r="2" spans="1:8" ht="15" thickBot="1" x14ac:dyDescent="0.35">
      <c r="A2" s="174" t="s">
        <v>92</v>
      </c>
      <c r="B2" s="174"/>
      <c r="C2" s="174"/>
      <c r="D2" s="174"/>
      <c r="E2" s="174"/>
      <c r="F2" s="174"/>
      <c r="G2" s="174"/>
      <c r="H2" s="175"/>
    </row>
    <row r="4" spans="1:8" x14ac:dyDescent="0.3">
      <c r="A4" s="15" t="str">
        <f>State</f>
        <v>Texachussetts</v>
      </c>
      <c r="B4" s="15"/>
      <c r="C4" s="15"/>
      <c r="D4" s="15"/>
      <c r="E4" s="15"/>
      <c r="F4" s="15"/>
      <c r="G4" s="15"/>
    </row>
    <row r="5" spans="1:8" x14ac:dyDescent="0.3">
      <c r="A5" s="15" t="str">
        <f>Company</f>
        <v>CAS Rocks Insurance</v>
      </c>
      <c r="B5" s="15"/>
      <c r="C5" s="15"/>
      <c r="D5" s="15"/>
      <c r="E5" s="15"/>
      <c r="F5" s="15"/>
      <c r="G5" s="15"/>
    </row>
    <row r="6" spans="1:8" x14ac:dyDescent="0.3">
      <c r="A6" s="15" t="str">
        <f>LOB</f>
        <v>Private Passenger Auto: Property Damage Liability</v>
      </c>
      <c r="B6" s="15"/>
      <c r="C6" s="15"/>
      <c r="D6" s="15"/>
      <c r="E6" s="15"/>
      <c r="F6" s="15"/>
      <c r="G6" s="15"/>
    </row>
    <row r="8" spans="1:8" x14ac:dyDescent="0.3">
      <c r="B8" s="32">
        <v>1</v>
      </c>
      <c r="C8" s="32"/>
      <c r="D8" s="32">
        <f>B8+1</f>
        <v>2</v>
      </c>
      <c r="E8" s="32">
        <f t="shared" ref="E8:F8" si="0">D8+1</f>
        <v>3</v>
      </c>
      <c r="F8" s="32">
        <f t="shared" si="0"/>
        <v>4</v>
      </c>
    </row>
    <row r="9" spans="1:8" ht="43.2" x14ac:dyDescent="0.3">
      <c r="A9" s="33" t="s">
        <v>93</v>
      </c>
      <c r="B9" s="33" t="s">
        <v>94</v>
      </c>
      <c r="C9" s="33" t="s">
        <v>95</v>
      </c>
      <c r="D9" s="33" t="s">
        <v>96</v>
      </c>
      <c r="E9" s="33" t="s">
        <v>97</v>
      </c>
      <c r="F9" s="33" t="s">
        <v>98</v>
      </c>
      <c r="G9" s="2"/>
    </row>
    <row r="10" spans="1:8" x14ac:dyDescent="0.3">
      <c r="A10" s="16" t="s">
        <v>99</v>
      </c>
      <c r="B10" s="16"/>
      <c r="C10" s="16"/>
      <c r="D10" s="16"/>
      <c r="E10" s="36">
        <v>1</v>
      </c>
      <c r="F10" s="143">
        <f>PRODUCT(E$10:E10)</f>
        <v>1</v>
      </c>
      <c r="H10" s="140" t="s">
        <v>100</v>
      </c>
    </row>
    <row r="11" spans="1:8" x14ac:dyDescent="0.3">
      <c r="A11" s="16" t="s">
        <v>101</v>
      </c>
      <c r="B11" s="159" t="str">
        <f>'Indication Numbers'!I5</f>
        <v>4/1/2014</v>
      </c>
      <c r="C11" s="160">
        <f>VALUE(B11)</f>
        <v>41730</v>
      </c>
      <c r="D11" s="169">
        <f>'Indication Numbers'!J5</f>
        <v>-0.05</v>
      </c>
      <c r="E11" s="143">
        <f>1+D11</f>
        <v>0.95</v>
      </c>
      <c r="F11" s="143">
        <f>PRODUCT(E$10:E11)</f>
        <v>0.95</v>
      </c>
      <c r="H11" s="140" t="s">
        <v>102</v>
      </c>
    </row>
    <row r="12" spans="1:8" x14ac:dyDescent="0.3">
      <c r="A12" s="16" t="s">
        <v>103</v>
      </c>
      <c r="B12" s="159" t="str">
        <f>'Indication Numbers'!I6</f>
        <v>7/1/2015</v>
      </c>
      <c r="C12" s="160">
        <f t="shared" ref="C12:C16" si="1">VALUE(B12)</f>
        <v>42186</v>
      </c>
      <c r="D12" s="169">
        <f>'Indication Numbers'!J6</f>
        <v>0.1</v>
      </c>
      <c r="E12" s="143">
        <f t="shared" ref="E12:E16" si="2">1+D12</f>
        <v>1.1000000000000001</v>
      </c>
      <c r="F12" s="143">
        <f>PRODUCT(E$10:E12)</f>
        <v>1.0449999999999999</v>
      </c>
      <c r="H12" s="140" t="s">
        <v>104</v>
      </c>
    </row>
    <row r="13" spans="1:8" x14ac:dyDescent="0.3">
      <c r="A13" s="16" t="s">
        <v>105</v>
      </c>
      <c r="B13" s="159" t="str">
        <f>'Indication Numbers'!I7</f>
        <v>10/1/2016</v>
      </c>
      <c r="C13" s="160">
        <f t="shared" si="1"/>
        <v>42644</v>
      </c>
      <c r="D13" s="169">
        <f>'Indication Numbers'!J7</f>
        <v>0.05</v>
      </c>
      <c r="E13" s="143">
        <f t="shared" si="2"/>
        <v>1.05</v>
      </c>
      <c r="F13" s="143">
        <f>PRODUCT(E$10:E13)</f>
        <v>1.0972500000000001</v>
      </c>
      <c r="H13" s="164" t="s">
        <v>106</v>
      </c>
    </row>
    <row r="14" spans="1:8" x14ac:dyDescent="0.3">
      <c r="A14" s="16" t="s">
        <v>107</v>
      </c>
      <c r="B14" s="159" t="str">
        <f>'Indication Numbers'!I8</f>
        <v>7/1/2017</v>
      </c>
      <c r="C14" s="160">
        <f t="shared" si="1"/>
        <v>42917</v>
      </c>
      <c r="D14" s="169">
        <f>'Indication Numbers'!J8</f>
        <v>-0.02</v>
      </c>
      <c r="E14" s="143">
        <f t="shared" si="2"/>
        <v>0.98</v>
      </c>
      <c r="F14" s="143">
        <f>PRODUCT(E$10:E14)</f>
        <v>1.075305</v>
      </c>
    </row>
    <row r="15" spans="1:8" x14ac:dyDescent="0.3">
      <c r="A15" s="16" t="s">
        <v>108</v>
      </c>
      <c r="B15" s="159" t="str">
        <f>'Indication Numbers'!I9</f>
        <v>10/1/2018</v>
      </c>
      <c r="C15" s="160">
        <f t="shared" si="1"/>
        <v>43374</v>
      </c>
      <c r="D15" s="169">
        <f>'Indication Numbers'!J9</f>
        <v>0.05</v>
      </c>
      <c r="E15" s="143">
        <f t="shared" si="2"/>
        <v>1.05</v>
      </c>
      <c r="F15" s="143">
        <f>PRODUCT(E$10:E15)</f>
        <v>1.1290702500000001</v>
      </c>
    </row>
    <row r="16" spans="1:8" x14ac:dyDescent="0.3">
      <c r="A16" s="16" t="s">
        <v>109</v>
      </c>
      <c r="B16" s="159" t="str">
        <f>'Indication Numbers'!I10</f>
        <v>1/1/2019</v>
      </c>
      <c r="C16" s="160">
        <f t="shared" si="1"/>
        <v>43466</v>
      </c>
      <c r="D16" s="169">
        <f>'Indication Numbers'!J10</f>
        <v>0.05</v>
      </c>
      <c r="E16" s="143">
        <f t="shared" si="2"/>
        <v>1.05</v>
      </c>
      <c r="F16" s="143">
        <f>PRODUCT(E$10:E16)</f>
        <v>1.1855237625000001</v>
      </c>
    </row>
    <row r="18" spans="1:4" x14ac:dyDescent="0.3">
      <c r="A18" t="s">
        <v>110</v>
      </c>
      <c r="B18" s="148" t="s">
        <v>111</v>
      </c>
      <c r="C18" s="148"/>
      <c r="D18" s="149"/>
    </row>
    <row r="19" spans="1:4" x14ac:dyDescent="0.3">
      <c r="A19" t="s">
        <v>112</v>
      </c>
      <c r="B19" s="148" t="s">
        <v>113</v>
      </c>
      <c r="C19" s="148"/>
      <c r="D19" s="149"/>
    </row>
    <row r="21" spans="1:4" x14ac:dyDescent="0.3">
      <c r="B21" s="42"/>
      <c r="C21" s="42"/>
    </row>
  </sheetData>
  <printOptions horizontalCentered="1"/>
  <pageMargins left="0.7" right="0.7" top="0.75" bottom="0.75" header="0.3" footer="0.3"/>
  <pageSetup fitToHeight="0" orientation="landscape" r:id="rId1"/>
  <headerFooter>
    <oddFooter>&amp;R&amp;1#&amp;"Calibri"&amp;10&amp;K317100Public Information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2"/>
  <sheetViews>
    <sheetView showGridLines="0" zoomScale="85" zoomScaleNormal="85" zoomScaleSheetLayoutView="85" workbookViewId="0">
      <selection activeCell="K25" sqref="K25"/>
    </sheetView>
  </sheetViews>
  <sheetFormatPr defaultRowHeight="14.4" x14ac:dyDescent="0.3"/>
  <cols>
    <col min="1" max="1" width="13.44140625" bestFit="1" customWidth="1"/>
    <col min="3" max="3" width="10.109375" bestFit="1" customWidth="1"/>
    <col min="9" max="9" width="15.44140625" customWidth="1"/>
    <col min="10" max="10" width="13.44140625" customWidth="1"/>
    <col min="11" max="11" width="20.5546875" customWidth="1"/>
  </cols>
  <sheetData>
    <row r="1" spans="1:14" x14ac:dyDescent="0.3">
      <c r="A1" s="171" t="s">
        <v>114</v>
      </c>
      <c r="B1" s="171"/>
      <c r="C1" s="171"/>
      <c r="D1" s="171"/>
      <c r="E1" s="171"/>
      <c r="F1" s="171"/>
      <c r="G1" s="171"/>
      <c r="H1" s="171"/>
      <c r="I1" s="171"/>
      <c r="J1" s="172"/>
      <c r="L1" s="161"/>
    </row>
    <row r="2" spans="1:14" ht="15" thickBot="1" x14ac:dyDescent="0.35">
      <c r="A2" s="174" t="s">
        <v>115</v>
      </c>
      <c r="B2" s="174"/>
      <c r="C2" s="174"/>
      <c r="D2" s="174"/>
      <c r="E2" s="174"/>
      <c r="F2" s="174"/>
      <c r="G2" s="174"/>
      <c r="H2" s="174"/>
      <c r="I2" s="174"/>
      <c r="J2" s="175"/>
      <c r="L2" s="161"/>
    </row>
    <row r="3" spans="1:14" x14ac:dyDescent="0.3">
      <c r="M3" s="161"/>
    </row>
    <row r="4" spans="1:14" x14ac:dyDescent="0.3">
      <c r="A4" s="15" t="str">
        <f>State</f>
        <v>Texachussetts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2"/>
    </row>
    <row r="5" spans="1:14" x14ac:dyDescent="0.3">
      <c r="A5" s="15" t="str">
        <f>Company</f>
        <v>CAS Rocks Insurance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4" x14ac:dyDescent="0.3">
      <c r="A6" s="15" t="str">
        <f>LOB</f>
        <v>Private Passenger Auto: Property Damage Liability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8" spans="1:14" x14ac:dyDescent="0.3">
      <c r="B8" s="15" t="s">
        <v>116</v>
      </c>
      <c r="C8" s="15"/>
      <c r="D8" s="15"/>
      <c r="E8" s="15"/>
      <c r="F8" s="15"/>
      <c r="G8" s="15"/>
      <c r="I8" s="16" t="s">
        <v>117</v>
      </c>
      <c r="J8" s="16" t="s">
        <v>110</v>
      </c>
      <c r="K8" s="16" t="s">
        <v>112</v>
      </c>
    </row>
    <row r="9" spans="1:14" ht="43.2" x14ac:dyDescent="0.3">
      <c r="B9" s="49" t="s">
        <v>118</v>
      </c>
      <c r="C9" s="49"/>
      <c r="D9" s="49"/>
      <c r="E9" s="49"/>
      <c r="F9" s="49"/>
      <c r="G9" s="49"/>
      <c r="H9" s="49"/>
      <c r="I9" s="33" t="s">
        <v>119</v>
      </c>
      <c r="J9" s="33" t="s">
        <v>120</v>
      </c>
      <c r="K9" s="33" t="s">
        <v>121</v>
      </c>
    </row>
    <row r="10" spans="1:14" x14ac:dyDescent="0.3">
      <c r="A10" t="s">
        <v>122</v>
      </c>
      <c r="B10" s="16" t="s">
        <v>99</v>
      </c>
      <c r="C10" s="16" t="s">
        <v>101</v>
      </c>
      <c r="D10" s="16" t="s">
        <v>103</v>
      </c>
      <c r="E10" s="16" t="s">
        <v>105</v>
      </c>
      <c r="F10" s="16" t="s">
        <v>107</v>
      </c>
      <c r="G10" s="16" t="s">
        <v>108</v>
      </c>
      <c r="H10" s="16" t="s">
        <v>109</v>
      </c>
    </row>
    <row r="11" spans="1:14" x14ac:dyDescent="0.3">
      <c r="A11" s="16">
        <f t="shared" ref="A11:A14" si="0">A12-1</f>
        <v>2014</v>
      </c>
      <c r="B11" s="182">
        <v>0.5</v>
      </c>
      <c r="C11" s="182">
        <v>0.5</v>
      </c>
      <c r="D11" s="182">
        <v>0</v>
      </c>
      <c r="E11" s="182">
        <v>0</v>
      </c>
      <c r="F11" s="182">
        <v>0</v>
      </c>
      <c r="G11" s="182">
        <v>0</v>
      </c>
      <c r="H11" s="182">
        <v>0</v>
      </c>
      <c r="I11" s="152">
        <f>SUMPRODUCT(B11:H11,B$17:H$17)</f>
        <v>0.97499999999999998</v>
      </c>
      <c r="J11" s="36">
        <f>'CRL - 2 Earned Premium'!$H$17</f>
        <v>1.1855237625000001</v>
      </c>
      <c r="K11" s="143">
        <f t="shared" ref="K11:K15" si="1">J11/I11</f>
        <v>1.215921807692308</v>
      </c>
      <c r="N11" s="53"/>
    </row>
    <row r="12" spans="1:14" x14ac:dyDescent="0.3">
      <c r="A12" s="16">
        <f t="shared" si="0"/>
        <v>2015</v>
      </c>
      <c r="B12" s="182">
        <v>0</v>
      </c>
      <c r="C12" s="182">
        <v>0.75</v>
      </c>
      <c r="D12" s="182">
        <v>0.25</v>
      </c>
      <c r="E12" s="182">
        <v>0</v>
      </c>
      <c r="F12" s="182">
        <v>0</v>
      </c>
      <c r="G12" s="182">
        <v>0</v>
      </c>
      <c r="H12" s="182">
        <v>0</v>
      </c>
      <c r="I12" s="152">
        <f t="shared" ref="I12:I15" si="2">SUMPRODUCT(B12:H12,B$17:H$17)</f>
        <v>0.97374999999999989</v>
      </c>
      <c r="J12" s="36">
        <f>'CRL - 2 Earned Premium'!$H$17</f>
        <v>1.1855237625000001</v>
      </c>
      <c r="K12" s="143">
        <f t="shared" si="1"/>
        <v>1.2174826829268295</v>
      </c>
      <c r="N12" s="53"/>
    </row>
    <row r="13" spans="1:14" x14ac:dyDescent="0.3">
      <c r="A13" s="16">
        <f t="shared" si="0"/>
        <v>2016</v>
      </c>
      <c r="B13" s="182">
        <v>0</v>
      </c>
      <c r="C13" s="182">
        <v>0</v>
      </c>
      <c r="D13" s="182">
        <v>0.9375</v>
      </c>
      <c r="E13" s="182">
        <v>6.25E-2</v>
      </c>
      <c r="F13" s="182">
        <v>0</v>
      </c>
      <c r="G13" s="182">
        <v>0</v>
      </c>
      <c r="H13" s="182">
        <v>0</v>
      </c>
      <c r="I13" s="152">
        <f t="shared" si="2"/>
        <v>1.048265625</v>
      </c>
      <c r="J13" s="36">
        <f>'CRL - 2 Earned Premium'!$H$17</f>
        <v>1.1855237625000001</v>
      </c>
      <c r="K13" s="143">
        <f t="shared" si="1"/>
        <v>1.1309383177570096</v>
      </c>
      <c r="N13" s="53"/>
    </row>
    <row r="14" spans="1:14" x14ac:dyDescent="0.3">
      <c r="A14" s="16">
        <f t="shared" si="0"/>
        <v>2017</v>
      </c>
      <c r="B14" s="182">
        <v>0</v>
      </c>
      <c r="C14" s="182">
        <v>0</v>
      </c>
      <c r="D14" s="182">
        <v>6.25E-2</v>
      </c>
      <c r="E14" s="182">
        <v>0.6875</v>
      </c>
      <c r="F14" s="182">
        <v>0.25</v>
      </c>
      <c r="G14" s="182">
        <v>0</v>
      </c>
      <c r="H14" s="182">
        <v>0</v>
      </c>
      <c r="I14" s="152">
        <f t="shared" si="2"/>
        <v>1.0884981250000001</v>
      </c>
      <c r="J14" s="36">
        <f>'CRL - 2 Earned Premium'!$H$17</f>
        <v>1.1855237625000001</v>
      </c>
      <c r="K14" s="143">
        <f t="shared" si="1"/>
        <v>1.0891371654866195</v>
      </c>
      <c r="N14" s="53"/>
    </row>
    <row r="15" spans="1:14" x14ac:dyDescent="0.3">
      <c r="A15" s="16">
        <f>LatestYear</f>
        <v>2018</v>
      </c>
      <c r="B15" s="182">
        <v>0</v>
      </c>
      <c r="C15" s="182">
        <v>0</v>
      </c>
      <c r="D15" s="182">
        <v>0</v>
      </c>
      <c r="E15" s="182">
        <v>0</v>
      </c>
      <c r="F15" s="182">
        <v>0.9375</v>
      </c>
      <c r="G15" s="182">
        <v>6.25E-2</v>
      </c>
      <c r="H15" s="182">
        <v>0</v>
      </c>
      <c r="I15" s="152">
        <f t="shared" si="2"/>
        <v>1.078665328125</v>
      </c>
      <c r="J15" s="36">
        <f>'CRL - 2 Earned Premium'!$H$17</f>
        <v>1.1855237625000001</v>
      </c>
      <c r="K15" s="143">
        <f t="shared" si="1"/>
        <v>1.0990654205607477</v>
      </c>
      <c r="N15" s="53"/>
    </row>
    <row r="16" spans="1:14" x14ac:dyDescent="0.3">
      <c r="B16" s="16"/>
      <c r="C16" s="16"/>
      <c r="D16" s="16"/>
      <c r="E16" s="16"/>
      <c r="F16" s="16"/>
      <c r="G16" s="16"/>
      <c r="H16" s="16"/>
    </row>
    <row r="17" spans="1:8" x14ac:dyDescent="0.3">
      <c r="A17" s="16" t="s">
        <v>123</v>
      </c>
      <c r="B17" s="36">
        <f>VLOOKUP(B10,'Current Rate Level - 1'!$A$10:$F$16,6,FALSE)</f>
        <v>1</v>
      </c>
      <c r="C17" s="36">
        <f>VLOOKUP(C10,'Current Rate Level - 1'!$A$10:$F$16,6,FALSE)</f>
        <v>0.95</v>
      </c>
      <c r="D17" s="36">
        <f>VLOOKUP(D10,'Current Rate Level - 1'!$A$10:$F$16,6,FALSE)</f>
        <v>1.0449999999999999</v>
      </c>
      <c r="E17" s="36">
        <f>VLOOKUP(E10,'Current Rate Level - 1'!$A$10:$F$16,6,FALSE)</f>
        <v>1.0972500000000001</v>
      </c>
      <c r="F17" s="36">
        <f>VLOOKUP(F10,'Current Rate Level - 1'!$A$10:$F$16,6,FALSE)</f>
        <v>1.075305</v>
      </c>
      <c r="G17" s="36">
        <f>VLOOKUP(G10,'Current Rate Level - 1'!$A$10:$F$16,6,FALSE)</f>
        <v>1.1290702500000001</v>
      </c>
      <c r="H17" s="36">
        <f>VLOOKUP(H10,'Current Rate Level - 1'!$A$10:$F$16,6,FALSE)</f>
        <v>1.1855237625000001</v>
      </c>
    </row>
    <row r="19" spans="1:8" x14ac:dyDescent="0.3">
      <c r="A19" s="9" t="s">
        <v>124</v>
      </c>
      <c r="B19" t="s">
        <v>125</v>
      </c>
    </row>
    <row r="20" spans="1:8" x14ac:dyDescent="0.3">
      <c r="A20" s="9" t="s">
        <v>117</v>
      </c>
      <c r="B20" t="s">
        <v>126</v>
      </c>
    </row>
    <row r="21" spans="1:8" x14ac:dyDescent="0.3">
      <c r="A21" s="9" t="s">
        <v>110</v>
      </c>
      <c r="B21" s="14" t="s">
        <v>127</v>
      </c>
    </row>
    <row r="22" spans="1:8" x14ac:dyDescent="0.3">
      <c r="A22" s="9" t="s">
        <v>112</v>
      </c>
      <c r="B22" s="148" t="s">
        <v>128</v>
      </c>
      <c r="C22" s="149"/>
      <c r="D22" s="149"/>
      <c r="E22" s="149"/>
      <c r="F22" s="149"/>
    </row>
  </sheetData>
  <printOptions horizontalCentered="1"/>
  <pageMargins left="0.7" right="0.7" top="0.75" bottom="0.75" header="0.3" footer="0.3"/>
  <pageSetup scale="99" fitToHeight="0" orientation="landscape" r:id="rId1"/>
  <headerFooter>
    <oddFooter>&amp;R&amp;1#&amp;"Calibri"&amp;10&amp;K317100Public Information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58"/>
  <sheetViews>
    <sheetView zoomScaleNormal="100" zoomScaleSheetLayoutView="85" workbookViewId="0">
      <selection activeCell="A2" sqref="A2"/>
    </sheetView>
  </sheetViews>
  <sheetFormatPr defaultColWidth="2.88671875" defaultRowHeight="14.4" x14ac:dyDescent="0.3"/>
  <cols>
    <col min="1" max="1" width="13.109375" style="54" bestFit="1" customWidth="1"/>
    <col min="2" max="2" width="7.44140625" style="54" bestFit="1" customWidth="1"/>
    <col min="3" max="3" width="2.88671875" style="54" customWidth="1"/>
    <col min="4" max="16384" width="2.88671875" style="54"/>
  </cols>
  <sheetData>
    <row r="1" spans="1:51" customFormat="1" x14ac:dyDescent="0.3">
      <c r="A1" s="170" t="s">
        <v>129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2"/>
    </row>
    <row r="2" spans="1:51" customFormat="1" ht="15" thickBot="1" x14ac:dyDescent="0.35">
      <c r="A2" s="178" t="s">
        <v>130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5"/>
    </row>
    <row r="3" spans="1:51" x14ac:dyDescent="0.3">
      <c r="A3" s="55" t="str">
        <f>State</f>
        <v>Texachussetts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</row>
    <row r="4" spans="1:51" x14ac:dyDescent="0.3">
      <c r="A4" s="55" t="str">
        <f>Company</f>
        <v>CAS Rocks Insurance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</row>
    <row r="5" spans="1:51" x14ac:dyDescent="0.3">
      <c r="A5" s="55" t="str">
        <f>LOB</f>
        <v>Private Passenger Auto: Property Damage Liability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</row>
    <row r="7" spans="1:51" x14ac:dyDescent="0.3">
      <c r="C7" s="64">
        <f>K7-1</f>
        <v>2014</v>
      </c>
      <c r="D7" s="65"/>
      <c r="E7" s="65"/>
      <c r="F7" s="65"/>
      <c r="G7" s="65"/>
      <c r="H7" s="65"/>
      <c r="I7" s="65"/>
      <c r="J7" s="66"/>
      <c r="K7" s="64">
        <f>S7-1</f>
        <v>2015</v>
      </c>
      <c r="L7" s="65"/>
      <c r="M7" s="65"/>
      <c r="N7" s="65"/>
      <c r="O7" s="65"/>
      <c r="P7" s="65"/>
      <c r="Q7" s="65"/>
      <c r="R7" s="66"/>
      <c r="S7" s="64">
        <f>AA7-1</f>
        <v>2016</v>
      </c>
      <c r="T7" s="65"/>
      <c r="U7" s="65"/>
      <c r="V7" s="65"/>
      <c r="W7" s="65"/>
      <c r="X7" s="65"/>
      <c r="Y7" s="65"/>
      <c r="Z7" s="66"/>
      <c r="AA7" s="64">
        <f>AI7-1</f>
        <v>2017</v>
      </c>
      <c r="AB7" s="65"/>
      <c r="AC7" s="65"/>
      <c r="AD7" s="65"/>
      <c r="AE7" s="65"/>
      <c r="AF7" s="65"/>
      <c r="AG7" s="65"/>
      <c r="AH7" s="66"/>
      <c r="AI7" s="64">
        <f>LatestYear</f>
        <v>2018</v>
      </c>
      <c r="AJ7" s="65"/>
      <c r="AK7" s="65"/>
      <c r="AL7" s="65"/>
      <c r="AM7" s="65"/>
      <c r="AN7" s="65"/>
      <c r="AO7" s="65"/>
      <c r="AP7" s="66"/>
    </row>
    <row r="8" spans="1:51" x14ac:dyDescent="0.3">
      <c r="C8" s="67" t="s">
        <v>131</v>
      </c>
      <c r="D8" s="68"/>
      <c r="E8" s="67" t="s">
        <v>132</v>
      </c>
      <c r="F8" s="68"/>
      <c r="G8" s="67" t="s">
        <v>133</v>
      </c>
      <c r="H8" s="68"/>
      <c r="I8" s="67" t="s">
        <v>134</v>
      </c>
      <c r="J8" s="68"/>
      <c r="K8" s="64" t="s">
        <v>131</v>
      </c>
      <c r="L8" s="66"/>
      <c r="M8" s="64" t="s">
        <v>132</v>
      </c>
      <c r="N8" s="66"/>
      <c r="O8" s="64" t="s">
        <v>133</v>
      </c>
      <c r="P8" s="66"/>
      <c r="Q8" s="64" t="s">
        <v>134</v>
      </c>
      <c r="R8" s="66"/>
      <c r="S8" s="64" t="s">
        <v>131</v>
      </c>
      <c r="T8" s="66"/>
      <c r="U8" s="64" t="s">
        <v>132</v>
      </c>
      <c r="V8" s="66"/>
      <c r="W8" s="64" t="s">
        <v>133</v>
      </c>
      <c r="X8" s="66"/>
      <c r="Y8" s="64" t="s">
        <v>134</v>
      </c>
      <c r="Z8" s="66"/>
      <c r="AA8" s="64" t="s">
        <v>131</v>
      </c>
      <c r="AB8" s="66"/>
      <c r="AC8" s="64" t="s">
        <v>132</v>
      </c>
      <c r="AD8" s="66"/>
      <c r="AE8" s="64" t="s">
        <v>133</v>
      </c>
      <c r="AF8" s="66"/>
      <c r="AG8" s="64" t="s">
        <v>134</v>
      </c>
      <c r="AH8" s="66"/>
      <c r="AI8" s="64" t="s">
        <v>131</v>
      </c>
      <c r="AJ8" s="66"/>
      <c r="AK8" s="64" t="s">
        <v>132</v>
      </c>
      <c r="AL8" s="66"/>
      <c r="AM8" s="64" t="s">
        <v>133</v>
      </c>
      <c r="AN8" s="66"/>
      <c r="AO8" s="64" t="s">
        <v>134</v>
      </c>
      <c r="AP8" s="66"/>
    </row>
    <row r="9" spans="1:51" x14ac:dyDescent="0.3">
      <c r="B9" s="56">
        <v>1</v>
      </c>
      <c r="C9" s="74"/>
      <c r="D9" s="75"/>
      <c r="E9" s="76"/>
      <c r="F9" s="75"/>
      <c r="G9" s="76"/>
      <c r="H9" s="75"/>
      <c r="I9" s="76"/>
      <c r="J9" s="77"/>
      <c r="K9" s="74"/>
      <c r="L9" s="75"/>
      <c r="M9" s="76"/>
      <c r="N9" s="75"/>
      <c r="O9" s="76"/>
      <c r="P9" s="75"/>
      <c r="Q9" s="76"/>
      <c r="R9" s="77"/>
      <c r="S9" s="74"/>
      <c r="T9" s="75"/>
      <c r="U9" s="76"/>
      <c r="V9" s="75"/>
      <c r="W9" s="76"/>
      <c r="X9" s="75"/>
      <c r="Y9" s="76"/>
      <c r="Z9" s="77"/>
      <c r="AA9" s="74"/>
      <c r="AB9" s="75"/>
      <c r="AC9" s="76"/>
      <c r="AD9" s="75"/>
      <c r="AE9" s="76"/>
      <c r="AF9" s="75"/>
      <c r="AG9" s="76"/>
      <c r="AH9" s="77"/>
      <c r="AI9" s="74"/>
      <c r="AJ9" s="75"/>
      <c r="AK9" s="76"/>
      <c r="AL9" s="75"/>
      <c r="AM9" s="76"/>
      <c r="AN9" s="75"/>
      <c r="AO9" s="76"/>
      <c r="AP9" s="77"/>
    </row>
    <row r="10" spans="1:51" x14ac:dyDescent="0.3">
      <c r="B10" s="57"/>
      <c r="C10" s="78"/>
      <c r="D10" s="72"/>
      <c r="E10" s="71"/>
      <c r="F10" s="72"/>
      <c r="G10" s="71"/>
      <c r="H10" s="72"/>
      <c r="I10" s="71"/>
      <c r="J10" s="79"/>
      <c r="K10" s="78"/>
      <c r="L10" s="72"/>
      <c r="M10" s="71"/>
      <c r="N10" s="72"/>
      <c r="O10" s="71"/>
      <c r="P10" s="72"/>
      <c r="Q10" s="71"/>
      <c r="R10" s="79"/>
      <c r="S10" s="78"/>
      <c r="T10" s="72"/>
      <c r="U10" s="71"/>
      <c r="V10" s="72"/>
      <c r="W10" s="71"/>
      <c r="X10" s="72"/>
      <c r="Y10" s="71"/>
      <c r="Z10" s="79"/>
      <c r="AA10" s="78"/>
      <c r="AB10" s="72"/>
      <c r="AC10" s="71"/>
      <c r="AD10" s="72"/>
      <c r="AE10" s="71"/>
      <c r="AF10" s="72"/>
      <c r="AG10" s="71"/>
      <c r="AH10" s="79"/>
      <c r="AI10" s="78"/>
      <c r="AJ10" s="72"/>
      <c r="AK10" s="71"/>
      <c r="AL10" s="72"/>
      <c r="AM10" s="71"/>
      <c r="AN10" s="72"/>
      <c r="AO10" s="71"/>
      <c r="AP10" s="79"/>
    </row>
    <row r="11" spans="1:51" x14ac:dyDescent="0.3">
      <c r="B11" s="57"/>
      <c r="C11" s="80" t="s">
        <v>135</v>
      </c>
      <c r="D11" s="70"/>
      <c r="E11" s="69"/>
      <c r="F11" s="70"/>
      <c r="G11" s="69"/>
      <c r="H11" s="70"/>
      <c r="I11" s="69"/>
      <c r="J11" s="81" t="s">
        <v>136</v>
      </c>
      <c r="K11" s="80"/>
      <c r="L11" s="70"/>
      <c r="M11" s="69"/>
      <c r="N11" s="70"/>
      <c r="O11" s="69"/>
      <c r="P11" s="70"/>
      <c r="Q11" s="69"/>
      <c r="R11" s="81"/>
      <c r="S11" s="80" t="s">
        <v>137</v>
      </c>
      <c r="T11" s="70"/>
      <c r="U11" s="69"/>
      <c r="V11" s="70"/>
      <c r="W11" s="69"/>
      <c r="X11" s="70"/>
      <c r="Y11" s="69"/>
      <c r="Z11" s="81"/>
      <c r="AA11" s="80"/>
      <c r="AB11" s="70"/>
      <c r="AC11" s="69" t="s">
        <v>138</v>
      </c>
      <c r="AD11" s="70"/>
      <c r="AE11" s="69"/>
      <c r="AF11" s="70"/>
      <c r="AG11" s="69"/>
      <c r="AH11" s="81"/>
      <c r="AI11" s="80"/>
      <c r="AJ11" s="70"/>
      <c r="AK11" s="69" t="s">
        <v>139</v>
      </c>
      <c r="AL11" s="70"/>
      <c r="AM11" s="69"/>
      <c r="AN11" s="70"/>
      <c r="AO11" s="69"/>
      <c r="AP11" s="81"/>
      <c r="AR11" s="69" t="s">
        <v>140</v>
      </c>
      <c r="AS11" s="70"/>
      <c r="AT11" s="69"/>
      <c r="AU11" s="70"/>
    </row>
    <row r="12" spans="1:51" x14ac:dyDescent="0.3">
      <c r="B12" s="58"/>
      <c r="C12" s="138">
        <f>'Current Rate Level - 1'!F10</f>
        <v>1</v>
      </c>
      <c r="D12" s="87"/>
      <c r="E12" s="86"/>
      <c r="F12" s="135"/>
      <c r="G12" s="71"/>
      <c r="H12" s="72"/>
      <c r="I12" s="71"/>
      <c r="J12" s="79"/>
      <c r="K12" s="138">
        <f>'Current Rate Level - 1'!E11</f>
        <v>0.95</v>
      </c>
      <c r="L12" s="87"/>
      <c r="M12" s="86"/>
      <c r="N12" s="135"/>
      <c r="O12" s="71"/>
      <c r="P12" s="72"/>
      <c r="Q12" s="71"/>
      <c r="R12" s="79"/>
      <c r="S12" s="138">
        <f>'Current Rate Level - 1'!F12</f>
        <v>1.0449999999999999</v>
      </c>
      <c r="T12" s="134"/>
      <c r="U12" s="86"/>
      <c r="V12" s="135"/>
      <c r="W12" s="71"/>
      <c r="X12" s="72"/>
      <c r="Y12" s="71"/>
      <c r="Z12" s="79"/>
      <c r="AA12" s="78"/>
      <c r="AB12" s="72"/>
      <c r="AC12" s="136">
        <f>'Current Rate Level - 1'!F13</f>
        <v>1.0972500000000001</v>
      </c>
      <c r="AD12" s="87"/>
      <c r="AE12" s="86"/>
      <c r="AF12" s="135"/>
      <c r="AG12" s="71"/>
      <c r="AH12" s="79"/>
      <c r="AI12" s="78"/>
      <c r="AJ12" s="72"/>
      <c r="AK12" s="136">
        <f>'Current Rate Level - 1'!F14</f>
        <v>1.075305</v>
      </c>
      <c r="AL12" s="87"/>
      <c r="AM12" s="86"/>
      <c r="AN12" s="135"/>
      <c r="AO12" s="71"/>
      <c r="AP12" s="79"/>
      <c r="AR12" s="133">
        <f>'Current Rate Level - 1'!F15</f>
        <v>1.1290702500000001</v>
      </c>
      <c r="AS12" s="87"/>
      <c r="AT12" s="86"/>
      <c r="AU12" s="135"/>
    </row>
    <row r="13" spans="1:51" x14ac:dyDescent="0.3">
      <c r="B13" s="58">
        <v>0.5</v>
      </c>
      <c r="C13" s="80"/>
      <c r="D13" s="70"/>
      <c r="E13" s="69"/>
      <c r="F13" s="70"/>
      <c r="G13" s="69"/>
      <c r="H13" s="70"/>
      <c r="I13" s="69"/>
      <c r="J13" s="81"/>
      <c r="K13" s="80"/>
      <c r="L13" s="70"/>
      <c r="M13" s="69"/>
      <c r="N13" s="70"/>
      <c r="O13" s="69"/>
      <c r="P13" s="70"/>
      <c r="Q13" s="69"/>
      <c r="R13" s="81"/>
      <c r="S13" s="80"/>
      <c r="T13" s="70"/>
      <c r="U13" s="69"/>
      <c r="V13" s="70"/>
      <c r="W13" s="69"/>
      <c r="X13" s="70"/>
      <c r="Y13" s="69"/>
      <c r="Z13" s="81"/>
      <c r="AA13" s="80"/>
      <c r="AB13" s="70"/>
      <c r="AC13" s="69"/>
      <c r="AD13" s="70"/>
      <c r="AE13" s="69"/>
      <c r="AF13" s="70"/>
      <c r="AG13" s="69"/>
      <c r="AH13" s="81"/>
      <c r="AI13" s="80"/>
      <c r="AJ13" s="70"/>
      <c r="AK13" s="69"/>
      <c r="AL13" s="70"/>
      <c r="AM13" s="69"/>
      <c r="AN13" s="70"/>
      <c r="AO13" s="69"/>
      <c r="AP13" s="81"/>
    </row>
    <row r="14" spans="1:51" x14ac:dyDescent="0.3">
      <c r="B14" s="57"/>
      <c r="C14" s="78"/>
      <c r="D14" s="72"/>
      <c r="E14" s="71"/>
      <c r="F14" s="72"/>
      <c r="G14" s="71"/>
      <c r="H14" s="72"/>
      <c r="I14" s="71"/>
      <c r="J14" s="79"/>
      <c r="K14" s="78"/>
      <c r="L14" s="72"/>
      <c r="M14" s="71"/>
      <c r="N14" s="72"/>
      <c r="O14" s="71"/>
      <c r="P14" s="72"/>
      <c r="Q14" s="71"/>
      <c r="R14" s="79"/>
      <c r="S14" s="78"/>
      <c r="T14" s="72"/>
      <c r="U14" s="71"/>
      <c r="V14" s="72"/>
      <c r="W14" s="71"/>
      <c r="X14" s="72"/>
      <c r="Y14" s="71"/>
      <c r="Z14" s="79"/>
      <c r="AA14" s="78"/>
      <c r="AB14" s="72"/>
      <c r="AC14" s="71"/>
      <c r="AD14" s="72"/>
      <c r="AE14" s="71"/>
      <c r="AF14" s="72"/>
      <c r="AG14" s="71"/>
      <c r="AH14" s="79"/>
      <c r="AI14" s="78"/>
      <c r="AJ14" s="72"/>
      <c r="AK14" s="71"/>
      <c r="AL14" s="72"/>
      <c r="AM14" s="71"/>
      <c r="AN14" s="72"/>
      <c r="AO14" s="71"/>
      <c r="AP14" s="79"/>
    </row>
    <row r="15" spans="1:51" x14ac:dyDescent="0.3">
      <c r="B15" s="57"/>
      <c r="C15" s="80"/>
      <c r="D15" s="70"/>
      <c r="E15" s="69"/>
      <c r="F15" s="70"/>
      <c r="G15" s="69"/>
      <c r="H15" s="70"/>
      <c r="I15" s="69"/>
      <c r="J15" s="81"/>
      <c r="K15" s="80"/>
      <c r="L15" s="70"/>
      <c r="M15" s="69"/>
      <c r="N15" s="70"/>
      <c r="O15" s="69"/>
      <c r="P15" s="70"/>
      <c r="Q15" s="69"/>
      <c r="R15" s="81"/>
      <c r="S15" s="80"/>
      <c r="T15" s="70"/>
      <c r="U15" s="69"/>
      <c r="V15" s="70"/>
      <c r="W15" s="69"/>
      <c r="X15" s="70"/>
      <c r="Y15" s="69"/>
      <c r="Z15" s="81"/>
      <c r="AA15" s="80"/>
      <c r="AB15" s="70"/>
      <c r="AC15" s="69"/>
      <c r="AD15" s="70"/>
      <c r="AE15" s="69"/>
      <c r="AF15" s="70"/>
      <c r="AG15" s="69"/>
      <c r="AH15" s="81"/>
      <c r="AI15" s="80"/>
      <c r="AJ15" s="70"/>
      <c r="AK15" s="69"/>
      <c r="AL15" s="70"/>
      <c r="AM15" s="69"/>
      <c r="AN15" s="70"/>
      <c r="AO15" s="69"/>
      <c r="AP15" s="81"/>
    </row>
    <row r="16" spans="1:51" x14ac:dyDescent="0.3">
      <c r="B16" s="58"/>
      <c r="C16" s="82"/>
      <c r="D16" s="83"/>
      <c r="E16" s="84"/>
      <c r="F16" s="83"/>
      <c r="G16" s="84"/>
      <c r="H16" s="83"/>
      <c r="I16" s="84"/>
      <c r="J16" s="85"/>
      <c r="K16" s="82"/>
      <c r="L16" s="83"/>
      <c r="M16" s="84"/>
      <c r="N16" s="83"/>
      <c r="O16" s="84"/>
      <c r="P16" s="83"/>
      <c r="Q16" s="84"/>
      <c r="R16" s="85"/>
      <c r="S16" s="82"/>
      <c r="T16" s="83"/>
      <c r="U16" s="84"/>
      <c r="V16" s="83"/>
      <c r="W16" s="84"/>
      <c r="X16" s="83"/>
      <c r="Y16" s="84"/>
      <c r="Z16" s="85"/>
      <c r="AA16" s="82"/>
      <c r="AB16" s="83"/>
      <c r="AC16" s="84"/>
      <c r="AD16" s="83"/>
      <c r="AE16" s="84"/>
      <c r="AF16" s="83"/>
      <c r="AG16" s="84"/>
      <c r="AH16" s="85"/>
      <c r="AI16" s="82"/>
      <c r="AJ16" s="83"/>
      <c r="AK16" s="84"/>
      <c r="AL16" s="83"/>
      <c r="AM16" s="84"/>
      <c r="AN16" s="83"/>
      <c r="AO16" s="84"/>
      <c r="AP16" s="85"/>
    </row>
    <row r="17" spans="2:46" ht="7.5" customHeight="1" x14ac:dyDescent="0.3">
      <c r="B17" s="207">
        <v>0</v>
      </c>
      <c r="D17" s="73"/>
      <c r="N17" s="59"/>
      <c r="X17" s="59"/>
      <c r="AD17" s="59"/>
      <c r="AN17" s="59"/>
      <c r="AP17" s="59"/>
    </row>
    <row r="18" spans="2:46" x14ac:dyDescent="0.3">
      <c r="B18" s="208">
        <v>0</v>
      </c>
      <c r="C18" s="60"/>
      <c r="D18" s="61" t="s">
        <v>141</v>
      </c>
      <c r="H18" s="60"/>
      <c r="I18" s="55"/>
      <c r="M18" s="60"/>
      <c r="N18" s="62" t="s">
        <v>142</v>
      </c>
      <c r="P18" s="60"/>
      <c r="Q18" s="55"/>
      <c r="U18" s="60"/>
      <c r="V18" s="55"/>
      <c r="X18" s="63" t="s">
        <v>143</v>
      </c>
      <c r="AD18" s="63" t="s">
        <v>144</v>
      </c>
      <c r="AM18" s="57"/>
      <c r="AN18" s="63" t="s">
        <v>143</v>
      </c>
      <c r="AP18" s="63" t="s">
        <v>143</v>
      </c>
    </row>
    <row r="19" spans="2:46" x14ac:dyDescent="0.3">
      <c r="C19" s="55" t="s">
        <v>131</v>
      </c>
      <c r="D19" s="55"/>
      <c r="E19" s="55" t="s">
        <v>132</v>
      </c>
      <c r="F19" s="55"/>
      <c r="G19" s="55" t="s">
        <v>133</v>
      </c>
      <c r="H19" s="55"/>
      <c r="I19" s="55" t="s">
        <v>134</v>
      </c>
      <c r="J19" s="55"/>
      <c r="K19" s="55" t="s">
        <v>131</v>
      </c>
      <c r="L19" s="55"/>
      <c r="M19" s="55" t="s">
        <v>132</v>
      </c>
      <c r="N19" s="55"/>
      <c r="O19" s="55" t="s">
        <v>133</v>
      </c>
      <c r="P19" s="55"/>
      <c r="Q19" s="55" t="s">
        <v>134</v>
      </c>
      <c r="R19" s="55"/>
      <c r="S19" s="55" t="s">
        <v>131</v>
      </c>
      <c r="T19" s="55"/>
      <c r="U19" s="55" t="s">
        <v>132</v>
      </c>
      <c r="V19" s="55"/>
      <c r="W19" s="55" t="s">
        <v>133</v>
      </c>
      <c r="X19" s="55"/>
      <c r="Y19" s="55" t="s">
        <v>134</v>
      </c>
      <c r="Z19" s="55"/>
      <c r="AA19" s="55" t="s">
        <v>131</v>
      </c>
      <c r="AB19" s="55"/>
      <c r="AC19" s="55" t="s">
        <v>132</v>
      </c>
      <c r="AD19" s="55"/>
      <c r="AE19" s="55" t="s">
        <v>133</v>
      </c>
      <c r="AF19" s="55"/>
      <c r="AG19" s="55" t="s">
        <v>134</v>
      </c>
      <c r="AH19" s="55"/>
      <c r="AI19" s="55" t="s">
        <v>131</v>
      </c>
      <c r="AJ19" s="55"/>
      <c r="AK19" s="55" t="s">
        <v>132</v>
      </c>
      <c r="AL19" s="55"/>
      <c r="AM19" s="55" t="s">
        <v>133</v>
      </c>
      <c r="AN19" s="55"/>
      <c r="AO19" s="55" t="s">
        <v>134</v>
      </c>
      <c r="AP19" s="55"/>
    </row>
    <row r="20" spans="2:46" x14ac:dyDescent="0.3">
      <c r="C20" s="55">
        <v>2014</v>
      </c>
      <c r="D20" s="55"/>
      <c r="E20" s="55"/>
      <c r="F20" s="55"/>
      <c r="G20" s="55"/>
      <c r="H20" s="55"/>
      <c r="I20" s="55"/>
      <c r="J20" s="55"/>
      <c r="K20" s="55">
        <f>C20+1</f>
        <v>2015</v>
      </c>
      <c r="L20" s="55"/>
      <c r="M20" s="55"/>
      <c r="N20" s="55"/>
      <c r="O20" s="55"/>
      <c r="P20" s="55"/>
      <c r="Q20" s="55"/>
      <c r="R20" s="55"/>
      <c r="S20" s="55">
        <f>K20+1</f>
        <v>2016</v>
      </c>
      <c r="T20" s="55"/>
      <c r="U20" s="55"/>
      <c r="V20" s="55"/>
      <c r="W20" s="55"/>
      <c r="X20" s="55"/>
      <c r="Y20" s="55"/>
      <c r="Z20" s="55"/>
      <c r="AA20" s="55">
        <f>S20+1</f>
        <v>2017</v>
      </c>
      <c r="AB20" s="55"/>
      <c r="AC20" s="55"/>
      <c r="AD20" s="55"/>
      <c r="AE20" s="55"/>
      <c r="AF20" s="55"/>
      <c r="AG20" s="55"/>
      <c r="AH20" s="55"/>
      <c r="AI20" s="55">
        <f>AA20+1</f>
        <v>2018</v>
      </c>
      <c r="AJ20" s="55"/>
      <c r="AK20" s="55"/>
      <c r="AL20" s="55"/>
      <c r="AM20" s="55"/>
      <c r="AN20" s="55"/>
      <c r="AO20" s="55"/>
      <c r="AP20" s="55"/>
    </row>
    <row r="22" spans="2:46" x14ac:dyDescent="0.3">
      <c r="AQ22" s="89" t="s">
        <v>145</v>
      </c>
      <c r="AR22" s="90"/>
      <c r="AS22" s="90"/>
      <c r="AT22" s="91"/>
    </row>
    <row r="23" spans="2:46" x14ac:dyDescent="0.3">
      <c r="AQ23" s="139">
        <f>'Current Rate Level - 1'!F16</f>
        <v>1.1855237625000001</v>
      </c>
      <c r="AR23" s="93"/>
      <c r="AS23" s="94"/>
      <c r="AT23" s="137"/>
    </row>
    <row r="27" spans="2:46" x14ac:dyDescent="0.3">
      <c r="C27" s="64">
        <v>2017</v>
      </c>
      <c r="D27" s="65"/>
      <c r="E27" s="65"/>
      <c r="F27" s="65"/>
      <c r="G27" s="65"/>
      <c r="H27" s="65"/>
      <c r="I27" s="65"/>
      <c r="J27" s="66"/>
      <c r="K27" s="64"/>
      <c r="L27" s="65"/>
      <c r="M27" s="65"/>
      <c r="N27" s="65"/>
      <c r="O27" s="65"/>
      <c r="P27" s="65"/>
      <c r="Q27" s="65"/>
      <c r="R27" s="66"/>
    </row>
    <row r="28" spans="2:46" x14ac:dyDescent="0.3">
      <c r="C28" s="67" t="s">
        <v>131</v>
      </c>
      <c r="D28" s="68"/>
      <c r="E28" s="67"/>
      <c r="F28" s="68"/>
      <c r="G28" s="67" t="s">
        <v>132</v>
      </c>
      <c r="H28" s="68"/>
      <c r="I28" s="67"/>
      <c r="J28" s="68"/>
      <c r="K28" s="67" t="s">
        <v>133</v>
      </c>
      <c r="L28" s="68"/>
      <c r="M28" s="67"/>
      <c r="N28" s="68"/>
      <c r="O28" s="67" t="s">
        <v>134</v>
      </c>
      <c r="P28" s="68"/>
      <c r="Q28" s="67"/>
      <c r="R28" s="68"/>
    </row>
    <row r="29" spans="2:46" x14ac:dyDescent="0.3">
      <c r="B29" s="56">
        <v>1</v>
      </c>
      <c r="C29" s="89"/>
      <c r="D29" s="90"/>
      <c r="E29" s="90"/>
      <c r="F29" s="96"/>
      <c r="G29" s="108"/>
      <c r="H29" s="90"/>
      <c r="I29" s="90"/>
      <c r="J29" s="96"/>
      <c r="K29" s="108"/>
      <c r="L29" s="90"/>
      <c r="M29" s="90"/>
      <c r="N29" s="96"/>
      <c r="O29" s="108"/>
      <c r="P29" s="90"/>
      <c r="Q29" s="90"/>
      <c r="R29" s="91"/>
      <c r="X29" s="54" t="str">
        <f>"Area for Rate Level C ("&amp;TEXT(S12,"0.0000")&amp;") = 1/64 + 3/64 = 1/16 = "&amp;1/16</f>
        <v>Area for Rate Level C (1.0450) = 1/64 + 3/64 = 1/16 = 0.0625</v>
      </c>
    </row>
    <row r="30" spans="2:46" x14ac:dyDescent="0.3">
      <c r="B30" s="57"/>
      <c r="C30" s="97"/>
      <c r="D30" s="57" t="s">
        <v>146</v>
      </c>
      <c r="F30" s="98"/>
      <c r="G30" s="106"/>
      <c r="H30" s="114" t="s">
        <v>147</v>
      </c>
      <c r="I30" s="55"/>
      <c r="J30" s="98"/>
      <c r="K30" s="106"/>
      <c r="L30" s="114" t="s">
        <v>147</v>
      </c>
      <c r="M30" s="55"/>
      <c r="N30" s="98"/>
      <c r="O30" s="106"/>
      <c r="P30" s="57" t="s">
        <v>146</v>
      </c>
      <c r="R30" s="73"/>
      <c r="X30" s="54" t="str">
        <f>"Area for Rate Level D ("&amp;TEXT(AC12,"0.0000")&amp;") = 1/64 x 2 + 3/64 x 2 + 1/16 x 8 = 11/16 = "&amp;11/16</f>
        <v>Area for Rate Level D (1.0973) = 1/64 x 2 + 3/64 x 2 + 1/16 x 8 = 11/16 = 0.6875</v>
      </c>
    </row>
    <row r="31" spans="2:46" ht="15.6" x14ac:dyDescent="0.3">
      <c r="B31" s="57"/>
      <c r="C31" s="130" t="s">
        <v>103</v>
      </c>
      <c r="D31" s="128"/>
      <c r="F31" s="115" t="s">
        <v>148</v>
      </c>
      <c r="G31" s="106"/>
      <c r="J31" s="98"/>
      <c r="K31" s="106"/>
      <c r="N31" s="98"/>
      <c r="O31" s="106"/>
      <c r="R31" s="117" t="s">
        <v>148</v>
      </c>
      <c r="X31" s="54" t="str">
        <f>"Area for Rate Level E ("&amp;TEXT(AK12,"0.0000")&amp;") = 1/64 x 2 + 3/64 x 2 + 1/16 x 2 = 4/16 = "&amp;4/16</f>
        <v>Area for Rate Level E (1.0753) = 1/64 x 2 + 3/64 x 2 + 1/16 x 2 = 4/16 = 0.25</v>
      </c>
    </row>
    <row r="32" spans="2:46" x14ac:dyDescent="0.3">
      <c r="B32" s="58"/>
      <c r="C32" s="99"/>
      <c r="D32" s="100"/>
      <c r="E32" s="101"/>
      <c r="F32" s="102">
        <v>64</v>
      </c>
      <c r="G32" s="107"/>
      <c r="H32" s="100"/>
      <c r="I32" s="101"/>
      <c r="J32" s="102"/>
      <c r="K32" s="107"/>
      <c r="L32" s="100"/>
      <c r="M32" s="101"/>
      <c r="N32" s="102"/>
      <c r="O32" s="107"/>
      <c r="P32" s="100"/>
      <c r="Q32" s="101"/>
      <c r="R32" s="109">
        <v>64</v>
      </c>
    </row>
    <row r="33" spans="2:25" x14ac:dyDescent="0.3">
      <c r="B33" s="58"/>
      <c r="C33" s="110" t="s">
        <v>148</v>
      </c>
      <c r="D33" s="104"/>
      <c r="E33" s="104"/>
      <c r="F33" s="119"/>
      <c r="G33" s="104"/>
      <c r="H33" s="104"/>
      <c r="I33" s="104"/>
      <c r="J33" s="105"/>
      <c r="K33" s="103"/>
      <c r="L33" s="104"/>
      <c r="M33" s="104"/>
      <c r="N33" s="105"/>
      <c r="O33" s="103" t="s">
        <v>148</v>
      </c>
      <c r="P33" s="104"/>
      <c r="Q33" s="104"/>
      <c r="R33" s="111"/>
      <c r="X33" s="54" t="s">
        <v>149</v>
      </c>
    </row>
    <row r="34" spans="2:25" x14ac:dyDescent="0.3">
      <c r="B34" s="57"/>
      <c r="C34" s="97">
        <v>64</v>
      </c>
      <c r="F34" s="120"/>
      <c r="H34" s="114" t="s">
        <v>147</v>
      </c>
      <c r="I34" s="55"/>
      <c r="J34" s="98"/>
      <c r="K34" s="106"/>
      <c r="L34" s="114" t="s">
        <v>147</v>
      </c>
      <c r="M34" s="55"/>
      <c r="N34" s="98"/>
      <c r="O34" s="106">
        <v>64</v>
      </c>
      <c r="R34" s="73"/>
      <c r="X34" s="54" t="str">
        <f>"Area for Rate Level C ("&amp;TEXT(S12,"0.0000")&amp;") = 1/2 x (1/4 x 1/2) = 1/16 = "&amp;1/16</f>
        <v>Area for Rate Level C (1.0450) = 1/2 x (1/4 x 1/2) = 1/16 = 0.0625</v>
      </c>
    </row>
    <row r="35" spans="2:25" ht="15.6" x14ac:dyDescent="0.3">
      <c r="B35" s="57"/>
      <c r="C35" s="97"/>
      <c r="E35" s="54" t="s">
        <v>146</v>
      </c>
      <c r="F35" s="120"/>
      <c r="G35" s="88"/>
      <c r="H35" s="55"/>
      <c r="J35" s="131" t="s">
        <v>105</v>
      </c>
      <c r="K35" s="129"/>
      <c r="O35" s="106"/>
      <c r="Q35" s="54" t="s">
        <v>146</v>
      </c>
      <c r="R35" s="73"/>
      <c r="X35" s="54" t="str">
        <f>"Area for Rate Level E ("&amp;TEXT(AK12,"0.0000")&amp;") =  1/2 x (1/2 x 1) = 1/4 = "&amp;4/16</f>
        <v>Area for Rate Level E (1.0753) =  1/2 x (1/2 x 1) = 1/4 = 0.25</v>
      </c>
    </row>
    <row r="36" spans="2:25" x14ac:dyDescent="0.3">
      <c r="B36" s="58"/>
      <c r="C36" s="121"/>
      <c r="D36" s="122"/>
      <c r="E36" s="123"/>
      <c r="F36" s="124"/>
      <c r="G36" s="118"/>
      <c r="H36" s="100"/>
      <c r="I36" s="101"/>
      <c r="J36" s="102"/>
      <c r="K36" s="107"/>
      <c r="L36" s="100"/>
      <c r="M36" s="101"/>
      <c r="N36" s="102"/>
      <c r="O36" s="107"/>
      <c r="P36" s="100"/>
      <c r="Q36" s="101"/>
      <c r="R36" s="109"/>
      <c r="X36" s="54" t="str">
        <f>"Area for Rate Level D ("&amp;TEXT(AC12,"0.0000")&amp;") = 1 - (1/16 + 1/4) = 11/16 = "&amp;11/16</f>
        <v>Area for Rate Level D (1.0973) = 1 - (1/16 + 1/4) = 11/16 = 0.6875</v>
      </c>
    </row>
    <row r="37" spans="2:25" x14ac:dyDescent="0.3">
      <c r="B37" s="58">
        <v>0.5</v>
      </c>
      <c r="C37" s="110"/>
      <c r="D37" s="104"/>
      <c r="E37" s="104"/>
      <c r="F37" s="105"/>
      <c r="G37" s="103"/>
      <c r="H37" s="104"/>
      <c r="I37" s="104"/>
      <c r="J37" s="104"/>
      <c r="K37" s="103"/>
      <c r="L37" s="104"/>
      <c r="M37" s="104"/>
      <c r="N37" s="119"/>
      <c r="O37" s="103"/>
      <c r="P37" s="104"/>
      <c r="Q37" s="104"/>
      <c r="R37" s="111"/>
    </row>
    <row r="38" spans="2:25" x14ac:dyDescent="0.3">
      <c r="C38" s="97"/>
      <c r="D38" s="114" t="s">
        <v>147</v>
      </c>
      <c r="E38" s="55"/>
      <c r="F38" s="98"/>
      <c r="G38" s="106"/>
      <c r="H38" s="114" t="s">
        <v>147</v>
      </c>
      <c r="I38" s="55"/>
      <c r="K38" s="106"/>
      <c r="L38" s="57" t="s">
        <v>146</v>
      </c>
      <c r="N38" s="120"/>
      <c r="O38" s="106"/>
      <c r="P38" s="114" t="s">
        <v>147</v>
      </c>
      <c r="Q38" s="55"/>
      <c r="R38" s="73"/>
      <c r="X38" s="54" t="s">
        <v>150</v>
      </c>
    </row>
    <row r="39" spans="2:25" x14ac:dyDescent="0.3">
      <c r="C39" s="97"/>
      <c r="F39" s="98"/>
      <c r="G39" s="106"/>
      <c r="K39" s="106"/>
      <c r="N39" s="127" t="s">
        <v>148</v>
      </c>
      <c r="O39" s="116"/>
      <c r="P39" s="55"/>
      <c r="R39" s="73"/>
      <c r="X39" s="54" t="str">
        <f>"("&amp;1/16&amp;" x "&amp;TEXT(S12,"0.0000")&amp;") + ("&amp;11/16&amp;" x "&amp;TEXT(AC12,"0.0000")&amp;") + ("&amp;1/4&amp;" x "&amp;TEXT(AK12,"0.0000")&amp;") = "&amp;TEXT(1/16*S12+11/16*AC12+1/4*AK12,"0.0000")</f>
        <v>(0.0625 x 1.0450) + (0.6875 x 1.0973) + (0.25 x 1.0753) = 1.0885</v>
      </c>
    </row>
    <row r="40" spans="2:25" ht="15.6" x14ac:dyDescent="0.3">
      <c r="C40" s="99"/>
      <c r="D40" s="100"/>
      <c r="E40" s="101"/>
      <c r="F40" s="102"/>
      <c r="G40" s="107"/>
      <c r="H40" s="100"/>
      <c r="I40" s="101"/>
      <c r="J40" s="118"/>
      <c r="K40" s="125"/>
      <c r="L40" s="122"/>
      <c r="M40" s="123"/>
      <c r="N40" s="124">
        <v>64</v>
      </c>
      <c r="O40" s="125"/>
      <c r="P40" s="132" t="s">
        <v>107</v>
      </c>
      <c r="Q40" s="123"/>
      <c r="R40" s="126"/>
      <c r="X40" s="55"/>
      <c r="Y40" s="55"/>
    </row>
    <row r="41" spans="2:25" x14ac:dyDescent="0.3">
      <c r="C41" s="110"/>
      <c r="D41" s="104"/>
      <c r="E41" s="104"/>
      <c r="F41" s="105"/>
      <c r="G41" s="103"/>
      <c r="H41" s="104"/>
      <c r="I41" s="104"/>
      <c r="J41" s="105"/>
      <c r="K41" s="103" t="s">
        <v>148</v>
      </c>
      <c r="L41" s="104"/>
      <c r="M41" s="104"/>
      <c r="N41" s="105"/>
      <c r="O41" s="103"/>
      <c r="P41" s="104"/>
      <c r="Q41" s="104"/>
      <c r="R41" s="111"/>
      <c r="X41" s="54" t="str">
        <f>"on-level factor for 2017 is "&amp;TEXT(AQ23,"0.0000")&amp;" / "&amp;TEXT(1/16*S12+11/16*AC12+1/4*AK12,"0.0000")&amp;" = "&amp;TEXT(AQ23/(1/16*S12+11/16*AC12+1/4*AK12),"0.0000")</f>
        <v>on-level factor for 2017 is 1.1855 / 1.0885 = 1.0891</v>
      </c>
    </row>
    <row r="42" spans="2:25" x14ac:dyDescent="0.3">
      <c r="C42" s="97"/>
      <c r="D42" s="114" t="s">
        <v>147</v>
      </c>
      <c r="E42" s="55"/>
      <c r="F42" s="98"/>
      <c r="G42" s="106"/>
      <c r="H42" s="114" t="s">
        <v>147</v>
      </c>
      <c r="I42" s="55"/>
      <c r="J42" s="98"/>
      <c r="K42" s="106">
        <v>64</v>
      </c>
      <c r="N42" s="98"/>
      <c r="O42" s="106"/>
      <c r="P42" s="114" t="s">
        <v>147</v>
      </c>
      <c r="Q42" s="55"/>
      <c r="R42" s="73"/>
    </row>
    <row r="43" spans="2:25" x14ac:dyDescent="0.3">
      <c r="C43" s="97"/>
      <c r="F43" s="98"/>
      <c r="G43" s="106"/>
      <c r="J43" s="98"/>
      <c r="K43" s="106"/>
      <c r="M43" s="54" t="s">
        <v>146</v>
      </c>
      <c r="N43" s="98"/>
      <c r="O43" s="106"/>
      <c r="R43" s="73"/>
    </row>
    <row r="44" spans="2:25" x14ac:dyDescent="0.3">
      <c r="B44" s="56"/>
      <c r="C44" s="92"/>
      <c r="D44" s="93"/>
      <c r="E44" s="94"/>
      <c r="F44" s="112"/>
      <c r="G44" s="113"/>
      <c r="H44" s="93"/>
      <c r="I44" s="94"/>
      <c r="J44" s="112"/>
      <c r="K44" s="113"/>
      <c r="L44" s="93"/>
      <c r="M44" s="94"/>
      <c r="N44" s="112"/>
      <c r="O44" s="113"/>
      <c r="P44" s="93"/>
      <c r="Q44" s="94"/>
      <c r="R44" s="95"/>
    </row>
    <row r="45" spans="2:25" x14ac:dyDescent="0.3">
      <c r="B45" s="56">
        <v>0</v>
      </c>
    </row>
    <row r="58" spans="5:5" x14ac:dyDescent="0.3">
      <c r="E58" s="55"/>
    </row>
  </sheetData>
  <mergeCells count="1">
    <mergeCell ref="B17:B18"/>
  </mergeCells>
  <pageMargins left="0.7" right="0.7" top="0.75" bottom="0.75" header="0.3" footer="0.3"/>
  <pageSetup scale="57" orientation="portrait" r:id="rId1"/>
  <headerFooter>
    <oddFooter>&amp;R&amp;1#&amp;"Calibri"&amp;10&amp;K317100Public Information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41"/>
  <sheetViews>
    <sheetView showGridLines="0" zoomScale="85" zoomScaleNormal="85" zoomScaleSheetLayoutView="85" workbookViewId="0">
      <selection activeCell="K11" sqref="K11"/>
    </sheetView>
  </sheetViews>
  <sheetFormatPr defaultRowHeight="14.4" x14ac:dyDescent="0.3"/>
  <cols>
    <col min="1" max="1" width="13.44140625" bestFit="1" customWidth="1"/>
    <col min="3" max="3" width="10.109375" bestFit="1" customWidth="1"/>
    <col min="9" max="9" width="15.44140625" customWidth="1"/>
    <col min="10" max="10" width="13.44140625" customWidth="1"/>
    <col min="11" max="11" width="17.6640625" customWidth="1"/>
    <col min="12" max="12" width="12" customWidth="1"/>
  </cols>
  <sheetData>
    <row r="1" spans="1:17" x14ac:dyDescent="0.3">
      <c r="A1" s="171" t="s">
        <v>151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  <c r="M1" s="161"/>
    </row>
    <row r="2" spans="1:17" ht="15" thickBot="1" x14ac:dyDescent="0.35">
      <c r="A2" s="174" t="s">
        <v>152</v>
      </c>
      <c r="B2" s="174"/>
      <c r="C2" s="174"/>
      <c r="D2" s="174"/>
      <c r="E2" s="174"/>
      <c r="F2" s="174"/>
      <c r="G2" s="174"/>
      <c r="H2" s="174"/>
      <c r="I2" s="174"/>
      <c r="J2" s="174"/>
      <c r="K2" s="175"/>
      <c r="M2" s="161"/>
    </row>
    <row r="3" spans="1:17" x14ac:dyDescent="0.3">
      <c r="N3" s="161"/>
    </row>
    <row r="4" spans="1:17" x14ac:dyDescent="0.3">
      <c r="A4" s="15" t="str">
        <f>State</f>
        <v>Texachussetts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N4" s="162"/>
    </row>
    <row r="5" spans="1:17" x14ac:dyDescent="0.3">
      <c r="A5" s="15" t="str">
        <f>Company</f>
        <v>CAS Rocks Insurance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7" x14ac:dyDescent="0.3">
      <c r="A6" s="15" t="str">
        <f>LOB</f>
        <v>Private Passenger Auto: Property Damage Liability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7" x14ac:dyDescent="0.3">
      <c r="N7" s="209"/>
      <c r="O7" s="209"/>
      <c r="P7" s="210"/>
      <c r="Q7" s="210"/>
    </row>
    <row r="8" spans="1:17" x14ac:dyDescent="0.3">
      <c r="C8" s="15" t="s">
        <v>116</v>
      </c>
      <c r="D8" s="15"/>
      <c r="E8" s="15"/>
      <c r="F8" s="15"/>
      <c r="G8" s="15"/>
      <c r="H8" s="15"/>
      <c r="J8" s="16" t="s">
        <v>117</v>
      </c>
      <c r="K8" s="16" t="s">
        <v>110</v>
      </c>
      <c r="L8" s="16" t="s">
        <v>112</v>
      </c>
      <c r="N8" s="211"/>
      <c r="O8" s="211"/>
      <c r="P8" s="211"/>
      <c r="Q8" s="211"/>
    </row>
    <row r="9" spans="1:17" ht="43.2" x14ac:dyDescent="0.3">
      <c r="B9" t="s">
        <v>153</v>
      </c>
      <c r="C9" s="49" t="s">
        <v>154</v>
      </c>
      <c r="D9" s="49"/>
      <c r="E9" s="49"/>
      <c r="F9" s="49"/>
      <c r="G9" s="49"/>
      <c r="H9" s="49"/>
      <c r="I9" s="49"/>
      <c r="J9" s="33" t="s">
        <v>119</v>
      </c>
      <c r="K9" s="33" t="s">
        <v>120</v>
      </c>
      <c r="L9" s="33" t="s">
        <v>121</v>
      </c>
    </row>
    <row r="10" spans="1:17" x14ac:dyDescent="0.3">
      <c r="A10" t="s">
        <v>122</v>
      </c>
      <c r="B10" s="33" t="s">
        <v>155</v>
      </c>
      <c r="C10" s="16" t="s">
        <v>99</v>
      </c>
      <c r="D10" s="16" t="s">
        <v>101</v>
      </c>
      <c r="E10" s="16" t="s">
        <v>103</v>
      </c>
      <c r="F10" s="16" t="s">
        <v>105</v>
      </c>
      <c r="G10" s="16" t="s">
        <v>107</v>
      </c>
      <c r="H10" s="16" t="s">
        <v>108</v>
      </c>
      <c r="I10" s="16" t="s">
        <v>109</v>
      </c>
      <c r="N10" s="51"/>
    </row>
    <row r="11" spans="1:17" x14ac:dyDescent="0.3">
      <c r="A11" s="16">
        <f>A15-1</f>
        <v>2013</v>
      </c>
      <c r="B11" s="16">
        <v>1</v>
      </c>
      <c r="C11" s="182">
        <v>1</v>
      </c>
      <c r="D11" s="182">
        <v>0</v>
      </c>
      <c r="E11" s="182">
        <v>0</v>
      </c>
      <c r="F11" s="182">
        <v>0</v>
      </c>
      <c r="G11" s="182">
        <v>0</v>
      </c>
      <c r="H11" s="182">
        <v>0</v>
      </c>
      <c r="I11" s="182">
        <v>0</v>
      </c>
      <c r="J11" s="152">
        <f t="shared" ref="J11:J25" si="0">SUMPRODUCT(C11:I11,C$36:I$36)</f>
        <v>1</v>
      </c>
      <c r="K11" s="36">
        <f>'CRL - 4 Written Premium'!$I$36</f>
        <v>1.1855237625000001</v>
      </c>
      <c r="L11" s="143">
        <f t="shared" ref="L11:L25" si="1">K11/J11</f>
        <v>1.1855237625000001</v>
      </c>
      <c r="N11" s="51"/>
    </row>
    <row r="12" spans="1:17" x14ac:dyDescent="0.3">
      <c r="A12" s="16"/>
      <c r="B12" s="16">
        <v>2</v>
      </c>
      <c r="C12" s="182">
        <v>1</v>
      </c>
      <c r="D12" s="182">
        <v>0</v>
      </c>
      <c r="E12" s="182">
        <v>0</v>
      </c>
      <c r="F12" s="182">
        <v>0</v>
      </c>
      <c r="G12" s="182">
        <v>0</v>
      </c>
      <c r="H12" s="182">
        <v>0</v>
      </c>
      <c r="I12" s="182">
        <v>0</v>
      </c>
      <c r="J12" s="152">
        <f t="shared" si="0"/>
        <v>1</v>
      </c>
      <c r="K12" s="36">
        <f>'CRL - 4 Written Premium'!$I$36</f>
        <v>1.1855237625000001</v>
      </c>
      <c r="L12" s="143">
        <f t="shared" si="1"/>
        <v>1.1855237625000001</v>
      </c>
    </row>
    <row r="13" spans="1:17" x14ac:dyDescent="0.3">
      <c r="A13" s="16"/>
      <c r="B13" s="16">
        <v>3</v>
      </c>
      <c r="C13" s="182">
        <v>1</v>
      </c>
      <c r="D13" s="182">
        <v>0</v>
      </c>
      <c r="E13" s="182">
        <v>0</v>
      </c>
      <c r="F13" s="182">
        <v>0</v>
      </c>
      <c r="G13" s="182">
        <v>0</v>
      </c>
      <c r="H13" s="182">
        <v>0</v>
      </c>
      <c r="I13" s="182">
        <v>0</v>
      </c>
      <c r="J13" s="152">
        <f t="shared" si="0"/>
        <v>1</v>
      </c>
      <c r="K13" s="36">
        <f>'CRL - 4 Written Premium'!$I$36</f>
        <v>1.1855237625000001</v>
      </c>
      <c r="L13" s="143">
        <f t="shared" si="1"/>
        <v>1.1855237625000001</v>
      </c>
    </row>
    <row r="14" spans="1:17" x14ac:dyDescent="0.3">
      <c r="A14" s="16"/>
      <c r="B14" s="16">
        <v>4</v>
      </c>
      <c r="C14" s="182">
        <v>1</v>
      </c>
      <c r="D14" s="182">
        <v>0</v>
      </c>
      <c r="E14" s="182">
        <v>0</v>
      </c>
      <c r="F14" s="182">
        <v>0</v>
      </c>
      <c r="G14" s="182">
        <v>0</v>
      </c>
      <c r="H14" s="182">
        <v>0</v>
      </c>
      <c r="I14" s="182">
        <v>0</v>
      </c>
      <c r="J14" s="152">
        <f t="shared" si="0"/>
        <v>1</v>
      </c>
      <c r="K14" s="36">
        <f>'CRL - 4 Written Premium'!$I$36</f>
        <v>1.1855237625000001</v>
      </c>
      <c r="L14" s="143">
        <f t="shared" si="1"/>
        <v>1.1855237625000001</v>
      </c>
    </row>
    <row r="15" spans="1:17" x14ac:dyDescent="0.3">
      <c r="A15" s="16">
        <f>A19-1</f>
        <v>2014</v>
      </c>
      <c r="B15" s="16">
        <v>1</v>
      </c>
      <c r="C15" s="182">
        <v>1</v>
      </c>
      <c r="D15" s="182">
        <v>0</v>
      </c>
      <c r="E15" s="182">
        <v>0</v>
      </c>
      <c r="F15" s="182">
        <v>0</v>
      </c>
      <c r="G15" s="182">
        <v>0</v>
      </c>
      <c r="H15" s="182">
        <v>0</v>
      </c>
      <c r="I15" s="182">
        <v>0</v>
      </c>
      <c r="J15" s="152">
        <f t="shared" si="0"/>
        <v>1</v>
      </c>
      <c r="K15" s="36">
        <f>'CRL - 4 Written Premium'!$I$36</f>
        <v>1.1855237625000001</v>
      </c>
      <c r="L15" s="143">
        <f t="shared" si="1"/>
        <v>1.1855237625000001</v>
      </c>
    </row>
    <row r="16" spans="1:17" x14ac:dyDescent="0.3">
      <c r="A16" s="16"/>
      <c r="B16" s="16">
        <v>2</v>
      </c>
      <c r="C16" s="182">
        <v>0</v>
      </c>
      <c r="D16" s="182">
        <v>1</v>
      </c>
      <c r="E16" s="182">
        <v>0</v>
      </c>
      <c r="F16" s="182">
        <v>0</v>
      </c>
      <c r="G16" s="182">
        <v>0</v>
      </c>
      <c r="H16" s="182">
        <v>0</v>
      </c>
      <c r="I16" s="182">
        <v>0</v>
      </c>
      <c r="J16" s="152">
        <f t="shared" si="0"/>
        <v>0.95</v>
      </c>
      <c r="K16" s="36">
        <f>'CRL - 4 Written Premium'!$I$36</f>
        <v>1.1855237625000001</v>
      </c>
      <c r="L16" s="143">
        <f t="shared" si="1"/>
        <v>1.2479197500000001</v>
      </c>
    </row>
    <row r="17" spans="1:12" x14ac:dyDescent="0.3">
      <c r="A17" s="16"/>
      <c r="B17" s="16">
        <v>3</v>
      </c>
      <c r="C17" s="182">
        <v>0</v>
      </c>
      <c r="D17" s="182">
        <v>1</v>
      </c>
      <c r="E17" s="182">
        <v>0</v>
      </c>
      <c r="F17" s="182">
        <v>0</v>
      </c>
      <c r="G17" s="182">
        <v>0</v>
      </c>
      <c r="H17" s="182">
        <v>0</v>
      </c>
      <c r="I17" s="182">
        <v>0</v>
      </c>
      <c r="J17" s="152">
        <f t="shared" si="0"/>
        <v>0.95</v>
      </c>
      <c r="K17" s="36">
        <f>'CRL - 4 Written Premium'!$I$36</f>
        <v>1.1855237625000001</v>
      </c>
      <c r="L17" s="143">
        <f t="shared" si="1"/>
        <v>1.2479197500000001</v>
      </c>
    </row>
    <row r="18" spans="1:12" x14ac:dyDescent="0.3">
      <c r="A18" s="16"/>
      <c r="B18" s="16">
        <v>4</v>
      </c>
      <c r="C18" s="182">
        <v>0</v>
      </c>
      <c r="D18" s="182">
        <v>1</v>
      </c>
      <c r="E18" s="182">
        <v>0</v>
      </c>
      <c r="F18" s="182">
        <v>0</v>
      </c>
      <c r="G18" s="182">
        <v>0</v>
      </c>
      <c r="H18" s="182">
        <v>0</v>
      </c>
      <c r="I18" s="182">
        <v>0</v>
      </c>
      <c r="J18" s="152">
        <f t="shared" si="0"/>
        <v>0.95</v>
      </c>
      <c r="K18" s="36">
        <f>'CRL - 4 Written Premium'!$I$36</f>
        <v>1.1855237625000001</v>
      </c>
      <c r="L18" s="143">
        <f t="shared" si="1"/>
        <v>1.2479197500000001</v>
      </c>
    </row>
    <row r="19" spans="1:12" x14ac:dyDescent="0.3">
      <c r="A19" s="16">
        <f>A23-1</f>
        <v>2015</v>
      </c>
      <c r="B19" s="16">
        <v>1</v>
      </c>
      <c r="C19" s="182">
        <v>0</v>
      </c>
      <c r="D19" s="182">
        <v>1</v>
      </c>
      <c r="E19" s="182">
        <v>0</v>
      </c>
      <c r="F19" s="182">
        <v>0</v>
      </c>
      <c r="G19" s="182">
        <v>0</v>
      </c>
      <c r="H19" s="182">
        <v>0</v>
      </c>
      <c r="I19" s="182">
        <v>0</v>
      </c>
      <c r="J19" s="152">
        <f t="shared" si="0"/>
        <v>0.95</v>
      </c>
      <c r="K19" s="36">
        <f>'CRL - 4 Written Premium'!$I$36</f>
        <v>1.1855237625000001</v>
      </c>
      <c r="L19" s="143">
        <f t="shared" si="1"/>
        <v>1.2479197500000001</v>
      </c>
    </row>
    <row r="20" spans="1:12" x14ac:dyDescent="0.3">
      <c r="A20" s="16"/>
      <c r="B20" s="16">
        <v>2</v>
      </c>
      <c r="C20" s="182">
        <v>0</v>
      </c>
      <c r="D20" s="182">
        <v>1</v>
      </c>
      <c r="E20" s="182">
        <v>0</v>
      </c>
      <c r="F20" s="182">
        <v>0</v>
      </c>
      <c r="G20" s="182">
        <v>0</v>
      </c>
      <c r="H20" s="182">
        <v>0</v>
      </c>
      <c r="I20" s="182">
        <v>0</v>
      </c>
      <c r="J20" s="152">
        <f t="shared" si="0"/>
        <v>0.95</v>
      </c>
      <c r="K20" s="36">
        <f>'CRL - 4 Written Premium'!$I$36</f>
        <v>1.1855237625000001</v>
      </c>
      <c r="L20" s="143">
        <f t="shared" si="1"/>
        <v>1.2479197500000001</v>
      </c>
    </row>
    <row r="21" spans="1:12" x14ac:dyDescent="0.3">
      <c r="A21" s="16"/>
      <c r="B21" s="16">
        <v>3</v>
      </c>
      <c r="C21" s="182">
        <v>0</v>
      </c>
      <c r="D21" s="182">
        <v>0</v>
      </c>
      <c r="E21" s="182">
        <v>1</v>
      </c>
      <c r="F21" s="182">
        <v>0</v>
      </c>
      <c r="G21" s="182">
        <v>0</v>
      </c>
      <c r="H21" s="182">
        <v>0</v>
      </c>
      <c r="I21" s="182">
        <v>0</v>
      </c>
      <c r="J21" s="152">
        <f t="shared" si="0"/>
        <v>1.0449999999999999</v>
      </c>
      <c r="K21" s="36">
        <f>'CRL - 4 Written Premium'!$I$36</f>
        <v>1.1855237625000001</v>
      </c>
      <c r="L21" s="143">
        <f t="shared" si="1"/>
        <v>1.1344725000000002</v>
      </c>
    </row>
    <row r="22" spans="1:12" x14ac:dyDescent="0.3">
      <c r="A22" s="16"/>
      <c r="B22" s="16">
        <v>4</v>
      </c>
      <c r="C22" s="182">
        <v>0</v>
      </c>
      <c r="D22" s="182">
        <v>0</v>
      </c>
      <c r="E22" s="182">
        <v>1</v>
      </c>
      <c r="F22" s="182">
        <v>0</v>
      </c>
      <c r="G22" s="182">
        <v>0</v>
      </c>
      <c r="H22" s="182">
        <v>0</v>
      </c>
      <c r="I22" s="182">
        <v>0</v>
      </c>
      <c r="J22" s="152">
        <f t="shared" si="0"/>
        <v>1.0449999999999999</v>
      </c>
      <c r="K22" s="36">
        <f>'CRL - 4 Written Premium'!$I$36</f>
        <v>1.1855237625000001</v>
      </c>
      <c r="L22" s="143">
        <f t="shared" si="1"/>
        <v>1.1344725000000002</v>
      </c>
    </row>
    <row r="23" spans="1:12" x14ac:dyDescent="0.3">
      <c r="A23" s="16">
        <f>A27-1</f>
        <v>2016</v>
      </c>
      <c r="B23" s="16">
        <v>1</v>
      </c>
      <c r="C23" s="182">
        <v>0</v>
      </c>
      <c r="D23" s="182">
        <v>0</v>
      </c>
      <c r="E23" s="182">
        <v>1</v>
      </c>
      <c r="F23" s="182">
        <v>0</v>
      </c>
      <c r="G23" s="182">
        <v>0</v>
      </c>
      <c r="H23" s="182">
        <v>0</v>
      </c>
      <c r="I23" s="182">
        <v>0</v>
      </c>
      <c r="J23" s="152">
        <f t="shared" si="0"/>
        <v>1.0449999999999999</v>
      </c>
      <c r="K23" s="36">
        <f>'CRL - 4 Written Premium'!$I$36</f>
        <v>1.1855237625000001</v>
      </c>
      <c r="L23" s="143">
        <f t="shared" si="1"/>
        <v>1.1344725000000002</v>
      </c>
    </row>
    <row r="24" spans="1:12" x14ac:dyDescent="0.3">
      <c r="A24" s="16"/>
      <c r="B24" s="16">
        <v>2</v>
      </c>
      <c r="C24" s="182">
        <v>0</v>
      </c>
      <c r="D24" s="182">
        <v>0</v>
      </c>
      <c r="E24" s="182">
        <v>1</v>
      </c>
      <c r="F24" s="182">
        <v>0</v>
      </c>
      <c r="G24" s="182">
        <v>0</v>
      </c>
      <c r="H24" s="182">
        <v>0</v>
      </c>
      <c r="I24" s="182">
        <v>0</v>
      </c>
      <c r="J24" s="152">
        <f t="shared" si="0"/>
        <v>1.0449999999999999</v>
      </c>
      <c r="K24" s="36">
        <f>'CRL - 4 Written Premium'!$I$36</f>
        <v>1.1855237625000001</v>
      </c>
      <c r="L24" s="143">
        <f t="shared" si="1"/>
        <v>1.1344725000000002</v>
      </c>
    </row>
    <row r="25" spans="1:12" x14ac:dyDescent="0.3">
      <c r="A25" s="16"/>
      <c r="B25" s="16">
        <v>3</v>
      </c>
      <c r="C25" s="182">
        <v>0</v>
      </c>
      <c r="D25" s="182">
        <v>0</v>
      </c>
      <c r="E25" s="182">
        <v>1</v>
      </c>
      <c r="F25" s="182">
        <v>0</v>
      </c>
      <c r="G25" s="182">
        <v>0</v>
      </c>
      <c r="H25" s="182">
        <v>0</v>
      </c>
      <c r="I25" s="182">
        <v>0</v>
      </c>
      <c r="J25" s="152">
        <f t="shared" si="0"/>
        <v>1.0449999999999999</v>
      </c>
      <c r="K25" s="36">
        <f>'CRL - 4 Written Premium'!$I$36</f>
        <v>1.1855237625000001</v>
      </c>
      <c r="L25" s="143">
        <f t="shared" si="1"/>
        <v>1.1344725000000002</v>
      </c>
    </row>
    <row r="26" spans="1:12" x14ac:dyDescent="0.3">
      <c r="A26" s="16"/>
      <c r="B26" s="16">
        <v>4</v>
      </c>
      <c r="C26" s="182">
        <v>0</v>
      </c>
      <c r="D26" s="182">
        <v>0</v>
      </c>
      <c r="E26" s="182">
        <v>0</v>
      </c>
      <c r="F26" s="182">
        <v>1</v>
      </c>
      <c r="G26" s="182">
        <v>0</v>
      </c>
      <c r="H26" s="182">
        <v>0</v>
      </c>
      <c r="I26" s="182">
        <v>0</v>
      </c>
      <c r="J26" s="152">
        <f>SUMPRODUCT(C26:I26,C$36:I$36)</f>
        <v>1.0972500000000001</v>
      </c>
      <c r="K26" s="36">
        <f>'CRL - 4 Written Premium'!$I$36</f>
        <v>1.1855237625000001</v>
      </c>
      <c r="L26" s="143">
        <f>K26/J26</f>
        <v>1.0804500000000001</v>
      </c>
    </row>
    <row r="27" spans="1:12" x14ac:dyDescent="0.3">
      <c r="A27" s="16">
        <f t="shared" ref="A27" si="2">A31-1</f>
        <v>2017</v>
      </c>
      <c r="B27" s="16">
        <v>1</v>
      </c>
      <c r="C27" s="182">
        <v>0</v>
      </c>
      <c r="D27" s="182">
        <v>0</v>
      </c>
      <c r="E27" s="182">
        <v>0</v>
      </c>
      <c r="F27" s="182">
        <v>1</v>
      </c>
      <c r="G27" s="182">
        <v>0</v>
      </c>
      <c r="H27" s="182">
        <v>0</v>
      </c>
      <c r="I27" s="182">
        <v>0</v>
      </c>
      <c r="J27" s="152">
        <f t="shared" ref="J27:J29" si="3">SUMPRODUCT(C27:I27,C$36:I$36)</f>
        <v>1.0972500000000001</v>
      </c>
      <c r="K27" s="36">
        <f>'CRL - 4 Written Premium'!$I$36</f>
        <v>1.1855237625000001</v>
      </c>
      <c r="L27" s="143">
        <f t="shared" ref="L27:L29" si="4">K27/J27</f>
        <v>1.0804500000000001</v>
      </c>
    </row>
    <row r="28" spans="1:12" x14ac:dyDescent="0.3">
      <c r="A28" s="16"/>
      <c r="B28" s="16">
        <v>2</v>
      </c>
      <c r="C28" s="182">
        <v>0</v>
      </c>
      <c r="D28" s="182">
        <v>0</v>
      </c>
      <c r="E28" s="182">
        <v>0</v>
      </c>
      <c r="F28" s="182">
        <v>1</v>
      </c>
      <c r="G28" s="182">
        <v>0</v>
      </c>
      <c r="H28" s="182">
        <v>0</v>
      </c>
      <c r="I28" s="182">
        <v>0</v>
      </c>
      <c r="J28" s="152">
        <f t="shared" si="3"/>
        <v>1.0972500000000001</v>
      </c>
      <c r="K28" s="36">
        <f>'CRL - 4 Written Premium'!$I$36</f>
        <v>1.1855237625000001</v>
      </c>
      <c r="L28" s="143">
        <f t="shared" si="4"/>
        <v>1.0804500000000001</v>
      </c>
    </row>
    <row r="29" spans="1:12" x14ac:dyDescent="0.3">
      <c r="A29" s="16"/>
      <c r="B29" s="16">
        <v>3</v>
      </c>
      <c r="C29" s="182">
        <v>0</v>
      </c>
      <c r="D29" s="182">
        <v>0</v>
      </c>
      <c r="E29" s="182">
        <v>0</v>
      </c>
      <c r="F29" s="182">
        <v>0</v>
      </c>
      <c r="G29" s="182">
        <v>1</v>
      </c>
      <c r="H29" s="182">
        <v>0</v>
      </c>
      <c r="I29" s="182">
        <v>0</v>
      </c>
      <c r="J29" s="152">
        <f t="shared" si="3"/>
        <v>1.075305</v>
      </c>
      <c r="K29" s="36">
        <f>'CRL - 4 Written Premium'!$I$36</f>
        <v>1.1855237625000001</v>
      </c>
      <c r="L29" s="143">
        <f t="shared" si="4"/>
        <v>1.1025000000000003</v>
      </c>
    </row>
    <row r="30" spans="1:12" x14ac:dyDescent="0.3">
      <c r="A30" s="16"/>
      <c r="B30" s="16">
        <v>4</v>
      </c>
      <c r="C30" s="182">
        <v>0</v>
      </c>
      <c r="D30" s="182">
        <v>0</v>
      </c>
      <c r="E30" s="182">
        <v>0</v>
      </c>
      <c r="F30" s="182">
        <v>0</v>
      </c>
      <c r="G30" s="182">
        <v>1</v>
      </c>
      <c r="H30" s="182">
        <v>0</v>
      </c>
      <c r="I30" s="182">
        <v>0</v>
      </c>
      <c r="J30" s="152">
        <f>SUMPRODUCT(C30:I30,C$36:I$36)</f>
        <v>1.075305</v>
      </c>
      <c r="K30" s="36">
        <f>'CRL - 4 Written Premium'!$I$36</f>
        <v>1.1855237625000001</v>
      </c>
      <c r="L30" s="143">
        <f>K30/J30</f>
        <v>1.1025000000000003</v>
      </c>
    </row>
    <row r="31" spans="1:12" x14ac:dyDescent="0.3">
      <c r="A31" s="16">
        <f>LatestYear</f>
        <v>2018</v>
      </c>
      <c r="B31" s="16">
        <v>1</v>
      </c>
      <c r="C31" s="182">
        <v>0</v>
      </c>
      <c r="D31" s="182">
        <v>0</v>
      </c>
      <c r="E31" s="182">
        <v>0</v>
      </c>
      <c r="F31" s="182">
        <v>0</v>
      </c>
      <c r="G31" s="182">
        <v>1</v>
      </c>
      <c r="H31" s="182">
        <v>0</v>
      </c>
      <c r="I31" s="182">
        <v>0</v>
      </c>
      <c r="J31" s="152">
        <f t="shared" ref="J31:J33" si="5">SUMPRODUCT(C31:I31,C$36:I$36)</f>
        <v>1.075305</v>
      </c>
      <c r="K31" s="36">
        <f>'CRL - 4 Written Premium'!$I$36</f>
        <v>1.1855237625000001</v>
      </c>
      <c r="L31" s="143">
        <f t="shared" ref="L31:L33" si="6">K31/J31</f>
        <v>1.1025000000000003</v>
      </c>
    </row>
    <row r="32" spans="1:12" x14ac:dyDescent="0.3">
      <c r="B32" s="16">
        <v>2</v>
      </c>
      <c r="C32" s="182">
        <v>0</v>
      </c>
      <c r="D32" s="182">
        <v>0</v>
      </c>
      <c r="E32" s="182">
        <v>0</v>
      </c>
      <c r="F32" s="182">
        <v>0</v>
      </c>
      <c r="G32" s="182">
        <v>1</v>
      </c>
      <c r="H32" s="182">
        <v>0</v>
      </c>
      <c r="I32" s="182">
        <v>0</v>
      </c>
      <c r="J32" s="152">
        <f t="shared" si="5"/>
        <v>1.075305</v>
      </c>
      <c r="K32" s="36">
        <f>'CRL - 4 Written Premium'!$I$36</f>
        <v>1.1855237625000001</v>
      </c>
      <c r="L32" s="143">
        <f t="shared" si="6"/>
        <v>1.1025000000000003</v>
      </c>
    </row>
    <row r="33" spans="1:12" x14ac:dyDescent="0.3">
      <c r="B33" s="16">
        <v>3</v>
      </c>
      <c r="C33" s="182">
        <v>0</v>
      </c>
      <c r="D33" s="182">
        <v>0</v>
      </c>
      <c r="E33" s="182">
        <v>0</v>
      </c>
      <c r="F33" s="182">
        <v>0</v>
      </c>
      <c r="G33" s="182">
        <v>1</v>
      </c>
      <c r="H33" s="182">
        <v>0</v>
      </c>
      <c r="I33" s="182">
        <v>0</v>
      </c>
      <c r="J33" s="152">
        <f t="shared" si="5"/>
        <v>1.075305</v>
      </c>
      <c r="K33" s="36">
        <f>'CRL - 4 Written Premium'!$I$36</f>
        <v>1.1855237625000001</v>
      </c>
      <c r="L33" s="143">
        <f t="shared" si="6"/>
        <v>1.1025000000000003</v>
      </c>
    </row>
    <row r="34" spans="1:12" x14ac:dyDescent="0.3">
      <c r="B34" s="16">
        <v>4</v>
      </c>
      <c r="C34" s="182">
        <v>0</v>
      </c>
      <c r="D34" s="182">
        <v>0</v>
      </c>
      <c r="E34" s="182">
        <v>0</v>
      </c>
      <c r="F34" s="182">
        <v>0</v>
      </c>
      <c r="G34" s="182">
        <v>0</v>
      </c>
      <c r="H34" s="182">
        <v>1</v>
      </c>
      <c r="I34" s="182">
        <v>0</v>
      </c>
      <c r="J34" s="152">
        <f>SUMPRODUCT(C34:I34,C$36:I$36)</f>
        <v>1.1290702500000001</v>
      </c>
      <c r="K34" s="36">
        <f>'CRL - 4 Written Premium'!$I$36</f>
        <v>1.1855237625000001</v>
      </c>
      <c r="L34" s="143">
        <f>K34/J34</f>
        <v>1.05</v>
      </c>
    </row>
    <row r="35" spans="1:12" x14ac:dyDescent="0.3"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 x14ac:dyDescent="0.3">
      <c r="A36" s="16" t="s">
        <v>123</v>
      </c>
      <c r="B36" s="16"/>
      <c r="C36" s="36">
        <f>VLOOKUP(C10,'Current Rate Level - 1'!$A$10:$F$16,6,FALSE)</f>
        <v>1</v>
      </c>
      <c r="D36" s="36">
        <f>VLOOKUP(D10,'Current Rate Level - 1'!$A$10:$F$16,6,FALSE)</f>
        <v>0.95</v>
      </c>
      <c r="E36" s="36">
        <f>VLOOKUP(E10,'Current Rate Level - 1'!$A$10:$F$16,6,FALSE)</f>
        <v>1.0449999999999999</v>
      </c>
      <c r="F36" s="36">
        <f>VLOOKUP(F10,'Current Rate Level - 1'!$A$10:$F$16,6,FALSE)</f>
        <v>1.0972500000000001</v>
      </c>
      <c r="G36" s="36">
        <f>VLOOKUP(G10,'Current Rate Level - 1'!$A$10:$F$16,6,FALSE)</f>
        <v>1.075305</v>
      </c>
      <c r="H36" s="36">
        <f>VLOOKUP(H10,'Current Rate Level - 1'!$A$10:$F$16,6,FALSE)</f>
        <v>1.1290702500000001</v>
      </c>
      <c r="I36" s="36">
        <f>VLOOKUP(I10,'Current Rate Level - 1'!$A$10:$F$16,6,FALSE)</f>
        <v>1.1855237625000001</v>
      </c>
      <c r="J36" s="16"/>
      <c r="K36" s="16"/>
      <c r="L36" s="16"/>
    </row>
    <row r="38" spans="1:12" x14ac:dyDescent="0.3">
      <c r="A38" s="9" t="s">
        <v>124</v>
      </c>
      <c r="B38" t="s">
        <v>156</v>
      </c>
    </row>
    <row r="39" spans="1:12" x14ac:dyDescent="0.3">
      <c r="A39" s="9" t="s">
        <v>117</v>
      </c>
      <c r="B39" t="s">
        <v>126</v>
      </c>
    </row>
    <row r="40" spans="1:12" x14ac:dyDescent="0.3">
      <c r="A40" s="9" t="s">
        <v>110</v>
      </c>
      <c r="B40" s="14" t="s">
        <v>127</v>
      </c>
    </row>
    <row r="41" spans="1:12" x14ac:dyDescent="0.3">
      <c r="A41" s="9" t="s">
        <v>112</v>
      </c>
      <c r="B41" s="148" t="s">
        <v>128</v>
      </c>
      <c r="C41" s="149"/>
      <c r="D41" s="149"/>
      <c r="E41" s="149"/>
      <c r="F41" s="149"/>
    </row>
  </sheetData>
  <mergeCells count="4">
    <mergeCell ref="N7:O7"/>
    <mergeCell ref="P7:Q7"/>
    <mergeCell ref="N8:O8"/>
    <mergeCell ref="P8:Q8"/>
  </mergeCells>
  <printOptions horizontalCentered="1"/>
  <pageMargins left="0.7" right="0.7" top="0.75" bottom="0.75" header="0.3" footer="0.3"/>
  <pageSetup scale="90" fitToHeight="0" orientation="landscape" r:id="rId1"/>
  <headerFooter>
    <oddFooter>&amp;R&amp;1#&amp;"Calibri"&amp;10&amp;K317100Public Information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37"/>
  <sheetViews>
    <sheetView view="pageBreakPreview" zoomScale="85" zoomScaleNormal="100" zoomScaleSheetLayoutView="85" workbookViewId="0">
      <selection activeCell="AF33" sqref="AF33"/>
    </sheetView>
  </sheetViews>
  <sheetFormatPr defaultColWidth="2.88671875" defaultRowHeight="14.4" x14ac:dyDescent="0.3"/>
  <cols>
    <col min="1" max="1" width="13.109375" bestFit="1" customWidth="1"/>
    <col min="2" max="2" width="7.44140625" bestFit="1" customWidth="1"/>
    <col min="3" max="3" width="2.88671875" customWidth="1"/>
  </cols>
  <sheetData>
    <row r="1" spans="1:51" ht="15" thickBot="1" x14ac:dyDescent="0.35">
      <c r="A1" s="157" t="s">
        <v>157</v>
      </c>
      <c r="B1" s="158" t="s">
        <v>158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77"/>
    </row>
    <row r="2" spans="1:51" x14ac:dyDescent="0.3">
      <c r="A2" s="55" t="str">
        <f>State</f>
        <v>Texachussetts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</row>
    <row r="3" spans="1:51" x14ac:dyDescent="0.3">
      <c r="A3" s="55" t="str">
        <f>Company</f>
        <v>CAS Rocks Insurance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</row>
    <row r="4" spans="1:51" x14ac:dyDescent="0.3">
      <c r="A4" s="55" t="str">
        <f>LOB</f>
        <v>Private Passenger Auto: Property Damage Liability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</row>
    <row r="5" spans="1:51" x14ac:dyDescent="0.3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</row>
    <row r="6" spans="1:51" x14ac:dyDescent="0.3">
      <c r="B6" s="54"/>
      <c r="C6" s="64">
        <v>2014</v>
      </c>
      <c r="D6" s="65"/>
      <c r="E6" s="65"/>
      <c r="F6" s="65"/>
      <c r="G6" s="65"/>
      <c r="H6" s="65"/>
      <c r="I6" s="65"/>
      <c r="J6" s="66"/>
      <c r="K6" s="64">
        <f>C6+1</f>
        <v>2015</v>
      </c>
      <c r="L6" s="65"/>
      <c r="M6" s="65"/>
      <c r="N6" s="65"/>
      <c r="O6" s="65"/>
      <c r="P6" s="65"/>
      <c r="Q6" s="65"/>
      <c r="R6" s="66"/>
      <c r="S6" s="64">
        <f>K6+1</f>
        <v>2016</v>
      </c>
      <c r="T6" s="65"/>
      <c r="U6" s="65"/>
      <c r="V6" s="65"/>
      <c r="W6" s="65"/>
      <c r="X6" s="65"/>
      <c r="Y6" s="65"/>
      <c r="Z6" s="66"/>
      <c r="AA6" s="64">
        <f>S6+1</f>
        <v>2017</v>
      </c>
      <c r="AB6" s="65"/>
      <c r="AC6" s="65"/>
      <c r="AD6" s="65"/>
      <c r="AE6" s="65"/>
      <c r="AF6" s="65"/>
      <c r="AG6" s="65"/>
      <c r="AH6" s="66"/>
      <c r="AI6" s="64">
        <f>AA6+1</f>
        <v>2018</v>
      </c>
      <c r="AJ6" s="65"/>
      <c r="AK6" s="65"/>
      <c r="AL6" s="65"/>
      <c r="AM6" s="65"/>
      <c r="AN6" s="65"/>
      <c r="AO6" s="65"/>
      <c r="AP6" s="66"/>
    </row>
    <row r="7" spans="1:51" x14ac:dyDescent="0.3">
      <c r="B7" s="54"/>
      <c r="C7" s="67" t="s">
        <v>131</v>
      </c>
      <c r="D7" s="68"/>
      <c r="E7" s="67" t="s">
        <v>132</v>
      </c>
      <c r="F7" s="68"/>
      <c r="G7" s="67" t="s">
        <v>133</v>
      </c>
      <c r="H7" s="68"/>
      <c r="I7" s="67" t="s">
        <v>134</v>
      </c>
      <c r="J7" s="68"/>
      <c r="K7" s="64" t="s">
        <v>131</v>
      </c>
      <c r="L7" s="66"/>
      <c r="M7" s="64" t="s">
        <v>132</v>
      </c>
      <c r="N7" s="66"/>
      <c r="O7" s="64" t="s">
        <v>133</v>
      </c>
      <c r="P7" s="66"/>
      <c r="Q7" s="64" t="s">
        <v>134</v>
      </c>
      <c r="R7" s="66"/>
      <c r="S7" s="64" t="s">
        <v>131</v>
      </c>
      <c r="T7" s="66"/>
      <c r="U7" s="64" t="s">
        <v>132</v>
      </c>
      <c r="V7" s="66"/>
      <c r="W7" s="64" t="s">
        <v>133</v>
      </c>
      <c r="X7" s="66"/>
      <c r="Y7" s="64" t="s">
        <v>134</v>
      </c>
      <c r="Z7" s="66"/>
      <c r="AA7" s="64" t="s">
        <v>131</v>
      </c>
      <c r="AB7" s="66"/>
      <c r="AC7" s="64" t="s">
        <v>132</v>
      </c>
      <c r="AD7" s="66"/>
      <c r="AE7" s="64" t="s">
        <v>133</v>
      </c>
      <c r="AF7" s="66"/>
      <c r="AG7" s="64" t="s">
        <v>134</v>
      </c>
      <c r="AH7" s="66"/>
      <c r="AI7" s="64" t="s">
        <v>131</v>
      </c>
      <c r="AJ7" s="66"/>
      <c r="AK7" s="64" t="s">
        <v>132</v>
      </c>
      <c r="AL7" s="66"/>
      <c r="AM7" s="64" t="s">
        <v>133</v>
      </c>
      <c r="AN7" s="66"/>
      <c r="AO7" s="64" t="s">
        <v>134</v>
      </c>
      <c r="AP7" s="66"/>
    </row>
    <row r="8" spans="1:51" x14ac:dyDescent="0.3">
      <c r="B8" s="56">
        <v>1</v>
      </c>
      <c r="C8" s="74"/>
      <c r="D8" s="75"/>
      <c r="E8" s="76"/>
      <c r="F8" s="75"/>
      <c r="G8" s="76"/>
      <c r="H8" s="75"/>
      <c r="I8" s="76"/>
      <c r="J8" s="77"/>
      <c r="K8" s="74"/>
      <c r="L8" s="75"/>
      <c r="M8" s="76"/>
      <c r="N8" s="75"/>
      <c r="O8" s="76"/>
      <c r="P8" s="75"/>
      <c r="Q8" s="76"/>
      <c r="R8" s="77"/>
      <c r="S8" s="74"/>
      <c r="T8" s="75"/>
      <c r="U8" s="76"/>
      <c r="V8" s="75"/>
      <c r="W8" s="76"/>
      <c r="X8" s="75"/>
      <c r="Y8" s="76"/>
      <c r="Z8" s="77"/>
      <c r="AA8" s="74"/>
      <c r="AB8" s="75"/>
      <c r="AC8" s="76"/>
      <c r="AD8" s="75"/>
      <c r="AE8" s="76"/>
      <c r="AF8" s="75"/>
      <c r="AG8" s="76"/>
      <c r="AH8" s="77"/>
      <c r="AI8" s="74"/>
      <c r="AJ8" s="75"/>
      <c r="AK8" s="76"/>
      <c r="AL8" s="75"/>
      <c r="AM8" s="76"/>
      <c r="AN8" s="75"/>
      <c r="AO8" s="76"/>
      <c r="AP8" s="77"/>
    </row>
    <row r="9" spans="1:51" x14ac:dyDescent="0.3">
      <c r="B9" s="57"/>
      <c r="C9" s="78"/>
      <c r="D9" s="72"/>
      <c r="E9" s="71"/>
      <c r="F9" s="72"/>
      <c r="G9" s="71"/>
      <c r="H9" s="72"/>
      <c r="I9" s="71"/>
      <c r="J9" s="79"/>
      <c r="K9" s="78"/>
      <c r="L9" s="72"/>
      <c r="M9" s="71"/>
      <c r="N9" s="72"/>
      <c r="O9" s="71"/>
      <c r="P9" s="72"/>
      <c r="Q9" s="71"/>
      <c r="R9" s="79"/>
      <c r="S9" s="78"/>
      <c r="T9" s="72"/>
      <c r="U9" s="71"/>
      <c r="V9" s="72"/>
      <c r="W9" s="71"/>
      <c r="X9" s="72"/>
      <c r="Y9" s="71"/>
      <c r="Z9" s="79"/>
      <c r="AA9" s="78"/>
      <c r="AB9" s="72"/>
      <c r="AC9" s="71"/>
      <c r="AD9" s="72"/>
      <c r="AE9" s="71"/>
      <c r="AF9" s="72"/>
      <c r="AG9" s="71"/>
      <c r="AH9" s="79"/>
      <c r="AI9" s="78"/>
      <c r="AJ9" s="72"/>
      <c r="AK9" s="71"/>
      <c r="AL9" s="72"/>
      <c r="AM9" s="71"/>
      <c r="AN9" s="72"/>
      <c r="AO9" s="71"/>
      <c r="AP9" s="79"/>
    </row>
    <row r="10" spans="1:51" x14ac:dyDescent="0.3">
      <c r="A10" s="80" t="s">
        <v>135</v>
      </c>
      <c r="B10" s="70"/>
      <c r="C10" s="80"/>
      <c r="D10" s="70"/>
      <c r="E10" s="69"/>
      <c r="F10" s="70"/>
      <c r="G10" s="69"/>
      <c r="H10" s="70"/>
      <c r="I10" s="69"/>
      <c r="J10" s="81" t="s">
        <v>136</v>
      </c>
      <c r="K10" s="80"/>
      <c r="L10" s="70"/>
      <c r="M10" s="69"/>
      <c r="N10" s="70"/>
      <c r="O10" s="69"/>
      <c r="P10" s="70"/>
      <c r="Q10" s="69"/>
      <c r="R10" s="81"/>
      <c r="S10" s="80" t="s">
        <v>137</v>
      </c>
      <c r="T10" s="70"/>
      <c r="U10" s="69"/>
      <c r="V10" s="70"/>
      <c r="W10" s="69"/>
      <c r="X10" s="70"/>
      <c r="Y10" s="69"/>
      <c r="Z10" s="81"/>
      <c r="AA10" s="69" t="s">
        <v>138</v>
      </c>
      <c r="AB10" s="70"/>
      <c r="AC10" s="69"/>
      <c r="AD10" s="70"/>
      <c r="AE10" s="69"/>
      <c r="AF10" s="70"/>
      <c r="AG10" s="69"/>
      <c r="AH10" s="81"/>
      <c r="AI10" s="80"/>
      <c r="AJ10" s="70"/>
      <c r="AK10" s="69" t="s">
        <v>139</v>
      </c>
      <c r="AL10" s="70"/>
      <c r="AM10" s="69"/>
      <c r="AN10" s="70"/>
      <c r="AO10" s="69"/>
      <c r="AP10" s="81"/>
      <c r="AR10" s="69" t="s">
        <v>140</v>
      </c>
      <c r="AS10" s="70"/>
      <c r="AT10" s="69"/>
      <c r="AU10" s="70"/>
    </row>
    <row r="11" spans="1:51" x14ac:dyDescent="0.3">
      <c r="A11" s="78"/>
      <c r="B11" s="87">
        <v>1</v>
      </c>
      <c r="C11" s="78"/>
      <c r="D11" s="87"/>
      <c r="E11" s="86"/>
      <c r="F11" s="72"/>
      <c r="G11" s="71"/>
      <c r="H11" s="72"/>
      <c r="I11" s="71"/>
      <c r="J11" s="79"/>
      <c r="K11" s="78"/>
      <c r="L11" s="87">
        <f>B11*0.95</f>
        <v>0.95</v>
      </c>
      <c r="M11" s="86"/>
      <c r="N11" s="72"/>
      <c r="O11" s="71"/>
      <c r="P11" s="72"/>
      <c r="Q11" s="71"/>
      <c r="R11" s="79"/>
      <c r="S11" s="78"/>
      <c r="T11" s="87">
        <f>L11*1.1</f>
        <v>1.0449999999999999</v>
      </c>
      <c r="U11" s="86"/>
      <c r="V11" s="72"/>
      <c r="W11" s="71"/>
      <c r="X11" s="72"/>
      <c r="Y11" s="71"/>
      <c r="Z11" s="79"/>
      <c r="AA11" s="71"/>
      <c r="AB11" s="87">
        <f>T11*1.05</f>
        <v>1.0972500000000001</v>
      </c>
      <c r="AC11" s="86"/>
      <c r="AD11" s="72"/>
      <c r="AE11" s="86"/>
      <c r="AF11" s="72"/>
      <c r="AG11" s="71"/>
      <c r="AH11" s="79"/>
      <c r="AI11" s="78"/>
      <c r="AJ11" s="72"/>
      <c r="AK11" s="71"/>
      <c r="AL11" s="87">
        <f>AB11*0.98</f>
        <v>1.075305</v>
      </c>
      <c r="AM11" s="86"/>
      <c r="AN11" s="72"/>
      <c r="AO11" s="71"/>
      <c r="AP11" s="79"/>
      <c r="AR11" s="71"/>
      <c r="AS11" s="87">
        <f>AR22*1.05</f>
        <v>1.1855237625000001</v>
      </c>
      <c r="AT11" s="86"/>
      <c r="AU11" s="72"/>
    </row>
    <row r="12" spans="1:51" x14ac:dyDescent="0.3">
      <c r="B12" s="58">
        <v>0.5</v>
      </c>
      <c r="C12" s="80"/>
      <c r="D12" s="70"/>
      <c r="E12" s="69"/>
      <c r="F12" s="70"/>
      <c r="G12" s="69"/>
      <c r="H12" s="70"/>
      <c r="I12" s="69"/>
      <c r="J12" s="81"/>
      <c r="K12" s="80"/>
      <c r="L12" s="70"/>
      <c r="M12" s="69"/>
      <c r="N12" s="70"/>
      <c r="O12" s="69"/>
      <c r="P12" s="70"/>
      <c r="Q12" s="69"/>
      <c r="R12" s="81"/>
      <c r="S12" s="80"/>
      <c r="T12" s="70"/>
      <c r="U12" s="69"/>
      <c r="V12" s="70"/>
      <c r="W12" s="69"/>
      <c r="X12" s="70"/>
      <c r="Y12" s="69"/>
      <c r="Z12" s="81"/>
      <c r="AA12" s="80"/>
      <c r="AB12" s="70"/>
      <c r="AC12" s="69"/>
      <c r="AD12" s="70"/>
      <c r="AE12" s="69"/>
      <c r="AF12" s="70"/>
      <c r="AG12" s="69"/>
      <c r="AH12" s="81"/>
      <c r="AI12" s="80"/>
      <c r="AJ12" s="70"/>
      <c r="AK12" s="69"/>
      <c r="AL12" s="70"/>
      <c r="AM12" s="69"/>
      <c r="AN12" s="70"/>
      <c r="AO12" s="69"/>
      <c r="AP12" s="81"/>
    </row>
    <row r="13" spans="1:51" x14ac:dyDescent="0.3">
      <c r="B13" s="57"/>
      <c r="C13" s="78"/>
      <c r="D13" s="72"/>
      <c r="E13" s="71"/>
      <c r="F13" s="72"/>
      <c r="G13" s="71"/>
      <c r="H13" s="72"/>
      <c r="I13" s="71"/>
      <c r="J13" s="79"/>
      <c r="K13" s="78"/>
      <c r="L13" s="72"/>
      <c r="M13" s="71"/>
      <c r="N13" s="72"/>
      <c r="O13" s="71"/>
      <c r="P13" s="72"/>
      <c r="Q13" s="71"/>
      <c r="R13" s="79"/>
      <c r="S13" s="78"/>
      <c r="T13" s="72"/>
      <c r="U13" s="71"/>
      <c r="V13" s="72"/>
      <c r="W13" s="71"/>
      <c r="X13" s="72"/>
      <c r="Y13" s="71"/>
      <c r="Z13" s="79"/>
      <c r="AA13" s="78"/>
      <c r="AB13" s="72"/>
      <c r="AC13" s="71"/>
      <c r="AD13" s="72"/>
      <c r="AE13" s="71"/>
      <c r="AF13" s="72"/>
      <c r="AG13" s="71"/>
      <c r="AH13" s="79"/>
      <c r="AI13" s="78"/>
      <c r="AJ13" s="72"/>
      <c r="AK13" s="71"/>
      <c r="AL13" s="72"/>
      <c r="AM13" s="71"/>
      <c r="AN13" s="72"/>
      <c r="AO13" s="71"/>
      <c r="AP13" s="79"/>
    </row>
    <row r="14" spans="1:51" x14ac:dyDescent="0.3">
      <c r="B14" s="57"/>
      <c r="C14" s="80"/>
      <c r="D14" s="70"/>
      <c r="E14" s="69"/>
      <c r="F14" s="70"/>
      <c r="G14" s="69"/>
      <c r="H14" s="70"/>
      <c r="I14" s="69"/>
      <c r="J14" s="81"/>
      <c r="K14" s="80"/>
      <c r="L14" s="70"/>
      <c r="M14" s="69"/>
      <c r="N14" s="70"/>
      <c r="O14" s="69"/>
      <c r="P14" s="70"/>
      <c r="Q14" s="69"/>
      <c r="R14" s="81"/>
      <c r="S14" s="80"/>
      <c r="T14" s="70"/>
      <c r="U14" s="69"/>
      <c r="V14" s="70"/>
      <c r="W14" s="69"/>
      <c r="X14" s="70"/>
      <c r="Y14" s="69"/>
      <c r="Z14" s="81"/>
      <c r="AA14" s="80"/>
      <c r="AB14" s="70"/>
      <c r="AC14" s="69"/>
      <c r="AD14" s="70"/>
      <c r="AE14" s="69"/>
      <c r="AF14" s="70"/>
      <c r="AG14" s="69"/>
      <c r="AH14" s="81"/>
      <c r="AI14" s="80"/>
      <c r="AJ14" s="70"/>
      <c r="AK14" s="69"/>
      <c r="AL14" s="70"/>
      <c r="AM14" s="69"/>
      <c r="AN14" s="70"/>
      <c r="AO14" s="69"/>
      <c r="AP14" s="81"/>
    </row>
    <row r="15" spans="1:51" x14ac:dyDescent="0.3">
      <c r="B15" s="58">
        <v>0</v>
      </c>
      <c r="C15" s="82"/>
      <c r="D15" s="83"/>
      <c r="E15" s="84"/>
      <c r="F15" s="83"/>
      <c r="G15" s="84"/>
      <c r="H15" s="83"/>
      <c r="I15" s="84"/>
      <c r="J15" s="85"/>
      <c r="K15" s="82"/>
      <c r="L15" s="83"/>
      <c r="M15" s="84"/>
      <c r="N15" s="83"/>
      <c r="O15" s="84"/>
      <c r="P15" s="83"/>
      <c r="Q15" s="84"/>
      <c r="R15" s="85"/>
      <c r="S15" s="82"/>
      <c r="T15" s="83"/>
      <c r="U15" s="84"/>
      <c r="V15" s="83"/>
      <c r="W15" s="84"/>
      <c r="X15" s="83"/>
      <c r="Y15" s="84"/>
      <c r="Z15" s="85"/>
      <c r="AA15" s="82"/>
      <c r="AB15" s="83"/>
      <c r="AC15" s="84"/>
      <c r="AD15" s="83"/>
      <c r="AE15" s="84"/>
      <c r="AF15" s="83"/>
      <c r="AG15" s="84"/>
      <c r="AH15" s="85"/>
      <c r="AI15" s="82"/>
      <c r="AJ15" s="83"/>
      <c r="AK15" s="84"/>
      <c r="AL15" s="83"/>
      <c r="AM15" s="84"/>
      <c r="AN15" s="83"/>
      <c r="AO15" s="84"/>
      <c r="AP15" s="85"/>
    </row>
    <row r="16" spans="1:51" ht="7.5" customHeight="1" x14ac:dyDescent="0.3">
      <c r="B16" s="58"/>
      <c r="C16" s="54"/>
      <c r="D16" s="73"/>
      <c r="E16" s="54"/>
      <c r="F16" s="54"/>
      <c r="G16" s="54"/>
      <c r="H16" s="54"/>
      <c r="I16" s="54"/>
      <c r="J16" s="54"/>
      <c r="K16" s="54"/>
      <c r="L16" s="54"/>
      <c r="M16" s="54"/>
      <c r="N16" s="59"/>
      <c r="O16" s="54"/>
      <c r="P16" s="54"/>
      <c r="Q16" s="54"/>
      <c r="R16" s="54"/>
      <c r="S16" s="54"/>
      <c r="T16" s="54"/>
      <c r="U16" s="54"/>
      <c r="V16" s="54"/>
      <c r="W16" s="54"/>
      <c r="X16" s="59"/>
      <c r="Y16" s="54"/>
      <c r="Z16" s="54"/>
      <c r="AA16" s="54"/>
      <c r="AB16" s="54"/>
      <c r="AC16" s="54"/>
      <c r="AD16" s="59"/>
      <c r="AE16" s="54"/>
      <c r="AF16" s="54"/>
      <c r="AG16" s="54"/>
      <c r="AH16" s="54"/>
      <c r="AI16" s="54"/>
      <c r="AJ16" s="54"/>
      <c r="AK16" s="54"/>
      <c r="AL16" s="54"/>
      <c r="AM16" s="54"/>
      <c r="AN16" s="59"/>
      <c r="AO16" s="54"/>
      <c r="AP16" s="59"/>
    </row>
    <row r="17" spans="1:46" x14ac:dyDescent="0.3">
      <c r="B17" s="58"/>
      <c r="C17" s="60"/>
      <c r="D17" s="61" t="s">
        <v>141</v>
      </c>
      <c r="E17" s="54"/>
      <c r="F17" s="54"/>
      <c r="G17" s="54"/>
      <c r="H17" s="60"/>
      <c r="I17" s="55"/>
      <c r="J17" s="54"/>
      <c r="K17" s="54"/>
      <c r="L17" s="54"/>
      <c r="M17" s="60"/>
      <c r="N17" s="62" t="s">
        <v>142</v>
      </c>
      <c r="O17" s="54"/>
      <c r="P17" s="60"/>
      <c r="Q17" s="55"/>
      <c r="R17" s="54"/>
      <c r="S17" s="54"/>
      <c r="T17" s="54"/>
      <c r="U17" s="60"/>
      <c r="V17" s="55"/>
      <c r="W17" s="54"/>
      <c r="X17" s="63" t="s">
        <v>143</v>
      </c>
      <c r="Y17" s="54"/>
      <c r="Z17" s="54"/>
      <c r="AA17" s="54"/>
      <c r="AB17" s="54"/>
      <c r="AC17" s="54"/>
      <c r="AD17" s="63" t="s">
        <v>144</v>
      </c>
      <c r="AE17" s="54"/>
      <c r="AF17" s="54"/>
      <c r="AG17" s="54"/>
      <c r="AH17" s="54"/>
      <c r="AI17" s="54"/>
      <c r="AJ17" s="54"/>
      <c r="AK17" s="54"/>
      <c r="AL17" s="54"/>
      <c r="AM17" s="57"/>
      <c r="AN17" s="63" t="s">
        <v>143</v>
      </c>
      <c r="AO17" s="54"/>
      <c r="AP17" s="63" t="s">
        <v>143</v>
      </c>
    </row>
    <row r="18" spans="1:46" x14ac:dyDescent="0.3">
      <c r="B18" s="54"/>
      <c r="C18" s="55" t="s">
        <v>131</v>
      </c>
      <c r="D18" s="55"/>
      <c r="E18" s="55" t="s">
        <v>132</v>
      </c>
      <c r="F18" s="55"/>
      <c r="G18" s="55" t="s">
        <v>133</v>
      </c>
      <c r="H18" s="55"/>
      <c r="I18" s="55" t="s">
        <v>134</v>
      </c>
      <c r="J18" s="55"/>
      <c r="K18" s="55" t="s">
        <v>131</v>
      </c>
      <c r="L18" s="55"/>
      <c r="M18" s="55" t="s">
        <v>132</v>
      </c>
      <c r="N18" s="55"/>
      <c r="O18" s="55" t="s">
        <v>133</v>
      </c>
      <c r="P18" s="55"/>
      <c r="Q18" s="55" t="s">
        <v>134</v>
      </c>
      <c r="R18" s="55"/>
      <c r="S18" s="55" t="s">
        <v>131</v>
      </c>
      <c r="T18" s="55"/>
      <c r="U18" s="55" t="s">
        <v>132</v>
      </c>
      <c r="V18" s="55"/>
      <c r="W18" s="55" t="s">
        <v>133</v>
      </c>
      <c r="X18" s="55"/>
      <c r="Y18" s="55" t="s">
        <v>134</v>
      </c>
      <c r="Z18" s="55"/>
      <c r="AA18" s="55" t="s">
        <v>131</v>
      </c>
      <c r="AB18" s="55"/>
      <c r="AC18" s="55" t="s">
        <v>132</v>
      </c>
      <c r="AD18" s="55"/>
      <c r="AE18" s="55" t="s">
        <v>133</v>
      </c>
      <c r="AF18" s="55"/>
      <c r="AG18" s="55" t="s">
        <v>134</v>
      </c>
      <c r="AH18" s="55"/>
      <c r="AI18" s="55" t="s">
        <v>131</v>
      </c>
      <c r="AJ18" s="55"/>
      <c r="AK18" s="55" t="s">
        <v>132</v>
      </c>
      <c r="AL18" s="55"/>
      <c r="AM18" s="55" t="s">
        <v>133</v>
      </c>
      <c r="AN18" s="55"/>
      <c r="AO18" s="55" t="s">
        <v>134</v>
      </c>
      <c r="AP18" s="55"/>
    </row>
    <row r="19" spans="1:46" x14ac:dyDescent="0.3">
      <c r="B19" s="54"/>
      <c r="C19" s="55">
        <v>2014</v>
      </c>
      <c r="D19" s="55"/>
      <c r="E19" s="55"/>
      <c r="F19" s="55"/>
      <c r="G19" s="55"/>
      <c r="H19" s="55"/>
      <c r="I19" s="55"/>
      <c r="J19" s="55"/>
      <c r="K19" s="55">
        <f>C19+1</f>
        <v>2015</v>
      </c>
      <c r="L19" s="55"/>
      <c r="M19" s="55"/>
      <c r="N19" s="55"/>
      <c r="O19" s="55"/>
      <c r="P19" s="55"/>
      <c r="Q19" s="55"/>
      <c r="R19" s="55"/>
      <c r="S19" s="55">
        <f>K19+1</f>
        <v>2016</v>
      </c>
      <c r="T19" s="55"/>
      <c r="U19" s="55"/>
      <c r="V19" s="55"/>
      <c r="W19" s="55"/>
      <c r="X19" s="55"/>
      <c r="Y19" s="55"/>
      <c r="Z19" s="55"/>
      <c r="AA19" s="55">
        <f>S19+1</f>
        <v>2017</v>
      </c>
      <c r="AB19" s="55"/>
      <c r="AC19" s="55"/>
      <c r="AD19" s="55"/>
      <c r="AE19" s="55"/>
      <c r="AF19" s="55"/>
      <c r="AG19" s="55"/>
      <c r="AH19" s="55"/>
      <c r="AI19" s="55">
        <f>AA19+1</f>
        <v>2018</v>
      </c>
      <c r="AJ19" s="55"/>
      <c r="AK19" s="55"/>
      <c r="AL19" s="55"/>
      <c r="AM19" s="55"/>
      <c r="AN19" s="55"/>
      <c r="AO19" s="55"/>
      <c r="AP19" s="55"/>
    </row>
    <row r="21" spans="1:46" x14ac:dyDescent="0.3">
      <c r="AQ21" s="89" t="s">
        <v>145</v>
      </c>
      <c r="AR21" s="90"/>
      <c r="AS21" s="90"/>
      <c r="AT21" s="91"/>
    </row>
    <row r="22" spans="1:46" ht="15" thickBot="1" x14ac:dyDescent="0.35">
      <c r="AQ22" s="92"/>
      <c r="AR22" s="93">
        <f>AL11*1.05</f>
        <v>1.1290702500000001</v>
      </c>
      <c r="AS22" s="94"/>
      <c r="AT22" s="95"/>
    </row>
    <row r="23" spans="1:46" ht="15" thickBot="1" x14ac:dyDescent="0.35">
      <c r="A23" s="179" t="s">
        <v>130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77"/>
    </row>
    <row r="26" spans="1:46" x14ac:dyDescent="0.3">
      <c r="D26" s="15"/>
      <c r="E26" s="15"/>
      <c r="F26" s="15"/>
    </row>
    <row r="37" spans="3:5" x14ac:dyDescent="0.3">
      <c r="C37" s="15"/>
      <c r="D37" s="15"/>
      <c r="E37" s="15"/>
    </row>
  </sheetData>
  <pageMargins left="0.7" right="0.7" top="0.75" bottom="0.75" header="0.3" footer="0.3"/>
  <pageSetup scale="56" orientation="portrait" r:id="rId1"/>
  <headerFooter>
    <oddFooter>&amp;R&amp;1#&amp;"Calibri"&amp;10&amp;K317100Public Information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D24D4F71A634D91A34F14C517243B" ma:contentTypeVersion="18" ma:contentTypeDescription="Create a new document." ma:contentTypeScope="" ma:versionID="be39616e987d8614a521133ee9213c27">
  <xsd:schema xmlns:xsd="http://www.w3.org/2001/XMLSchema" xmlns:xs="http://www.w3.org/2001/XMLSchema" xmlns:p="http://schemas.microsoft.com/office/2006/metadata/properties" xmlns:ns1="http://schemas.microsoft.com/sharepoint/v3" xmlns:ns2="1f5c59bb-fff3-44bb-af19-8c47570356e4" xmlns:ns3="7aa30d0e-d5b0-496b-a38f-b8a612c662b7" xmlns:ns4="035059a0-d0ab-420a-99f5-7e53cb92e6c1" targetNamespace="http://schemas.microsoft.com/office/2006/metadata/properties" ma:root="true" ma:fieldsID="a3fcdea820a32757fba57e43d047ed26" ns1:_="" ns2:_="" ns3:_="" ns4:_="">
    <xsd:import namespace="http://schemas.microsoft.com/sharepoint/v3"/>
    <xsd:import namespace="1f5c59bb-fff3-44bb-af19-8c47570356e4"/>
    <xsd:import namespace="7aa30d0e-d5b0-496b-a38f-b8a612c662b7"/>
    <xsd:import namespace="035059a0-d0ab-420a-99f5-7e53cb92e6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c59bb-fff3-44bb-af19-8c4757035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560b896-8886-498a-a042-c3e26b9789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30d0e-d5b0-496b-a38f-b8a612c662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059a0-d0ab-420a-99f5-7e53cb92e6c1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3201866-58c0-4721-a452-d4356fe7de4e}" ma:internalName="TaxCatchAll" ma:showField="CatchAllData" ma:web="035059a0-d0ab-420a-99f5-7e53cb92e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f5c59bb-fff3-44bb-af19-8c47570356e4">
      <Terms xmlns="http://schemas.microsoft.com/office/infopath/2007/PartnerControls"/>
    </lcf76f155ced4ddcb4097134ff3c332f>
    <TaxCatchAll xmlns="035059a0-d0ab-420a-99f5-7e53cb92e6c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9D201E-C7F9-4816-BE99-CBFA9B999E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5c59bb-fff3-44bb-af19-8c47570356e4"/>
    <ds:schemaRef ds:uri="7aa30d0e-d5b0-496b-a38f-b8a612c662b7"/>
    <ds:schemaRef ds:uri="035059a0-d0ab-420a-99f5-7e53cb92e6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BFFEDE-4D10-47C3-8D97-F29BCFFEC94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f5c59bb-fff3-44bb-af19-8c47570356e4"/>
    <ds:schemaRef ds:uri="035059a0-d0ab-420a-99f5-7e53cb92e6c1"/>
  </ds:schemaRefs>
</ds:datastoreItem>
</file>

<file path=customXml/itemProps3.xml><?xml version="1.0" encoding="utf-8"?>
<ds:datastoreItem xmlns:ds="http://schemas.openxmlformats.org/officeDocument/2006/customXml" ds:itemID="{7DD54089-9223-45F2-B85B-9DBB20F3CE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18</vt:i4>
      </vt:variant>
    </vt:vector>
  </HeadingPairs>
  <TitlesOfParts>
    <vt:vector size="39" baseType="lpstr">
      <vt:lpstr>Instructions for Workbook</vt:lpstr>
      <vt:lpstr>Inputs</vt:lpstr>
      <vt:lpstr>LR Indication</vt:lpstr>
      <vt:lpstr>Credibility</vt:lpstr>
      <vt:lpstr>Current Rate Level - 1</vt:lpstr>
      <vt:lpstr>CRL - 2 Earned Premium</vt:lpstr>
      <vt:lpstr>CRL 3 - Rate Level Calc EP</vt:lpstr>
      <vt:lpstr>CRL - 4 Written Premium</vt:lpstr>
      <vt:lpstr>CRL 5 - Rate Level Calc WP</vt:lpstr>
      <vt:lpstr>Premium Trend - 1</vt:lpstr>
      <vt:lpstr>Premium Trend - 2</vt:lpstr>
      <vt:lpstr>Premium Trend - 3</vt:lpstr>
      <vt:lpstr>Loss Development</vt:lpstr>
      <vt:lpstr>Loss Trend - 1</vt:lpstr>
      <vt:lpstr>Loss Trend - 2</vt:lpstr>
      <vt:lpstr>Loss Trend - 3</vt:lpstr>
      <vt:lpstr>Loss Trend - 4</vt:lpstr>
      <vt:lpstr>Loss Trend - 5</vt:lpstr>
      <vt:lpstr>ULAE</vt:lpstr>
      <vt:lpstr>Expense</vt:lpstr>
      <vt:lpstr>Indication Numbers</vt:lpstr>
      <vt:lpstr>Company</vt:lpstr>
      <vt:lpstr>EffDate</vt:lpstr>
      <vt:lpstr>EvalDate</vt:lpstr>
      <vt:lpstr>EvalMonths</vt:lpstr>
      <vt:lpstr>LatestYear</vt:lpstr>
      <vt:lpstr>LOB</vt:lpstr>
      <vt:lpstr>Credibility!Print_Area</vt:lpstr>
      <vt:lpstr>'CRL - 2 Earned Premium'!Print_Area</vt:lpstr>
      <vt:lpstr>'CRL - 4 Written Premium'!Print_Area</vt:lpstr>
      <vt:lpstr>'CRL 3 - Rate Level Calc EP'!Print_Area</vt:lpstr>
      <vt:lpstr>'CRL 5 - Rate Level Calc WP'!Print_Area</vt:lpstr>
      <vt:lpstr>'Current Rate Level - 1'!Print_Area</vt:lpstr>
      <vt:lpstr>Expense!Print_Area</vt:lpstr>
      <vt:lpstr>'Loss Trend - 1'!Print_Area</vt:lpstr>
      <vt:lpstr>'Loss Trend - 5'!Print_Area</vt:lpstr>
      <vt:lpstr>'Premium Trend - 1'!Print_Area</vt:lpstr>
      <vt:lpstr>ULAE!Print_Area</vt:lpstr>
      <vt:lpstr>State</vt:lpstr>
    </vt:vector>
  </TitlesOfParts>
  <Manager/>
  <Company>AON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Coleianne</dc:creator>
  <cp:keywords/>
  <dc:description/>
  <cp:lastModifiedBy>Kris Colvin</cp:lastModifiedBy>
  <cp:revision/>
  <dcterms:created xsi:type="dcterms:W3CDTF">2013-09-03T15:38:37Z</dcterms:created>
  <dcterms:modified xsi:type="dcterms:W3CDTF">2024-06-06T14:18:36Z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f8fdad-6f51-40b7-9ecc-e69d40f2075f_Enabled">
    <vt:lpwstr>True</vt:lpwstr>
  </property>
  <property fmtid="{D5CDD505-2E9C-101B-9397-08002B2CF9AE}" pid="3" name="MSIP_Label_41f8fdad-6f51-40b7-9ecc-e69d40f2075f_SiteId">
    <vt:lpwstr>88b431e7-cf2a-43a9-bd00-81441f5c2d3c</vt:lpwstr>
  </property>
  <property fmtid="{D5CDD505-2E9C-101B-9397-08002B2CF9AE}" pid="4" name="MSIP_Label_41f8fdad-6f51-40b7-9ecc-e69d40f2075f_Owner">
    <vt:lpwstr>pstap@allstate.com</vt:lpwstr>
  </property>
  <property fmtid="{D5CDD505-2E9C-101B-9397-08002B2CF9AE}" pid="5" name="MSIP_Label_41f8fdad-6f51-40b7-9ecc-e69d40f2075f_SetDate">
    <vt:lpwstr>2019-06-21T15:16:59.6928089Z</vt:lpwstr>
  </property>
  <property fmtid="{D5CDD505-2E9C-101B-9397-08002B2CF9AE}" pid="6" name="MSIP_Label_41f8fdad-6f51-40b7-9ecc-e69d40f2075f_Name">
    <vt:lpwstr>Public</vt:lpwstr>
  </property>
  <property fmtid="{D5CDD505-2E9C-101B-9397-08002B2CF9AE}" pid="7" name="MSIP_Label_41f8fdad-6f51-40b7-9ecc-e69d40f2075f_Application">
    <vt:lpwstr>Microsoft Azure Information Protection</vt:lpwstr>
  </property>
  <property fmtid="{D5CDD505-2E9C-101B-9397-08002B2CF9AE}" pid="8" name="MSIP_Label_41f8fdad-6f51-40b7-9ecc-e69d40f2075f_Extended_MSFT_Method">
    <vt:lpwstr>Manual</vt:lpwstr>
  </property>
  <property fmtid="{D5CDD505-2E9C-101B-9397-08002B2CF9AE}" pid="9" name="MSIP_Label_ef37990f-35c0-4dce-b968-687ac3557eab_Enabled">
    <vt:lpwstr>True</vt:lpwstr>
  </property>
  <property fmtid="{D5CDD505-2E9C-101B-9397-08002B2CF9AE}" pid="10" name="MSIP_Label_ef37990f-35c0-4dce-b968-687ac3557eab_SiteId">
    <vt:lpwstr>88b431e7-cf2a-43a9-bd00-81441f5c2d3c</vt:lpwstr>
  </property>
  <property fmtid="{D5CDD505-2E9C-101B-9397-08002B2CF9AE}" pid="11" name="MSIP_Label_ef37990f-35c0-4dce-b968-687ac3557eab_Owner">
    <vt:lpwstr>pstap@allstate.com</vt:lpwstr>
  </property>
  <property fmtid="{D5CDD505-2E9C-101B-9397-08002B2CF9AE}" pid="12" name="MSIP_Label_ef37990f-35c0-4dce-b968-687ac3557eab_SetDate">
    <vt:lpwstr>2019-06-21T15:16:59.6928089Z</vt:lpwstr>
  </property>
  <property fmtid="{D5CDD505-2E9C-101B-9397-08002B2CF9AE}" pid="13" name="MSIP_Label_ef37990f-35c0-4dce-b968-687ac3557eab_Name">
    <vt:lpwstr>Watermark</vt:lpwstr>
  </property>
  <property fmtid="{D5CDD505-2E9C-101B-9397-08002B2CF9AE}" pid="14" name="MSIP_Label_ef37990f-35c0-4dce-b968-687ac3557eab_Application">
    <vt:lpwstr>Microsoft Azure Information Protection</vt:lpwstr>
  </property>
  <property fmtid="{D5CDD505-2E9C-101B-9397-08002B2CF9AE}" pid="15" name="MSIP_Label_ef37990f-35c0-4dce-b968-687ac3557eab_Parent">
    <vt:lpwstr>41f8fdad-6f51-40b7-9ecc-e69d40f2075f</vt:lpwstr>
  </property>
  <property fmtid="{D5CDD505-2E9C-101B-9397-08002B2CF9AE}" pid="16" name="MSIP_Label_ef37990f-35c0-4dce-b968-687ac3557eab_Extended_MSFT_Method">
    <vt:lpwstr>Manual</vt:lpwstr>
  </property>
  <property fmtid="{D5CDD505-2E9C-101B-9397-08002B2CF9AE}" pid="17" name="Sensitivity">
    <vt:lpwstr>Public Watermark</vt:lpwstr>
  </property>
  <property fmtid="{D5CDD505-2E9C-101B-9397-08002B2CF9AE}" pid="18" name="TitusGUID">
    <vt:lpwstr>30909537-d9e4-4565-a6cb-3abf64234663</vt:lpwstr>
  </property>
  <property fmtid="{D5CDD505-2E9C-101B-9397-08002B2CF9AE}" pid="19" name="PreClass">
    <vt:lpwstr>False</vt:lpwstr>
  </property>
  <property fmtid="{D5CDD505-2E9C-101B-9397-08002B2CF9AE}" pid="20" name="Classification">
    <vt:lpwstr>Public</vt:lpwstr>
  </property>
  <property fmtid="{D5CDD505-2E9C-101B-9397-08002B2CF9AE}" pid="21" name="ContentTypeId">
    <vt:lpwstr>0x010100AC0D24D4F71A634D91A34F14C517243B</vt:lpwstr>
  </property>
</Properties>
</file>