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75" windowWidth="8595" windowHeight="6735" activeTab="4"/>
  </bookViews>
  <sheets>
    <sheet name="Sheet1" sheetId="1" r:id="rId1"/>
    <sheet name="Dự báo mưa" sheetId="2" r:id="rId2"/>
    <sheet name="Dự báo nhiệt độ" sheetId="3" r:id="rId3"/>
    <sheet name="Theo dõi nhiệt độ" sheetId="4" r:id="rId4"/>
    <sheet name="Sheet3" sheetId="5" r:id="rId5"/>
  </sheets>
  <calcPr calcId="144525"/>
</workbook>
</file>

<file path=xl/calcChain.xml><?xml version="1.0" encoding="utf-8"?>
<calcChain xmlns="http://schemas.openxmlformats.org/spreadsheetml/2006/main">
  <c r="E33" i="5" l="1"/>
  <c r="D33" i="5"/>
  <c r="O18" i="5" l="1"/>
  <c r="O19" i="5"/>
  <c r="O20" i="5"/>
  <c r="O21" i="5"/>
  <c r="O22" i="5"/>
  <c r="O16" i="5"/>
  <c r="O17" i="5"/>
  <c r="J21" i="5"/>
  <c r="D11" i="5"/>
  <c r="D12" i="5"/>
  <c r="D13" i="5"/>
  <c r="D14" i="5"/>
  <c r="D15" i="5"/>
  <c r="D3" i="5"/>
  <c r="D4" i="5"/>
  <c r="D5" i="5"/>
  <c r="D6" i="5"/>
  <c r="D7" i="5"/>
  <c r="D8" i="5"/>
  <c r="D10" i="5"/>
  <c r="D9" i="5"/>
  <c r="T50" i="4"/>
  <c r="U50" i="4"/>
  <c r="U56" i="4"/>
  <c r="V56" i="4" s="1"/>
  <c r="R56" i="4"/>
  <c r="V55" i="4"/>
  <c r="U55" i="4"/>
  <c r="R55" i="4"/>
  <c r="U54" i="4"/>
  <c r="V54" i="4" s="1"/>
  <c r="R54" i="4"/>
  <c r="V53" i="4"/>
  <c r="U53" i="4"/>
  <c r="R53" i="4"/>
  <c r="U52" i="4"/>
  <c r="V52" i="4" s="1"/>
  <c r="R52" i="4"/>
  <c r="U51" i="4"/>
  <c r="X45" i="4"/>
  <c r="X44" i="4"/>
  <c r="P45" i="4"/>
  <c r="P44" i="4"/>
  <c r="Q44" i="4"/>
  <c r="Q45" i="4"/>
  <c r="Q43" i="4"/>
  <c r="W44" i="4"/>
  <c r="W45" i="4"/>
  <c r="W43" i="4"/>
  <c r="V45" i="4"/>
  <c r="U45" i="4"/>
  <c r="R45" i="4"/>
  <c r="U44" i="4"/>
  <c r="V44" i="4" s="1"/>
  <c r="R44" i="4"/>
  <c r="U43" i="4"/>
  <c r="V43" i="4" s="1"/>
  <c r="R43" i="4"/>
  <c r="U42" i="4"/>
  <c r="V42" i="4" s="1"/>
  <c r="R42" i="4"/>
  <c r="V41" i="4"/>
  <c r="U41" i="4"/>
  <c r="R41" i="4"/>
  <c r="U40" i="4"/>
  <c r="P33" i="4"/>
  <c r="T33" i="4"/>
  <c r="S33" i="4"/>
  <c r="P35" i="4"/>
  <c r="P36" i="4"/>
  <c r="P37" i="4"/>
  <c r="P34" i="4"/>
  <c r="S34" i="4"/>
  <c r="T34" i="4" s="1"/>
  <c r="S35" i="4"/>
  <c r="T35" i="4" s="1"/>
  <c r="S36" i="4"/>
  <c r="T36" i="4" s="1"/>
  <c r="S37" i="4"/>
  <c r="T37" i="4" s="1"/>
  <c r="S32" i="4"/>
  <c r="O30" i="1" l="1"/>
  <c r="M30" i="1"/>
  <c r="K30" i="1"/>
  <c r="O29" i="1"/>
  <c r="M29" i="1"/>
  <c r="K29" i="1"/>
  <c r="L28" i="1"/>
  <c r="N27" i="1"/>
  <c r="L27" i="1"/>
  <c r="O26" i="1"/>
  <c r="L26" i="1" s="1"/>
  <c r="O25" i="1"/>
  <c r="M25" i="1"/>
  <c r="K25" i="1"/>
  <c r="N26" i="1" l="1"/>
  <c r="E3" i="3"/>
  <c r="M8" i="3"/>
  <c r="N6" i="3"/>
  <c r="O41" i="3" l="1"/>
  <c r="O42" i="3"/>
  <c r="O43" i="3"/>
  <c r="O44" i="3"/>
  <c r="O45" i="3"/>
  <c r="O46" i="3"/>
  <c r="O47" i="3"/>
  <c r="O48" i="3"/>
  <c r="O49" i="3"/>
  <c r="O50" i="3"/>
  <c r="O51" i="3"/>
  <c r="O31" i="3"/>
  <c r="O32" i="3"/>
  <c r="O33" i="3"/>
  <c r="O34" i="3"/>
  <c r="O35" i="3"/>
  <c r="O36" i="3"/>
  <c r="O37" i="3"/>
  <c r="O38" i="3"/>
  <c r="O39" i="3"/>
  <c r="O40" i="3"/>
  <c r="O16" i="3"/>
  <c r="O17" i="3"/>
  <c r="O18" i="3"/>
  <c r="O29" i="3"/>
  <c r="G86" i="3"/>
  <c r="H86" i="3" s="1"/>
  <c r="I86" i="3"/>
  <c r="J86" i="3" s="1"/>
  <c r="G87" i="3"/>
  <c r="H87" i="3" s="1"/>
  <c r="I87" i="3"/>
  <c r="J87" i="3" s="1"/>
  <c r="G88" i="3"/>
  <c r="H88" i="3" s="1"/>
  <c r="I88" i="3"/>
  <c r="J88" i="3" s="1"/>
  <c r="G89" i="3"/>
  <c r="H89" i="3" s="1"/>
  <c r="I89" i="3"/>
  <c r="J89" i="3" s="1"/>
  <c r="G90" i="3"/>
  <c r="H90" i="3" s="1"/>
  <c r="I90" i="3"/>
  <c r="J90" i="3" s="1"/>
  <c r="G91" i="3"/>
  <c r="H91" i="3" s="1"/>
  <c r="I91" i="3"/>
  <c r="J91" i="3" s="1"/>
  <c r="G92" i="3"/>
  <c r="H92" i="3" s="1"/>
  <c r="I92" i="3"/>
  <c r="J92" i="3" s="1"/>
  <c r="G93" i="3"/>
  <c r="H93" i="3" s="1"/>
  <c r="I93" i="3"/>
  <c r="J93" i="3" s="1"/>
  <c r="G94" i="3"/>
  <c r="H94" i="3" s="1"/>
  <c r="I94" i="3"/>
  <c r="J94" i="3" s="1"/>
  <c r="G95" i="3"/>
  <c r="H95" i="3" s="1"/>
  <c r="I95" i="3"/>
  <c r="J95" i="3" s="1"/>
  <c r="G96" i="3"/>
  <c r="H96" i="3" s="1"/>
  <c r="I96" i="3"/>
  <c r="J96" i="3" s="1"/>
  <c r="G97" i="3"/>
  <c r="H97" i="3" s="1"/>
  <c r="I97" i="3"/>
  <c r="J97" i="3" s="1"/>
  <c r="G98" i="3"/>
  <c r="H98" i="3" s="1"/>
  <c r="I98" i="3"/>
  <c r="J98" i="3" s="1"/>
  <c r="G99" i="3"/>
  <c r="H99" i="3" s="1"/>
  <c r="I99" i="3"/>
  <c r="J99" i="3" s="1"/>
  <c r="G100" i="3"/>
  <c r="H100" i="3" s="1"/>
  <c r="I100" i="3"/>
  <c r="J100" i="3" s="1"/>
  <c r="G101" i="3"/>
  <c r="H101" i="3" s="1"/>
  <c r="I101" i="3"/>
  <c r="J101" i="3" s="1"/>
  <c r="G102" i="3"/>
  <c r="H102" i="3" s="1"/>
  <c r="I102" i="3"/>
  <c r="J102" i="3" s="1"/>
  <c r="G103" i="3"/>
  <c r="H103" i="3" s="1"/>
  <c r="I103" i="3"/>
  <c r="J103" i="3" s="1"/>
  <c r="G104" i="3"/>
  <c r="H104" i="3" s="1"/>
  <c r="I104" i="3"/>
  <c r="J104" i="3" s="1"/>
  <c r="G105" i="3"/>
  <c r="H105" i="3" s="1"/>
  <c r="I105" i="3"/>
  <c r="J105" i="3" s="1"/>
  <c r="G106" i="3"/>
  <c r="H106" i="3" s="1"/>
  <c r="I106" i="3"/>
  <c r="J106" i="3" s="1"/>
  <c r="G107" i="3"/>
  <c r="H107" i="3" s="1"/>
  <c r="I107" i="3"/>
  <c r="J107" i="3" s="1"/>
  <c r="I85" i="3"/>
  <c r="J85" i="3" s="1"/>
  <c r="G85" i="3"/>
  <c r="I81" i="3"/>
  <c r="J81" i="3" s="1"/>
  <c r="G13" i="3"/>
  <c r="Q42" i="3"/>
  <c r="O28" i="3"/>
  <c r="G14" i="3"/>
  <c r="G15" i="3" s="1"/>
  <c r="G16" i="3" s="1"/>
  <c r="G17" i="3" s="1"/>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G26" i="3"/>
  <c r="F26" i="3" s="1"/>
  <c r="H13" i="3"/>
  <c r="O19" i="3"/>
  <c r="O20" i="3"/>
  <c r="O21" i="3"/>
  <c r="O22" i="3"/>
  <c r="O23" i="3"/>
  <c r="O24" i="3"/>
  <c r="O25" i="3"/>
  <c r="O26" i="3"/>
  <c r="O27" i="3"/>
  <c r="F13" i="3"/>
  <c r="J22" i="3"/>
  <c r="H20" i="3"/>
  <c r="F19" i="3"/>
  <c r="C3" i="3"/>
  <c r="F3" i="3" s="1"/>
  <c r="H12" i="3"/>
  <c r="I12" i="3" s="1"/>
  <c r="K5" i="3"/>
  <c r="J5" i="3"/>
  <c r="G13" i="2"/>
  <c r="G14" i="2"/>
  <c r="G15" i="2"/>
  <c r="G16" i="2"/>
  <c r="G17" i="2"/>
  <c r="G18" i="2"/>
  <c r="G19" i="2"/>
  <c r="G20" i="2"/>
  <c r="G21" i="2"/>
  <c r="G22" i="2"/>
  <c r="G23" i="2"/>
  <c r="G24" i="2"/>
  <c r="G12" i="2"/>
  <c r="H11" i="2"/>
  <c r="H7" i="2"/>
  <c r="I7" i="2"/>
  <c r="E6" i="3"/>
  <c r="D6" i="3" s="1"/>
  <c r="F5" i="3"/>
  <c r="D5" i="3"/>
  <c r="C5" i="3"/>
  <c r="E4" i="3"/>
  <c r="F4" i="3" s="1"/>
  <c r="C4" i="3"/>
  <c r="I10" i="2"/>
  <c r="G10" i="2" s="1"/>
  <c r="J7" i="2"/>
  <c r="G8" i="2"/>
  <c r="J8" i="2"/>
  <c r="I8" i="2"/>
  <c r="H85" i="3" l="1"/>
  <c r="D3" i="3"/>
  <c r="C6" i="3"/>
  <c r="H10" i="2"/>
  <c r="D4" i="1"/>
  <c r="F4" i="1"/>
  <c r="D5" i="1"/>
  <c r="F5" i="1"/>
  <c r="G6" i="1" l="1"/>
  <c r="F6" i="1"/>
  <c r="D6" i="1"/>
  <c r="D38" i="1" l="1"/>
  <c r="F38" i="1"/>
  <c r="C38" i="1"/>
  <c r="F36" i="1"/>
  <c r="D36" i="1"/>
  <c r="G35" i="1"/>
  <c r="D35" i="1" s="1"/>
  <c r="G34" i="1"/>
  <c r="F34" i="1" s="1"/>
  <c r="G33" i="1"/>
  <c r="F33" i="1" s="1"/>
  <c r="G32" i="1"/>
  <c r="D32" i="1" s="1"/>
  <c r="G31" i="1"/>
  <c r="F31" i="1" s="1"/>
  <c r="G30" i="1"/>
  <c r="D30" i="1" s="1"/>
  <c r="G29" i="1"/>
  <c r="D29" i="1" s="1"/>
  <c r="G28" i="1"/>
  <c r="D28" i="1" s="1"/>
  <c r="G27" i="1"/>
  <c r="D27" i="1" s="1"/>
  <c r="G26" i="1"/>
  <c r="D26" i="1"/>
  <c r="F26" i="1"/>
  <c r="G25" i="1"/>
  <c r="D25" i="1" s="1"/>
  <c r="G24" i="1"/>
  <c r="F24" i="1" s="1"/>
  <c r="G23" i="1"/>
  <c r="F23" i="1" s="1"/>
  <c r="G8" i="1"/>
  <c r="D8" i="1" s="1"/>
  <c r="G9" i="1"/>
  <c r="D9" i="1" s="1"/>
  <c r="G10" i="1"/>
  <c r="F10" i="1" s="1"/>
  <c r="G11" i="1"/>
  <c r="F11" i="1" s="1"/>
  <c r="G12" i="1"/>
  <c r="D12" i="1" s="1"/>
  <c r="G13" i="1"/>
  <c r="D13" i="1" s="1"/>
  <c r="G14" i="1"/>
  <c r="G15" i="1"/>
  <c r="F15" i="1" s="1"/>
  <c r="G16" i="1"/>
  <c r="D16" i="1" s="1"/>
  <c r="G17" i="1"/>
  <c r="D17" i="1" s="1"/>
  <c r="G18" i="1"/>
  <c r="F18" i="1" s="1"/>
  <c r="G19" i="1"/>
  <c r="F19" i="1" s="1"/>
  <c r="G20" i="1"/>
  <c r="D20" i="1" s="1"/>
  <c r="G21" i="1"/>
  <c r="D21" i="1" s="1"/>
  <c r="G22" i="1"/>
  <c r="F22" i="1" s="1"/>
  <c r="F14" i="1"/>
  <c r="D10" i="1"/>
  <c r="D14" i="1"/>
  <c r="D18" i="1"/>
  <c r="F7" i="1"/>
  <c r="D7" i="1"/>
  <c r="G7" i="1"/>
  <c r="F35" i="1" l="1"/>
  <c r="D34" i="1"/>
  <c r="D33" i="1"/>
  <c r="F32" i="1"/>
  <c r="D31" i="1"/>
  <c r="F30" i="1"/>
  <c r="F29" i="1"/>
  <c r="F28" i="1"/>
  <c r="F27" i="1"/>
  <c r="F25" i="1"/>
  <c r="D24" i="1"/>
  <c r="D23" i="1"/>
  <c r="D22" i="1"/>
  <c r="D19" i="1"/>
  <c r="D15" i="1"/>
  <c r="D11" i="1"/>
  <c r="F21" i="1"/>
  <c r="F17" i="1"/>
  <c r="F13" i="1"/>
  <c r="F9" i="1"/>
  <c r="F20" i="1"/>
  <c r="F16" i="1"/>
  <c r="F12" i="1"/>
  <c r="F8" i="1"/>
  <c r="J9" i="2"/>
  <c r="H9" i="2"/>
  <c r="G9" i="2"/>
</calcChain>
</file>

<file path=xl/sharedStrings.xml><?xml version="1.0" encoding="utf-8"?>
<sst xmlns="http://schemas.openxmlformats.org/spreadsheetml/2006/main" count="152" uniqueCount="111">
  <si>
    <t xml:space="preserve">Light </t>
  </si>
  <si>
    <t>Deep</t>
  </si>
  <si>
    <t>Tổng</t>
  </si>
  <si>
    <t>%</t>
  </si>
  <si>
    <t>Còn phần mềm Bin đo (Giờ)- 4/4</t>
  </si>
  <si>
    <t>Còn phần mềm Bin đo (phút)- 4/4</t>
  </si>
  <si>
    <t>Nhận xét: Bên đây là bản theo dõi 30 ngày ngủ, dữ liệu lấy từ ứng dụng Mifit trên đồng hồ thì có thể thấy deep Sleep bao giờ cũng có % ít hơn 46%. Nên Bin đề xuất nếu deep sleep &gt; 46% thì cho deep sleep = 46% luôn cho đẹp số. Không sẽ bị tình trạng giống như là ngày 4/4. Bin vẫn chưa thể hiểu sao chỉ số deep sleep lại lớn hơn chỉ số khi nhiều được như vậy</t>
  </si>
  <si>
    <t>30.00 to 30.20, and steady</t>
  </si>
  <si>
    <t>westerly</t>
  </si>
  <si>
    <t>Fair, with slight changes in temperature, for one to two days</t>
  </si>
  <si>
    <t>30.00 to 30.20, and rising rapidly</t>
  </si>
  <si>
    <t>Fair, followed within two days by warmer and rain</t>
  </si>
  <si>
    <t>30.00 to 30.20, and falling rapidly</t>
  </si>
  <si>
    <t>south to east</t>
  </si>
  <si>
    <t>Warmer, and rain within 24 hours.</t>
  </si>
  <si>
    <t>30.20 or above, and falling rapidly</t>
  </si>
  <si>
    <t>Warmer, and rain within 36 hours.</t>
  </si>
  <si>
    <t>west to north</t>
  </si>
  <si>
    <t>Cold and clear, quickly followed by warmer and rain.</t>
  </si>
  <si>
    <t>30.20 or above, and steady</t>
  </si>
  <si>
    <t>variable</t>
  </si>
  <si>
    <t>No early change.</t>
  </si>
  <si>
    <t>30.00 or below, and falling slowly</t>
  </si>
  <si>
    <t>Rain within 18 hours that will continue a day or two.</t>
  </si>
  <si>
    <t>30.00 or below, and falling rapidly</t>
  </si>
  <si>
    <t>southeast to northeast</t>
  </si>
  <si>
    <t>Rain, with high wind, followed within two days by clearing, colder.</t>
  </si>
  <si>
    <t>30.00 or below, and rising</t>
  </si>
  <si>
    <t>south to west</t>
  </si>
  <si>
    <t>Clearing and colder within 12 hours.</t>
  </si>
  <si>
    <t>29.80 or below, and falling rapidly</t>
  </si>
  <si>
    <t>Severe storm of wind and rain imminent. In winter, snow or cold wave within 24 hours.</t>
  </si>
  <si>
    <t>east to north</t>
  </si>
  <si>
    <t>Severe northeast gales and heavy rain or snow, followed in winter by cold wave.</t>
  </si>
  <si>
    <t>29.80 or below, and rising rapidly</t>
  </si>
  <si>
    <t>going to west</t>
  </si>
  <si>
    <t>Clearing and colder.</t>
  </si>
  <si>
    <t xml:space="preserve">Nguồn: https://www.almanac.com/content/predicting-weather-using-barometer-and-wind-direction </t>
  </si>
  <si>
    <t>30,00 đến 30,20 và ổn định</t>
  </si>
  <si>
    <t>miền tây</t>
  </si>
  <si>
    <t>Khá, với những thay đổi nhỏ về nhiệt độ, trong một đến hai ngày</t>
  </si>
  <si>
    <t>30,00 đến 30,20 và tăng nhanh chóng</t>
  </si>
  <si>
    <t>Khá, sau đó là ấm hơn và mưa trong vòng hai ngày</t>
  </si>
  <si>
    <t>30,00 đến 30,20 và giảm nhanh chóng</t>
  </si>
  <si>
    <t>nam sang đông</t>
  </si>
  <si>
    <t>Ấm hơn và mưa trong vòng 24 giờ.</t>
  </si>
  <si>
    <t>30,20 trở lên và giảm nhanh chóng</t>
  </si>
  <si>
    <t>Ấm hơn và mưa trong vòng 36 giờ.</t>
  </si>
  <si>
    <t>tây lên bắc</t>
  </si>
  <si>
    <t>Lạnh và trong, nhanh chóng sau đó ấm hơn và mưa.</t>
  </si>
  <si>
    <t>30,20 trở lên và ổn định</t>
  </si>
  <si>
    <t>Biến đổi</t>
  </si>
  <si>
    <t>Không thay đổi sớm.</t>
  </si>
  <si>
    <t>30,00 trở xuống và giảm từ từ</t>
  </si>
  <si>
    <t>Mưa trong vòng 18 giờ sẽ tiếp tục trong một hoặc hai ngày.</t>
  </si>
  <si>
    <t>30,00 trở xuống và giảm nhanh chóng</t>
  </si>
  <si>
    <t>đông nam đến đông bắc</t>
  </si>
  <si>
    <t>Mưa kèm theo gió lớn, sau đó trong vòng hai ngày trời quang mây tạnh, lạnh hơn.</t>
  </si>
  <si>
    <t>30,00 trở xuống và đang tăng</t>
  </si>
  <si>
    <t>nam sang tây</t>
  </si>
  <si>
    <t>Thông thoáng và lạnh hơn trong vòng 12 giờ.</t>
  </si>
  <si>
    <t>29,80 trở xuống và giảm nhanh chóng</t>
  </si>
  <si>
    <t>Cơn bão lớn của gió và mưa sắp xảy ra. Vào mùa đông, tuyết hoặc đợt lạnh trong vòng 24 giờ.</t>
  </si>
  <si>
    <t>đông sang bắc</t>
  </si>
  <si>
    <t>Những đêm đông bắc khắc nghiệt và mưa lớn hoặc tuyết, sau đó là đợt lạnh vào mùa đông.</t>
  </si>
  <si>
    <t>29,80 trở xuống và đang tăng lên nhanh chóng</t>
  </si>
  <si>
    <t>đi về phía tây</t>
  </si>
  <si>
    <t>Rõ ràng và lạnh hơn.</t>
  </si>
  <si>
    <t>Hướng gió</t>
  </si>
  <si>
    <r>
      <t>Áp suất (Đơn vị</t>
    </r>
    <r>
      <rPr>
        <sz val="11"/>
        <color rgb="FFFF0000"/>
        <rFont val="Calibri"/>
        <family val="2"/>
        <scheme val="minor"/>
      </rPr>
      <t xml:space="preserve"> inHg</t>
    </r>
    <r>
      <rPr>
        <sz val="11"/>
        <color theme="1"/>
        <rFont val="Calibri"/>
        <family val="2"/>
        <scheme val="minor"/>
      </rPr>
      <t xml:space="preserve"> )</t>
    </r>
  </si>
  <si>
    <t>Bản dịch tiếng Việt</t>
  </si>
  <si>
    <t xml:space="preserve">Bảng chuẩn đổi </t>
  </si>
  <si>
    <t>mmHg</t>
  </si>
  <si>
    <t>inHg</t>
  </si>
  <si>
    <t>Pa</t>
  </si>
  <si>
    <t>Link: https://www.convertunits.com/from/mmHg/to/InHg</t>
  </si>
  <si>
    <t>https://www.convertunits.com/from/mmHg/to/inH2O#:~:text=How%20many%20mmHg%20in%201,The%20answer%20is%201.8683201548767.</t>
  </si>
  <si>
    <t>https://www.convertunits.com/from/pascal/to/inHg</t>
  </si>
  <si>
    <t>inH2O</t>
  </si>
  <si>
    <t>https://www.convertunits.com/from/pa/to/mmHg</t>
  </si>
  <si>
    <t>Như bên là có 2 mục là rising rapid vs slow nghĩa là hiệu của 2 áp suất sát nhau (hoặc cả dãy số) tăng từ từ hoặc nhanh chóng nhưng mà để ý cái số ở đâu thì cỡ 2 chữ số nên bin đề xuất là Slow thì chêch nhau cỡ &lt; 8 đơn vị còn rapid thì chêch nhau &gt; 8. Còn steady là chêch nhau cỡ &lt; 2 đồ thôi</t>
  </si>
  <si>
    <t>Vì đơn vị của Bin đọc bảng này bị sai cũng như hiểu sai ý nghĩa của bảng nên có ý định làm lại phần dự báo mưa này. Té ra ở mĩ cái bảng này xài là đơn vị inHg chớ không phải inH2O</t>
  </si>
  <si>
    <t>Cái bảng này không bao gồm được hết các tình huống nữa nên bin phải gộp chung là độ chêch lệch thôi, chớ không có tính riêng chêch lên (rising) hay chêch xuống được (Failing). Cũng đã kiếm nhiều bảng khác rồi thì thấy bảng này được sử dụng nhiều nhất</t>
  </si>
  <si>
    <t xml:space="preserve">Dựa vào trang web này:https://www.google.com.vn/search?q=in+hg+to+mmhg&amp;ie=UTF-8&amp;oe=UTF-8&amp;hl=en-vn&amp;client=safari </t>
  </si>
  <si>
    <t>Nhiệt độ ©</t>
  </si>
  <si>
    <t>Áp suất (Pa)</t>
  </si>
  <si>
    <t>P0</t>
  </si>
  <si>
    <t>P</t>
  </si>
  <si>
    <t>Nhiệt độ</t>
  </si>
  <si>
    <t>Độ cao</t>
  </si>
  <si>
    <t>Mục tiêu cần đạt</t>
  </si>
  <si>
    <t>Chỉ số P0</t>
  </si>
  <si>
    <t>Chỉ số P</t>
  </si>
  <si>
    <t>46% của Tổng</t>
  </si>
  <si>
    <t>Độ chêch</t>
  </si>
  <si>
    <t>Thực tế đo được</t>
  </si>
  <si>
    <t>Mifit đo</t>
  </si>
  <si>
    <t>https://weather.com/vi-VN/weather/hourbyhour/l/e4f3028ded4eaa85aa504baa51acd7b6df7932ebc68c9d7aff1c838d1178f42c</t>
  </si>
  <si>
    <t>Link:</t>
  </si>
  <si>
    <t>Áp suất (mmHg)</t>
  </si>
  <si>
    <t>Thời gian</t>
  </si>
  <si>
    <t>Mặc dù ngày đo áp suất là Thứ 4 (6/4/2022) nhưng lại lấy dữ liệu từng giờ ngày thứ 5 (7/4/2022) vì Bin thấy dữ liệu ngày thứ 5 này cũng giống với dữ liệu ngày thứ 4 (Cùng có độ chêch là 32/24 độ)</t>
  </si>
  <si>
    <t>Nhiệt độ theo gg</t>
  </si>
  <si>
    <t>Nhiệt đồ nhiều nguồn khác</t>
  </si>
  <si>
    <t>Bin theo dõi và nhận thấy 1 điều là Nhiệt độ càng cao thì áp suất càng tăng và ngược lại</t>
  </si>
  <si>
    <t xml:space="preserve">Lúc 22:40 </t>
  </si>
  <si>
    <t>https://ithongtin.com/index.php/du-bao-thoi-tiet-ho-chi-minh/quan-5-hien-tai</t>
  </si>
  <si>
    <t>NHẬN XÉT: NẾU ĐỂ Ý TỈ SỐ 2 BÊN BIN CHIA THÌ SẼ THẤY BẤT CỨ NHIỆT ĐỘ, ÁP SUẤT NÀO CŨNG CÓ: T1/T2=P1/P2 ĐÚNG LÝ THUYẾT BIN HỌC LUÔN (NHƯNG NHỚ ĐỔI SANG ĐỘ KEVIN)</t>
  </si>
  <si>
    <t xml:space="preserve">Năm nhuận </t>
  </si>
  <si>
    <t>https://artofmemory.com/blog/how-to-calculate-the-day-of-the-week/</t>
  </si>
  <si>
    <t>https://time.is/Germany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</si>
</sst>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4" x14ac:knownFonts="1">
    <font>
      <sz val="11"/>
      <color theme="1"/>
      <name val="Calibri"/>
      <family val="2"/>
      <scheme val="minor"/>
    </font>
    <font>
      <sz val="11"/>
      <color rgb="FFFF0000"/>
      <name val="Calibri"/>
      <family val="2"/>
      <scheme val="minor"/>
    </font>
    <font>
      <sz val="11"/>
      <color rgb="FF181616"/>
      <name val="Arial"/>
      <family val="2"/>
    </font>
    <font>
      <b/>
      <u/>
      <sz val="11"/>
      <color rgb="FF181616"/>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2">
    <border>
      <left/>
      <right/>
      <top/>
      <bottom/>
      <diagonal/>
    </border>
    <border>
      <left style="medium">
        <color rgb="FFE5E3E2"/>
      </left>
      <right style="medium">
        <color rgb="FFE5E3E2"/>
      </right>
      <top style="medium">
        <color rgb="FFE5E3E2"/>
      </top>
      <bottom style="thick">
        <color rgb="FF98ABB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61">
    <xf numFmtId="0" fontId="0" fillId="0" borderId="0" xfId="0"/>
    <xf numFmtId="164" fontId="0" fillId="0" borderId="0" xfId="0" applyNumberFormat="1"/>
    <xf numFmtId="20" fontId="0" fillId="0" borderId="0" xfId="0" applyNumberFormat="1"/>
    <xf numFmtId="10" fontId="0" fillId="0" borderId="0" xfId="0" applyNumberFormat="1"/>
    <xf numFmtId="16" fontId="0" fillId="0" borderId="0" xfId="0" applyNumberFormat="1"/>
    <xf numFmtId="1" fontId="0" fillId="0" borderId="0" xfId="0" applyNumberFormat="1"/>
    <xf numFmtId="0" fontId="0" fillId="0" borderId="0" xfId="0"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0" borderId="0" xfId="0" applyBorder="1"/>
    <xf numFmtId="0" fontId="0" fillId="0" borderId="10" xfId="0" applyBorder="1"/>
    <xf numFmtId="0" fontId="0" fillId="0" borderId="9" xfId="0" applyBorder="1"/>
    <xf numFmtId="0" fontId="0" fillId="0" borderId="5" xfId="0" applyBorder="1"/>
    <xf numFmtId="0" fontId="0" fillId="0" borderId="6" xfId="0" applyBorder="1"/>
    <xf numFmtId="0" fontId="0" fillId="3" borderId="8" xfId="0" applyFill="1" applyBorder="1"/>
    <xf numFmtId="0" fontId="0" fillId="3" borderId="11" xfId="0" applyFill="1" applyBorder="1"/>
    <xf numFmtId="0" fontId="3" fillId="2"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0" xfId="0" applyAlignment="1"/>
    <xf numFmtId="0" fontId="0" fillId="6" borderId="0" xfId="0" applyFill="1"/>
    <xf numFmtId="164" fontId="0" fillId="0" borderId="0" xfId="0" applyNumberFormat="1" applyBorder="1"/>
    <xf numFmtId="10" fontId="0" fillId="0" borderId="0" xfId="0" applyNumberFormat="1" applyBorder="1"/>
    <xf numFmtId="1" fontId="0" fillId="0" borderId="0" xfId="0" applyNumberFormat="1" applyBorder="1"/>
    <xf numFmtId="2" fontId="0" fillId="0" borderId="3" xfId="0" applyNumberFormat="1" applyBorder="1"/>
    <xf numFmtId="0" fontId="0" fillId="0" borderId="3" xfId="0" applyBorder="1"/>
    <xf numFmtId="0" fontId="0" fillId="0" borderId="4" xfId="0" applyBorder="1"/>
    <xf numFmtId="164" fontId="0" fillId="0" borderId="6" xfId="0" applyNumberFormat="1" applyBorder="1"/>
    <xf numFmtId="10" fontId="0" fillId="0" borderId="6" xfId="0" applyNumberFormat="1" applyBorder="1"/>
    <xf numFmtId="164" fontId="0" fillId="0" borderId="7" xfId="0" applyNumberFormat="1" applyBorder="1"/>
    <xf numFmtId="0" fontId="0" fillId="0" borderId="2" xfId="0" applyBorder="1"/>
    <xf numFmtId="0" fontId="0" fillId="3" borderId="9" xfId="0" applyFill="1" applyBorder="1"/>
    <xf numFmtId="0" fontId="0" fillId="3" borderId="0" xfId="0" applyFill="1" applyBorder="1"/>
    <xf numFmtId="0" fontId="0" fillId="3" borderId="10" xfId="0" applyFill="1" applyBorder="1"/>
    <xf numFmtId="0" fontId="0" fillId="0" borderId="7" xfId="0" applyBorder="1"/>
    <xf numFmtId="14" fontId="0" fillId="0" borderId="0" xfId="0" applyNumberFormat="1"/>
    <xf numFmtId="0" fontId="0" fillId="0" borderId="0" xfId="0" applyAlignment="1">
      <alignment horizontal="center" vertical="center" wrapText="1"/>
    </xf>
    <xf numFmtId="0" fontId="0" fillId="0" borderId="3" xfId="0" applyBorder="1" applyAlignment="1">
      <alignment horizontal="center"/>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0" xfId="0" applyFont="1"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wrapText="1"/>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wrapText="1"/>
    </xf>
    <xf numFmtId="0" fontId="1" fillId="7" borderId="0" xfId="0" applyFont="1" applyFill="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12</xdr:col>
      <xdr:colOff>220127</xdr:colOff>
      <xdr:row>35</xdr:row>
      <xdr:rowOff>57983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81000"/>
          <a:ext cx="7535327" cy="5963483"/>
        </a:xfrm>
        <a:prstGeom prst="rect">
          <a:avLst/>
        </a:prstGeom>
      </xdr:spPr>
    </xdr:pic>
    <xdr:clientData/>
  </xdr:twoCellAnchor>
  <xdr:twoCellAnchor editAs="oneCell">
    <xdr:from>
      <xdr:col>0</xdr:col>
      <xdr:colOff>0</xdr:colOff>
      <xdr:row>23</xdr:row>
      <xdr:rowOff>180975</xdr:rowOff>
    </xdr:from>
    <xdr:to>
      <xdr:col>12</xdr:col>
      <xdr:colOff>229654</xdr:colOff>
      <xdr:row>55</xdr:row>
      <xdr:rowOff>38931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181475"/>
          <a:ext cx="7544854" cy="5953956"/>
        </a:xfrm>
        <a:prstGeom prst="rect">
          <a:avLst/>
        </a:prstGeom>
      </xdr:spPr>
    </xdr:pic>
    <xdr:clientData/>
  </xdr:twoCellAnchor>
  <xdr:twoCellAnchor editAs="oneCell">
    <xdr:from>
      <xdr:col>0</xdr:col>
      <xdr:colOff>47625</xdr:colOff>
      <xdr:row>43</xdr:row>
      <xdr:rowOff>180975</xdr:rowOff>
    </xdr:from>
    <xdr:to>
      <xdr:col>12</xdr:col>
      <xdr:colOff>220121</xdr:colOff>
      <xdr:row>72</xdr:row>
      <xdr:rowOff>67431</xdr:rowOff>
    </xdr:to>
    <xdr:pic>
      <xdr:nvPicPr>
        <xdr:cNvPr id="4" name="Picture 3"/>
        <xdr:cNvPicPr>
          <a:picLocks noChangeAspect="1"/>
        </xdr:cNvPicPr>
      </xdr:nvPicPr>
      <xdr:blipFill>
        <a:blip xmlns:r="http://schemas.openxmlformats.org/officeDocument/2006/relationships" r:embed="rId3"/>
        <a:stretch>
          <a:fillRect/>
        </a:stretch>
      </xdr:blipFill>
      <xdr:spPr>
        <a:xfrm>
          <a:off x="47625" y="7991475"/>
          <a:ext cx="7487696" cy="5410956"/>
        </a:xfrm>
        <a:prstGeom prst="rect">
          <a:avLst/>
        </a:prstGeom>
      </xdr:spPr>
    </xdr:pic>
    <xdr:clientData/>
  </xdr:twoCellAnchor>
  <xdr:twoCellAnchor editAs="oneCell">
    <xdr:from>
      <xdr:col>12</xdr:col>
      <xdr:colOff>581025</xdr:colOff>
      <xdr:row>14</xdr:row>
      <xdr:rowOff>0</xdr:rowOff>
    </xdr:from>
    <xdr:to>
      <xdr:col>23</xdr:col>
      <xdr:colOff>315224</xdr:colOff>
      <xdr:row>24</xdr:row>
      <xdr:rowOff>171740</xdr:rowOff>
    </xdr:to>
    <xdr:pic>
      <xdr:nvPicPr>
        <xdr:cNvPr id="5" name="Picture 4"/>
        <xdr:cNvPicPr>
          <a:picLocks noChangeAspect="1"/>
        </xdr:cNvPicPr>
      </xdr:nvPicPr>
      <xdr:blipFill>
        <a:blip xmlns:r="http://schemas.openxmlformats.org/officeDocument/2006/relationships" r:embed="rId4"/>
        <a:stretch>
          <a:fillRect/>
        </a:stretch>
      </xdr:blipFill>
      <xdr:spPr>
        <a:xfrm>
          <a:off x="7896225" y="2667000"/>
          <a:ext cx="6439799" cy="2076740"/>
        </a:xfrm>
        <a:prstGeom prst="rect">
          <a:avLst/>
        </a:prstGeom>
      </xdr:spPr>
    </xdr:pic>
    <xdr:clientData/>
  </xdr:twoCellAnchor>
  <xdr:twoCellAnchor editAs="oneCell">
    <xdr:from>
      <xdr:col>0</xdr:col>
      <xdr:colOff>0</xdr:colOff>
      <xdr:row>75</xdr:row>
      <xdr:rowOff>38100</xdr:rowOff>
    </xdr:from>
    <xdr:to>
      <xdr:col>9</xdr:col>
      <xdr:colOff>419925</xdr:colOff>
      <xdr:row>90</xdr:row>
      <xdr:rowOff>95657</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4325600"/>
          <a:ext cx="5906325" cy="29150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38"/>
  <sheetViews>
    <sheetView topLeftCell="A34" workbookViewId="0">
      <selection activeCell="I7" sqref="I7:N12"/>
    </sheetView>
  </sheetViews>
  <sheetFormatPr defaultRowHeight="15" x14ac:dyDescent="0.25"/>
  <cols>
    <col min="3" max="3" width="8.85546875" customWidth="1"/>
    <col min="4" max="4" width="9.140625" style="3"/>
    <col min="5" max="5" width="11.5703125" bestFit="1" customWidth="1"/>
    <col min="6" max="6" width="9.140625" style="3"/>
    <col min="7" max="7" width="11.5703125" bestFit="1" customWidth="1"/>
    <col min="10" max="10" width="11" customWidth="1"/>
  </cols>
  <sheetData>
    <row r="3" spans="2:14" x14ac:dyDescent="0.25">
      <c r="C3" t="s">
        <v>0</v>
      </c>
      <c r="D3" s="3" t="s">
        <v>3</v>
      </c>
      <c r="E3" t="s">
        <v>1</v>
      </c>
      <c r="F3" s="3" t="s">
        <v>3</v>
      </c>
      <c r="G3" t="s">
        <v>2</v>
      </c>
    </row>
    <row r="4" spans="2:14" x14ac:dyDescent="0.25">
      <c r="B4" t="s">
        <v>5</v>
      </c>
      <c r="C4" s="1">
        <v>-51</v>
      </c>
      <c r="D4" s="3">
        <f>C4/G4</f>
        <v>-296.12903225806446</v>
      </c>
      <c r="E4" s="1">
        <v>0.20833333333333334</v>
      </c>
      <c r="F4" s="3">
        <f>E4/G4</f>
        <v>1.2096774193548385</v>
      </c>
      <c r="G4" s="1">
        <v>0.17222222222222225</v>
      </c>
    </row>
    <row r="5" spans="2:14" x14ac:dyDescent="0.25">
      <c r="B5" t="s">
        <v>4</v>
      </c>
      <c r="C5">
        <v>-51</v>
      </c>
      <c r="D5" s="3">
        <f>C5/G5</f>
        <v>-0.20564516129032259</v>
      </c>
      <c r="E5">
        <v>300</v>
      </c>
      <c r="F5" s="3">
        <f>E5/G5</f>
        <v>1.2096774193548387</v>
      </c>
      <c r="G5">
        <v>248</v>
      </c>
    </row>
    <row r="6" spans="2:14" x14ac:dyDescent="0.25">
      <c r="B6" s="4">
        <v>44655</v>
      </c>
      <c r="C6" s="2">
        <v>0.14652777777777778</v>
      </c>
      <c r="D6" s="3">
        <f>C6/G6</f>
        <v>0.66772151898734178</v>
      </c>
      <c r="E6" s="2">
        <v>7.2916666666666671E-2</v>
      </c>
      <c r="F6" s="3">
        <f>E6/G6</f>
        <v>0.33227848101265828</v>
      </c>
      <c r="G6" s="2">
        <f>C6+E6</f>
        <v>0.21944444444444444</v>
      </c>
    </row>
    <row r="7" spans="2:14" x14ac:dyDescent="0.25">
      <c r="B7" s="4">
        <v>44650</v>
      </c>
      <c r="C7" s="1">
        <v>0.3034722222222222</v>
      </c>
      <c r="D7" s="3">
        <f>C7/G7</f>
        <v>0.72833333333333339</v>
      </c>
      <c r="E7" s="2">
        <v>0.11319444444444444</v>
      </c>
      <c r="F7" s="3">
        <f>E7/G7</f>
        <v>0.27166666666666667</v>
      </c>
      <c r="G7" s="2">
        <f>C7+E7</f>
        <v>0.41666666666666663</v>
      </c>
      <c r="I7" s="40" t="s">
        <v>6</v>
      </c>
      <c r="J7" s="40"/>
      <c r="K7" s="40"/>
      <c r="L7" s="40"/>
      <c r="M7" s="40"/>
      <c r="N7" s="40"/>
    </row>
    <row r="8" spans="2:14" x14ac:dyDescent="0.25">
      <c r="B8" s="4">
        <v>44647</v>
      </c>
      <c r="C8" s="2">
        <v>0.14444444444444446</v>
      </c>
      <c r="D8" s="3">
        <f t="shared" ref="D8:D35" si="0">C8/G8</f>
        <v>0.64797507788162001</v>
      </c>
      <c r="E8" s="2">
        <v>7.8472222222222221E-2</v>
      </c>
      <c r="F8" s="3">
        <f t="shared" ref="F8:F35" si="1">E8/G8</f>
        <v>0.35202492211838005</v>
      </c>
      <c r="G8" s="2">
        <f t="shared" ref="G8:G35" si="2">C8+E8</f>
        <v>0.22291666666666668</v>
      </c>
      <c r="I8" s="40"/>
      <c r="J8" s="40"/>
      <c r="K8" s="40"/>
      <c r="L8" s="40"/>
      <c r="M8" s="40"/>
      <c r="N8" s="40"/>
    </row>
    <row r="9" spans="2:14" x14ac:dyDescent="0.25">
      <c r="B9" s="4">
        <v>44646</v>
      </c>
      <c r="C9" s="2">
        <v>0.12916666666666668</v>
      </c>
      <c r="D9" s="3">
        <f t="shared" si="0"/>
        <v>0.57763975155279501</v>
      </c>
      <c r="E9" s="2">
        <v>9.4444444444444442E-2</v>
      </c>
      <c r="F9" s="3">
        <f t="shared" si="1"/>
        <v>0.42236024844720493</v>
      </c>
      <c r="G9" s="2">
        <f t="shared" si="2"/>
        <v>0.22361111111111112</v>
      </c>
      <c r="I9" s="40"/>
      <c r="J9" s="40"/>
      <c r="K9" s="40"/>
      <c r="L9" s="40"/>
      <c r="M9" s="40"/>
      <c r="N9" s="40"/>
    </row>
    <row r="10" spans="2:14" x14ac:dyDescent="0.25">
      <c r="B10" s="4">
        <v>44645</v>
      </c>
      <c r="C10" s="2">
        <v>0.19027777777777777</v>
      </c>
      <c r="D10" s="3">
        <f t="shared" si="0"/>
        <v>0.66504854368932043</v>
      </c>
      <c r="E10" s="2">
        <v>9.5833333333333326E-2</v>
      </c>
      <c r="F10" s="3">
        <f t="shared" si="1"/>
        <v>0.33495145631067963</v>
      </c>
      <c r="G10" s="2">
        <f t="shared" si="2"/>
        <v>0.28611111111111109</v>
      </c>
      <c r="I10" s="40"/>
      <c r="J10" s="40"/>
      <c r="K10" s="40"/>
      <c r="L10" s="40"/>
      <c r="M10" s="40"/>
      <c r="N10" s="40"/>
    </row>
    <row r="11" spans="2:14" x14ac:dyDescent="0.25">
      <c r="B11" s="4">
        <v>44644</v>
      </c>
      <c r="C11" s="2">
        <v>0.16458333333333333</v>
      </c>
      <c r="D11" s="3">
        <f t="shared" si="0"/>
        <v>0.67138810198300281</v>
      </c>
      <c r="E11" s="2">
        <v>8.0555555555555561E-2</v>
      </c>
      <c r="F11" s="3">
        <f t="shared" si="1"/>
        <v>0.32861189801699714</v>
      </c>
      <c r="G11" s="2">
        <f t="shared" si="2"/>
        <v>0.24513888888888891</v>
      </c>
      <c r="I11" s="40"/>
      <c r="J11" s="40"/>
      <c r="K11" s="40"/>
      <c r="L11" s="40"/>
      <c r="M11" s="40"/>
      <c r="N11" s="40"/>
    </row>
    <row r="12" spans="2:14" x14ac:dyDescent="0.25">
      <c r="B12" s="4">
        <v>44643</v>
      </c>
      <c r="C12" s="2">
        <v>0.18611111111111112</v>
      </c>
      <c r="D12" s="3">
        <f t="shared" si="0"/>
        <v>0.62470862470862476</v>
      </c>
      <c r="E12" s="2">
        <v>0.11180555555555556</v>
      </c>
      <c r="F12" s="3">
        <f t="shared" si="1"/>
        <v>0.3752913752913753</v>
      </c>
      <c r="G12" s="2">
        <f t="shared" si="2"/>
        <v>0.29791666666666666</v>
      </c>
      <c r="I12" s="40"/>
      <c r="J12" s="40"/>
      <c r="K12" s="40"/>
      <c r="L12" s="40"/>
      <c r="M12" s="40"/>
      <c r="N12" s="40"/>
    </row>
    <row r="13" spans="2:14" x14ac:dyDescent="0.25">
      <c r="B13" s="4">
        <v>44642</v>
      </c>
      <c r="C13" s="2">
        <v>0.17013888888888887</v>
      </c>
      <c r="D13" s="3">
        <f t="shared" si="0"/>
        <v>0.60049019607843135</v>
      </c>
      <c r="E13" s="2">
        <v>0.11319444444444444</v>
      </c>
      <c r="F13" s="3">
        <f t="shared" si="1"/>
        <v>0.39950980392156865</v>
      </c>
      <c r="G13" s="2">
        <f t="shared" si="2"/>
        <v>0.28333333333333333</v>
      </c>
    </row>
    <row r="14" spans="2:14" x14ac:dyDescent="0.25">
      <c r="B14" s="4">
        <v>44641</v>
      </c>
      <c r="C14" s="2">
        <v>0.13333333333333333</v>
      </c>
      <c r="D14" s="3">
        <f t="shared" si="0"/>
        <v>0.53333333333333333</v>
      </c>
      <c r="E14" s="2">
        <v>0.11666666666666665</v>
      </c>
      <c r="F14" s="3">
        <f t="shared" si="1"/>
        <v>0.46666666666666662</v>
      </c>
      <c r="G14" s="2">
        <f t="shared" si="2"/>
        <v>0.25</v>
      </c>
    </row>
    <row r="15" spans="2:14" x14ac:dyDescent="0.25">
      <c r="B15" s="4">
        <v>44640</v>
      </c>
      <c r="C15" s="2">
        <v>0.17500000000000002</v>
      </c>
      <c r="D15" s="3">
        <f t="shared" si="0"/>
        <v>0.53617021276595744</v>
      </c>
      <c r="E15" s="2">
        <v>0.15138888888888888</v>
      </c>
      <c r="F15" s="3">
        <f t="shared" si="1"/>
        <v>0.4638297872340425</v>
      </c>
      <c r="G15" s="2">
        <f t="shared" si="2"/>
        <v>0.3263888888888889</v>
      </c>
    </row>
    <row r="16" spans="2:14" x14ac:dyDescent="0.25">
      <c r="B16" s="4">
        <v>44639</v>
      </c>
      <c r="C16" s="2">
        <v>0.18472222222222223</v>
      </c>
      <c r="D16" s="3">
        <f t="shared" si="0"/>
        <v>0.6045454545454545</v>
      </c>
      <c r="E16" s="2">
        <v>0.12083333333333333</v>
      </c>
      <c r="F16" s="3">
        <f t="shared" si="1"/>
        <v>0.39545454545454545</v>
      </c>
      <c r="G16" s="2">
        <f t="shared" si="2"/>
        <v>0.30555555555555558</v>
      </c>
    </row>
    <row r="17" spans="2:20" x14ac:dyDescent="0.25">
      <c r="B17" s="4">
        <v>44638</v>
      </c>
      <c r="C17" s="2">
        <v>4.1666666666666664E-2</v>
      </c>
      <c r="D17" s="3">
        <f t="shared" si="0"/>
        <v>0.60606060606060597</v>
      </c>
      <c r="E17" s="2">
        <v>2.7083333333333334E-2</v>
      </c>
      <c r="F17" s="3">
        <f t="shared" si="1"/>
        <v>0.39393939393939392</v>
      </c>
      <c r="G17" s="2">
        <f t="shared" si="2"/>
        <v>6.8750000000000006E-2</v>
      </c>
      <c r="R17" s="1"/>
      <c r="S17" s="1"/>
      <c r="T17" s="1"/>
    </row>
    <row r="18" spans="2:20" x14ac:dyDescent="0.25">
      <c r="B18" s="4">
        <v>44637</v>
      </c>
      <c r="C18" s="2">
        <v>9.375E-2</v>
      </c>
      <c r="D18" s="3">
        <f t="shared" si="0"/>
        <v>0.67839195979899491</v>
      </c>
      <c r="E18" s="2">
        <v>4.4444444444444446E-2</v>
      </c>
      <c r="F18" s="3">
        <f t="shared" si="1"/>
        <v>0.32160804020100503</v>
      </c>
      <c r="G18" s="2">
        <f t="shared" si="2"/>
        <v>0.13819444444444445</v>
      </c>
    </row>
    <row r="19" spans="2:20" x14ac:dyDescent="0.25">
      <c r="B19" s="4">
        <v>44636</v>
      </c>
      <c r="C19" s="2">
        <v>0.24166666666666667</v>
      </c>
      <c r="D19" s="3">
        <f t="shared" si="0"/>
        <v>0.62365591397849462</v>
      </c>
      <c r="E19" s="2">
        <v>0.14583333333333334</v>
      </c>
      <c r="F19" s="3">
        <f t="shared" si="1"/>
        <v>0.37634408602150538</v>
      </c>
      <c r="G19" s="2">
        <f t="shared" si="2"/>
        <v>0.38750000000000001</v>
      </c>
    </row>
    <row r="20" spans="2:20" x14ac:dyDescent="0.25">
      <c r="B20" s="4">
        <v>44635</v>
      </c>
      <c r="C20" s="2">
        <v>0.15902777777777777</v>
      </c>
      <c r="D20" s="3">
        <f t="shared" si="0"/>
        <v>0.59480519480519478</v>
      </c>
      <c r="E20" s="2">
        <v>0.10833333333333334</v>
      </c>
      <c r="F20" s="3">
        <f t="shared" si="1"/>
        <v>0.40519480519480522</v>
      </c>
      <c r="G20" s="2">
        <f t="shared" si="2"/>
        <v>0.2673611111111111</v>
      </c>
    </row>
    <row r="21" spans="2:20" x14ac:dyDescent="0.25">
      <c r="B21" s="4">
        <v>44634</v>
      </c>
      <c r="C21" s="2">
        <v>0.16250000000000001</v>
      </c>
      <c r="D21" s="3">
        <f t="shared" si="0"/>
        <v>0.62566844919786091</v>
      </c>
      <c r="E21" s="2">
        <v>9.7222222222222224E-2</v>
      </c>
      <c r="F21" s="3">
        <f t="shared" si="1"/>
        <v>0.37433155080213903</v>
      </c>
      <c r="G21" s="2">
        <f t="shared" si="2"/>
        <v>0.25972222222222224</v>
      </c>
    </row>
    <row r="22" spans="2:20" x14ac:dyDescent="0.25">
      <c r="B22" s="4">
        <v>44633</v>
      </c>
      <c r="C22" s="2">
        <v>0.23541666666666669</v>
      </c>
      <c r="D22" s="3">
        <f t="shared" si="0"/>
        <v>0.80331753554502372</v>
      </c>
      <c r="E22" s="2">
        <v>5.7638888888888885E-2</v>
      </c>
      <c r="F22" s="3">
        <f t="shared" si="1"/>
        <v>0.19668246445497628</v>
      </c>
      <c r="G22" s="2">
        <f t="shared" si="2"/>
        <v>0.29305555555555557</v>
      </c>
    </row>
    <row r="23" spans="2:20" x14ac:dyDescent="0.25">
      <c r="B23" s="4">
        <v>44632</v>
      </c>
      <c r="C23" s="2">
        <v>0.17777777777777778</v>
      </c>
      <c r="D23" s="3">
        <f t="shared" si="0"/>
        <v>0.58314350797266512</v>
      </c>
      <c r="E23" s="2">
        <v>0.12708333333333333</v>
      </c>
      <c r="F23" s="3">
        <f t="shared" si="1"/>
        <v>0.41685649202733477</v>
      </c>
      <c r="G23" s="2">
        <f t="shared" si="2"/>
        <v>0.30486111111111114</v>
      </c>
      <c r="J23" s="41" t="s">
        <v>95</v>
      </c>
      <c r="K23" s="41"/>
      <c r="L23" s="41"/>
      <c r="M23" s="41"/>
      <c r="N23" s="41"/>
      <c r="O23" s="41"/>
      <c r="P23" s="41"/>
      <c r="Q23" s="41"/>
    </row>
    <row r="24" spans="2:20" x14ac:dyDescent="0.25">
      <c r="B24" s="4">
        <v>44631</v>
      </c>
      <c r="C24" s="2">
        <v>0.15</v>
      </c>
      <c r="D24" s="3">
        <f t="shared" si="0"/>
        <v>0.67711598746081503</v>
      </c>
      <c r="E24" s="2">
        <v>7.1527777777777787E-2</v>
      </c>
      <c r="F24" s="3">
        <f t="shared" si="1"/>
        <v>0.32288401253918503</v>
      </c>
      <c r="G24" s="2">
        <f t="shared" si="2"/>
        <v>0.22152777777777777</v>
      </c>
      <c r="J24" s="12"/>
      <c r="K24" s="12"/>
      <c r="L24" s="12"/>
      <c r="M24" s="12"/>
      <c r="N24" s="12"/>
      <c r="O24" s="12" t="s">
        <v>2</v>
      </c>
      <c r="P24" s="12"/>
      <c r="Q24" s="12"/>
    </row>
    <row r="25" spans="2:20" x14ac:dyDescent="0.25">
      <c r="B25" s="4">
        <v>44630</v>
      </c>
      <c r="C25" s="2">
        <v>0.21041666666666667</v>
      </c>
      <c r="D25" s="3">
        <f t="shared" si="0"/>
        <v>0.84873949579831931</v>
      </c>
      <c r="E25" s="2">
        <v>3.7499999999999999E-2</v>
      </c>
      <c r="F25" s="3">
        <f t="shared" si="1"/>
        <v>0.15126050420168066</v>
      </c>
      <c r="G25" s="2">
        <f t="shared" si="2"/>
        <v>0.24791666666666667</v>
      </c>
      <c r="J25" s="42" t="s">
        <v>96</v>
      </c>
      <c r="K25" s="28">
        <f>2*60+31</f>
        <v>151</v>
      </c>
      <c r="L25" s="29"/>
      <c r="M25" s="29">
        <f>4*60+26</f>
        <v>266</v>
      </c>
      <c r="N25" s="29"/>
      <c r="O25" s="30">
        <f>6*60+57</f>
        <v>417</v>
      </c>
      <c r="P25" s="12"/>
      <c r="Q25" s="12"/>
    </row>
    <row r="26" spans="2:20" x14ac:dyDescent="0.25">
      <c r="B26" s="4">
        <v>44629</v>
      </c>
      <c r="C26" s="2">
        <v>0.34375</v>
      </c>
      <c r="D26" s="3">
        <f t="shared" si="0"/>
        <v>0.83333333333333337</v>
      </c>
      <c r="E26" s="2">
        <v>6.8749999999999992E-2</v>
      </c>
      <c r="F26" s="3">
        <f t="shared" si="1"/>
        <v>0.16666666666666666</v>
      </c>
      <c r="G26" s="2">
        <f t="shared" si="2"/>
        <v>0.41249999999999998</v>
      </c>
      <c r="J26" s="43"/>
      <c r="K26" s="31">
        <v>0.10486111111111111</v>
      </c>
      <c r="L26" s="32">
        <f>K26/O26</f>
        <v>0.36211031175059949</v>
      </c>
      <c r="M26" s="31">
        <v>0.18472222222222223</v>
      </c>
      <c r="N26" s="32">
        <f>M26/O26</f>
        <v>0.63788968824940051</v>
      </c>
      <c r="O26" s="33">
        <f>SUM(K26,M26)</f>
        <v>0.28958333333333336</v>
      </c>
      <c r="P26" s="25"/>
      <c r="Q26" s="25"/>
    </row>
    <row r="27" spans="2:20" x14ac:dyDescent="0.25">
      <c r="B27" s="4">
        <v>44628</v>
      </c>
      <c r="C27" s="2">
        <v>0.22638888888888889</v>
      </c>
      <c r="D27" s="3">
        <f t="shared" si="0"/>
        <v>0.69361702127659575</v>
      </c>
      <c r="E27" s="2">
        <v>9.9999999999999992E-2</v>
      </c>
      <c r="F27" s="3">
        <f t="shared" si="1"/>
        <v>0.3063829787234042</v>
      </c>
      <c r="G27" s="2">
        <f t="shared" si="2"/>
        <v>0.3263888888888889</v>
      </c>
      <c r="J27" s="12"/>
      <c r="K27" s="12">
        <v>170</v>
      </c>
      <c r="L27" s="26">
        <f>K27/O27</f>
        <v>0.4582210242587601</v>
      </c>
      <c r="M27" s="12">
        <v>201</v>
      </c>
      <c r="N27" s="26">
        <f>M27/O27</f>
        <v>0.5417789757412399</v>
      </c>
      <c r="O27" s="12">
        <v>371</v>
      </c>
      <c r="P27" s="12"/>
      <c r="Q27" s="12">
        <v>430</v>
      </c>
    </row>
    <row r="28" spans="2:20" x14ac:dyDescent="0.25">
      <c r="B28" s="4">
        <v>44627</v>
      </c>
      <c r="C28" s="2">
        <v>0.11875000000000001</v>
      </c>
      <c r="D28" s="3">
        <f t="shared" si="0"/>
        <v>0.59169550173010377</v>
      </c>
      <c r="E28" s="2">
        <v>8.1944444444444445E-2</v>
      </c>
      <c r="F28" s="3">
        <f t="shared" si="1"/>
        <v>0.40830449826989618</v>
      </c>
      <c r="G28" s="2">
        <f t="shared" si="2"/>
        <v>0.20069444444444445</v>
      </c>
      <c r="J28" s="12"/>
      <c r="K28" s="12" t="s">
        <v>93</v>
      </c>
      <c r="L28" s="12">
        <f>O27*46%</f>
        <v>170.66</v>
      </c>
      <c r="M28" s="12"/>
      <c r="N28" s="12"/>
      <c r="O28" s="12"/>
      <c r="P28" s="12"/>
      <c r="Q28" s="12"/>
    </row>
    <row r="29" spans="2:20" x14ac:dyDescent="0.25">
      <c r="B29" s="4">
        <v>44626</v>
      </c>
      <c r="C29" s="2">
        <v>0.11527777777777777</v>
      </c>
      <c r="D29" s="3">
        <f t="shared" si="0"/>
        <v>0.68595041322314054</v>
      </c>
      <c r="E29" s="2">
        <v>5.2777777777777778E-2</v>
      </c>
      <c r="F29" s="3">
        <f t="shared" si="1"/>
        <v>0.31404958677685951</v>
      </c>
      <c r="G29" s="2">
        <f t="shared" si="2"/>
        <v>0.16805555555555554</v>
      </c>
      <c r="J29" s="12" t="s">
        <v>94</v>
      </c>
      <c r="K29" s="27">
        <f>K25-K27</f>
        <v>-19</v>
      </c>
      <c r="L29" s="27"/>
      <c r="M29" s="27">
        <f>M25-M27</f>
        <v>65</v>
      </c>
      <c r="N29" s="27"/>
      <c r="O29" s="27">
        <f>O25-O27</f>
        <v>46</v>
      </c>
      <c r="P29" s="12"/>
      <c r="Q29" s="12"/>
    </row>
    <row r="30" spans="2:20" x14ac:dyDescent="0.25">
      <c r="B30" s="4">
        <v>44625</v>
      </c>
      <c r="C30" s="2">
        <v>0.15416666666666667</v>
      </c>
      <c r="D30" s="3">
        <f t="shared" si="0"/>
        <v>0.65875370919881304</v>
      </c>
      <c r="E30" s="2">
        <v>7.9861111111111105E-2</v>
      </c>
      <c r="F30" s="3">
        <f t="shared" si="1"/>
        <v>0.3412462908011869</v>
      </c>
      <c r="G30" s="2">
        <f t="shared" si="2"/>
        <v>0.23402777777777778</v>
      </c>
      <c r="J30" t="s">
        <v>3</v>
      </c>
      <c r="K30" s="3">
        <f>K29/K25</f>
        <v>-0.12582781456953643</v>
      </c>
      <c r="L30" s="3"/>
      <c r="M30" s="3">
        <f>M29/M25</f>
        <v>0.24436090225563908</v>
      </c>
      <c r="N30" s="3"/>
      <c r="O30" s="3">
        <f>O29/O25</f>
        <v>0.11031175059952038</v>
      </c>
    </row>
    <row r="31" spans="2:20" x14ac:dyDescent="0.25">
      <c r="B31" s="4">
        <v>44624</v>
      </c>
      <c r="C31" s="2">
        <v>0.20347222222222219</v>
      </c>
      <c r="D31" s="3">
        <f t="shared" si="0"/>
        <v>0.71813725490196068</v>
      </c>
      <c r="E31" s="2">
        <v>7.9861111111111105E-2</v>
      </c>
      <c r="F31" s="3">
        <f t="shared" si="1"/>
        <v>0.28186274509803921</v>
      </c>
      <c r="G31" s="2">
        <f t="shared" si="2"/>
        <v>0.28333333333333333</v>
      </c>
    </row>
    <row r="32" spans="2:20" x14ac:dyDescent="0.25">
      <c r="B32" s="4">
        <v>44623</v>
      </c>
      <c r="C32" s="2">
        <v>9.4444444444444442E-2</v>
      </c>
      <c r="D32" s="3">
        <f t="shared" si="0"/>
        <v>1</v>
      </c>
      <c r="E32" s="2">
        <v>0</v>
      </c>
      <c r="F32" s="3">
        <f t="shared" si="1"/>
        <v>0</v>
      </c>
      <c r="G32" s="2">
        <f t="shared" si="2"/>
        <v>9.4444444444444442E-2</v>
      </c>
    </row>
    <row r="33" spans="2:7" x14ac:dyDescent="0.25">
      <c r="B33" s="4">
        <v>44622</v>
      </c>
      <c r="C33" s="2">
        <v>0.17708333333333334</v>
      </c>
      <c r="D33" s="3">
        <f t="shared" si="0"/>
        <v>0.71229050279329609</v>
      </c>
      <c r="E33" s="2">
        <v>7.1527777777777787E-2</v>
      </c>
      <c r="F33" s="3">
        <f t="shared" si="1"/>
        <v>0.28770949720670397</v>
      </c>
      <c r="G33" s="2">
        <f t="shared" si="2"/>
        <v>0.24861111111111112</v>
      </c>
    </row>
    <row r="34" spans="2:7" x14ac:dyDescent="0.25">
      <c r="B34" s="4">
        <v>44621</v>
      </c>
      <c r="C34" s="2">
        <v>0.21319444444444444</v>
      </c>
      <c r="D34" s="3">
        <f t="shared" si="0"/>
        <v>0.70900692840646651</v>
      </c>
      <c r="E34" s="2">
        <v>8.7500000000000008E-2</v>
      </c>
      <c r="F34" s="3">
        <f t="shared" si="1"/>
        <v>0.29099307159353355</v>
      </c>
      <c r="G34" s="2">
        <f t="shared" si="2"/>
        <v>0.30069444444444443</v>
      </c>
    </row>
    <row r="35" spans="2:7" x14ac:dyDescent="0.25">
      <c r="B35" s="4">
        <v>44620</v>
      </c>
      <c r="C35" s="2">
        <v>0.17152777777777775</v>
      </c>
      <c r="D35" s="3">
        <f t="shared" si="0"/>
        <v>0.65</v>
      </c>
      <c r="E35" s="2">
        <v>9.2361111111111116E-2</v>
      </c>
      <c r="F35" s="3">
        <f t="shared" si="1"/>
        <v>0.35000000000000009</v>
      </c>
      <c r="G35" s="2">
        <f t="shared" si="2"/>
        <v>0.26388888888888884</v>
      </c>
    </row>
    <row r="36" spans="2:7" x14ac:dyDescent="0.25">
      <c r="D36" s="3">
        <f>AVERAGE(D7:D35)</f>
        <v>0.67183848087426046</v>
      </c>
      <c r="F36" s="3">
        <f>AVERAGE(F7:F35)</f>
        <v>0.32816151912573932</v>
      </c>
    </row>
    <row r="38" spans="2:7" s="5" customFormat="1" x14ac:dyDescent="0.25">
      <c r="C38" s="5">
        <f>G38-E38</f>
        <v>-52</v>
      </c>
      <c r="D38" s="3">
        <f>C38/G38</f>
        <v>-0.20967741935483872</v>
      </c>
      <c r="E38" s="5">
        <v>300</v>
      </c>
      <c r="F38" s="3">
        <f>E38/G38</f>
        <v>1.2096774193548387</v>
      </c>
      <c r="G38" s="5">
        <v>248</v>
      </c>
    </row>
  </sheetData>
  <mergeCells count="3">
    <mergeCell ref="I7:N12"/>
    <mergeCell ref="J23:Q23"/>
    <mergeCell ref="J25:J26"/>
  </mergeCells>
  <conditionalFormatting sqref="F1:F1048576">
    <cfRule type="cellIs" dxfId="0" priority="1" operator="greaterThan">
      <formula>0.46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0"/>
  <sheetViews>
    <sheetView workbookViewId="0">
      <selection activeCell="M17" sqref="M17"/>
    </sheetView>
  </sheetViews>
  <sheetFormatPr defaultRowHeight="15" x14ac:dyDescent="0.25"/>
  <cols>
    <col min="2" max="2" width="27.28515625" customWidth="1"/>
    <col min="3" max="3" width="25" customWidth="1"/>
    <col min="4" max="4" width="22.5703125" customWidth="1"/>
    <col min="8" max="8" width="13.140625" customWidth="1"/>
    <col min="10" max="10" width="12" bestFit="1" customWidth="1"/>
  </cols>
  <sheetData>
    <row r="2" spans="2:13" ht="15.75" thickBot="1" x14ac:dyDescent="0.3">
      <c r="B2" t="s">
        <v>69</v>
      </c>
      <c r="C2" t="s">
        <v>68</v>
      </c>
    </row>
    <row r="3" spans="2:13" ht="77.25" customHeight="1" thickBot="1" x14ac:dyDescent="0.3">
      <c r="B3" s="21" t="s">
        <v>7</v>
      </c>
      <c r="C3" s="21" t="s">
        <v>8</v>
      </c>
      <c r="D3" s="21" t="s">
        <v>9</v>
      </c>
      <c r="F3" s="51" t="s">
        <v>37</v>
      </c>
      <c r="G3" s="51"/>
      <c r="H3" s="51"/>
      <c r="J3" s="42" t="s">
        <v>80</v>
      </c>
      <c r="K3" s="52"/>
      <c r="L3" s="52"/>
      <c r="M3" s="53"/>
    </row>
    <row r="4" spans="2:13" ht="51.75" customHeight="1" thickTop="1" thickBot="1" x14ac:dyDescent="0.3">
      <c r="B4" s="21" t="s">
        <v>10</v>
      </c>
      <c r="C4" s="21" t="s">
        <v>8</v>
      </c>
      <c r="D4" s="21" t="s">
        <v>11</v>
      </c>
      <c r="F4" s="45" t="s">
        <v>81</v>
      </c>
      <c r="G4" s="46"/>
      <c r="H4" s="47"/>
      <c r="J4" s="43"/>
      <c r="K4" s="54"/>
      <c r="L4" s="54"/>
      <c r="M4" s="55"/>
    </row>
    <row r="5" spans="2:13" ht="92.25" customHeight="1" thickTop="1" thickBot="1" x14ac:dyDescent="0.3">
      <c r="B5" s="21" t="s">
        <v>12</v>
      </c>
      <c r="C5" s="21" t="s">
        <v>13</v>
      </c>
      <c r="D5" s="21" t="s">
        <v>14</v>
      </c>
      <c r="F5" s="48"/>
      <c r="G5" s="49"/>
      <c r="H5" s="50"/>
      <c r="J5" s="56" t="s">
        <v>82</v>
      </c>
      <c r="K5" s="56"/>
      <c r="L5" s="56"/>
      <c r="M5" s="56"/>
    </row>
    <row r="6" spans="2:13" ht="39" customHeight="1" thickTop="1" thickBot="1" x14ac:dyDescent="0.3">
      <c r="B6" s="20" t="s">
        <v>15</v>
      </c>
      <c r="C6" s="20" t="s">
        <v>13</v>
      </c>
      <c r="D6" s="20" t="s">
        <v>16</v>
      </c>
      <c r="F6" s="8" t="s">
        <v>71</v>
      </c>
      <c r="G6" s="9" t="s">
        <v>74</v>
      </c>
      <c r="H6" s="19" t="s">
        <v>73</v>
      </c>
      <c r="I6" s="9" t="s">
        <v>72</v>
      </c>
      <c r="J6" s="10" t="s">
        <v>78</v>
      </c>
    </row>
    <row r="7" spans="2:13" ht="48.75" customHeight="1" thickTop="1" thickBot="1" x14ac:dyDescent="0.3">
      <c r="B7" s="20" t="s">
        <v>15</v>
      </c>
      <c r="C7" s="20" t="s">
        <v>17</v>
      </c>
      <c r="D7" s="20" t="s">
        <v>18</v>
      </c>
      <c r="F7" s="11" t="s">
        <v>75</v>
      </c>
      <c r="G7" s="17">
        <v>430</v>
      </c>
      <c r="H7" s="12">
        <f>I7/25.399999704976</f>
        <v>0.12697894780952113</v>
      </c>
      <c r="I7" s="12">
        <f>G7*0.00750061683</f>
        <v>3.2252652368999999</v>
      </c>
      <c r="J7" s="13">
        <f>I7/1.8683201548767</f>
        <v>1.7262915183360807</v>
      </c>
    </row>
    <row r="8" spans="2:13" ht="43.5" customHeight="1" thickTop="1" thickBot="1" x14ac:dyDescent="0.3">
      <c r="B8" s="20" t="s">
        <v>19</v>
      </c>
      <c r="C8" s="20" t="s">
        <v>20</v>
      </c>
      <c r="D8" s="20" t="s">
        <v>21</v>
      </c>
      <c r="F8" s="14" t="s">
        <v>76</v>
      </c>
      <c r="G8" s="12">
        <f>I8/0.00750061683</f>
        <v>0</v>
      </c>
      <c r="H8" s="17"/>
      <c r="I8" s="12">
        <f>H8*25.399999704976</f>
        <v>0</v>
      </c>
      <c r="J8" s="13">
        <f>I8/1.8683201548767</f>
        <v>0</v>
      </c>
    </row>
    <row r="9" spans="2:13" ht="45.75" customHeight="1" thickTop="1" thickBot="1" x14ac:dyDescent="0.3">
      <c r="B9" s="22" t="s">
        <v>22</v>
      </c>
      <c r="C9" s="22" t="s">
        <v>13</v>
      </c>
      <c r="D9" s="22" t="s">
        <v>23</v>
      </c>
      <c r="F9" s="14" t="s">
        <v>77</v>
      </c>
      <c r="G9" s="12">
        <f>I9/0.00750061683</f>
        <v>0</v>
      </c>
      <c r="H9" s="12">
        <f>I9/25.399999704976</f>
        <v>0</v>
      </c>
      <c r="I9" s="17"/>
      <c r="J9" s="13">
        <f>I9/1.8683201548767</f>
        <v>0</v>
      </c>
    </row>
    <row r="10" spans="2:13" ht="57.75" customHeight="1" thickTop="1" thickBot="1" x14ac:dyDescent="0.3">
      <c r="B10" s="22" t="s">
        <v>24</v>
      </c>
      <c r="C10" s="22" t="s">
        <v>25</v>
      </c>
      <c r="D10" s="22" t="s">
        <v>26</v>
      </c>
      <c r="F10" s="15" t="s">
        <v>79</v>
      </c>
      <c r="G10" s="16">
        <f>I10/0.00750061683</f>
        <v>0</v>
      </c>
      <c r="H10" s="16">
        <f>I10/25.399999704976</f>
        <v>0</v>
      </c>
      <c r="I10" s="16">
        <f>J10*1.8683201548767</f>
        <v>0</v>
      </c>
      <c r="J10" s="18"/>
    </row>
    <row r="11" spans="2:13" ht="33" customHeight="1" thickTop="1" thickBot="1" x14ac:dyDescent="0.3">
      <c r="B11" s="22" t="s">
        <v>27</v>
      </c>
      <c r="C11" s="22" t="s">
        <v>28</v>
      </c>
      <c r="D11" s="22" t="s">
        <v>29</v>
      </c>
      <c r="G11">
        <v>430</v>
      </c>
      <c r="H11">
        <f>0.00750061683/25.399999704976*G11</f>
        <v>0.12697894780952113</v>
      </c>
    </row>
    <row r="12" spans="2:13" ht="69.75" customHeight="1" thickTop="1" thickBot="1" x14ac:dyDescent="0.3">
      <c r="B12" s="7" t="s">
        <v>30</v>
      </c>
      <c r="C12" s="7" t="s">
        <v>13</v>
      </c>
      <c r="D12" s="7" t="s">
        <v>31</v>
      </c>
      <c r="G12">
        <f>H12/0.00750061683*25.399999704976</f>
        <v>102268.92114021977</v>
      </c>
      <c r="H12">
        <v>30.2</v>
      </c>
      <c r="J12">
        <v>102268.92114022</v>
      </c>
    </row>
    <row r="13" spans="2:13" ht="60" customHeight="1" thickTop="1" thickBot="1" x14ac:dyDescent="0.3">
      <c r="B13" s="7" t="s">
        <v>30</v>
      </c>
      <c r="C13" s="7" t="s">
        <v>32</v>
      </c>
      <c r="D13" s="7" t="s">
        <v>33</v>
      </c>
      <c r="G13">
        <f t="shared" ref="G13:G24" si="0">H13/0.00750061683*25.399999704976</f>
        <v>101591.64351677461</v>
      </c>
      <c r="H13">
        <v>30</v>
      </c>
      <c r="J13">
        <v>101591.643516775</v>
      </c>
    </row>
    <row r="14" spans="2:13" ht="54" customHeight="1" thickTop="1" thickBot="1" x14ac:dyDescent="0.3">
      <c r="B14" s="7" t="s">
        <v>34</v>
      </c>
      <c r="C14" s="7" t="s">
        <v>35</v>
      </c>
      <c r="D14" s="7" t="s">
        <v>36</v>
      </c>
      <c r="G14">
        <f t="shared" si="0"/>
        <v>100914.36589332945</v>
      </c>
      <c r="H14">
        <v>29.8</v>
      </c>
      <c r="J14">
        <v>100914.365893329</v>
      </c>
    </row>
    <row r="15" spans="2:13" ht="15.75" thickTop="1" x14ac:dyDescent="0.25">
      <c r="G15">
        <f t="shared" si="0"/>
        <v>6772.7762344516404</v>
      </c>
      <c r="H15">
        <v>2</v>
      </c>
      <c r="J15">
        <v>6772.7762344516404</v>
      </c>
    </row>
    <row r="16" spans="2:13" x14ac:dyDescent="0.25">
      <c r="G16">
        <f t="shared" si="0"/>
        <v>27091.104937806562</v>
      </c>
      <c r="H16">
        <v>8</v>
      </c>
      <c r="J16">
        <v>27091.104937806602</v>
      </c>
    </row>
    <row r="17" spans="2:7" x14ac:dyDescent="0.25">
      <c r="G17">
        <f t="shared" si="0"/>
        <v>0</v>
      </c>
    </row>
    <row r="18" spans="2:7" x14ac:dyDescent="0.25">
      <c r="B18" s="44" t="s">
        <v>70</v>
      </c>
      <c r="C18" s="44"/>
      <c r="D18" s="44"/>
      <c r="G18">
        <f t="shared" si="0"/>
        <v>0</v>
      </c>
    </row>
    <row r="19" spans="2:7" ht="51" customHeight="1" x14ac:dyDescent="0.25">
      <c r="B19" s="6" t="s">
        <v>38</v>
      </c>
      <c r="C19" s="6" t="s">
        <v>39</v>
      </c>
      <c r="D19" s="6" t="s">
        <v>40</v>
      </c>
      <c r="G19">
        <f t="shared" si="0"/>
        <v>0</v>
      </c>
    </row>
    <row r="20" spans="2:7" ht="42.75" customHeight="1" x14ac:dyDescent="0.25">
      <c r="B20" s="6" t="s">
        <v>41</v>
      </c>
      <c r="C20" s="6" t="s">
        <v>39</v>
      </c>
      <c r="D20" s="6" t="s">
        <v>42</v>
      </c>
      <c r="G20">
        <f t="shared" si="0"/>
        <v>0</v>
      </c>
    </row>
    <row r="21" spans="2:7" ht="38.25" customHeight="1" x14ac:dyDescent="0.25">
      <c r="B21" s="6" t="s">
        <v>43</v>
      </c>
      <c r="C21" s="6" t="s">
        <v>44</v>
      </c>
      <c r="D21" s="6" t="s">
        <v>45</v>
      </c>
      <c r="G21">
        <f t="shared" si="0"/>
        <v>0</v>
      </c>
    </row>
    <row r="22" spans="2:7" ht="42" customHeight="1" x14ac:dyDescent="0.25">
      <c r="B22" s="6" t="s">
        <v>46</v>
      </c>
      <c r="C22" s="6" t="s">
        <v>44</v>
      </c>
      <c r="D22" s="6" t="s">
        <v>47</v>
      </c>
      <c r="G22">
        <f t="shared" si="0"/>
        <v>0</v>
      </c>
    </row>
    <row r="23" spans="2:7" ht="49.5" customHeight="1" x14ac:dyDescent="0.25">
      <c r="B23" s="6" t="s">
        <v>46</v>
      </c>
      <c r="C23" s="6" t="s">
        <v>48</v>
      </c>
      <c r="D23" s="6" t="s">
        <v>49</v>
      </c>
      <c r="G23">
        <f t="shared" si="0"/>
        <v>0</v>
      </c>
    </row>
    <row r="24" spans="2:7" ht="35.25" customHeight="1" x14ac:dyDescent="0.25">
      <c r="B24" s="6" t="s">
        <v>50</v>
      </c>
      <c r="C24" s="6" t="s">
        <v>51</v>
      </c>
      <c r="D24" s="6" t="s">
        <v>52</v>
      </c>
      <c r="G24">
        <f t="shared" si="0"/>
        <v>0</v>
      </c>
    </row>
    <row r="25" spans="2:7" ht="56.25" customHeight="1" x14ac:dyDescent="0.25">
      <c r="B25" s="6" t="s">
        <v>53</v>
      </c>
      <c r="C25" s="6" t="s">
        <v>44</v>
      </c>
      <c r="D25" s="6" t="s">
        <v>54</v>
      </c>
    </row>
    <row r="26" spans="2:7" ht="66.75" customHeight="1" x14ac:dyDescent="0.25">
      <c r="B26" s="6" t="s">
        <v>55</v>
      </c>
      <c r="C26" s="6" t="s">
        <v>56</v>
      </c>
      <c r="D26" s="6" t="s">
        <v>57</v>
      </c>
    </row>
    <row r="27" spans="2:7" ht="45.75" customHeight="1" x14ac:dyDescent="0.25">
      <c r="B27" s="6" t="s">
        <v>58</v>
      </c>
      <c r="C27" s="6" t="s">
        <v>59</v>
      </c>
      <c r="D27" s="6" t="s">
        <v>60</v>
      </c>
    </row>
    <row r="28" spans="2:7" ht="74.25" customHeight="1" x14ac:dyDescent="0.25">
      <c r="B28" s="6" t="s">
        <v>61</v>
      </c>
      <c r="C28" s="6" t="s">
        <v>44</v>
      </c>
      <c r="D28" s="6" t="s">
        <v>62</v>
      </c>
    </row>
    <row r="29" spans="2:7" ht="72" customHeight="1" x14ac:dyDescent="0.25">
      <c r="B29" s="6" t="s">
        <v>61</v>
      </c>
      <c r="C29" s="6" t="s">
        <v>63</v>
      </c>
      <c r="D29" s="6" t="s">
        <v>64</v>
      </c>
    </row>
    <row r="30" spans="2:7" ht="36" customHeight="1" x14ac:dyDescent="0.25">
      <c r="B30" s="6" t="s">
        <v>65</v>
      </c>
      <c r="C30" s="6" t="s">
        <v>66</v>
      </c>
      <c r="D30" s="6" t="s">
        <v>67</v>
      </c>
    </row>
  </sheetData>
  <mergeCells count="5">
    <mergeCell ref="B18:D18"/>
    <mergeCell ref="F4:H5"/>
    <mergeCell ref="F3:H3"/>
    <mergeCell ref="J3:M4"/>
    <mergeCell ref="J5:M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07"/>
  <sheetViews>
    <sheetView topLeftCell="B1" workbookViewId="0">
      <selection activeCell="J8" sqref="J8"/>
    </sheetView>
  </sheetViews>
  <sheetFormatPr defaultRowHeight="15" x14ac:dyDescent="0.25"/>
  <sheetData>
    <row r="2" spans="2:15" ht="43.5" thickBot="1" x14ac:dyDescent="0.3">
      <c r="B2" s="8" t="s">
        <v>71</v>
      </c>
      <c r="C2" s="9" t="s">
        <v>74</v>
      </c>
      <c r="D2" s="19" t="s">
        <v>73</v>
      </c>
      <c r="E2" s="9" t="s">
        <v>72</v>
      </c>
      <c r="F2" s="10" t="s">
        <v>78</v>
      </c>
      <c r="I2" s="23" t="s">
        <v>83</v>
      </c>
    </row>
    <row r="3" spans="2:15" ht="100.5" thickBot="1" x14ac:dyDescent="0.3">
      <c r="B3" s="11" t="s">
        <v>75</v>
      </c>
      <c r="C3" s="17">
        <f>101110</f>
        <v>101110</v>
      </c>
      <c r="D3" s="12">
        <f>E3/25.399999704976</f>
        <v>29.857770727955078</v>
      </c>
      <c r="E3" s="12">
        <f>C3*0.00750061683</f>
        <v>758.38736768130002</v>
      </c>
      <c r="F3" s="13">
        <f>E3/1.8683201548767</f>
        <v>405.91938469525849</v>
      </c>
    </row>
    <row r="4" spans="2:15" ht="15.75" thickBot="1" x14ac:dyDescent="0.3">
      <c r="B4" s="14" t="s">
        <v>76</v>
      </c>
      <c r="C4" s="12">
        <f>E4/0.00750061683</f>
        <v>0</v>
      </c>
      <c r="D4" s="17"/>
      <c r="E4" s="12">
        <f>D4*25.399999704976</f>
        <v>0</v>
      </c>
      <c r="F4" s="13">
        <f>E4/1.8683201548767</f>
        <v>0</v>
      </c>
      <c r="I4" t="s">
        <v>84</v>
      </c>
      <c r="J4" t="s">
        <v>85</v>
      </c>
      <c r="K4" t="s">
        <v>72</v>
      </c>
      <c r="L4" t="s">
        <v>73</v>
      </c>
    </row>
    <row r="5" spans="2:15" ht="15.75" thickBot="1" x14ac:dyDescent="0.3">
      <c r="B5" s="14" t="s">
        <v>77</v>
      </c>
      <c r="C5" s="12">
        <f>E5/0.00750061683</f>
        <v>101858.28943351049</v>
      </c>
      <c r="D5" s="12">
        <f>E5/25.399999704976</f>
        <v>30.078740506848437</v>
      </c>
      <c r="E5" s="17">
        <v>764</v>
      </c>
      <c r="F5" s="13">
        <f>E5/1.8683201548767</f>
        <v>408.92349097974608</v>
      </c>
      <c r="J5" s="12">
        <f>L5/0.00750061683</f>
        <v>0</v>
      </c>
      <c r="K5" s="12">
        <f>J5*25.399999704976</f>
        <v>0</v>
      </c>
    </row>
    <row r="6" spans="2:15" x14ac:dyDescent="0.25">
      <c r="B6" s="15" t="s">
        <v>79</v>
      </c>
      <c r="C6" s="16">
        <f>E6/0.00750061683</f>
        <v>0</v>
      </c>
      <c r="D6" s="16">
        <f>E6/25.399999704976</f>
        <v>0</v>
      </c>
      <c r="E6" s="16">
        <f>F6*1.8683201548767</f>
        <v>0</v>
      </c>
      <c r="F6" s="18"/>
      <c r="M6">
        <v>75006</v>
      </c>
      <c r="N6">
        <f>M6/M7</f>
        <v>9999977.5618454032</v>
      </c>
    </row>
    <row r="7" spans="2:15" x14ac:dyDescent="0.25">
      <c r="M7">
        <v>7.50061683E-3</v>
      </c>
      <c r="N7">
        <v>10000000</v>
      </c>
    </row>
    <row r="8" spans="2:15" x14ac:dyDescent="0.25">
      <c r="C8">
        <v>101858.28943351</v>
      </c>
      <c r="M8">
        <f>M7*N7</f>
        <v>75006.168300000005</v>
      </c>
    </row>
    <row r="11" spans="2:15" x14ac:dyDescent="0.25">
      <c r="E11" t="s">
        <v>89</v>
      </c>
      <c r="F11" t="s">
        <v>88</v>
      </c>
      <c r="G11" t="s">
        <v>86</v>
      </c>
      <c r="H11" t="s">
        <v>87</v>
      </c>
      <c r="J11" s="44" t="s">
        <v>90</v>
      </c>
      <c r="K11" s="44"/>
      <c r="M11" s="44" t="s">
        <v>91</v>
      </c>
      <c r="N11" s="44"/>
    </row>
    <row r="12" spans="2:15" x14ac:dyDescent="0.25">
      <c r="E12">
        <v>19</v>
      </c>
      <c r="F12">
        <v>26</v>
      </c>
      <c r="G12">
        <v>1018.5</v>
      </c>
      <c r="H12">
        <f>G12*(1-0.0065*E12/(F12+0.0065*E12+273.15))^
5.257</f>
        <v>1016.2924210621885</v>
      </c>
      <c r="I12">
        <f>H12*100*0.00750061683</f>
        <v>762.28200376204973</v>
      </c>
      <c r="J12">
        <v>762</v>
      </c>
      <c r="K12">
        <v>766</v>
      </c>
      <c r="M12">
        <v>1018.5</v>
      </c>
      <c r="N12">
        <v>1024.0999999999999</v>
      </c>
    </row>
    <row r="13" spans="2:15" x14ac:dyDescent="0.25">
      <c r="E13">
        <v>19</v>
      </c>
      <c r="F13">
        <f>((0.0065*E13)/(1-(H13/G13)^(1/5.257)))-273.15-0.0065*E13</f>
        <v>-306.13403859097031</v>
      </c>
      <c r="G13">
        <f>1000</f>
        <v>1000</v>
      </c>
      <c r="H13">
        <f>I13/(100*0.00750061683)</f>
        <v>1019.9161180187897</v>
      </c>
      <c r="I13">
        <v>765</v>
      </c>
    </row>
    <row r="14" spans="2:15" x14ac:dyDescent="0.25">
      <c r="G14">
        <f>H13/G13</f>
        <v>1.0199161180187897</v>
      </c>
    </row>
    <row r="15" spans="2:15" x14ac:dyDescent="0.25">
      <c r="G15">
        <f>G14^(1/5.257)</f>
        <v>1.0037583072370559</v>
      </c>
    </row>
    <row r="16" spans="2:15" x14ac:dyDescent="0.25">
      <c r="G16">
        <f>1-G15</f>
        <v>-3.7583072370559467E-3</v>
      </c>
      <c r="N16">
        <v>101807</v>
      </c>
      <c r="O16">
        <f t="shared" ref="O16:O28" si="0">N16*0.00750061683</f>
        <v>763.61529761180998</v>
      </c>
    </row>
    <row r="17" spans="6:21" x14ac:dyDescent="0.25">
      <c r="G17">
        <f>0.0065*E13/G16</f>
        <v>-32.860538590970329</v>
      </c>
      <c r="N17">
        <v>102083</v>
      </c>
      <c r="O17">
        <f t="shared" si="0"/>
        <v>765.68546785689</v>
      </c>
    </row>
    <row r="18" spans="6:21" x14ac:dyDescent="0.25">
      <c r="J18" t="s">
        <v>88</v>
      </c>
      <c r="N18">
        <v>102084</v>
      </c>
      <c r="O18">
        <f t="shared" si="0"/>
        <v>765.69296847372004</v>
      </c>
    </row>
    <row r="19" spans="6:21" x14ac:dyDescent="0.25">
      <c r="F19">
        <f>H19/G19*J19</f>
        <v>26.273684210526316</v>
      </c>
      <c r="G19">
        <v>760</v>
      </c>
      <c r="H19">
        <v>768</v>
      </c>
      <c r="J19">
        <v>26</v>
      </c>
      <c r="N19">
        <v>102085</v>
      </c>
      <c r="O19">
        <f t="shared" si="0"/>
        <v>765.70046909054997</v>
      </c>
      <c r="S19">
        <v>770</v>
      </c>
      <c r="T19">
        <v>771</v>
      </c>
      <c r="U19">
        <v>27</v>
      </c>
    </row>
    <row r="20" spans="6:21" x14ac:dyDescent="0.25">
      <c r="H20">
        <f>10*28.5/(0.0065*8.315)</f>
        <v>5273.1393681483887</v>
      </c>
      <c r="N20">
        <v>102086</v>
      </c>
      <c r="O20">
        <f t="shared" si="0"/>
        <v>765.70796970738002</v>
      </c>
    </row>
    <row r="21" spans="6:21" x14ac:dyDescent="0.25">
      <c r="N21">
        <v>102087</v>
      </c>
      <c r="O21">
        <f t="shared" si="0"/>
        <v>765.71547032421006</v>
      </c>
    </row>
    <row r="22" spans="6:21" x14ac:dyDescent="0.25">
      <c r="I22">
        <v>19</v>
      </c>
      <c r="J22">
        <f>K22-0.0065*I22</f>
        <v>29.8765</v>
      </c>
      <c r="K22">
        <v>30</v>
      </c>
      <c r="N22">
        <v>102088</v>
      </c>
      <c r="O22">
        <f t="shared" si="0"/>
        <v>765.72297094103999</v>
      </c>
    </row>
    <row r="23" spans="6:21" x14ac:dyDescent="0.25">
      <c r="N23">
        <v>102089</v>
      </c>
      <c r="O23">
        <f t="shared" si="0"/>
        <v>765.73047155787003</v>
      </c>
    </row>
    <row r="24" spans="6:21" x14ac:dyDescent="0.25">
      <c r="N24">
        <v>102090</v>
      </c>
      <c r="O24">
        <f t="shared" si="0"/>
        <v>765.73797217469996</v>
      </c>
    </row>
    <row r="25" spans="6:21" x14ac:dyDescent="0.25">
      <c r="N25">
        <v>102091</v>
      </c>
      <c r="O25">
        <f t="shared" si="0"/>
        <v>765.74547279153001</v>
      </c>
    </row>
    <row r="26" spans="6:21" x14ac:dyDescent="0.25">
      <c r="F26">
        <f>((0.0065*$E$13)/(1-(G26/$G$13)^(1/5.257)))-273.15-0.0065*$E$13</f>
        <v>7621.1780860057588</v>
      </c>
      <c r="G26">
        <f>H26/(100*0.00750061683)</f>
        <v>999.91776276351925</v>
      </c>
      <c r="H26">
        <v>750</v>
      </c>
      <c r="N26">
        <v>102092</v>
      </c>
      <c r="O26">
        <f t="shared" si="0"/>
        <v>765.75297340836005</v>
      </c>
    </row>
    <row r="27" spans="6:21" x14ac:dyDescent="0.25">
      <c r="F27">
        <f t="shared" ref="F27:F58" si="1">((0.0065*$E$13)/(1-(G27/$G$13)^(1/5.257)))-273.15-0.0065*$E$13</f>
        <v>-792.5183458503127</v>
      </c>
      <c r="G27">
        <f t="shared" ref="G27:G58" si="2">H27/(100*0.00750061683)</f>
        <v>1001.250986447204</v>
      </c>
      <c r="H27">
        <v>751</v>
      </c>
      <c r="N27">
        <v>102093</v>
      </c>
      <c r="O27">
        <f t="shared" si="0"/>
        <v>765.76047402518998</v>
      </c>
    </row>
    <row r="28" spans="6:21" x14ac:dyDescent="0.25">
      <c r="F28">
        <f t="shared" si="1"/>
        <v>-524.76948135085149</v>
      </c>
      <c r="G28">
        <f t="shared" si="2"/>
        <v>1002.5842101308887</v>
      </c>
      <c r="H28">
        <v>752</v>
      </c>
      <c r="N28">
        <v>102075</v>
      </c>
      <c r="O28">
        <f t="shared" si="0"/>
        <v>765.62546292224999</v>
      </c>
    </row>
    <row r="29" spans="6:21" x14ac:dyDescent="0.25">
      <c r="F29">
        <f t="shared" si="1"/>
        <v>-439.26698117911855</v>
      </c>
      <c r="G29">
        <f t="shared" si="2"/>
        <v>1003.9174338145734</v>
      </c>
      <c r="H29">
        <v>753</v>
      </c>
      <c r="N29">
        <v>102063</v>
      </c>
      <c r="O29">
        <f>N29*0.00750061683</f>
        <v>765.53545552029004</v>
      </c>
    </row>
    <row r="30" spans="6:21" x14ac:dyDescent="0.25">
      <c r="F30">
        <f t="shared" si="1"/>
        <v>-397.18527778761592</v>
      </c>
      <c r="G30">
        <f t="shared" si="2"/>
        <v>1005.2506574982581</v>
      </c>
      <c r="H30">
        <v>754</v>
      </c>
    </row>
    <row r="31" spans="6:21" x14ac:dyDescent="0.25">
      <c r="F31">
        <f t="shared" si="1"/>
        <v>-372.14647966671629</v>
      </c>
      <c r="G31">
        <f t="shared" si="2"/>
        <v>1006.5838811819427</v>
      </c>
      <c r="H31">
        <v>755</v>
      </c>
      <c r="M31">
        <v>754</v>
      </c>
      <c r="N31">
        <v>17</v>
      </c>
      <c r="O31">
        <f t="shared" ref="O31:O51" si="3">23+M31-P31</f>
        <v>17</v>
      </c>
      <c r="P31">
        <v>760</v>
      </c>
    </row>
    <row r="32" spans="6:21" x14ac:dyDescent="0.25">
      <c r="F32">
        <f t="shared" si="1"/>
        <v>-355.54061945736777</v>
      </c>
      <c r="G32">
        <f t="shared" si="2"/>
        <v>1007.9171048656275</v>
      </c>
      <c r="H32">
        <v>756</v>
      </c>
      <c r="M32">
        <v>755</v>
      </c>
      <c r="N32">
        <v>18</v>
      </c>
      <c r="O32">
        <f t="shared" si="3"/>
        <v>18</v>
      </c>
      <c r="P32">
        <v>760</v>
      </c>
    </row>
    <row r="33" spans="6:17" x14ac:dyDescent="0.25">
      <c r="F33">
        <f t="shared" si="1"/>
        <v>-343.72145074828171</v>
      </c>
      <c r="G33">
        <f t="shared" si="2"/>
        <v>1009.2503285493121</v>
      </c>
      <c r="H33">
        <v>757</v>
      </c>
      <c r="M33">
        <v>756</v>
      </c>
      <c r="N33">
        <v>19</v>
      </c>
      <c r="O33">
        <f t="shared" si="3"/>
        <v>19</v>
      </c>
      <c r="P33">
        <v>760</v>
      </c>
    </row>
    <row r="34" spans="6:17" x14ac:dyDescent="0.25">
      <c r="F34">
        <f t="shared" si="1"/>
        <v>-334.88001652392785</v>
      </c>
      <c r="G34">
        <f t="shared" si="2"/>
        <v>1010.5835522329968</v>
      </c>
      <c r="H34">
        <v>758</v>
      </c>
      <c r="M34">
        <v>757</v>
      </c>
      <c r="N34">
        <v>20</v>
      </c>
      <c r="O34">
        <f t="shared" si="3"/>
        <v>20</v>
      </c>
      <c r="P34">
        <v>760</v>
      </c>
    </row>
    <row r="35" spans="6:17" x14ac:dyDescent="0.25">
      <c r="F35">
        <f t="shared" si="1"/>
        <v>-328.01688890733146</v>
      </c>
      <c r="G35">
        <f t="shared" si="2"/>
        <v>1011.9167759166816</v>
      </c>
      <c r="H35">
        <v>759</v>
      </c>
      <c r="M35">
        <v>758</v>
      </c>
      <c r="N35">
        <v>21</v>
      </c>
      <c r="O35">
        <f t="shared" si="3"/>
        <v>21</v>
      </c>
      <c r="P35">
        <v>760</v>
      </c>
    </row>
    <row r="36" spans="6:17" x14ac:dyDescent="0.25">
      <c r="F36">
        <f t="shared" si="1"/>
        <v>-322.53489238548792</v>
      </c>
      <c r="G36">
        <f t="shared" si="2"/>
        <v>1013.2499996003662</v>
      </c>
      <c r="H36">
        <v>760</v>
      </c>
      <c r="M36">
        <v>759</v>
      </c>
      <c r="N36">
        <v>22</v>
      </c>
      <c r="O36">
        <f t="shared" si="3"/>
        <v>22</v>
      </c>
      <c r="P36">
        <v>760</v>
      </c>
    </row>
    <row r="37" spans="6:17" x14ac:dyDescent="0.25">
      <c r="F37">
        <f t="shared" si="1"/>
        <v>-318.05523074916897</v>
      </c>
      <c r="G37">
        <f t="shared" si="2"/>
        <v>1014.583223284051</v>
      </c>
      <c r="H37">
        <v>761</v>
      </c>
      <c r="M37">
        <v>760</v>
      </c>
      <c r="N37">
        <v>23</v>
      </c>
      <c r="O37">
        <f t="shared" si="3"/>
        <v>23</v>
      </c>
      <c r="P37">
        <v>760</v>
      </c>
    </row>
    <row r="38" spans="6:17" x14ac:dyDescent="0.25">
      <c r="F38">
        <f t="shared" si="1"/>
        <v>-314.32602558133965</v>
      </c>
      <c r="G38">
        <f t="shared" si="2"/>
        <v>1015.9164469677356</v>
      </c>
      <c r="H38">
        <v>762</v>
      </c>
      <c r="M38">
        <v>761</v>
      </c>
      <c r="N38">
        <v>24</v>
      </c>
      <c r="O38">
        <f t="shared" si="3"/>
        <v>24</v>
      </c>
      <c r="P38">
        <v>760</v>
      </c>
    </row>
    <row r="39" spans="6:17" x14ac:dyDescent="0.25">
      <c r="F39">
        <f t="shared" si="1"/>
        <v>-311.17326900000131</v>
      </c>
      <c r="G39">
        <f t="shared" si="2"/>
        <v>1017.2496706514203</v>
      </c>
      <c r="H39">
        <v>763</v>
      </c>
      <c r="M39">
        <v>762</v>
      </c>
      <c r="N39">
        <v>25</v>
      </c>
      <c r="O39">
        <f t="shared" si="3"/>
        <v>25</v>
      </c>
      <c r="P39">
        <v>760</v>
      </c>
    </row>
    <row r="40" spans="6:17" x14ac:dyDescent="0.25">
      <c r="F40">
        <f t="shared" si="1"/>
        <v>-308.47288967768912</v>
      </c>
      <c r="G40">
        <f t="shared" si="2"/>
        <v>1018.582894335105</v>
      </c>
      <c r="H40">
        <v>764</v>
      </c>
      <c r="L40">
        <v>101807</v>
      </c>
      <c r="M40">
        <v>763</v>
      </c>
      <c r="N40">
        <v>26</v>
      </c>
      <c r="O40">
        <f>23+M40-P40</f>
        <v>26</v>
      </c>
      <c r="P40">
        <v>760</v>
      </c>
    </row>
    <row r="41" spans="6:17" x14ac:dyDescent="0.25">
      <c r="F41">
        <f t="shared" si="1"/>
        <v>-306.13403859097031</v>
      </c>
      <c r="G41">
        <f t="shared" si="2"/>
        <v>1019.9161180187897</v>
      </c>
      <c r="H41">
        <v>765</v>
      </c>
      <c r="L41">
        <v>101814</v>
      </c>
      <c r="M41">
        <v>764</v>
      </c>
      <c r="N41" s="24">
        <v>27</v>
      </c>
      <c r="O41">
        <f t="shared" si="3"/>
        <v>27</v>
      </c>
      <c r="P41">
        <v>760</v>
      </c>
    </row>
    <row r="42" spans="6:17" x14ac:dyDescent="0.25">
      <c r="F42">
        <f t="shared" si="1"/>
        <v>-304.08866687108525</v>
      </c>
      <c r="G42">
        <f t="shared" si="2"/>
        <v>1021.2493417024743</v>
      </c>
      <c r="H42">
        <v>766</v>
      </c>
      <c r="L42">
        <v>101833</v>
      </c>
      <c r="M42">
        <v>765</v>
      </c>
      <c r="N42">
        <v>28</v>
      </c>
      <c r="O42">
        <f t="shared" si="3"/>
        <v>28</v>
      </c>
      <c r="P42">
        <v>760</v>
      </c>
      <c r="Q42">
        <f>(37+17)/2</f>
        <v>27</v>
      </c>
    </row>
    <row r="43" spans="6:17" s="24" customFormat="1" x14ac:dyDescent="0.25">
      <c r="F43" s="24">
        <f t="shared" si="1"/>
        <v>-302.28479545562618</v>
      </c>
      <c r="G43" s="24">
        <f t="shared" si="2"/>
        <v>1022.5825653861591</v>
      </c>
      <c r="H43" s="24">
        <v>767</v>
      </c>
      <c r="M43">
        <v>766</v>
      </c>
      <c r="N43">
        <v>29</v>
      </c>
      <c r="O43">
        <f t="shared" si="3"/>
        <v>29</v>
      </c>
      <c r="P43">
        <v>760</v>
      </c>
    </row>
    <row r="44" spans="6:17" s="24" customFormat="1" x14ac:dyDescent="0.25">
      <c r="F44" s="24">
        <f t="shared" si="1"/>
        <v>-300.68203590402578</v>
      </c>
      <c r="G44" s="24">
        <f t="shared" si="2"/>
        <v>1023.9157890698438</v>
      </c>
      <c r="H44" s="24">
        <v>768</v>
      </c>
      <c r="M44">
        <v>767</v>
      </c>
      <c r="N44">
        <v>30</v>
      </c>
      <c r="O44">
        <f t="shared" si="3"/>
        <v>30</v>
      </c>
      <c r="P44">
        <v>760</v>
      </c>
    </row>
    <row r="45" spans="6:17" x14ac:dyDescent="0.25">
      <c r="F45">
        <f t="shared" si="1"/>
        <v>-299.24853029938436</v>
      </c>
      <c r="G45">
        <f t="shared" si="2"/>
        <v>1025.2490127535284</v>
      </c>
      <c r="H45">
        <v>769</v>
      </c>
      <c r="M45">
        <v>768</v>
      </c>
      <c r="N45">
        <v>31</v>
      </c>
      <c r="O45">
        <f t="shared" si="3"/>
        <v>31</v>
      </c>
      <c r="P45">
        <v>760</v>
      </c>
    </row>
    <row r="46" spans="6:17" x14ac:dyDescent="0.25">
      <c r="F46">
        <f t="shared" si="1"/>
        <v>-297.95881201985179</v>
      </c>
      <c r="G46">
        <f t="shared" si="2"/>
        <v>1026.5822364372132</v>
      </c>
      <c r="H46">
        <v>770</v>
      </c>
      <c r="M46">
        <v>769</v>
      </c>
      <c r="N46">
        <v>32</v>
      </c>
      <c r="O46">
        <f t="shared" si="3"/>
        <v>32</v>
      </c>
      <c r="P46">
        <v>760</v>
      </c>
    </row>
    <row r="47" spans="6:17" x14ac:dyDescent="0.25">
      <c r="F47">
        <f t="shared" si="1"/>
        <v>-296.79227951876584</v>
      </c>
      <c r="G47">
        <f t="shared" si="2"/>
        <v>1027.9154601208979</v>
      </c>
      <c r="H47">
        <v>771</v>
      </c>
      <c r="M47">
        <v>770</v>
      </c>
      <c r="N47">
        <v>33</v>
      </c>
      <c r="O47">
        <f t="shared" si="3"/>
        <v>33</v>
      </c>
      <c r="P47">
        <v>760</v>
      </c>
    </row>
    <row r="48" spans="6:17" x14ac:dyDescent="0.25">
      <c r="F48">
        <f t="shared" si="1"/>
        <v>-295.73208751690504</v>
      </c>
      <c r="G48">
        <f t="shared" si="2"/>
        <v>1029.2486838045825</v>
      </c>
      <c r="H48">
        <v>772</v>
      </c>
      <c r="M48">
        <v>771</v>
      </c>
      <c r="N48">
        <v>34</v>
      </c>
      <c r="O48">
        <f t="shared" si="3"/>
        <v>34</v>
      </c>
      <c r="P48">
        <v>760</v>
      </c>
    </row>
    <row r="49" spans="6:16" x14ac:dyDescent="0.25">
      <c r="F49">
        <f t="shared" si="1"/>
        <v>-294.76432822675667</v>
      </c>
      <c r="G49">
        <f t="shared" si="2"/>
        <v>1030.5819074882672</v>
      </c>
      <c r="H49">
        <v>773</v>
      </c>
      <c r="M49">
        <v>772</v>
      </c>
      <c r="N49">
        <v>35</v>
      </c>
      <c r="O49">
        <f t="shared" si="3"/>
        <v>35</v>
      </c>
      <c r="P49">
        <v>760</v>
      </c>
    </row>
    <row r="50" spans="6:16" x14ac:dyDescent="0.25">
      <c r="F50">
        <f t="shared" si="1"/>
        <v>-293.87741779816764</v>
      </c>
      <c r="G50">
        <f t="shared" si="2"/>
        <v>1031.915131171952</v>
      </c>
      <c r="H50">
        <v>774</v>
      </c>
      <c r="M50">
        <v>773</v>
      </c>
      <c r="N50">
        <v>36</v>
      </c>
      <c r="O50">
        <f t="shared" si="3"/>
        <v>36</v>
      </c>
      <c r="P50">
        <v>760</v>
      </c>
    </row>
    <row r="51" spans="6:16" x14ac:dyDescent="0.25">
      <c r="F51">
        <f t="shared" si="1"/>
        <v>-293.06163038125675</v>
      </c>
      <c r="G51">
        <f t="shared" si="2"/>
        <v>1033.2483548556365</v>
      </c>
      <c r="H51">
        <v>775</v>
      </c>
      <c r="M51">
        <v>774</v>
      </c>
      <c r="N51">
        <v>37</v>
      </c>
      <c r="O51">
        <f t="shared" si="3"/>
        <v>37</v>
      </c>
      <c r="P51">
        <v>760</v>
      </c>
    </row>
    <row r="52" spans="6:16" x14ac:dyDescent="0.25">
      <c r="F52">
        <f t="shared" si="1"/>
        <v>-292.30873996897009</v>
      </c>
      <c r="G52">
        <f t="shared" si="2"/>
        <v>1034.5815785393213</v>
      </c>
      <c r="H52">
        <v>776</v>
      </c>
    </row>
    <row r="53" spans="6:16" x14ac:dyDescent="0.25">
      <c r="F53">
        <f t="shared" si="1"/>
        <v>-291.61174201242301</v>
      </c>
      <c r="G53">
        <f t="shared" si="2"/>
        <v>1035.9148022230061</v>
      </c>
      <c r="H53">
        <v>777</v>
      </c>
    </row>
    <row r="54" spans="6:16" x14ac:dyDescent="0.25">
      <c r="F54">
        <f t="shared" si="1"/>
        <v>-290.96463482180553</v>
      </c>
      <c r="G54">
        <f t="shared" si="2"/>
        <v>1037.2480259066906</v>
      </c>
      <c r="H54">
        <v>778</v>
      </c>
    </row>
    <row r="55" spans="6:16" x14ac:dyDescent="0.25">
      <c r="F55">
        <f t="shared" si="1"/>
        <v>-290.36224629108648</v>
      </c>
      <c r="G55">
        <f t="shared" si="2"/>
        <v>1038.5812495903754</v>
      </c>
      <c r="H55">
        <v>779</v>
      </c>
    </row>
    <row r="56" spans="6:16" x14ac:dyDescent="0.25">
      <c r="F56">
        <f t="shared" si="1"/>
        <v>-289.80009534918281</v>
      </c>
      <c r="G56">
        <f t="shared" si="2"/>
        <v>1039.9144732740601</v>
      </c>
      <c r="H56">
        <v>780</v>
      </c>
    </row>
    <row r="57" spans="6:16" x14ac:dyDescent="0.25">
      <c r="F57">
        <f t="shared" si="1"/>
        <v>-289.27428028049172</v>
      </c>
      <c r="G57">
        <f t="shared" si="2"/>
        <v>1041.2476969577447</v>
      </c>
      <c r="H57">
        <v>781</v>
      </c>
    </row>
    <row r="58" spans="6:16" x14ac:dyDescent="0.25">
      <c r="F58">
        <f t="shared" si="1"/>
        <v>-288.78138802576592</v>
      </c>
      <c r="G58">
        <f t="shared" si="2"/>
        <v>1042.5809206414294</v>
      </c>
      <c r="H58">
        <v>782</v>
      </c>
    </row>
    <row r="80" spans="6:15" x14ac:dyDescent="0.25">
      <c r="F80" t="s">
        <v>89</v>
      </c>
      <c r="G80" t="s">
        <v>88</v>
      </c>
      <c r="H80" t="s">
        <v>86</v>
      </c>
      <c r="I80" t="s">
        <v>87</v>
      </c>
      <c r="K80" s="44" t="s">
        <v>90</v>
      </c>
      <c r="L80" s="44"/>
      <c r="N80" s="44" t="s">
        <v>91</v>
      </c>
      <c r="O80" s="44"/>
    </row>
    <row r="81" spans="3:15" x14ac:dyDescent="0.25">
      <c r="F81">
        <v>19</v>
      </c>
      <c r="G81">
        <v>26</v>
      </c>
      <c r="H81">
        <v>1018.5</v>
      </c>
      <c r="I81">
        <f>H81*(1-0.0065*F81/(G81+0.0065*F81+273.15))^
5.257</f>
        <v>1016.2924210621885</v>
      </c>
      <c r="J81">
        <f>I81*100*0.00750061683</f>
        <v>762.28200376204973</v>
      </c>
      <c r="K81">
        <v>762</v>
      </c>
      <c r="L81">
        <v>766</v>
      </c>
      <c r="N81">
        <v>1018.5</v>
      </c>
      <c r="O81">
        <v>1024.0999999999999</v>
      </c>
    </row>
    <row r="84" spans="3:15" x14ac:dyDescent="0.25">
      <c r="C84" t="s">
        <v>89</v>
      </c>
      <c r="D84" t="s">
        <v>88</v>
      </c>
      <c r="E84" s="44" t="s">
        <v>86</v>
      </c>
      <c r="F84" s="44"/>
      <c r="G84" s="57" t="s">
        <v>92</v>
      </c>
      <c r="H84" s="41"/>
      <c r="I84" s="41"/>
      <c r="J84" s="58"/>
      <c r="K84" s="44" t="s">
        <v>92</v>
      </c>
      <c r="L84" s="44"/>
      <c r="N84" s="44" t="s">
        <v>91</v>
      </c>
      <c r="O84" s="44"/>
    </row>
    <row r="85" spans="3:15" x14ac:dyDescent="0.25">
      <c r="C85">
        <v>19</v>
      </c>
      <c r="D85">
        <v>26</v>
      </c>
      <c r="E85">
        <v>1018.5</v>
      </c>
      <c r="F85">
        <v>1024.0999999999999</v>
      </c>
      <c r="G85" s="14">
        <f>E85*(1-0.0065*$C$85/(D85+0.0065*$C$85+273.15))^
5.257</f>
        <v>1016.2924210621885</v>
      </c>
      <c r="H85" s="12">
        <f>G85*100*0.00750061683</f>
        <v>762.28200376204973</v>
      </c>
      <c r="I85" s="12">
        <f>F85*(1-0.0065*$C$85/(D85+0.0065*$C$85+273.15))^
5.257</f>
        <v>1021.8802831711214</v>
      </c>
      <c r="J85" s="13">
        <f>I85*100*0.00750061683</f>
        <v>766.47324501984792</v>
      </c>
      <c r="K85">
        <v>762</v>
      </c>
      <c r="L85">
        <v>766</v>
      </c>
      <c r="N85">
        <v>1018.5</v>
      </c>
      <c r="O85">
        <v>1024.0999999999999</v>
      </c>
    </row>
    <row r="86" spans="3:15" x14ac:dyDescent="0.25">
      <c r="C86">
        <v>19</v>
      </c>
      <c r="D86">
        <v>17</v>
      </c>
      <c r="E86">
        <v>1018.5</v>
      </c>
      <c r="F86">
        <v>1024.0999999999999</v>
      </c>
      <c r="G86" s="14">
        <f t="shared" ref="G86:G107" si="4">E86*(1-0.0065*$C$85/(D86+0.0065*$C$85+273.15))^
5.257</f>
        <v>1016.2240365266009</v>
      </c>
      <c r="H86" s="12">
        <f t="shared" ref="H86:H107" si="5">G86*100*0.00750061683</f>
        <v>762.23071114219579</v>
      </c>
      <c r="I86" s="12">
        <f t="shared" ref="I86:I107" si="6">F86*(1-0.0065*$C$85/(D86+0.0065*$C$85+273.15))^
5.257</f>
        <v>1021.8115226380872</v>
      </c>
      <c r="J86" s="13">
        <f t="shared" ref="J86:J107" si="7">I86*100*0.00750061683</f>
        <v>766.42167037871627</v>
      </c>
    </row>
    <row r="87" spans="3:15" x14ac:dyDescent="0.25">
      <c r="C87">
        <v>19</v>
      </c>
      <c r="D87">
        <v>18</v>
      </c>
      <c r="E87">
        <v>1018.5</v>
      </c>
      <c r="F87">
        <v>1024.0999999999999</v>
      </c>
      <c r="G87" s="14">
        <f t="shared" si="4"/>
        <v>1016.2318433112431</v>
      </c>
      <c r="H87" s="12">
        <f t="shared" si="5"/>
        <v>762.23656671222329</v>
      </c>
      <c r="I87" s="12">
        <f t="shared" si="6"/>
        <v>1021.8193723466313</v>
      </c>
      <c r="J87" s="13">
        <f t="shared" si="7"/>
        <v>766.42755814431791</v>
      </c>
    </row>
    <row r="88" spans="3:15" x14ac:dyDescent="0.25">
      <c r="C88">
        <v>19</v>
      </c>
      <c r="D88">
        <v>19</v>
      </c>
      <c r="E88">
        <v>1018.5</v>
      </c>
      <c r="F88">
        <v>1024.0999999999999</v>
      </c>
      <c r="G88" s="14">
        <f t="shared" si="4"/>
        <v>1016.2395967228621</v>
      </c>
      <c r="H88" s="12">
        <f t="shared" si="5"/>
        <v>762.24238224919122</v>
      </c>
      <c r="I88" s="12">
        <f t="shared" si="6"/>
        <v>1021.8271683886921</v>
      </c>
      <c r="J88" s="13">
        <f t="shared" si="7"/>
        <v>766.4334056567468</v>
      </c>
    </row>
    <row r="89" spans="3:15" x14ac:dyDescent="0.25">
      <c r="C89">
        <v>19</v>
      </c>
      <c r="D89">
        <v>20</v>
      </c>
      <c r="E89">
        <v>1018.5</v>
      </c>
      <c r="F89">
        <v>1024.0999999999999</v>
      </c>
      <c r="G89" s="14">
        <f t="shared" si="4"/>
        <v>1016.2472973069387</v>
      </c>
      <c r="H89" s="12">
        <f t="shared" si="5"/>
        <v>762.24815816224384</v>
      </c>
      <c r="I89" s="12">
        <f t="shared" si="6"/>
        <v>1021.8349113127499</v>
      </c>
      <c r="J89" s="13">
        <f t="shared" si="7"/>
        <v>766.43921332739694</v>
      </c>
    </row>
    <row r="90" spans="3:15" x14ac:dyDescent="0.25">
      <c r="C90">
        <v>19</v>
      </c>
      <c r="D90">
        <v>21</v>
      </c>
      <c r="E90">
        <v>1018.5</v>
      </c>
      <c r="F90">
        <v>1024.0999999999999</v>
      </c>
      <c r="G90" s="14">
        <f t="shared" si="4"/>
        <v>1016.2549456015474</v>
      </c>
      <c r="H90" s="12">
        <f t="shared" si="5"/>
        <v>762.2538948549701</v>
      </c>
      <c r="I90" s="12">
        <f t="shared" si="6"/>
        <v>1021.8426016598377</v>
      </c>
      <c r="J90" s="13">
        <f t="shared" si="7"/>
        <v>766.44498156207646</v>
      </c>
    </row>
    <row r="91" spans="3:15" x14ac:dyDescent="0.25">
      <c r="C91">
        <v>19</v>
      </c>
      <c r="D91">
        <v>22</v>
      </c>
      <c r="E91">
        <v>1018.5</v>
      </c>
      <c r="F91">
        <v>1024.0999999999999</v>
      </c>
      <c r="G91" s="14">
        <f t="shared" si="4"/>
        <v>1016.2625421374802</v>
      </c>
      <c r="H91" s="12">
        <f t="shared" si="5"/>
        <v>762.25959272549687</v>
      </c>
      <c r="I91" s="12">
        <f t="shared" si="6"/>
        <v>1021.8502399636656</v>
      </c>
      <c r="J91" s="13">
        <f t="shared" si="7"/>
        <v>766.45071076110082</v>
      </c>
    </row>
    <row r="92" spans="3:15" x14ac:dyDescent="0.25">
      <c r="C92">
        <v>19</v>
      </c>
      <c r="D92">
        <v>23</v>
      </c>
      <c r="E92">
        <v>1018.5</v>
      </c>
      <c r="F92">
        <v>1024.0999999999999</v>
      </c>
      <c r="G92" s="14">
        <f t="shared" si="4"/>
        <v>1016.2700874383683</v>
      </c>
      <c r="H92" s="12">
        <f t="shared" si="5"/>
        <v>762.26525216657967</v>
      </c>
      <c r="I92" s="12">
        <f t="shared" si="6"/>
        <v>1021.857826750744</v>
      </c>
      <c r="J92" s="13">
        <f t="shared" si="7"/>
        <v>766.45640131938546</v>
      </c>
    </row>
    <row r="93" spans="3:15" x14ac:dyDescent="0.25">
      <c r="C93">
        <v>19</v>
      </c>
      <c r="D93">
        <v>24</v>
      </c>
      <c r="E93">
        <v>1018.5</v>
      </c>
      <c r="F93">
        <v>1024.0999999999999</v>
      </c>
      <c r="G93" s="14">
        <f t="shared" si="4"/>
        <v>1016.2775820208027</v>
      </c>
      <c r="H93" s="12">
        <f t="shared" si="5"/>
        <v>762.27087356569382</v>
      </c>
      <c r="I93" s="12">
        <f t="shared" si="6"/>
        <v>1021.8653625405046</v>
      </c>
      <c r="J93" s="13">
        <f t="shared" si="7"/>
        <v>766.46205362653598</v>
      </c>
    </row>
    <row r="94" spans="3:15" x14ac:dyDescent="0.25">
      <c r="C94">
        <v>19</v>
      </c>
      <c r="D94">
        <v>25</v>
      </c>
      <c r="E94">
        <v>1018.5</v>
      </c>
      <c r="F94">
        <v>1024.0999999999999</v>
      </c>
      <c r="G94" s="14">
        <f t="shared" si="4"/>
        <v>1016.285026394455</v>
      </c>
      <c r="H94" s="12">
        <f t="shared" si="5"/>
        <v>762.27645730512438</v>
      </c>
      <c r="I94" s="12">
        <f t="shared" si="6"/>
        <v>1021.872847845421</v>
      </c>
      <c r="J94" s="13">
        <f t="shared" si="7"/>
        <v>766.4676680669395</v>
      </c>
    </row>
    <row r="95" spans="3:15" x14ac:dyDescent="0.25">
      <c r="C95">
        <v>19</v>
      </c>
      <c r="D95">
        <v>26</v>
      </c>
      <c r="E95">
        <v>1018.5</v>
      </c>
      <c r="F95">
        <v>1024.0999999999999</v>
      </c>
      <c r="G95" s="14">
        <f t="shared" si="4"/>
        <v>1016.2924210621885</v>
      </c>
      <c r="H95" s="12">
        <f t="shared" si="5"/>
        <v>762.28200376204973</v>
      </c>
      <c r="I95" s="12">
        <f t="shared" si="6"/>
        <v>1021.8802831711214</v>
      </c>
      <c r="J95" s="13">
        <f t="shared" si="7"/>
        <v>766.47324501984792</v>
      </c>
    </row>
    <row r="96" spans="3:15" x14ac:dyDescent="0.25">
      <c r="C96">
        <v>19</v>
      </c>
      <c r="D96">
        <v>27</v>
      </c>
      <c r="E96">
        <v>1018.5</v>
      </c>
      <c r="F96">
        <v>1024.0999999999999</v>
      </c>
      <c r="G96" s="14">
        <f t="shared" si="4"/>
        <v>1016.299766520175</v>
      </c>
      <c r="H96" s="12">
        <f t="shared" si="5"/>
        <v>762.28751330862951</v>
      </c>
      <c r="I96" s="12">
        <f t="shared" si="6"/>
        <v>1021.8876690165057</v>
      </c>
      <c r="J96" s="13">
        <f t="shared" si="7"/>
        <v>766.47878485946717</v>
      </c>
    </row>
    <row r="97" spans="3:10" x14ac:dyDescent="0.25">
      <c r="C97">
        <v>19</v>
      </c>
      <c r="D97">
        <v>28</v>
      </c>
      <c r="E97">
        <v>1018.5</v>
      </c>
      <c r="F97">
        <v>1024.0999999999999</v>
      </c>
      <c r="G97" s="14">
        <f t="shared" si="4"/>
        <v>1016.3070632580038</v>
      </c>
      <c r="H97" s="12">
        <f t="shared" si="5"/>
        <v>762.29298631208587</v>
      </c>
      <c r="I97" s="12">
        <f t="shared" si="6"/>
        <v>1021.8950058738553</v>
      </c>
      <c r="J97" s="13">
        <f t="shared" si="7"/>
        <v>766.48428795503878</v>
      </c>
    </row>
    <row r="98" spans="3:10" x14ac:dyDescent="0.25">
      <c r="C98">
        <v>19</v>
      </c>
      <c r="D98">
        <v>29</v>
      </c>
      <c r="E98">
        <v>1018.5</v>
      </c>
      <c r="F98">
        <v>1024.0999999999999</v>
      </c>
      <c r="G98" s="14">
        <f t="shared" si="4"/>
        <v>1016.3143117587916</v>
      </c>
      <c r="H98" s="12">
        <f t="shared" si="5"/>
        <v>762.29842313478593</v>
      </c>
      <c r="I98" s="12">
        <f t="shared" si="6"/>
        <v>1021.9022942289429</v>
      </c>
      <c r="J98" s="13">
        <f t="shared" si="7"/>
        <v>766.48975467092214</v>
      </c>
    </row>
    <row r="99" spans="3:10" x14ac:dyDescent="0.25">
      <c r="C99">
        <v>19</v>
      </c>
      <c r="D99">
        <v>30</v>
      </c>
      <c r="E99">
        <v>1018.5</v>
      </c>
      <c r="F99">
        <v>1024.0999999999999</v>
      </c>
      <c r="G99" s="14">
        <f t="shared" si="4"/>
        <v>1016.3215124992878</v>
      </c>
      <c r="H99" s="12">
        <f t="shared" si="5"/>
        <v>762.3038241343213</v>
      </c>
      <c r="I99" s="12">
        <f t="shared" si="6"/>
        <v>1021.9095345611395</v>
      </c>
      <c r="J99" s="13">
        <f t="shared" si="7"/>
        <v>766.49518536667495</v>
      </c>
    </row>
    <row r="100" spans="3:10" x14ac:dyDescent="0.25">
      <c r="C100">
        <v>19</v>
      </c>
      <c r="D100">
        <v>31</v>
      </c>
      <c r="E100">
        <v>1018.5</v>
      </c>
      <c r="F100">
        <v>1024.0999999999999</v>
      </c>
      <c r="G100" s="14">
        <f t="shared" si="4"/>
        <v>1016.3286659499802</v>
      </c>
      <c r="H100" s="12">
        <f t="shared" si="5"/>
        <v>762.30918966358695</v>
      </c>
      <c r="I100" s="12">
        <f t="shared" si="6"/>
        <v>1021.9167273435195</v>
      </c>
      <c r="J100" s="13">
        <f t="shared" si="7"/>
        <v>766.50058039713235</v>
      </c>
    </row>
    <row r="101" spans="3:10" x14ac:dyDescent="0.25">
      <c r="C101">
        <v>19</v>
      </c>
      <c r="D101">
        <v>32</v>
      </c>
      <c r="E101">
        <v>1018.5</v>
      </c>
      <c r="F101">
        <v>1024.0999999999999</v>
      </c>
      <c r="G101" s="14">
        <f t="shared" si="4"/>
        <v>1016.3357725751973</v>
      </c>
      <c r="H101" s="12">
        <f t="shared" si="5"/>
        <v>762.31452007085772</v>
      </c>
      <c r="I101" s="12">
        <f t="shared" si="6"/>
        <v>1021.9238730429646</v>
      </c>
      <c r="J101" s="13">
        <f t="shared" si="7"/>
        <v>766.50594011248438</v>
      </c>
    </row>
    <row r="102" spans="3:10" x14ac:dyDescent="0.25">
      <c r="C102">
        <v>19</v>
      </c>
      <c r="D102">
        <v>33</v>
      </c>
      <c r="E102">
        <v>1018.5</v>
      </c>
      <c r="F102">
        <v>1024.0999999999999</v>
      </c>
      <c r="G102" s="14">
        <f t="shared" si="4"/>
        <v>1016.3428328332083</v>
      </c>
      <c r="H102" s="12">
        <f t="shared" si="5"/>
        <v>762.31981569986385</v>
      </c>
      <c r="I102" s="12">
        <f t="shared" si="6"/>
        <v>1021.9309721202636</v>
      </c>
      <c r="J102" s="13">
        <f t="shared" si="7"/>
        <v>766.51126485835096</v>
      </c>
    </row>
    <row r="103" spans="3:10" x14ac:dyDescent="0.25">
      <c r="C103">
        <v>19</v>
      </c>
      <c r="D103">
        <v>34</v>
      </c>
      <c r="E103">
        <v>1018.5</v>
      </c>
      <c r="F103">
        <v>1024.0999999999999</v>
      </c>
      <c r="G103" s="14">
        <f t="shared" si="4"/>
        <v>1016.3498471763227</v>
      </c>
      <c r="H103" s="12">
        <f t="shared" si="5"/>
        <v>762.32507688986539</v>
      </c>
      <c r="I103" s="12">
        <f t="shared" si="6"/>
        <v>1021.938025030213</v>
      </c>
      <c r="J103" s="13">
        <f t="shared" si="7"/>
        <v>766.51655497585773</v>
      </c>
    </row>
    <row r="104" spans="3:10" x14ac:dyDescent="0.25">
      <c r="C104">
        <v>19</v>
      </c>
      <c r="D104">
        <v>35</v>
      </c>
      <c r="E104">
        <v>1018.5</v>
      </c>
      <c r="F104">
        <v>1024.0999999999999</v>
      </c>
      <c r="G104" s="14">
        <f t="shared" si="4"/>
        <v>1016.3568160509842</v>
      </c>
      <c r="H104" s="12">
        <f t="shared" si="5"/>
        <v>762.33030397572259</v>
      </c>
      <c r="I104" s="12">
        <f t="shared" si="6"/>
        <v>1021.9450322217112</v>
      </c>
      <c r="J104" s="13">
        <f t="shared" si="7"/>
        <v>766.52181080170601</v>
      </c>
    </row>
    <row r="105" spans="3:10" x14ac:dyDescent="0.25">
      <c r="C105">
        <v>19</v>
      </c>
      <c r="D105">
        <v>36</v>
      </c>
      <c r="E105">
        <v>1018.5</v>
      </c>
      <c r="F105">
        <v>1024.0999999999999</v>
      </c>
      <c r="G105" s="14">
        <f t="shared" si="4"/>
        <v>1016.3637398978697</v>
      </c>
      <c r="H105" s="12">
        <f t="shared" si="5"/>
        <v>762.33549728797038</v>
      </c>
      <c r="I105" s="12">
        <f t="shared" si="6"/>
        <v>1021.9519941378578</v>
      </c>
      <c r="J105" s="13">
        <f t="shared" si="7"/>
        <v>766.52703266824778</v>
      </c>
    </row>
    <row r="106" spans="3:10" x14ac:dyDescent="0.25">
      <c r="C106">
        <v>19</v>
      </c>
      <c r="D106">
        <v>37</v>
      </c>
      <c r="E106">
        <v>1018.5</v>
      </c>
      <c r="F106">
        <v>1024.0999999999999</v>
      </c>
      <c r="G106" s="14">
        <f t="shared" si="4"/>
        <v>1016.3706191519778</v>
      </c>
      <c r="H106" s="12">
        <f t="shared" si="5"/>
        <v>762.34065715288455</v>
      </c>
      <c r="I106" s="12">
        <f t="shared" si="6"/>
        <v>1021.9589112160436</v>
      </c>
      <c r="J106" s="13">
        <f t="shared" si="7"/>
        <v>766.53222090355325</v>
      </c>
    </row>
    <row r="107" spans="3:10" x14ac:dyDescent="0.25">
      <c r="C107">
        <v>19</v>
      </c>
      <c r="D107">
        <v>38</v>
      </c>
      <c r="E107">
        <v>1018.5</v>
      </c>
      <c r="F107">
        <v>1024.0999999999999</v>
      </c>
      <c r="G107" s="14">
        <f t="shared" si="4"/>
        <v>1016.3774542427233</v>
      </c>
      <c r="H107" s="12">
        <f t="shared" si="5"/>
        <v>762.3457838925525</v>
      </c>
      <c r="I107" s="12">
        <f t="shared" si="6"/>
        <v>1021.965783888044</v>
      </c>
      <c r="J107" s="13">
        <f t="shared" si="7"/>
        <v>766.53737583148063</v>
      </c>
    </row>
  </sheetData>
  <mergeCells count="8">
    <mergeCell ref="E84:F84"/>
    <mergeCell ref="J11:K11"/>
    <mergeCell ref="M11:N11"/>
    <mergeCell ref="K80:L80"/>
    <mergeCell ref="N80:O80"/>
    <mergeCell ref="K84:L84"/>
    <mergeCell ref="N84:O84"/>
    <mergeCell ref="G84:J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5"/>
  <sheetViews>
    <sheetView topLeftCell="E40" workbookViewId="0">
      <selection activeCell="U51" sqref="U51"/>
    </sheetView>
  </sheetViews>
  <sheetFormatPr defaultRowHeight="15" x14ac:dyDescent="0.25"/>
  <sheetData>
    <row r="2" spans="1:18" x14ac:dyDescent="0.25">
      <c r="A2" s="59" t="s">
        <v>101</v>
      </c>
      <c r="B2" s="59"/>
      <c r="C2" s="59"/>
      <c r="D2" s="59"/>
      <c r="E2" s="59"/>
      <c r="F2" s="59"/>
      <c r="G2" s="59"/>
      <c r="H2" s="59"/>
      <c r="I2" s="59"/>
      <c r="J2" s="59"/>
      <c r="K2" s="59"/>
      <c r="L2" s="59"/>
      <c r="M2" s="59"/>
      <c r="O2" s="40" t="s">
        <v>104</v>
      </c>
      <c r="P2" s="40"/>
    </row>
    <row r="3" spans="1:18" x14ac:dyDescent="0.25">
      <c r="A3" s="59"/>
      <c r="B3" s="59"/>
      <c r="C3" s="59"/>
      <c r="D3" s="59"/>
      <c r="E3" s="59"/>
      <c r="F3" s="59"/>
      <c r="G3" s="59"/>
      <c r="H3" s="59"/>
      <c r="I3" s="59"/>
      <c r="J3" s="59"/>
      <c r="K3" s="59"/>
      <c r="L3" s="59"/>
      <c r="M3" s="59"/>
      <c r="O3" s="40"/>
      <c r="P3" s="40"/>
    </row>
    <row r="4" spans="1:18" x14ac:dyDescent="0.25">
      <c r="A4" t="s">
        <v>98</v>
      </c>
      <c r="B4" t="s">
        <v>97</v>
      </c>
      <c r="O4" s="40"/>
      <c r="P4" s="40"/>
    </row>
    <row r="6" spans="1:18" x14ac:dyDescent="0.25">
      <c r="N6" t="s">
        <v>100</v>
      </c>
      <c r="O6" t="s">
        <v>99</v>
      </c>
      <c r="P6" t="s">
        <v>102</v>
      </c>
      <c r="Q6" t="s">
        <v>103</v>
      </c>
    </row>
    <row r="7" spans="1:18" x14ac:dyDescent="0.25">
      <c r="N7" s="2">
        <v>0.74930555555555556</v>
      </c>
      <c r="O7">
        <v>778</v>
      </c>
      <c r="P7">
        <v>30</v>
      </c>
      <c r="Q7">
        <v>30</v>
      </c>
      <c r="R7">
        <v>29</v>
      </c>
    </row>
    <row r="8" spans="1:18" x14ac:dyDescent="0.25">
      <c r="O8">
        <v>764</v>
      </c>
      <c r="P8">
        <v>26</v>
      </c>
    </row>
    <row r="9" spans="1:18" x14ac:dyDescent="0.25">
      <c r="N9" s="2">
        <v>0.7597222222222223</v>
      </c>
      <c r="O9">
        <v>782</v>
      </c>
      <c r="P9">
        <v>33</v>
      </c>
      <c r="R9">
        <v>33</v>
      </c>
    </row>
    <row r="10" spans="1:18" x14ac:dyDescent="0.25">
      <c r="N10" s="2">
        <v>0.7944444444444444</v>
      </c>
      <c r="O10">
        <v>778</v>
      </c>
      <c r="P10">
        <v>29</v>
      </c>
    </row>
    <row r="11" spans="1:18" x14ac:dyDescent="0.25">
      <c r="N11" s="2">
        <v>0.81111111111111101</v>
      </c>
      <c r="O11">
        <v>774</v>
      </c>
      <c r="P11">
        <v>28</v>
      </c>
      <c r="Q11">
        <v>29</v>
      </c>
    </row>
    <row r="12" spans="1:18" x14ac:dyDescent="0.25">
      <c r="N12" s="2">
        <v>0.89097222222222217</v>
      </c>
      <c r="O12">
        <v>771</v>
      </c>
      <c r="P12">
        <v>27</v>
      </c>
      <c r="Q12">
        <v>28</v>
      </c>
    </row>
    <row r="13" spans="1:18" x14ac:dyDescent="0.25">
      <c r="N13" s="2">
        <v>0.92222222222222217</v>
      </c>
      <c r="O13">
        <v>772</v>
      </c>
      <c r="P13">
        <v>27</v>
      </c>
      <c r="Q13">
        <v>27</v>
      </c>
    </row>
    <row r="14" spans="1:18" x14ac:dyDescent="0.25">
      <c r="N14" s="2">
        <v>0.94444444444444453</v>
      </c>
      <c r="O14">
        <v>768</v>
      </c>
      <c r="P14">
        <v>27</v>
      </c>
      <c r="Q14">
        <v>27</v>
      </c>
    </row>
    <row r="32" spans="16:20" x14ac:dyDescent="0.25">
      <c r="P32" s="34"/>
      <c r="Q32" s="29">
        <v>764</v>
      </c>
      <c r="R32" s="29">
        <v>26</v>
      </c>
      <c r="S32" s="29">
        <f>R32+273</f>
        <v>299</v>
      </c>
      <c r="T32" s="30"/>
    </row>
    <row r="33" spans="16:24" x14ac:dyDescent="0.25">
      <c r="P33" s="14">
        <f>Q33/$Q$32</f>
        <v>1.0052356020942408</v>
      </c>
      <c r="Q33" s="12">
        <v>768</v>
      </c>
      <c r="R33" s="12">
        <v>27</v>
      </c>
      <c r="S33" s="12">
        <f>R33+273</f>
        <v>300</v>
      </c>
      <c r="T33" s="13">
        <f>S33/$S$32</f>
        <v>1.0033444816053512</v>
      </c>
    </row>
    <row r="34" spans="16:24" x14ac:dyDescent="0.25">
      <c r="P34" s="35">
        <f>Q34/$Q$32</f>
        <v>1.0091623036649215</v>
      </c>
      <c r="Q34" s="36">
        <v>771</v>
      </c>
      <c r="R34" s="36">
        <v>28</v>
      </c>
      <c r="S34" s="36">
        <f t="shared" ref="S34:S37" si="0">R34+273</f>
        <v>301</v>
      </c>
      <c r="T34" s="37">
        <f>S34/$S$32</f>
        <v>1.0066889632107023</v>
      </c>
    </row>
    <row r="35" spans="16:24" x14ac:dyDescent="0.25">
      <c r="P35" s="14">
        <f t="shared" ref="P35:P37" si="1">Q35/$Q$32</f>
        <v>1.0130890052356021</v>
      </c>
      <c r="Q35" s="12">
        <v>774</v>
      </c>
      <c r="R35" s="12">
        <v>29</v>
      </c>
      <c r="S35" s="12">
        <f t="shared" si="0"/>
        <v>302</v>
      </c>
      <c r="T35" s="13">
        <f t="shared" ref="T35:T37" si="2">S35/$S$32</f>
        <v>1.0100334448160535</v>
      </c>
    </row>
    <row r="36" spans="16:24" x14ac:dyDescent="0.25">
      <c r="P36" s="14">
        <f t="shared" si="1"/>
        <v>1.0183246073298429</v>
      </c>
      <c r="Q36" s="12">
        <v>778</v>
      </c>
      <c r="R36" s="12">
        <v>30</v>
      </c>
      <c r="S36" s="12">
        <f t="shared" si="0"/>
        <v>303</v>
      </c>
      <c r="T36" s="13">
        <f t="shared" si="2"/>
        <v>1.0133779264214047</v>
      </c>
    </row>
    <row r="37" spans="16:24" x14ac:dyDescent="0.25">
      <c r="P37" s="15">
        <f t="shared" si="1"/>
        <v>1.0235602094240839</v>
      </c>
      <c r="Q37" s="16">
        <v>782</v>
      </c>
      <c r="R37" s="16">
        <v>33</v>
      </c>
      <c r="S37" s="16">
        <f t="shared" si="0"/>
        <v>306</v>
      </c>
      <c r="T37" s="38">
        <f t="shared" si="2"/>
        <v>1.0234113712374582</v>
      </c>
    </row>
    <row r="40" spans="16:24" x14ac:dyDescent="0.25">
      <c r="R40" s="34"/>
      <c r="S40" s="29">
        <v>764</v>
      </c>
      <c r="T40" s="29">
        <v>26</v>
      </c>
      <c r="U40" s="29">
        <f>T40+273</f>
        <v>299</v>
      </c>
      <c r="V40" s="30"/>
    </row>
    <row r="41" spans="16:24" x14ac:dyDescent="0.25">
      <c r="R41" s="14">
        <f>S41/$Q$32</f>
        <v>1.0052356020942408</v>
      </c>
      <c r="S41" s="12">
        <v>768</v>
      </c>
      <c r="T41" s="12">
        <v>27</v>
      </c>
      <c r="U41" s="12">
        <f>T41+273</f>
        <v>300</v>
      </c>
      <c r="V41" s="13">
        <f>U41/$S$32</f>
        <v>1.0033444816053512</v>
      </c>
    </row>
    <row r="42" spans="16:24" x14ac:dyDescent="0.25">
      <c r="R42" s="35">
        <f>S42/$Q$32</f>
        <v>1.0091623036649215</v>
      </c>
      <c r="S42" s="36">
        <v>771</v>
      </c>
      <c r="T42" s="36">
        <v>28</v>
      </c>
      <c r="U42" s="36">
        <f t="shared" ref="U42:U45" si="3">T42+273</f>
        <v>301</v>
      </c>
      <c r="V42" s="37">
        <f>U42/$S$32</f>
        <v>1.0066889632107023</v>
      </c>
    </row>
    <row r="43" spans="16:24" x14ac:dyDescent="0.25">
      <c r="Q43">
        <f>S43/$S$42</f>
        <v>1.0038910505836576</v>
      </c>
      <c r="R43" s="14">
        <f t="shared" ref="R43:R45" si="4">S43/$Q$32</f>
        <v>1.0130890052356021</v>
      </c>
      <c r="S43" s="12">
        <v>774</v>
      </c>
      <c r="T43" s="12">
        <v>29</v>
      </c>
      <c r="U43" s="12">
        <f t="shared" si="3"/>
        <v>302</v>
      </c>
      <c r="V43" s="13">
        <f t="shared" ref="V43:V45" si="5">U43/$S$32</f>
        <v>1.0100334448160535</v>
      </c>
      <c r="W43">
        <f>U43/$U$42</f>
        <v>1.0033222591362125</v>
      </c>
    </row>
    <row r="44" spans="16:24" x14ac:dyDescent="0.25">
      <c r="P44">
        <f>S44/$S$43</f>
        <v>1.0051679586563307</v>
      </c>
      <c r="Q44">
        <f t="shared" ref="Q44:Q45" si="6">S44/$S$42</f>
        <v>1.0090791180285343</v>
      </c>
      <c r="R44" s="14">
        <f t="shared" si="4"/>
        <v>1.0183246073298429</v>
      </c>
      <c r="S44" s="12">
        <v>778</v>
      </c>
      <c r="T44" s="12">
        <v>30</v>
      </c>
      <c r="U44" s="12">
        <f t="shared" si="3"/>
        <v>303</v>
      </c>
      <c r="V44" s="13">
        <f t="shared" si="5"/>
        <v>1.0133779264214047</v>
      </c>
      <c r="W44">
        <f t="shared" ref="W44:W45" si="7">U44/$U$42</f>
        <v>1.0066445182724253</v>
      </c>
      <c r="X44">
        <f>U44/$U$43</f>
        <v>1.0033112582781456</v>
      </c>
    </row>
    <row r="45" spans="16:24" x14ac:dyDescent="0.25">
      <c r="P45">
        <f>S45/$S$43</f>
        <v>1.0103359173126616</v>
      </c>
      <c r="Q45">
        <f t="shared" si="6"/>
        <v>1.0142671854734111</v>
      </c>
      <c r="R45" s="15">
        <f t="shared" si="4"/>
        <v>1.0235602094240839</v>
      </c>
      <c r="S45" s="16">
        <v>782</v>
      </c>
      <c r="T45" s="16">
        <v>33</v>
      </c>
      <c r="U45" s="16">
        <f t="shared" si="3"/>
        <v>306</v>
      </c>
      <c r="V45" s="38">
        <f t="shared" si="5"/>
        <v>1.0234113712374582</v>
      </c>
      <c r="W45">
        <f t="shared" si="7"/>
        <v>1.0166112956810631</v>
      </c>
      <c r="X45">
        <f>U45/$U$43</f>
        <v>1.0132450331125828</v>
      </c>
    </row>
    <row r="47" spans="16:24" x14ac:dyDescent="0.25">
      <c r="P47" s="60" t="s">
        <v>107</v>
      </c>
      <c r="Q47" s="60"/>
      <c r="R47" s="60"/>
      <c r="S47" s="60"/>
      <c r="T47" s="60"/>
      <c r="U47" s="60"/>
      <c r="V47" s="60"/>
      <c r="W47" s="60"/>
      <c r="X47" s="60"/>
    </row>
    <row r="48" spans="16:24" x14ac:dyDescent="0.25">
      <c r="P48" s="60"/>
      <c r="Q48" s="60"/>
      <c r="R48" s="60"/>
      <c r="S48" s="60"/>
      <c r="T48" s="60"/>
      <c r="U48" s="60"/>
      <c r="V48" s="60"/>
      <c r="W48" s="60"/>
      <c r="X48" s="60"/>
    </row>
    <row r="50" spans="18:22" x14ac:dyDescent="0.25">
      <c r="S50">
        <v>669</v>
      </c>
      <c r="T50">
        <f>U50-273</f>
        <v>-11.179319371727729</v>
      </c>
      <c r="U50">
        <f>U51*S50/S51</f>
        <v>261.82068062827227</v>
      </c>
    </row>
    <row r="51" spans="18:22" x14ac:dyDescent="0.25">
      <c r="R51" s="34"/>
      <c r="S51" s="29">
        <v>764</v>
      </c>
      <c r="T51" s="29">
        <v>26</v>
      </c>
      <c r="U51" s="29">
        <f>T51+273</f>
        <v>299</v>
      </c>
      <c r="V51" s="30"/>
    </row>
    <row r="52" spans="18:22" x14ac:dyDescent="0.25">
      <c r="R52" s="14">
        <f>S52/$Q$32</f>
        <v>1.0052356020942408</v>
      </c>
      <c r="S52" s="12">
        <v>768</v>
      </c>
      <c r="T52" s="12">
        <v>27</v>
      </c>
      <c r="U52" s="12">
        <f>T52+273</f>
        <v>300</v>
      </c>
      <c r="V52" s="13">
        <f>U52/$S$32</f>
        <v>1.0033444816053512</v>
      </c>
    </row>
    <row r="53" spans="18:22" x14ac:dyDescent="0.25">
      <c r="R53" s="35">
        <f>S53/$Q$32</f>
        <v>1.0091623036649215</v>
      </c>
      <c r="S53" s="36">
        <v>771</v>
      </c>
      <c r="T53" s="36">
        <v>28</v>
      </c>
      <c r="U53" s="36">
        <f t="shared" ref="U53:U56" si="8">T53+273</f>
        <v>301</v>
      </c>
      <c r="V53" s="37">
        <f>U53/$S$32</f>
        <v>1.0066889632107023</v>
      </c>
    </row>
    <row r="54" spans="18:22" x14ac:dyDescent="0.25">
      <c r="R54" s="14">
        <f t="shared" ref="R54:R56" si="9">S54/$Q$32</f>
        <v>1.0130890052356021</v>
      </c>
      <c r="S54" s="12">
        <v>774</v>
      </c>
      <c r="T54" s="12">
        <v>29</v>
      </c>
      <c r="U54" s="12">
        <f t="shared" si="8"/>
        <v>302</v>
      </c>
      <c r="V54" s="13">
        <f t="shared" ref="V54:V56" si="10">U54/$S$32</f>
        <v>1.0100334448160535</v>
      </c>
    </row>
    <row r="55" spans="18:22" x14ac:dyDescent="0.25">
      <c r="R55" s="14">
        <f t="shared" si="9"/>
        <v>1.0183246073298429</v>
      </c>
      <c r="S55" s="12">
        <v>778</v>
      </c>
      <c r="T55" s="12">
        <v>30</v>
      </c>
      <c r="U55" s="12">
        <f t="shared" si="8"/>
        <v>303</v>
      </c>
      <c r="V55" s="13">
        <f t="shared" si="10"/>
        <v>1.0133779264214047</v>
      </c>
    </row>
    <row r="56" spans="18:22" x14ac:dyDescent="0.25">
      <c r="R56" s="15">
        <f t="shared" si="9"/>
        <v>1.0235602094240839</v>
      </c>
      <c r="S56" s="16">
        <v>782</v>
      </c>
      <c r="T56" s="16">
        <v>33</v>
      </c>
      <c r="U56" s="16">
        <f t="shared" si="8"/>
        <v>306</v>
      </c>
      <c r="V56" s="38">
        <f t="shared" si="10"/>
        <v>1.0234113712374582</v>
      </c>
    </row>
    <row r="66" spans="1:14" x14ac:dyDescent="0.25">
      <c r="M66" s="2">
        <v>0.875</v>
      </c>
      <c r="N66">
        <v>27</v>
      </c>
    </row>
    <row r="75" spans="1:14" x14ac:dyDescent="0.25">
      <c r="A75" t="s">
        <v>105</v>
      </c>
      <c r="B75" t="s">
        <v>106</v>
      </c>
    </row>
  </sheetData>
  <mergeCells count="3">
    <mergeCell ref="A2:M3"/>
    <mergeCell ref="O2:P4"/>
    <mergeCell ref="P47:X4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tabSelected="1" topLeftCell="A16" workbookViewId="0">
      <selection activeCell="E25" sqref="E25"/>
    </sheetView>
  </sheetViews>
  <sheetFormatPr defaultRowHeight="15" x14ac:dyDescent="0.25"/>
  <cols>
    <col min="3" max="3" width="10.42578125" style="39" bestFit="1" customWidth="1"/>
    <col min="10" max="10" width="10.42578125" bestFit="1" customWidth="1"/>
  </cols>
  <sheetData>
    <row r="2" spans="2:15" x14ac:dyDescent="0.25">
      <c r="B2" t="s">
        <v>110</v>
      </c>
    </row>
    <row r="3" spans="2:15" x14ac:dyDescent="0.25">
      <c r="B3" t="s">
        <v>108</v>
      </c>
      <c r="C3" s="39">
        <v>42456</v>
      </c>
      <c r="D3">
        <f t="shared" ref="D3:D7" si="0">C4-C3</f>
        <v>364</v>
      </c>
    </row>
    <row r="4" spans="2:15" x14ac:dyDescent="0.25">
      <c r="C4" s="39">
        <v>42820</v>
      </c>
      <c r="D4">
        <f t="shared" si="0"/>
        <v>364</v>
      </c>
    </row>
    <row r="5" spans="2:15" x14ac:dyDescent="0.25">
      <c r="C5" s="39">
        <v>43184</v>
      </c>
      <c r="D5">
        <f t="shared" si="0"/>
        <v>371</v>
      </c>
    </row>
    <row r="6" spans="2:15" x14ac:dyDescent="0.25">
      <c r="C6" s="39">
        <v>43555</v>
      </c>
      <c r="D6">
        <f t="shared" si="0"/>
        <v>364</v>
      </c>
    </row>
    <row r="7" spans="2:15" x14ac:dyDescent="0.25">
      <c r="B7" t="s">
        <v>108</v>
      </c>
      <c r="C7" s="39">
        <v>43919</v>
      </c>
      <c r="D7">
        <f t="shared" si="0"/>
        <v>364</v>
      </c>
    </row>
    <row r="8" spans="2:15" x14ac:dyDescent="0.25">
      <c r="C8" s="39">
        <v>44283</v>
      </c>
      <c r="D8">
        <f>C9-C8</f>
        <v>364</v>
      </c>
    </row>
    <row r="9" spans="2:15" x14ac:dyDescent="0.25">
      <c r="C9" s="39">
        <v>44647</v>
      </c>
      <c r="D9">
        <f>C10-C9</f>
        <v>364</v>
      </c>
    </row>
    <row r="10" spans="2:15" x14ac:dyDescent="0.25">
      <c r="C10" s="39">
        <v>45011</v>
      </c>
      <c r="D10">
        <f>C11-C10</f>
        <v>371</v>
      </c>
    </row>
    <row r="11" spans="2:15" x14ac:dyDescent="0.25">
      <c r="B11" t="s">
        <v>108</v>
      </c>
      <c r="C11" s="39">
        <v>45382</v>
      </c>
      <c r="D11">
        <f t="shared" ref="D11:D15" si="1">C12-C11</f>
        <v>364</v>
      </c>
    </row>
    <row r="12" spans="2:15" x14ac:dyDescent="0.25">
      <c r="C12" s="39">
        <v>45746</v>
      </c>
      <c r="D12">
        <f t="shared" si="1"/>
        <v>364</v>
      </c>
    </row>
    <row r="13" spans="2:15" x14ac:dyDescent="0.25">
      <c r="C13" s="39">
        <v>46110</v>
      </c>
      <c r="D13">
        <f t="shared" si="1"/>
        <v>364</v>
      </c>
    </row>
    <row r="14" spans="2:15" x14ac:dyDescent="0.25">
      <c r="C14" s="39">
        <v>46474</v>
      </c>
      <c r="D14">
        <f t="shared" si="1"/>
        <v>364</v>
      </c>
    </row>
    <row r="15" spans="2:15" x14ac:dyDescent="0.25">
      <c r="B15" t="s">
        <v>108</v>
      </c>
      <c r="C15" s="39">
        <v>46838</v>
      </c>
      <c r="D15">
        <f t="shared" si="1"/>
        <v>364</v>
      </c>
      <c r="J15" s="39">
        <v>44647</v>
      </c>
    </row>
    <row r="16" spans="2:15" x14ac:dyDescent="0.25">
      <c r="C16" s="39">
        <v>47202</v>
      </c>
      <c r="J16">
        <v>6</v>
      </c>
      <c r="K16" s="4"/>
      <c r="N16">
        <v>24</v>
      </c>
      <c r="O16">
        <f>SUM($M$17,N16)</f>
        <v>39</v>
      </c>
    </row>
    <row r="17" spans="2:15" x14ac:dyDescent="0.25">
      <c r="J17">
        <v>0</v>
      </c>
      <c r="M17">
        <v>15</v>
      </c>
      <c r="N17">
        <v>25</v>
      </c>
      <c r="O17">
        <f>SUM($M$17,N17)</f>
        <v>40</v>
      </c>
    </row>
    <row r="18" spans="2:15" x14ac:dyDescent="0.25">
      <c r="J18">
        <v>3</v>
      </c>
      <c r="N18">
        <v>26</v>
      </c>
      <c r="O18">
        <f t="shared" ref="O18:O22" si="2">SUM($M$17,N18)</f>
        <v>41</v>
      </c>
    </row>
    <row r="19" spans="2:15" x14ac:dyDescent="0.25">
      <c r="B19" t="s">
        <v>109</v>
      </c>
      <c r="J19">
        <v>27</v>
      </c>
      <c r="N19">
        <v>27</v>
      </c>
      <c r="O19">
        <f t="shared" si="2"/>
        <v>42</v>
      </c>
    </row>
    <row r="20" spans="2:15" x14ac:dyDescent="0.25">
      <c r="J20">
        <v>6</v>
      </c>
      <c r="N20">
        <v>28</v>
      </c>
      <c r="O20">
        <f t="shared" si="2"/>
        <v>43</v>
      </c>
    </row>
    <row r="21" spans="2:15" x14ac:dyDescent="0.25">
      <c r="J21">
        <f>SUM(J16:J20)</f>
        <v>42</v>
      </c>
      <c r="N21">
        <v>29</v>
      </c>
      <c r="O21">
        <f t="shared" si="2"/>
        <v>44</v>
      </c>
    </row>
    <row r="22" spans="2:15" x14ac:dyDescent="0.25">
      <c r="N22">
        <v>30</v>
      </c>
      <c r="O22">
        <f t="shared" si="2"/>
        <v>45</v>
      </c>
    </row>
    <row r="26" spans="2:15" x14ac:dyDescent="0.25">
      <c r="D26">
        <v>3</v>
      </c>
    </row>
    <row r="28" spans="2:15" x14ac:dyDescent="0.25">
      <c r="D28">
        <v>6</v>
      </c>
      <c r="E28">
        <v>6</v>
      </c>
    </row>
    <row r="29" spans="2:15" x14ac:dyDescent="0.25">
      <c r="D29">
        <v>-1</v>
      </c>
      <c r="E29">
        <v>0</v>
      </c>
    </row>
    <row r="30" spans="2:15" x14ac:dyDescent="0.25">
      <c r="D30">
        <v>4</v>
      </c>
      <c r="E30">
        <v>5</v>
      </c>
    </row>
    <row r="31" spans="2:15" x14ac:dyDescent="0.25">
      <c r="D31">
        <v>10</v>
      </c>
      <c r="E31">
        <v>0</v>
      </c>
    </row>
    <row r="32" spans="2:15" x14ac:dyDescent="0.25">
      <c r="D32">
        <v>30</v>
      </c>
      <c r="E32">
        <v>31</v>
      </c>
    </row>
    <row r="33" spans="4:5" x14ac:dyDescent="0.25">
      <c r="D33">
        <f>SUM(D28:D32)</f>
        <v>49</v>
      </c>
      <c r="E33">
        <f>SUM(E28:E32)</f>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Dự báo mưa</vt:lpstr>
      <vt:lpstr>Dự báo nhiệt độ</vt:lpstr>
      <vt:lpstr>Theo dõi nhiệt độ</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2022-04-04T01:34:23Z</dcterms:created>
  <dcterms:modified xsi:type="dcterms:W3CDTF">2022-04-07T08:11:58Z</dcterms:modified>
</cp:coreProperties>
</file>