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checkCompatibility="1"/>
  <xr:revisionPtr revIDLastSave="0" documentId="8_{78FC8C73-76A9-454B-8EEB-BD50F0F343EA}" xr6:coauthVersionLast="47" xr6:coauthVersionMax="47" xr10:uidLastSave="{00000000-0000-0000-0000-000000000000}"/>
  <bookViews>
    <workbookView xWindow="-108" yWindow="-108" windowWidth="23256" windowHeight="12456" activeTab="5" xr2:uid="{00000000-000D-0000-FFFF-FFFF00000000}"/>
  </bookViews>
  <sheets>
    <sheet name="Input" sheetId="8" r:id="rId1"/>
    <sheet name="Panel Selection " sheetId="10" state="hidden" r:id="rId2"/>
    <sheet name="Veichi Tech" sheetId="7" r:id="rId3"/>
    <sheet name="Climate and DD" sheetId="9" state="hidden" r:id="rId4"/>
    <sheet name="True Hybrid Function" sheetId="11" r:id="rId5"/>
    <sheet name="Irrigation Technical  " sheetId="12" r:id="rId6"/>
  </sheets>
  <externalReferences>
    <externalReference r:id="rId7"/>
  </externalReferences>
  <definedNames>
    <definedName name="_xlcn.WorksheetConnection_IrrigationK28V411" hidden="1">'Irrigation Technical  '!$L$28:$W$41</definedName>
    <definedName name="Botswana">'Climate and DD'!$E$21:$E$23</definedName>
    <definedName name="Countries">'[1]Climate Data'!$B$22:$B$31</definedName>
    <definedName name="Country">'Climate and DD'!$B$21:$B$30</definedName>
    <definedName name="EasternCape">'Climate and DD'!$I$21:$I$23</definedName>
    <definedName name="Gauteng">'Climate and DD'!$L$21:$L$23</definedName>
    <definedName name="Mozambique">'Climate and DD'!$G$21:$G$22</definedName>
    <definedName name="Mpumalanga">'Climate and DD'!$M$21:$M$22</definedName>
    <definedName name="Namibia">'Climate and DD'!$D$21:$D$29</definedName>
    <definedName name="NorthernCape">'Climate and DD'!$J$21:$J$24</definedName>
    <definedName name="Other">'Climate and DD'!$K$21:$K$24</definedName>
    <definedName name="_xlnm.Print_Area" localSheetId="0">Input!$A$1:$H$181</definedName>
    <definedName name="WesternCape">'Climate and DD'!$H$21:$H$23</definedName>
    <definedName name="Zimbabwe">'Climate and DD'!$F$21:$F$22</definedName>
  </definedNames>
  <calcPr calcId="191028"/>
  <extLst>
    <ext xmlns:x14="http://schemas.microsoft.com/office/spreadsheetml/2009/9/main" uri="{79F54976-1DA5-4618-B147-4CDE4B953A38}">
      <x14:workbookPr defaultImageDpi="32767"/>
    </ext>
    <ext xmlns:x15="http://schemas.microsoft.com/office/spreadsheetml/2010/11/main" uri="{FCE2AD5D-F65C-4FA6-A056-5C36A1767C68}">
      <x15:dataModel>
        <x15:modelTables>
          <x15:modelTable id="Range" name="Range" connection="WorksheetConnection_Irrigation !$K$28:$V$4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12" l="1"/>
  <c r="D4" i="12"/>
  <c r="F4" i="12"/>
  <c r="B29" i="12"/>
  <c r="H4" i="12"/>
  <c r="B11" i="12"/>
  <c r="C11" i="12"/>
  <c r="B8" i="12"/>
  <c r="B4" i="12"/>
  <c r="AI63" i="8"/>
  <c r="AI64" i="8"/>
  <c r="AI65" i="8"/>
  <c r="AI66" i="8"/>
  <c r="AI67" i="8"/>
  <c r="AI68" i="8"/>
  <c r="AI69" i="8"/>
  <c r="AI70" i="8"/>
  <c r="AI71" i="8"/>
  <c r="AI72" i="8"/>
  <c r="AI73" i="8"/>
  <c r="AI62" i="8"/>
  <c r="I7" i="7"/>
  <c r="J74" i="8"/>
  <c r="J60" i="8"/>
  <c r="B15" i="12"/>
  <c r="C15" i="12"/>
  <c r="AF4" i="12"/>
  <c r="AF6" i="12"/>
  <c r="AF8" i="12"/>
  <c r="AD21" i="12"/>
  <c r="B109" i="8"/>
  <c r="O109" i="8"/>
  <c r="AF9" i="12"/>
  <c r="AF10" i="12"/>
  <c r="AF7" i="12"/>
  <c r="C42" i="8"/>
  <c r="B24" i="12"/>
  <c r="M117" i="8"/>
  <c r="M116" i="8"/>
  <c r="M115" i="8"/>
  <c r="M114" i="8"/>
  <c r="M113" i="8"/>
  <c r="M112" i="8"/>
  <c r="M111" i="8"/>
  <c r="M110" i="8"/>
  <c r="M109" i="8"/>
  <c r="M108" i="8"/>
  <c r="M107" i="8"/>
  <c r="M106" i="8"/>
  <c r="M105" i="8"/>
  <c r="M104" i="8"/>
  <c r="M103" i="8"/>
  <c r="M29" i="7"/>
  <c r="B111" i="7"/>
  <c r="H12" i="12"/>
  <c r="B7" i="12"/>
  <c r="C7" i="12"/>
  <c r="B13" i="12"/>
  <c r="C13" i="12"/>
  <c r="B14" i="12"/>
  <c r="C14" i="12"/>
  <c r="B21" i="12"/>
  <c r="F29" i="12" s="1"/>
  <c r="A50" i="8"/>
  <c r="E50" i="8"/>
  <c r="A51" i="8"/>
  <c r="E51" i="8"/>
  <c r="A52" i="8"/>
  <c r="E52" i="8"/>
  <c r="A53" i="8"/>
  <c r="E53" i="8"/>
  <c r="A54" i="8"/>
  <c r="A55" i="8"/>
  <c r="A56" i="8"/>
  <c r="AF5" i="12"/>
  <c r="B22" i="12"/>
  <c r="AF46" i="12"/>
  <c r="AF47" i="12"/>
  <c r="AF48" i="12"/>
  <c r="AF49" i="12"/>
  <c r="AF50" i="12"/>
  <c r="AF51" i="12"/>
  <c r="AF52" i="12"/>
  <c r="AF53" i="12"/>
  <c r="AF54" i="12"/>
  <c r="AF55" i="12"/>
  <c r="AF56" i="12"/>
  <c r="AF57" i="12"/>
  <c r="AF58" i="12"/>
  <c r="AF59" i="12"/>
  <c r="B30" i="12"/>
  <c r="B31" i="12"/>
  <c r="B32" i="12"/>
  <c r="B33" i="12"/>
  <c r="B34" i="12"/>
  <c r="B35" i="12"/>
  <c r="B36" i="12"/>
  <c r="B37" i="12"/>
  <c r="B38" i="12"/>
  <c r="B39" i="12"/>
  <c r="B40" i="12"/>
  <c r="B41" i="12"/>
  <c r="E28" i="12"/>
  <c r="B28" i="12"/>
  <c r="C28" i="12"/>
  <c r="D28" i="12"/>
  <c r="A28" i="12"/>
  <c r="A41" i="12"/>
  <c r="K41" i="12"/>
  <c r="A30" i="12"/>
  <c r="K30" i="12"/>
  <c r="A31" i="12"/>
  <c r="K31" i="12"/>
  <c r="A32" i="12"/>
  <c r="K32" i="12"/>
  <c r="A33" i="12"/>
  <c r="K33" i="12"/>
  <c r="A34" i="12"/>
  <c r="K34" i="12"/>
  <c r="A35" i="12"/>
  <c r="K35" i="12"/>
  <c r="A36" i="12"/>
  <c r="K36" i="12"/>
  <c r="A37" i="12"/>
  <c r="K37" i="12"/>
  <c r="A38" i="12"/>
  <c r="K38" i="12"/>
  <c r="A39" i="12"/>
  <c r="K39" i="12"/>
  <c r="A40" i="12"/>
  <c r="K40" i="12"/>
  <c r="A29" i="12"/>
  <c r="K29" i="12"/>
  <c r="V35" i="11"/>
  <c r="F42" i="11" s="1"/>
  <c r="H42" i="11" s="1"/>
  <c r="V37" i="11"/>
  <c r="S52" i="11"/>
  <c r="R56" i="11"/>
  <c r="R85" i="11"/>
  <c r="R73" i="11"/>
  <c r="V58" i="11"/>
  <c r="R35" i="11"/>
  <c r="V29" i="11"/>
  <c r="B107" i="11"/>
  <c r="AN101" i="11"/>
  <c r="AM101" i="11"/>
  <c r="AL101" i="11"/>
  <c r="AK101" i="11"/>
  <c r="AJ101" i="11"/>
  <c r="AI101" i="11"/>
  <c r="AH101" i="11"/>
  <c r="AG101" i="11"/>
  <c r="AF101" i="11"/>
  <c r="AE101" i="11"/>
  <c r="AD101" i="11"/>
  <c r="AC101" i="11"/>
  <c r="AB101" i="11"/>
  <c r="AA101" i="11"/>
  <c r="Y101" i="11"/>
  <c r="X101" i="11"/>
  <c r="W101" i="11"/>
  <c r="V101" i="11"/>
  <c r="U101" i="11"/>
  <c r="T101" i="11"/>
  <c r="S101" i="11"/>
  <c r="R101" i="11"/>
  <c r="Q101" i="11"/>
  <c r="P101" i="11"/>
  <c r="O101" i="11"/>
  <c r="N101" i="11"/>
  <c r="M101" i="11"/>
  <c r="L101" i="11"/>
  <c r="K101" i="11"/>
  <c r="J101" i="11"/>
  <c r="I101" i="11"/>
  <c r="H101" i="11"/>
  <c r="G101" i="11"/>
  <c r="E101" i="11"/>
  <c r="D101" i="11"/>
  <c r="C101" i="11"/>
  <c r="B101" i="11"/>
  <c r="R62" i="11"/>
  <c r="V56" i="11"/>
  <c r="T80" i="11"/>
  <c r="T67" i="11"/>
  <c r="R60" i="11"/>
  <c r="V62" i="11"/>
  <c r="V60" i="11"/>
  <c r="AF34" i="11"/>
  <c r="I9" i="11"/>
  <c r="R44" i="11"/>
  <c r="R42" i="11"/>
  <c r="V44" i="11"/>
  <c r="V42" i="11"/>
  <c r="R37" i="11"/>
  <c r="AK34" i="11"/>
  <c r="AJ34" i="11"/>
  <c r="AI34" i="11"/>
  <c r="AH34" i="11"/>
  <c r="AG34" i="11"/>
  <c r="AE34" i="11"/>
  <c r="AD34" i="11"/>
  <c r="AC34" i="11"/>
  <c r="T29" i="11"/>
  <c r="I26" i="11"/>
  <c r="I25" i="11"/>
  <c r="I24" i="11"/>
  <c r="I23" i="11"/>
  <c r="I22" i="11"/>
  <c r="I21" i="11"/>
  <c r="I20" i="11"/>
  <c r="I19" i="11"/>
  <c r="I18" i="11"/>
  <c r="I17" i="11"/>
  <c r="I16" i="11"/>
  <c r="I15" i="11"/>
  <c r="I14" i="11"/>
  <c r="I13" i="11"/>
  <c r="I12" i="11"/>
  <c r="I11" i="11"/>
  <c r="I10" i="11"/>
  <c r="I8" i="11"/>
  <c r="I7" i="11"/>
  <c r="T6" i="11"/>
  <c r="I6" i="11"/>
  <c r="U5" i="11"/>
  <c r="T5" i="11"/>
  <c r="I5" i="11"/>
  <c r="U4" i="11"/>
  <c r="T4" i="11"/>
  <c r="I4" i="11"/>
  <c r="I56" i="7"/>
  <c r="I84" i="7"/>
  <c r="M58" i="7"/>
  <c r="K81" i="7"/>
  <c r="K68" i="7"/>
  <c r="G51" i="8" s="1"/>
  <c r="J52" i="7"/>
  <c r="I62" i="7"/>
  <c r="I44" i="7"/>
  <c r="I35" i="7"/>
  <c r="M35" i="7"/>
  <c r="I48" i="7" s="1"/>
  <c r="N50" i="7" s="1"/>
  <c r="I42" i="7"/>
  <c r="M56" i="7"/>
  <c r="K80" i="7"/>
  <c r="K67" i="7"/>
  <c r="G50" i="8" s="1"/>
  <c r="I60" i="7"/>
  <c r="M37" i="7"/>
  <c r="I27" i="7"/>
  <c r="Y34" i="7"/>
  <c r="U34" i="7"/>
  <c r="V34" i="7"/>
  <c r="W34" i="7"/>
  <c r="X34" i="7"/>
  <c r="Z34" i="7"/>
  <c r="AA34" i="7"/>
  <c r="AB34" i="7"/>
  <c r="T34" i="7"/>
  <c r="E101" i="7"/>
  <c r="D101" i="7"/>
  <c r="K29" i="7"/>
  <c r="AN101" i="7"/>
  <c r="AM101" i="7"/>
  <c r="AL101" i="7"/>
  <c r="AK101" i="7"/>
  <c r="AJ101" i="7"/>
  <c r="AI101" i="7"/>
  <c r="AH101" i="7"/>
  <c r="AG101" i="7"/>
  <c r="AF101" i="7"/>
  <c r="AE101" i="7"/>
  <c r="AD101" i="7"/>
  <c r="AC101" i="7"/>
  <c r="AB101" i="7"/>
  <c r="AA101" i="7"/>
  <c r="Y101" i="7"/>
  <c r="X101" i="7"/>
  <c r="W101" i="7"/>
  <c r="V101" i="7"/>
  <c r="U101" i="7"/>
  <c r="T101" i="7"/>
  <c r="S101" i="7"/>
  <c r="R101" i="7"/>
  <c r="Q101" i="7"/>
  <c r="P101" i="7"/>
  <c r="O101" i="7"/>
  <c r="N101" i="7"/>
  <c r="M101" i="7"/>
  <c r="L101" i="7"/>
  <c r="K101" i="7"/>
  <c r="J101" i="7"/>
  <c r="I101" i="7"/>
  <c r="H101" i="7"/>
  <c r="G101" i="7"/>
  <c r="C101" i="7"/>
  <c r="B101" i="7"/>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C16" i="9"/>
  <c r="D16" i="9"/>
  <c r="E16" i="9"/>
  <c r="F16" i="9"/>
  <c r="G16" i="9"/>
  <c r="H16" i="9"/>
  <c r="I16" i="9"/>
  <c r="B16" i="9"/>
  <c r="M62" i="7"/>
  <c r="M60" i="7"/>
  <c r="I6" i="7"/>
  <c r="E34" i="8"/>
  <c r="A36" i="8"/>
  <c r="A34" i="8"/>
  <c r="I9" i="7"/>
  <c r="I10" i="7"/>
  <c r="I11" i="7"/>
  <c r="I12" i="7"/>
  <c r="I13" i="7"/>
  <c r="I14" i="7"/>
  <c r="I15" i="7"/>
  <c r="I16" i="7"/>
  <c r="I17" i="7"/>
  <c r="I18" i="7"/>
  <c r="I19" i="7"/>
  <c r="I20" i="7"/>
  <c r="I21" i="7"/>
  <c r="I22" i="7"/>
  <c r="I23" i="7"/>
  <c r="I24" i="7"/>
  <c r="I25" i="7"/>
  <c r="I26" i="7"/>
  <c r="I8" i="7"/>
  <c r="I4" i="7"/>
  <c r="I5" i="7"/>
  <c r="M44" i="7"/>
  <c r="M42" i="7"/>
  <c r="I37" i="7"/>
  <c r="T4" i="7"/>
  <c r="U4" i="7"/>
  <c r="T6" i="7"/>
  <c r="T5" i="7"/>
  <c r="U5" i="7"/>
  <c r="B5" i="12"/>
  <c r="C5" i="12"/>
  <c r="B6" i="12"/>
  <c r="C6" i="12"/>
  <c r="B9" i="12"/>
  <c r="C9" i="12"/>
  <c r="B10" i="12"/>
  <c r="C10" i="12"/>
  <c r="B12" i="12"/>
  <c r="C12" i="12"/>
  <c r="B114" i="7"/>
  <c r="H15" i="12"/>
  <c r="D133" i="7"/>
  <c r="B110" i="7"/>
  <c r="H11" i="12"/>
  <c r="B104" i="7"/>
  <c r="H5" i="12"/>
  <c r="B103" i="11"/>
  <c r="B108" i="7"/>
  <c r="H9" i="12"/>
  <c r="AF15" i="12"/>
  <c r="AF45" i="12"/>
  <c r="D126" i="8"/>
  <c r="AD25" i="12"/>
  <c r="B113" i="8"/>
  <c r="O113" i="8"/>
  <c r="AD29" i="12"/>
  <c r="B117" i="8"/>
  <c r="O117" i="8"/>
  <c r="AD27" i="12"/>
  <c r="B115" i="8"/>
  <c r="O115" i="8"/>
  <c r="AD26" i="12"/>
  <c r="B114" i="8"/>
  <c r="O114" i="8"/>
  <c r="AD28" i="12"/>
  <c r="B116" i="8"/>
  <c r="O116" i="8"/>
  <c r="B23" i="12"/>
  <c r="AD45" i="12"/>
  <c r="B126" i="8"/>
  <c r="N75" i="7"/>
  <c r="C30" i="8"/>
  <c r="W75" i="11"/>
  <c r="U75" i="11"/>
  <c r="C32" i="8"/>
  <c r="G36" i="8"/>
  <c r="AD22" i="12"/>
  <c r="B110" i="8"/>
  <c r="O110" i="8"/>
  <c r="AD24" i="12"/>
  <c r="B112" i="8"/>
  <c r="O112" i="8"/>
  <c r="AD15" i="12"/>
  <c r="B103" i="8"/>
  <c r="O103" i="8"/>
  <c r="AD20" i="12"/>
  <c r="B108" i="8"/>
  <c r="O108" i="8"/>
  <c r="AD23" i="12"/>
  <c r="B111" i="8"/>
  <c r="O111" i="8"/>
  <c r="AD19" i="12"/>
  <c r="B107" i="8"/>
  <c r="O107" i="8"/>
  <c r="D7" i="12"/>
  <c r="F7" i="12"/>
  <c r="AD16" i="12"/>
  <c r="B104" i="8"/>
  <c r="O104" i="8"/>
  <c r="D12" i="12"/>
  <c r="F12" i="12"/>
  <c r="D14" i="12"/>
  <c r="F14" i="12"/>
  <c r="D10" i="12"/>
  <c r="F10" i="12"/>
  <c r="D13" i="12"/>
  <c r="F13" i="12"/>
  <c r="D6" i="12"/>
  <c r="F6" i="12"/>
  <c r="D5" i="12"/>
  <c r="F5" i="12"/>
  <c r="F15" i="12"/>
  <c r="D9" i="12"/>
  <c r="F9" i="12"/>
  <c r="D11" i="12"/>
  <c r="F11" i="12"/>
  <c r="T84" i="11"/>
  <c r="I82" i="7"/>
  <c r="I70" i="7"/>
  <c r="C53" i="8" s="1"/>
  <c r="V75" i="11"/>
  <c r="T75" i="11"/>
  <c r="R75" i="11"/>
  <c r="R82" i="11"/>
  <c r="R70" i="11"/>
  <c r="R67" i="11"/>
  <c r="S75" i="11"/>
  <c r="L75" i="7"/>
  <c r="R83" i="11"/>
  <c r="R71" i="11"/>
  <c r="K84" i="7"/>
  <c r="K75" i="7"/>
  <c r="I67" i="7"/>
  <c r="B50" i="8" s="1"/>
  <c r="R84" i="11"/>
  <c r="C41" i="11"/>
  <c r="D103" i="8"/>
  <c r="C42" i="11"/>
  <c r="T81" i="11"/>
  <c r="T68" i="11"/>
  <c r="I58" i="7"/>
  <c r="C45" i="11"/>
  <c r="R58" i="11"/>
  <c r="C35" i="11"/>
  <c r="D35" i="11"/>
  <c r="E33" i="11"/>
  <c r="J33" i="11" s="1"/>
  <c r="C118" i="11" s="1"/>
  <c r="C133" i="11" s="1"/>
  <c r="E133" i="11" s="1"/>
  <c r="D104" i="11" s="1"/>
  <c r="AD18" i="12"/>
  <c r="B106" i="8"/>
  <c r="O106" i="8"/>
  <c r="AD17" i="12"/>
  <c r="B105" i="8"/>
  <c r="O105" i="8"/>
  <c r="B17" i="12"/>
  <c r="B18" i="12"/>
  <c r="C4" i="12"/>
  <c r="I75" i="7"/>
  <c r="I83" i="7"/>
  <c r="I71" i="7"/>
  <c r="C54" i="8" s="1"/>
  <c r="I85" i="7"/>
  <c r="I73" i="7"/>
  <c r="C56" i="8" s="1"/>
  <c r="J75" i="7"/>
  <c r="M75" i="7"/>
  <c r="C44" i="7"/>
  <c r="C40" i="12"/>
  <c r="K83" i="7"/>
  <c r="K70" i="7"/>
  <c r="G53" i="8" s="1"/>
  <c r="C40" i="7"/>
  <c r="C36" i="12"/>
  <c r="C38" i="7"/>
  <c r="C34" i="12"/>
  <c r="C36" i="7"/>
  <c r="C32" i="12"/>
  <c r="C37" i="7"/>
  <c r="C33" i="12"/>
  <c r="C42" i="7"/>
  <c r="C38" i="12"/>
  <c r="C41" i="7"/>
  <c r="C37" i="12"/>
  <c r="C43" i="7"/>
  <c r="C39" i="12"/>
  <c r="C35" i="7"/>
  <c r="C31" i="12"/>
  <c r="C34" i="7"/>
  <c r="C30" i="12"/>
  <c r="I72" i="7"/>
  <c r="C55" i="8" s="1"/>
  <c r="C33" i="7"/>
  <c r="C29" i="12"/>
  <c r="C39" i="7"/>
  <c r="C35" i="12"/>
  <c r="C45" i="7"/>
  <c r="C41" i="12"/>
  <c r="B105" i="11"/>
  <c r="B112" i="11"/>
  <c r="B106" i="11"/>
  <c r="B108" i="11"/>
  <c r="B114" i="11"/>
  <c r="B112" i="7"/>
  <c r="H13" i="12"/>
  <c r="B103" i="7"/>
  <c r="B105" i="7"/>
  <c r="H6" i="12"/>
  <c r="B109" i="11"/>
  <c r="B113" i="7"/>
  <c r="H14" i="12"/>
  <c r="B110" i="11"/>
  <c r="B106" i="7"/>
  <c r="H7" i="12"/>
  <c r="B109" i="7"/>
  <c r="H10" i="12"/>
  <c r="D133" i="11"/>
  <c r="B113" i="11"/>
  <c r="B111" i="11"/>
  <c r="B107" i="7"/>
  <c r="H8" i="12"/>
  <c r="B104" i="11"/>
  <c r="N103" i="8"/>
  <c r="E34" i="11"/>
  <c r="G34" i="11" s="1"/>
  <c r="E44" i="11"/>
  <c r="G44" i="11" s="1"/>
  <c r="C37" i="11"/>
  <c r="T83" i="11"/>
  <c r="T70" i="11"/>
  <c r="C40" i="11"/>
  <c r="C33" i="11"/>
  <c r="E45" i="11"/>
  <c r="G45" i="11" s="1"/>
  <c r="C36" i="11"/>
  <c r="D39" i="11"/>
  <c r="C38" i="11"/>
  <c r="C34" i="11"/>
  <c r="D41" i="11"/>
  <c r="D40" i="11"/>
  <c r="E37" i="11"/>
  <c r="J37" i="11" s="1"/>
  <c r="C122" i="11" s="1"/>
  <c r="D44" i="11"/>
  <c r="D36" i="11"/>
  <c r="E42" i="11"/>
  <c r="J42" i="11" s="1"/>
  <c r="C127" i="11" s="1"/>
  <c r="D45" i="11"/>
  <c r="E39" i="11"/>
  <c r="J39" i="11" s="1"/>
  <c r="C124" i="11" s="1"/>
  <c r="E38" i="11"/>
  <c r="B123" i="11" s="1"/>
  <c r="D34" i="11"/>
  <c r="E43" i="11"/>
  <c r="G43" i="11" s="1"/>
  <c r="C44" i="11"/>
  <c r="D33" i="11"/>
  <c r="C39" i="11"/>
  <c r="E40" i="11"/>
  <c r="B125" i="11" s="1"/>
  <c r="R72" i="11"/>
  <c r="D43" i="11"/>
  <c r="E36" i="11"/>
  <c r="J36" i="11" s="1"/>
  <c r="C121" i="11" s="1"/>
  <c r="E41" i="11"/>
  <c r="D38" i="11"/>
  <c r="E35" i="11"/>
  <c r="D37" i="11"/>
  <c r="D42" i="11"/>
  <c r="C43" i="11"/>
  <c r="I80" i="7"/>
  <c r="K82" i="7"/>
  <c r="K69" i="7"/>
  <c r="G52" i="8" s="1"/>
  <c r="R80" i="11"/>
  <c r="T82" i="11"/>
  <c r="T69" i="11"/>
  <c r="F19" i="12"/>
  <c r="B19" i="12"/>
  <c r="C8" i="12"/>
  <c r="D8" i="12"/>
  <c r="F8" i="12"/>
  <c r="C17" i="12"/>
  <c r="C18" i="12"/>
  <c r="C19" i="12"/>
  <c r="I68" i="7"/>
  <c r="R68" i="11"/>
  <c r="D103" i="11"/>
  <c r="G37" i="11" l="1"/>
  <c r="J43" i="11"/>
  <c r="C128" i="11" s="1"/>
  <c r="R48" i="11"/>
  <c r="W50" i="11" s="1"/>
  <c r="AE42" i="11" s="1"/>
  <c r="G36" i="11"/>
  <c r="D42" i="7"/>
  <c r="D38" i="12" s="1"/>
  <c r="D36" i="7"/>
  <c r="D32" i="12" s="1"/>
  <c r="D107" i="11"/>
  <c r="D112" i="11"/>
  <c r="F41" i="12"/>
  <c r="G15" i="12"/>
  <c r="W27" i="12" s="1"/>
  <c r="W35" i="12" s="1"/>
  <c r="W34" i="12" s="1"/>
  <c r="W33" i="12" s="1"/>
  <c r="W32" i="12" s="1"/>
  <c r="W31" i="12" s="1"/>
  <c r="W30" i="12" s="1"/>
  <c r="W29" i="12" s="1"/>
  <c r="F32" i="12"/>
  <c r="G33" i="11"/>
  <c r="D109" i="11"/>
  <c r="I81" i="7"/>
  <c r="I69" i="7" s="1"/>
  <c r="C52" i="8" s="1"/>
  <c r="B26" i="12" s="1"/>
  <c r="B122" i="11"/>
  <c r="J34" i="11"/>
  <c r="C119" i="11" s="1"/>
  <c r="D43" i="7"/>
  <c r="D39" i="7"/>
  <c r="D35" i="12" s="1"/>
  <c r="B130" i="11"/>
  <c r="B127" i="11"/>
  <c r="F37" i="11"/>
  <c r="H37" i="11" s="1"/>
  <c r="G11" i="12"/>
  <c r="S27" i="12" s="1"/>
  <c r="S35" i="12" s="1"/>
  <c r="S36" i="12" s="1"/>
  <c r="S37" i="12" s="1"/>
  <c r="S38" i="12" s="1"/>
  <c r="S39" i="12" s="1"/>
  <c r="S40" i="12" s="1"/>
  <c r="S41" i="12" s="1"/>
  <c r="C51" i="8"/>
  <c r="B124" i="11"/>
  <c r="D33" i="7"/>
  <c r="E33" i="7" s="1"/>
  <c r="B118" i="7" s="1"/>
  <c r="J45" i="11"/>
  <c r="C130" i="11" s="1"/>
  <c r="F34" i="12"/>
  <c r="Z9" i="11"/>
  <c r="AA9" i="11" s="1"/>
  <c r="J40" i="11"/>
  <c r="C125" i="11" s="1"/>
  <c r="G39" i="11"/>
  <c r="D41" i="7"/>
  <c r="D37" i="12" s="1"/>
  <c r="F38" i="11"/>
  <c r="H38" i="11" s="1"/>
  <c r="D35" i="7"/>
  <c r="E35" i="7" s="1"/>
  <c r="B120" i="7" s="1"/>
  <c r="D38" i="7"/>
  <c r="E38" i="7" s="1"/>
  <c r="E34" i="12" s="1"/>
  <c r="F45" i="11"/>
  <c r="H45" i="11" s="1"/>
  <c r="F39" i="11"/>
  <c r="H39" i="11" s="1"/>
  <c r="F43" i="11"/>
  <c r="H43" i="11" s="1"/>
  <c r="F44" i="11"/>
  <c r="H44" i="11" s="1"/>
  <c r="P28" i="11"/>
  <c r="S43" i="7"/>
  <c r="F34" i="11"/>
  <c r="H34" i="11" s="1"/>
  <c r="F33" i="11"/>
  <c r="H33" i="11" s="1"/>
  <c r="R81" i="11"/>
  <c r="R69" i="11" s="1"/>
  <c r="F36" i="11"/>
  <c r="H36" i="11" s="1"/>
  <c r="I36" i="11" s="1"/>
  <c r="F41" i="11"/>
  <c r="H41" i="11" s="1"/>
  <c r="Z9" i="7"/>
  <c r="AA9" i="7" s="1"/>
  <c r="AB43" i="11"/>
  <c r="AE43" i="11" s="1"/>
  <c r="AE44" i="11" s="1"/>
  <c r="G28" i="7"/>
  <c r="F35" i="11"/>
  <c r="H35" i="11" s="1"/>
  <c r="F40" i="11"/>
  <c r="H40" i="11" s="1"/>
  <c r="D45" i="7"/>
  <c r="D41" i="12" s="1"/>
  <c r="D111" i="11"/>
  <c r="B119" i="11"/>
  <c r="F39" i="12"/>
  <c r="G12" i="12"/>
  <c r="T27" i="12" s="1"/>
  <c r="T35" i="12" s="1"/>
  <c r="T34" i="12" s="1"/>
  <c r="T33" i="12" s="1"/>
  <c r="T32" i="12" s="1"/>
  <c r="T31" i="12" s="1"/>
  <c r="T30" i="12" s="1"/>
  <c r="T29" i="12" s="1"/>
  <c r="G10" i="12"/>
  <c r="R27" i="12" s="1"/>
  <c r="R35" i="12" s="1"/>
  <c r="R34" i="12" s="1"/>
  <c r="R33" i="12" s="1"/>
  <c r="R32" i="12" s="1"/>
  <c r="R31" i="12" s="1"/>
  <c r="R30" i="12" s="1"/>
  <c r="R29" i="12" s="1"/>
  <c r="F38" i="12"/>
  <c r="J44" i="11"/>
  <c r="C129" i="11" s="1"/>
  <c r="Y33" i="12"/>
  <c r="Y41" i="12"/>
  <c r="F36" i="12"/>
  <c r="G5" i="12"/>
  <c r="M27" i="12" s="1"/>
  <c r="M35" i="12" s="1"/>
  <c r="M36" i="12" s="1"/>
  <c r="M37" i="12" s="1"/>
  <c r="M38" i="12" s="1"/>
  <c r="M39" i="12" s="1"/>
  <c r="M40" i="12" s="1"/>
  <c r="M41" i="12" s="1"/>
  <c r="Y38" i="12"/>
  <c r="D44" i="7"/>
  <c r="B121" i="11"/>
  <c r="B129" i="11"/>
  <c r="G8" i="12"/>
  <c r="P27" i="12" s="1"/>
  <c r="P35" i="12" s="1"/>
  <c r="P34" i="12" s="1"/>
  <c r="P33" i="12" s="1"/>
  <c r="P32" i="12" s="1"/>
  <c r="P31" i="12" s="1"/>
  <c r="P30" i="12" s="1"/>
  <c r="P29" i="12" s="1"/>
  <c r="B128" i="11"/>
  <c r="F35" i="12"/>
  <c r="Y32" i="12"/>
  <c r="G4" i="12"/>
  <c r="L27" i="12" s="1"/>
  <c r="L35" i="12" s="1"/>
  <c r="L36" i="12" s="1"/>
  <c r="L37" i="12" s="1"/>
  <c r="L38" i="12" s="1"/>
  <c r="L39" i="12" s="1"/>
  <c r="L40" i="12" s="1"/>
  <c r="L41" i="12" s="1"/>
  <c r="D34" i="7"/>
  <c r="D37" i="7"/>
  <c r="D40" i="7"/>
  <c r="G40" i="11"/>
  <c r="Y37" i="12"/>
  <c r="Y40" i="12"/>
  <c r="G9" i="12"/>
  <c r="Q27" i="12" s="1"/>
  <c r="Q35" i="12" s="1"/>
  <c r="F30" i="12"/>
  <c r="Y36" i="12"/>
  <c r="Y34" i="12"/>
  <c r="G14" i="12"/>
  <c r="V27" i="12" s="1"/>
  <c r="V35" i="12" s="1"/>
  <c r="Y31" i="12"/>
  <c r="Y35" i="12"/>
  <c r="Y29" i="12"/>
  <c r="G6" i="12"/>
  <c r="N27" i="12" s="1"/>
  <c r="N35" i="12" s="1"/>
  <c r="Y30" i="12"/>
  <c r="G42" i="11"/>
  <c r="I42" i="11" s="1"/>
  <c r="F40" i="12"/>
  <c r="G7" i="12"/>
  <c r="O27" i="12" s="1"/>
  <c r="O35" i="12" s="1"/>
  <c r="O36" i="12" s="1"/>
  <c r="O37" i="12" s="1"/>
  <c r="O38" i="12" s="1"/>
  <c r="O39" i="12" s="1"/>
  <c r="O40" i="12" s="1"/>
  <c r="O41" i="12" s="1"/>
  <c r="G13" i="12"/>
  <c r="U27" i="12" s="1"/>
  <c r="U35" i="12" s="1"/>
  <c r="U34" i="12" s="1"/>
  <c r="U33" i="12" s="1"/>
  <c r="U32" i="12" s="1"/>
  <c r="U31" i="12" s="1"/>
  <c r="U30" i="12" s="1"/>
  <c r="U29" i="12" s="1"/>
  <c r="F37" i="12"/>
  <c r="F33" i="12"/>
  <c r="E36" i="7"/>
  <c r="J41" i="11"/>
  <c r="C126" i="11" s="1"/>
  <c r="B126" i="11"/>
  <c r="G41" i="11"/>
  <c r="E39" i="7"/>
  <c r="G38" i="11"/>
  <c r="J38" i="11"/>
  <c r="C123" i="11" s="1"/>
  <c r="E42" i="7"/>
  <c r="J35" i="11"/>
  <c r="C120" i="11" s="1"/>
  <c r="B120" i="11"/>
  <c r="G35" i="11"/>
  <c r="D114" i="11"/>
  <c r="D110" i="11"/>
  <c r="D108" i="11"/>
  <c r="D106" i="11"/>
  <c r="D113" i="11"/>
  <c r="D105" i="11"/>
  <c r="U42" i="7"/>
  <c r="W42" i="7"/>
  <c r="V42" i="7"/>
  <c r="Y42" i="7"/>
  <c r="O50" i="7"/>
  <c r="M50" i="7" s="1"/>
  <c r="X42" i="7"/>
  <c r="AA42" i="7"/>
  <c r="AB42" i="7"/>
  <c r="Z42" i="7"/>
  <c r="T42" i="7"/>
  <c r="AC42" i="11"/>
  <c r="U52" i="7"/>
  <c r="B118" i="11"/>
  <c r="AD52" i="11"/>
  <c r="F31" i="12"/>
  <c r="Y39" i="12"/>
  <c r="AJ42" i="11" l="1"/>
  <c r="AI42" i="11"/>
  <c r="AD42" i="11"/>
  <c r="M34" i="12"/>
  <c r="M33" i="12" s="1"/>
  <c r="M32" i="12" s="1"/>
  <c r="M31" i="12" s="1"/>
  <c r="M30" i="12" s="1"/>
  <c r="M29" i="12" s="1"/>
  <c r="AF42" i="11"/>
  <c r="X50" i="11"/>
  <c r="V50" i="11" s="1"/>
  <c r="EL7" i="11" s="1"/>
  <c r="EL8" i="11" s="1"/>
  <c r="E41" i="7"/>
  <c r="E37" i="12" s="1"/>
  <c r="G37" i="12" s="1"/>
  <c r="H37" i="12" s="1"/>
  <c r="AG42" i="11"/>
  <c r="AK42" i="11"/>
  <c r="D29" i="12"/>
  <c r="G34" i="12"/>
  <c r="H34" i="12" s="1"/>
  <c r="Z34" i="12" s="1"/>
  <c r="AA34" i="12" s="1"/>
  <c r="O34" i="12"/>
  <c r="O33" i="12" s="1"/>
  <c r="O32" i="12" s="1"/>
  <c r="O31" i="12" s="1"/>
  <c r="O30" i="12" s="1"/>
  <c r="O29" i="12" s="1"/>
  <c r="AH42" i="11"/>
  <c r="AH43" i="11" s="1"/>
  <c r="AH44" i="11" s="1"/>
  <c r="T36" i="12"/>
  <c r="T37" i="12" s="1"/>
  <c r="T38" i="12" s="1"/>
  <c r="T39" i="12" s="1"/>
  <c r="T40" i="12" s="1"/>
  <c r="T41" i="12" s="1"/>
  <c r="E29" i="12"/>
  <c r="G29" i="12" s="1"/>
  <c r="H29" i="12" s="1"/>
  <c r="I29" i="12" s="1"/>
  <c r="L34" i="12"/>
  <c r="L33" i="12" s="1"/>
  <c r="L32" i="12" s="1"/>
  <c r="L31" i="12" s="1"/>
  <c r="L30" i="12" s="1"/>
  <c r="L29" i="12" s="1"/>
  <c r="I34" i="11"/>
  <c r="F38" i="7"/>
  <c r="C123" i="7" s="1"/>
  <c r="E31" i="12"/>
  <c r="I39" i="11"/>
  <c r="I34" i="12"/>
  <c r="B123" i="7"/>
  <c r="W36" i="12"/>
  <c r="W37" i="12" s="1"/>
  <c r="W38" i="12" s="1"/>
  <c r="W39" i="12" s="1"/>
  <c r="W40" i="12" s="1"/>
  <c r="W41" i="12" s="1"/>
  <c r="F33" i="7"/>
  <c r="C118" i="7" s="1"/>
  <c r="S34" i="12"/>
  <c r="S33" i="12" s="1"/>
  <c r="S32" i="12" s="1"/>
  <c r="S31" i="12" s="1"/>
  <c r="S30" i="12" s="1"/>
  <c r="S29" i="12" s="1"/>
  <c r="E45" i="7"/>
  <c r="D34" i="12"/>
  <c r="I44" i="11"/>
  <c r="I45" i="11"/>
  <c r="D39" i="12"/>
  <c r="E43" i="7"/>
  <c r="I43" i="11"/>
  <c r="I37" i="11"/>
  <c r="P36" i="12"/>
  <c r="P37" i="12" s="1"/>
  <c r="P38" i="12" s="1"/>
  <c r="P39" i="12" s="1"/>
  <c r="P40" i="12" s="1"/>
  <c r="P41" i="12" s="1"/>
  <c r="I35" i="11"/>
  <c r="I41" i="11"/>
  <c r="F35" i="7"/>
  <c r="C120" i="7" s="1"/>
  <c r="D31" i="12"/>
  <c r="I33" i="11"/>
  <c r="I38" i="11"/>
  <c r="R36" i="12"/>
  <c r="R37" i="12" s="1"/>
  <c r="R38" i="12" s="1"/>
  <c r="R39" i="12" s="1"/>
  <c r="R40" i="12" s="1"/>
  <c r="R41" i="12" s="1"/>
  <c r="I40" i="11"/>
  <c r="Q36" i="12"/>
  <c r="Q37" i="12" s="1"/>
  <c r="Q38" i="12" s="1"/>
  <c r="Q39" i="12" s="1"/>
  <c r="Q40" i="12" s="1"/>
  <c r="Q41" i="12" s="1"/>
  <c r="Q34" i="12"/>
  <c r="Q33" i="12" s="1"/>
  <c r="Q32" i="12" s="1"/>
  <c r="Q31" i="12" s="1"/>
  <c r="Q30" i="12" s="1"/>
  <c r="Q29" i="12" s="1"/>
  <c r="B126" i="7"/>
  <c r="U36" i="12"/>
  <c r="U37" i="12" s="1"/>
  <c r="U38" i="12" s="1"/>
  <c r="U39" i="12" s="1"/>
  <c r="U40" i="12" s="1"/>
  <c r="U41" i="12" s="1"/>
  <c r="D40" i="12"/>
  <c r="E44" i="7"/>
  <c r="V36" i="12"/>
  <c r="V37" i="12" s="1"/>
  <c r="V38" i="12" s="1"/>
  <c r="V39" i="12" s="1"/>
  <c r="V40" i="12" s="1"/>
  <c r="V41" i="12" s="1"/>
  <c r="V34" i="12"/>
  <c r="V33" i="12" s="1"/>
  <c r="V32" i="12" s="1"/>
  <c r="V31" i="12" s="1"/>
  <c r="V30" i="12" s="1"/>
  <c r="V29" i="12" s="1"/>
  <c r="D36" i="12"/>
  <c r="E40" i="7"/>
  <c r="E37" i="7"/>
  <c r="D33" i="12"/>
  <c r="N36" i="12"/>
  <c r="N37" i="12" s="1"/>
  <c r="N38" i="12" s="1"/>
  <c r="N39" i="12" s="1"/>
  <c r="N40" i="12" s="1"/>
  <c r="N41" i="12" s="1"/>
  <c r="N34" i="12"/>
  <c r="N33" i="12" s="1"/>
  <c r="N32" i="12" s="1"/>
  <c r="N31" i="12" s="1"/>
  <c r="N30" i="12" s="1"/>
  <c r="N29" i="12" s="1"/>
  <c r="G31" i="12"/>
  <c r="H31" i="12" s="1"/>
  <c r="Z31" i="12" s="1"/>
  <c r="AA31" i="12" s="1"/>
  <c r="D30" i="12"/>
  <c r="E34" i="7"/>
  <c r="AD43" i="11"/>
  <c r="AD44" i="11" s="1"/>
  <c r="V43" i="7"/>
  <c r="V44" i="7" s="1"/>
  <c r="AF43" i="11"/>
  <c r="AF44" i="11" s="1"/>
  <c r="AI43" i="11"/>
  <c r="AI44" i="11" s="1"/>
  <c r="Z43" i="7"/>
  <c r="Z44" i="7" s="1"/>
  <c r="F39" i="7"/>
  <c r="C124" i="7" s="1"/>
  <c r="B124" i="7"/>
  <c r="E35" i="12"/>
  <c r="G35" i="12" s="1"/>
  <c r="H35" i="12" s="1"/>
  <c r="AB43" i="7"/>
  <c r="AB44" i="7" s="1"/>
  <c r="BX7" i="11"/>
  <c r="BX8" i="11" s="1"/>
  <c r="EJ7" i="11"/>
  <c r="EJ8" i="11" s="1"/>
  <c r="DV7" i="11"/>
  <c r="DV8" i="11" s="1"/>
  <c r="DE7" i="11"/>
  <c r="DE8" i="11" s="1"/>
  <c r="BI7" i="11"/>
  <c r="BI8" i="11" s="1"/>
  <c r="BG7" i="11"/>
  <c r="BG8" i="11" s="1"/>
  <c r="AE7" i="11"/>
  <c r="AE8" i="11" s="1"/>
  <c r="DT7" i="11"/>
  <c r="DT8" i="11" s="1"/>
  <c r="BP7" i="11"/>
  <c r="BP8" i="11" s="1"/>
  <c r="EN7" i="11"/>
  <c r="EN8" i="11" s="1"/>
  <c r="AY7" i="11"/>
  <c r="AY8" i="11" s="1"/>
  <c r="CU7" i="11"/>
  <c r="CU8" i="11" s="1"/>
  <c r="DY7" i="11"/>
  <c r="DY8" i="11" s="1"/>
  <c r="Y7" i="11"/>
  <c r="Y8" i="11" s="1"/>
  <c r="DC7" i="11"/>
  <c r="DC8" i="11" s="1"/>
  <c r="AL7" i="11"/>
  <c r="AL8" i="11" s="1"/>
  <c r="CR7" i="11"/>
  <c r="CR8" i="11" s="1"/>
  <c r="EH7" i="11"/>
  <c r="EH8" i="11" s="1"/>
  <c r="EA7" i="11"/>
  <c r="EA8" i="11" s="1"/>
  <c r="DF7" i="11"/>
  <c r="DF8" i="11" s="1"/>
  <c r="AN7" i="11"/>
  <c r="AN8" i="11" s="1"/>
  <c r="AA7" i="11"/>
  <c r="AA8" i="11" s="1"/>
  <c r="BU7" i="11"/>
  <c r="BU8" i="11" s="1"/>
  <c r="DB7" i="11"/>
  <c r="DB8" i="11" s="1"/>
  <c r="AH7" i="11"/>
  <c r="AH8" i="11" s="1"/>
  <c r="CO7" i="11"/>
  <c r="CO8" i="11" s="1"/>
  <c r="CK7" i="11"/>
  <c r="CK8" i="11" s="1"/>
  <c r="BF7" i="11"/>
  <c r="BF8" i="11" s="1"/>
  <c r="AR7" i="11"/>
  <c r="AR8" i="11" s="1"/>
  <c r="AD7" i="11"/>
  <c r="AD8" i="11" s="1"/>
  <c r="AJ43" i="11"/>
  <c r="AJ44" i="11" s="1"/>
  <c r="AG43" i="11"/>
  <c r="AG44" i="11" s="1"/>
  <c r="AC43" i="11"/>
  <c r="AC44" i="11" s="1"/>
  <c r="AA43" i="7"/>
  <c r="AA44" i="7" s="1"/>
  <c r="X43" i="7"/>
  <c r="X44" i="7" s="1"/>
  <c r="T43" i="7"/>
  <c r="T44" i="7" s="1"/>
  <c r="W43" i="7"/>
  <c r="W44" i="7" s="1"/>
  <c r="AN7" i="7"/>
  <c r="AN8" i="7" s="1"/>
  <c r="DF7" i="7"/>
  <c r="DF8" i="7" s="1"/>
  <c r="AJ7" i="7"/>
  <c r="AJ8" i="7" s="1"/>
  <c r="DP7" i="7"/>
  <c r="DP8" i="7" s="1"/>
  <c r="AY7" i="7"/>
  <c r="AY8" i="7" s="1"/>
  <c r="BB7" i="7"/>
  <c r="BB8" i="7" s="1"/>
  <c r="AQ7" i="7"/>
  <c r="AQ8" i="7" s="1"/>
  <c r="CC7" i="7"/>
  <c r="CC8" i="7" s="1"/>
  <c r="AK7" i="7"/>
  <c r="AK8" i="7" s="1"/>
  <c r="CI7" i="7"/>
  <c r="CI8" i="7" s="1"/>
  <c r="DU7" i="7"/>
  <c r="DU8" i="7" s="1"/>
  <c r="CQ7" i="7"/>
  <c r="CQ8" i="7" s="1"/>
  <c r="EK7" i="7"/>
  <c r="EK8" i="7" s="1"/>
  <c r="AB7" i="7"/>
  <c r="AB8" i="7" s="1"/>
  <c r="CW7" i="7"/>
  <c r="CW8" i="7" s="1"/>
  <c r="CT7" i="7"/>
  <c r="CT8" i="7" s="1"/>
  <c r="BJ7" i="7"/>
  <c r="BJ8" i="7" s="1"/>
  <c r="DZ7" i="7"/>
  <c r="DZ8" i="7" s="1"/>
  <c r="BM7" i="7"/>
  <c r="BM8" i="7" s="1"/>
  <c r="BQ7" i="7"/>
  <c r="BQ8" i="7" s="1"/>
  <c r="EC7" i="7"/>
  <c r="EC8" i="7" s="1"/>
  <c r="BW7" i="7"/>
  <c r="BW8" i="7" s="1"/>
  <c r="BN7" i="7"/>
  <c r="BN8" i="7" s="1"/>
  <c r="BO7" i="7"/>
  <c r="BO8" i="7" s="1"/>
  <c r="DN7" i="7"/>
  <c r="DN8" i="7" s="1"/>
  <c r="DV7" i="7"/>
  <c r="DV8" i="7" s="1"/>
  <c r="DH7" i="7"/>
  <c r="DH8" i="7" s="1"/>
  <c r="ED7" i="7"/>
  <c r="ED8" i="7" s="1"/>
  <c r="CS7" i="7"/>
  <c r="CS8" i="7" s="1"/>
  <c r="CF7" i="7"/>
  <c r="CF8" i="7" s="1"/>
  <c r="BF7" i="7"/>
  <c r="BF8" i="7" s="1"/>
  <c r="DR7" i="7"/>
  <c r="DR8" i="7" s="1"/>
  <c r="BL7" i="7"/>
  <c r="BL8" i="7" s="1"/>
  <c r="AL7" i="7"/>
  <c r="AL8" i="7" s="1"/>
  <c r="CM7" i="7"/>
  <c r="CM8" i="7" s="1"/>
  <c r="BT7" i="7"/>
  <c r="BT8" i="7" s="1"/>
  <c r="BG7" i="7"/>
  <c r="BG8" i="7" s="1"/>
  <c r="DJ7" i="7"/>
  <c r="DJ8" i="7" s="1"/>
  <c r="DS7" i="7"/>
  <c r="DS8" i="7" s="1"/>
  <c r="CA7" i="7"/>
  <c r="CA8" i="7" s="1"/>
  <c r="BE7" i="7"/>
  <c r="BE8" i="7" s="1"/>
  <c r="BR7" i="7"/>
  <c r="BR8" i="7" s="1"/>
  <c r="DE7" i="7"/>
  <c r="DE8" i="7" s="1"/>
  <c r="Y7" i="7"/>
  <c r="Y8" i="7" s="1"/>
  <c r="DM7" i="7"/>
  <c r="DM8" i="7" s="1"/>
  <c r="AA7" i="7"/>
  <c r="AA8" i="7" s="1"/>
  <c r="AG7" i="7"/>
  <c r="AG8" i="7" s="1"/>
  <c r="BA7" i="7"/>
  <c r="BA8" i="7" s="1"/>
  <c r="AP7" i="7"/>
  <c r="AP8" i="7" s="1"/>
  <c r="BY7" i="7"/>
  <c r="BY8" i="7" s="1"/>
  <c r="CG7" i="7"/>
  <c r="CG8" i="7" s="1"/>
  <c r="DX7" i="7"/>
  <c r="DX8" i="7" s="1"/>
  <c r="Z7" i="7"/>
  <c r="Z8" i="7" s="1"/>
  <c r="CB7" i="7"/>
  <c r="CB8" i="7" s="1"/>
  <c r="BP7" i="7"/>
  <c r="BP8" i="7" s="1"/>
  <c r="AZ7" i="7"/>
  <c r="AZ8" i="7" s="1"/>
  <c r="DY7" i="7"/>
  <c r="DY8" i="7" s="1"/>
  <c r="CP7" i="7"/>
  <c r="CP8" i="7" s="1"/>
  <c r="AF7" i="7"/>
  <c r="AF8" i="7" s="1"/>
  <c r="AD7" i="7"/>
  <c r="AD8" i="7" s="1"/>
  <c r="EE7" i="7"/>
  <c r="EE8" i="7" s="1"/>
  <c r="EA7" i="7"/>
  <c r="EA8" i="7" s="1"/>
  <c r="DD7" i="7"/>
  <c r="DD8" i="7" s="1"/>
  <c r="BD7" i="7"/>
  <c r="BD8" i="7" s="1"/>
  <c r="CN7" i="7"/>
  <c r="CN8" i="7" s="1"/>
  <c r="EM7" i="7"/>
  <c r="EM8" i="7" s="1"/>
  <c r="EB7" i="7"/>
  <c r="EB8" i="7" s="1"/>
  <c r="DK7" i="7"/>
  <c r="DK8" i="7" s="1"/>
  <c r="AI7" i="7"/>
  <c r="AI8" i="7" s="1"/>
  <c r="CD7" i="7"/>
  <c r="CD8" i="7" s="1"/>
  <c r="AV7" i="7"/>
  <c r="AV8" i="7" s="1"/>
  <c r="DG7" i="7"/>
  <c r="DG8" i="7" s="1"/>
  <c r="EJ7" i="7"/>
  <c r="EJ8" i="7" s="1"/>
  <c r="EN7" i="7"/>
  <c r="EN8" i="7" s="1"/>
  <c r="DC7" i="7"/>
  <c r="DC8" i="7" s="1"/>
  <c r="AT7" i="7"/>
  <c r="AT8" i="7" s="1"/>
  <c r="AU7" i="7"/>
  <c r="AU8" i="7" s="1"/>
  <c r="BC7" i="7"/>
  <c r="BC8" i="7" s="1"/>
  <c r="EL7" i="7"/>
  <c r="EL8" i="7" s="1"/>
  <c r="CH7" i="7"/>
  <c r="CH8" i="7" s="1"/>
  <c r="DO7" i="7"/>
  <c r="DO8" i="7" s="1"/>
  <c r="DW7" i="7"/>
  <c r="DW8" i="7" s="1"/>
  <c r="AS7" i="7"/>
  <c r="AS8" i="7" s="1"/>
  <c r="BU7" i="7"/>
  <c r="BU8" i="7" s="1"/>
  <c r="AR7" i="7"/>
  <c r="AR8" i="7" s="1"/>
  <c r="BK7" i="7"/>
  <c r="BK8" i="7" s="1"/>
  <c r="BI7" i="7"/>
  <c r="BI8" i="7" s="1"/>
  <c r="CO7" i="7"/>
  <c r="CO8" i="7" s="1"/>
  <c r="EF7" i="7"/>
  <c r="EF8" i="7" s="1"/>
  <c r="AE7" i="7"/>
  <c r="AE8" i="7" s="1"/>
  <c r="DB7" i="7"/>
  <c r="DB8" i="7" s="1"/>
  <c r="CV7" i="7"/>
  <c r="CV8" i="7" s="1"/>
  <c r="EH7" i="7"/>
  <c r="EH8" i="7" s="1"/>
  <c r="CE7" i="7"/>
  <c r="CE8" i="7" s="1"/>
  <c r="AW7" i="7"/>
  <c r="AW8" i="7" s="1"/>
  <c r="CY7" i="7"/>
  <c r="CY8" i="7" s="1"/>
  <c r="DA7" i="7"/>
  <c r="DA8" i="7" s="1"/>
  <c r="AH7" i="7"/>
  <c r="AH8" i="7" s="1"/>
  <c r="DT7" i="7"/>
  <c r="DT8" i="7" s="1"/>
  <c r="DQ7" i="7"/>
  <c r="DQ8" i="7" s="1"/>
  <c r="CK7" i="7"/>
  <c r="CK8" i="7" s="1"/>
  <c r="DI7" i="7"/>
  <c r="DI8" i="7" s="1"/>
  <c r="CU7" i="7"/>
  <c r="CU8" i="7" s="1"/>
  <c r="EG7" i="7"/>
  <c r="EG8" i="7" s="1"/>
  <c r="AM7" i="7"/>
  <c r="AM8" i="7" s="1"/>
  <c r="AC7" i="7"/>
  <c r="AC8" i="7" s="1"/>
  <c r="BX7" i="7"/>
  <c r="BX8" i="7" s="1"/>
  <c r="CJ7" i="7"/>
  <c r="CJ8" i="7" s="1"/>
  <c r="BV7" i="7"/>
  <c r="BV8" i="7" s="1"/>
  <c r="BZ7" i="7"/>
  <c r="BZ8" i="7" s="1"/>
  <c r="CR7" i="7"/>
  <c r="CR8" i="7" s="1"/>
  <c r="CZ7" i="7"/>
  <c r="CZ8" i="7" s="1"/>
  <c r="CX7" i="7"/>
  <c r="CX8" i="7" s="1"/>
  <c r="EI7" i="7"/>
  <c r="EI8" i="7" s="1"/>
  <c r="CL7" i="7"/>
  <c r="CL8" i="7" s="1"/>
  <c r="BS7" i="7"/>
  <c r="BS8" i="7" s="1"/>
  <c r="AO7" i="7"/>
  <c r="AO8" i="7" s="1"/>
  <c r="BH7" i="7"/>
  <c r="BH8" i="7" s="1"/>
  <c r="DL7" i="7"/>
  <c r="DL8" i="7" s="1"/>
  <c r="AX7" i="7"/>
  <c r="AX8" i="7" s="1"/>
  <c r="B130" i="7"/>
  <c r="E41" i="12"/>
  <c r="G41" i="12" s="1"/>
  <c r="H41" i="12" s="1"/>
  <c r="F45" i="7"/>
  <c r="C130" i="7" s="1"/>
  <c r="AK43" i="11"/>
  <c r="AK44" i="11" s="1"/>
  <c r="U43" i="7"/>
  <c r="U44" i="7" s="1"/>
  <c r="Y43" i="7"/>
  <c r="Y44" i="7" s="1"/>
  <c r="F42" i="7"/>
  <c r="C127" i="7" s="1"/>
  <c r="B127" i="7"/>
  <c r="E38" i="12"/>
  <c r="G38" i="12" s="1"/>
  <c r="H38" i="12" s="1"/>
  <c r="E32" i="12"/>
  <c r="B121" i="7"/>
  <c r="F36" i="7"/>
  <c r="C121" i="7" s="1"/>
  <c r="BM7" i="11" l="1"/>
  <c r="BM8" i="11" s="1"/>
  <c r="BR7" i="11"/>
  <c r="BR8" i="11" s="1"/>
  <c r="DS7" i="11"/>
  <c r="DS8" i="11" s="1"/>
  <c r="BH7" i="11"/>
  <c r="BH8" i="11" s="1"/>
  <c r="CB7" i="11"/>
  <c r="CB8" i="11" s="1"/>
  <c r="CS7" i="11"/>
  <c r="CS8" i="11" s="1"/>
  <c r="AU7" i="11"/>
  <c r="AU8" i="11" s="1"/>
  <c r="DG7" i="11"/>
  <c r="DG8" i="11" s="1"/>
  <c r="CG7" i="11"/>
  <c r="CG8" i="11" s="1"/>
  <c r="BL7" i="11"/>
  <c r="BL8" i="11" s="1"/>
  <c r="CA7" i="11"/>
  <c r="CA8" i="11" s="1"/>
  <c r="AF7" i="11"/>
  <c r="AF8" i="11" s="1"/>
  <c r="BA7" i="11"/>
  <c r="BA8" i="11" s="1"/>
  <c r="AV7" i="11"/>
  <c r="AV8" i="11" s="1"/>
  <c r="AP7" i="11"/>
  <c r="AP8" i="11" s="1"/>
  <c r="ED7" i="11"/>
  <c r="ED8" i="11" s="1"/>
  <c r="CQ7" i="11"/>
  <c r="CQ8" i="11" s="1"/>
  <c r="DZ7" i="11"/>
  <c r="DZ8" i="11" s="1"/>
  <c r="DA7" i="11"/>
  <c r="DA8" i="11" s="1"/>
  <c r="CZ7" i="11"/>
  <c r="CZ8" i="11" s="1"/>
  <c r="CC7" i="11"/>
  <c r="CC8" i="11" s="1"/>
  <c r="BO7" i="11"/>
  <c r="BO8" i="11" s="1"/>
  <c r="BN7" i="11"/>
  <c r="BN8" i="11" s="1"/>
  <c r="AG7" i="11"/>
  <c r="AG8" i="11" s="1"/>
  <c r="DK7" i="11"/>
  <c r="DK8" i="11" s="1"/>
  <c r="AJ7" i="11"/>
  <c r="AJ8" i="11" s="1"/>
  <c r="CX7" i="11"/>
  <c r="CX8" i="11" s="1"/>
  <c r="DM7" i="11"/>
  <c r="DM8" i="11" s="1"/>
  <c r="EM7" i="11"/>
  <c r="EM8" i="11" s="1"/>
  <c r="EI7" i="11"/>
  <c r="EI8" i="11" s="1"/>
  <c r="F41" i="7"/>
  <c r="C126" i="7" s="1"/>
  <c r="AM7" i="11"/>
  <c r="AM8" i="11" s="1"/>
  <c r="DJ7" i="11"/>
  <c r="DJ8" i="11" s="1"/>
  <c r="BY7" i="11"/>
  <c r="BY8" i="11" s="1"/>
  <c r="AB7" i="11"/>
  <c r="AB8" i="11" s="1"/>
  <c r="BB7" i="11"/>
  <c r="BB8" i="11" s="1"/>
  <c r="AT7" i="11"/>
  <c r="AT8" i="11" s="1"/>
  <c r="BT7" i="11"/>
  <c r="BT8" i="11" s="1"/>
  <c r="DL7" i="11"/>
  <c r="DL8" i="11" s="1"/>
  <c r="CJ7" i="11"/>
  <c r="CJ8" i="11" s="1"/>
  <c r="BJ7" i="11"/>
  <c r="BJ8" i="11" s="1"/>
  <c r="CH7" i="11"/>
  <c r="CH8" i="11" s="1"/>
  <c r="BE7" i="11"/>
  <c r="BE8" i="11" s="1"/>
  <c r="DX7" i="11"/>
  <c r="DX8" i="11" s="1"/>
  <c r="BZ7" i="11"/>
  <c r="BZ8" i="11" s="1"/>
  <c r="DP7" i="11"/>
  <c r="DP8" i="11" s="1"/>
  <c r="AC7" i="11"/>
  <c r="AC8" i="11" s="1"/>
  <c r="V48" i="11" s="1"/>
  <c r="R50" i="11" s="1"/>
  <c r="CF7" i="11"/>
  <c r="CF8" i="11" s="1"/>
  <c r="AZ7" i="11"/>
  <c r="AZ8" i="11" s="1"/>
  <c r="DD7" i="11"/>
  <c r="DD8" i="11" s="1"/>
  <c r="BC7" i="11"/>
  <c r="BC8" i="11" s="1"/>
  <c r="CI7" i="11"/>
  <c r="CI8" i="11" s="1"/>
  <c r="CT7" i="11"/>
  <c r="CT8" i="11" s="1"/>
  <c r="DW7" i="11"/>
  <c r="DW8" i="11" s="1"/>
  <c r="DH7" i="11"/>
  <c r="DH8" i="11" s="1"/>
  <c r="CD7" i="11"/>
  <c r="CD8" i="11" s="1"/>
  <c r="AO7" i="11"/>
  <c r="AO8" i="11" s="1"/>
  <c r="EG7" i="11"/>
  <c r="EG8" i="11" s="1"/>
  <c r="DU7" i="11"/>
  <c r="DU8" i="11" s="1"/>
  <c r="DI7" i="11"/>
  <c r="DI8" i="11" s="1"/>
  <c r="CW7" i="11"/>
  <c r="CW8" i="11" s="1"/>
  <c r="AK7" i="11"/>
  <c r="AK8" i="11" s="1"/>
  <c r="DR7" i="11"/>
  <c r="DR8" i="11" s="1"/>
  <c r="EF7" i="11"/>
  <c r="EF8" i="11" s="1"/>
  <c r="DO7" i="11"/>
  <c r="DO8" i="11" s="1"/>
  <c r="BK7" i="11"/>
  <c r="BK8" i="11" s="1"/>
  <c r="AQ7" i="11"/>
  <c r="AQ8" i="11" s="1"/>
  <c r="CL7" i="11"/>
  <c r="CL8" i="11" s="1"/>
  <c r="CP7" i="11"/>
  <c r="CP8" i="11" s="1"/>
  <c r="CM7" i="11"/>
  <c r="CM8" i="11" s="1"/>
  <c r="CY7" i="11"/>
  <c r="CY8" i="11" s="1"/>
  <c r="EE7" i="11"/>
  <c r="EE8" i="11" s="1"/>
  <c r="CE7" i="11"/>
  <c r="CE8" i="11" s="1"/>
  <c r="DQ7" i="11"/>
  <c r="DQ8" i="11" s="1"/>
  <c r="EC7" i="11"/>
  <c r="EC8" i="11" s="1"/>
  <c r="DN7" i="11"/>
  <c r="DN8" i="11" s="1"/>
  <c r="BV7" i="11"/>
  <c r="BV8" i="11" s="1"/>
  <c r="EB7" i="11"/>
  <c r="EB8" i="11" s="1"/>
  <c r="CV7" i="11"/>
  <c r="CV8" i="11" s="1"/>
  <c r="AS7" i="11"/>
  <c r="AS8" i="11" s="1"/>
  <c r="BW7" i="11"/>
  <c r="BW8" i="11" s="1"/>
  <c r="CN7" i="11"/>
  <c r="CN8" i="11" s="1"/>
  <c r="BD7" i="11"/>
  <c r="BD8" i="11" s="1"/>
  <c r="AI7" i="11"/>
  <c r="AI8" i="11" s="1"/>
  <c r="EK7" i="11"/>
  <c r="EK8" i="11" s="1"/>
  <c r="AW7" i="11"/>
  <c r="AW8" i="11" s="1"/>
  <c r="AX7" i="11"/>
  <c r="AX8" i="11" s="1"/>
  <c r="BQ7" i="11"/>
  <c r="BQ8" i="11" s="1"/>
  <c r="BS7" i="11"/>
  <c r="BS8" i="11" s="1"/>
  <c r="Z7" i="11"/>
  <c r="Z8" i="11" s="1"/>
  <c r="Z29" i="12"/>
  <c r="AA29" i="12" s="1"/>
  <c r="B128" i="7"/>
  <c r="E39" i="12"/>
  <c r="G39" i="12" s="1"/>
  <c r="H39" i="12" s="1"/>
  <c r="Z39" i="12" s="1"/>
  <c r="AA39" i="12" s="1"/>
  <c r="F43" i="7"/>
  <c r="C128" i="7" s="1"/>
  <c r="G32" i="12"/>
  <c r="H32" i="12" s="1"/>
  <c r="I31" i="12"/>
  <c r="B129" i="7"/>
  <c r="F44" i="7"/>
  <c r="C129" i="7" s="1"/>
  <c r="E40" i="12"/>
  <c r="G40" i="12" s="1"/>
  <c r="H40" i="12" s="1"/>
  <c r="B119" i="7"/>
  <c r="E30" i="12"/>
  <c r="G30" i="12" s="1"/>
  <c r="H30" i="12" s="1"/>
  <c r="F34" i="7"/>
  <c r="C119" i="7" s="1"/>
  <c r="E33" i="12"/>
  <c r="G33" i="12" s="1"/>
  <c r="H33" i="12" s="1"/>
  <c r="I33" i="12" s="1"/>
  <c r="F37" i="7"/>
  <c r="C122" i="7" s="1"/>
  <c r="B122" i="7"/>
  <c r="I39" i="12"/>
  <c r="M48" i="7"/>
  <c r="I50" i="7" s="1"/>
  <c r="E36" i="12"/>
  <c r="G36" i="12" s="1"/>
  <c r="H36" i="12" s="1"/>
  <c r="B125" i="7"/>
  <c r="F40" i="7"/>
  <c r="C125" i="7" s="1"/>
  <c r="I37" i="12"/>
  <c r="Z37" i="12"/>
  <c r="AA37" i="12" s="1"/>
  <c r="S50" i="7"/>
  <c r="S48" i="7"/>
  <c r="S49" i="7"/>
  <c r="I38" i="12"/>
  <c r="Z38" i="12"/>
  <c r="AA38" i="12" s="1"/>
  <c r="I41" i="12"/>
  <c r="Z41" i="12"/>
  <c r="AA41" i="12" s="1"/>
  <c r="AB50" i="11"/>
  <c r="AB48" i="11"/>
  <c r="AB49" i="11"/>
  <c r="I35" i="12"/>
  <c r="Z35" i="12"/>
  <c r="AA35" i="12" s="1"/>
  <c r="I32" i="12" l="1"/>
  <c r="Z32" i="12"/>
  <c r="AA32" i="12" s="1"/>
  <c r="C133" i="7"/>
  <c r="E133" i="7" s="1"/>
  <c r="D103" i="7" s="1"/>
  <c r="Z33" i="12"/>
  <c r="AA33" i="12" s="1"/>
  <c r="I36" i="12"/>
  <c r="Z36" i="12"/>
  <c r="AA36" i="12" s="1"/>
  <c r="I30" i="12"/>
  <c r="Z30" i="12"/>
  <c r="AA30" i="12" s="1"/>
  <c r="I40" i="12"/>
  <c r="Z40" i="12"/>
  <c r="AA40" i="12" s="1"/>
  <c r="S60" i="7"/>
  <c r="S57" i="7"/>
  <c r="S54" i="7"/>
  <c r="S59" i="7"/>
  <c r="S55" i="7"/>
  <c r="S52" i="7"/>
  <c r="T52" i="7" s="1"/>
  <c r="S51" i="7"/>
  <c r="S53" i="7"/>
  <c r="T53" i="7" s="1"/>
  <c r="AB60" i="11"/>
  <c r="AB54" i="11"/>
  <c r="AB52" i="11"/>
  <c r="AC52" i="11" s="1"/>
  <c r="AB59" i="11"/>
  <c r="AB53" i="11"/>
  <c r="AC53" i="11" s="1"/>
  <c r="AB51" i="11"/>
  <c r="AB57" i="11"/>
  <c r="AB55" i="11"/>
  <c r="D111" i="7" l="1"/>
  <c r="D105" i="7"/>
  <c r="D106" i="7"/>
  <c r="D113" i="7"/>
  <c r="D104" i="7"/>
  <c r="U43" i="12"/>
  <c r="J13" i="12" s="1"/>
  <c r="K13" i="12" s="1"/>
  <c r="L13" i="12" s="1"/>
  <c r="D109" i="7"/>
  <c r="D108" i="7"/>
  <c r="D114" i="7"/>
  <c r="D107" i="7"/>
  <c r="D110" i="7"/>
  <c r="D112" i="7"/>
  <c r="W43" i="12"/>
  <c r="J15" i="12" s="1"/>
  <c r="K15" i="12" s="1"/>
  <c r="L15" i="12" s="1"/>
  <c r="I44" i="12"/>
  <c r="K44" i="12" s="1"/>
  <c r="M43" i="12"/>
  <c r="J5" i="12" s="1"/>
  <c r="K5" i="12" s="1"/>
  <c r="L5" i="12" s="1"/>
  <c r="L43" i="12"/>
  <c r="J4" i="12" s="1"/>
  <c r="K4" i="12" s="1"/>
  <c r="L4" i="12" s="1"/>
  <c r="R43" i="12"/>
  <c r="T43" i="12"/>
  <c r="J12" i="12" s="1"/>
  <c r="K12" i="12" s="1"/>
  <c r="L12" i="12" s="1"/>
  <c r="S43" i="12"/>
  <c r="J11" i="12" s="1"/>
  <c r="K11" i="12" s="1"/>
  <c r="L11" i="12" s="1"/>
  <c r="Q43" i="12"/>
  <c r="J9" i="12" s="1"/>
  <c r="K9" i="12" s="1"/>
  <c r="L9" i="12" s="1"/>
  <c r="N43" i="12"/>
  <c r="J6" i="12" s="1"/>
  <c r="K6" i="12" s="1"/>
  <c r="L6" i="12" s="1"/>
  <c r="O43" i="12"/>
  <c r="J7" i="12" s="1"/>
  <c r="K7" i="12" s="1"/>
  <c r="L7" i="12" s="1"/>
  <c r="X43" i="12"/>
  <c r="M5" i="12" s="1"/>
  <c r="P43" i="12"/>
  <c r="J8" i="12" s="1"/>
  <c r="K8" i="12" s="1"/>
  <c r="L8" i="12" s="1"/>
  <c r="V43" i="12"/>
  <c r="J14" i="12" s="1"/>
  <c r="K14" i="12" s="1"/>
  <c r="L14" i="12" s="1"/>
  <c r="J10" i="12" l="1"/>
  <c r="K10" i="12" s="1"/>
  <c r="L10" i="12" s="1"/>
  <c r="K17" i="12"/>
  <c r="R112" i="8" s="1"/>
  <c r="M7" i="12"/>
  <c r="M8" i="12"/>
  <c r="M10" i="12"/>
  <c r="M11" i="12"/>
  <c r="M15" i="12"/>
  <c r="M9" i="12"/>
  <c r="M14" i="12"/>
  <c r="M4" i="12"/>
  <c r="M6" i="12"/>
  <c r="M12" i="12"/>
  <c r="M13" i="12"/>
  <c r="R104" i="8"/>
  <c r="R106" i="8"/>
  <c r="R109" i="8"/>
  <c r="L127" i="8"/>
  <c r="L139" i="8"/>
  <c r="L136" i="8"/>
  <c r="R107" i="8"/>
  <c r="R111" i="8"/>
  <c r="R116" i="8"/>
  <c r="L131" i="8"/>
  <c r="L129" i="8"/>
  <c r="L126" i="8"/>
  <c r="D143" i="8" s="1"/>
  <c r="R108" i="8"/>
  <c r="R105" i="8"/>
  <c r="L134" i="8"/>
  <c r="L140" i="8"/>
  <c r="L138" i="8"/>
  <c r="L137" i="8"/>
  <c r="R113" i="8"/>
  <c r="R117" i="8"/>
  <c r="R115" i="8"/>
  <c r="R110" i="8"/>
  <c r="AE15" i="12"/>
  <c r="L135" i="8"/>
  <c r="L132" i="8"/>
  <c r="L133" i="8"/>
  <c r="L128" i="8"/>
  <c r="L130" i="8"/>
  <c r="R103" i="8" l="1"/>
  <c r="R114" i="8"/>
  <c r="L17" i="12"/>
  <c r="D119" i="8"/>
  <c r="AG15" i="12"/>
  <c r="C103" i="8"/>
  <c r="AE45" i="12"/>
  <c r="AE16" i="12"/>
  <c r="AG45" i="12" l="1"/>
  <c r="C126" i="8"/>
  <c r="AG16" i="12"/>
  <c r="C104" i="8"/>
  <c r="AE17" i="12"/>
  <c r="AE46" i="12"/>
  <c r="AH15" i="12"/>
  <c r="E103" i="8"/>
  <c r="P103" i="8" s="1"/>
  <c r="Q103" i="8" s="1"/>
  <c r="AG46" i="12" l="1"/>
  <c r="C127" i="8"/>
  <c r="F103" i="8"/>
  <c r="AI15" i="12"/>
  <c r="AG17" i="12"/>
  <c r="C105" i="8"/>
  <c r="AE47" i="12"/>
  <c r="AE18" i="12"/>
  <c r="E104" i="8"/>
  <c r="P104" i="8" s="1"/>
  <c r="Q104" i="8" s="1"/>
  <c r="AH16" i="12"/>
  <c r="F104" i="8" s="1"/>
  <c r="E126" i="8"/>
  <c r="AH45" i="12"/>
  <c r="AE19" i="12" l="1"/>
  <c r="AG18" i="12"/>
  <c r="AE48" i="12"/>
  <c r="C106" i="8"/>
  <c r="AH17" i="12"/>
  <c r="F105" i="8" s="1"/>
  <c r="E105" i="8"/>
  <c r="P105" i="8" s="1"/>
  <c r="Q105" i="8" s="1"/>
  <c r="AI16" i="12"/>
  <c r="G103" i="8"/>
  <c r="L103" i="8" s="1"/>
  <c r="C128" i="8"/>
  <c r="AG47" i="12"/>
  <c r="F126" i="8"/>
  <c r="AI45" i="12"/>
  <c r="AH46" i="12"/>
  <c r="F127" i="8" s="1"/>
  <c r="E127" i="8"/>
  <c r="G126" i="8" l="1"/>
  <c r="M126" i="8" s="1"/>
  <c r="AI46" i="12"/>
  <c r="AG48" i="12"/>
  <c r="C129" i="8"/>
  <c r="AH18" i="12"/>
  <c r="F106" i="8" s="1"/>
  <c r="E106" i="8"/>
  <c r="P106" i="8" s="1"/>
  <c r="Q106" i="8" s="1"/>
  <c r="G104" i="8"/>
  <c r="L104" i="8" s="1"/>
  <c r="AI17" i="12"/>
  <c r="E128" i="8"/>
  <c r="AH47" i="12"/>
  <c r="F128" i="8" s="1"/>
  <c r="C107" i="8"/>
  <c r="AE49" i="12"/>
  <c r="AG19" i="12"/>
  <c r="AE20" i="12"/>
  <c r="E107" i="8" l="1"/>
  <c r="P107" i="8" s="1"/>
  <c r="Q107" i="8" s="1"/>
  <c r="AH19" i="12"/>
  <c r="F107" i="8" s="1"/>
  <c r="C130" i="8"/>
  <c r="AG49" i="12"/>
  <c r="AI18" i="12"/>
  <c r="G105" i="8"/>
  <c r="L105" i="8" s="1"/>
  <c r="AH48" i="12"/>
  <c r="F129" i="8" s="1"/>
  <c r="E129" i="8"/>
  <c r="AI47" i="12"/>
  <c r="G127" i="8"/>
  <c r="M127" i="8" s="1"/>
  <c r="AE21" i="12"/>
  <c r="C108" i="8"/>
  <c r="AE50" i="12"/>
  <c r="AG20" i="12"/>
  <c r="G106" i="8" l="1"/>
  <c r="L106" i="8" s="1"/>
  <c r="AI19" i="12"/>
  <c r="E130" i="8"/>
  <c r="AH49" i="12"/>
  <c r="F130" i="8" s="1"/>
  <c r="AH20" i="12"/>
  <c r="F108" i="8" s="1"/>
  <c r="E108" i="8"/>
  <c r="P108" i="8" s="1"/>
  <c r="Q108" i="8" s="1"/>
  <c r="C109" i="8"/>
  <c r="AE22" i="12"/>
  <c r="AE51" i="12"/>
  <c r="AG21" i="12"/>
  <c r="AG50" i="12"/>
  <c r="C131" i="8"/>
  <c r="AI48" i="12"/>
  <c r="G128" i="8"/>
  <c r="M128" i="8" s="1"/>
  <c r="AH50" i="12" l="1"/>
  <c r="F131" i="8" s="1"/>
  <c r="E131" i="8"/>
  <c r="E109" i="8"/>
  <c r="P109" i="8" s="1"/>
  <c r="Q109" i="8" s="1"/>
  <c r="AH21" i="12"/>
  <c r="F109" i="8" s="1"/>
  <c r="AI20" i="12"/>
  <c r="G107" i="8"/>
  <c r="L107" i="8" s="1"/>
  <c r="AE52" i="12"/>
  <c r="AG22" i="12"/>
  <c r="AE23" i="12"/>
  <c r="C110" i="8"/>
  <c r="G129" i="8"/>
  <c r="M129" i="8" s="1"/>
  <c r="AI49" i="12"/>
  <c r="AG51" i="12"/>
  <c r="C132" i="8"/>
  <c r="E110" i="8" l="1"/>
  <c r="P110" i="8" s="1"/>
  <c r="Q110" i="8" s="1"/>
  <c r="D120" i="8" s="1"/>
  <c r="AH22" i="12"/>
  <c r="F110" i="8" s="1"/>
  <c r="G130" i="8"/>
  <c r="M130" i="8" s="1"/>
  <c r="AI50" i="12"/>
  <c r="AG52" i="12"/>
  <c r="C133" i="8"/>
  <c r="AH51" i="12"/>
  <c r="F132" i="8" s="1"/>
  <c r="E132" i="8"/>
  <c r="G108" i="8"/>
  <c r="L108" i="8" s="1"/>
  <c r="AI21" i="12"/>
  <c r="AE53" i="12"/>
  <c r="AE24" i="12"/>
  <c r="AG23" i="12"/>
  <c r="C111" i="8"/>
  <c r="AG53" i="12" l="1"/>
  <c r="C134" i="8"/>
  <c r="AH52" i="12"/>
  <c r="F133" i="8" s="1"/>
  <c r="E133" i="8"/>
  <c r="AE54" i="12"/>
  <c r="AG24" i="12"/>
  <c r="C112" i="8"/>
  <c r="AE25" i="12"/>
  <c r="G109" i="8"/>
  <c r="L109" i="8" s="1"/>
  <c r="AI22" i="12"/>
  <c r="AH23" i="12"/>
  <c r="F111" i="8" s="1"/>
  <c r="E111" i="8"/>
  <c r="P111" i="8" s="1"/>
  <c r="Q111" i="8" s="1"/>
  <c r="AI51" i="12"/>
  <c r="G131" i="8"/>
  <c r="M131" i="8" s="1"/>
  <c r="T105" i="8" a="1"/>
  <c r="T105" i="8" s="1"/>
  <c r="T104" i="8" a="1"/>
  <c r="T104" i="8" s="1"/>
  <c r="T106" i="8" l="1"/>
  <c r="T107" i="8" s="1"/>
  <c r="D121" i="8" s="1"/>
  <c r="AE55" i="12"/>
  <c r="AG25" i="12"/>
  <c r="C113" i="8"/>
  <c r="AE26" i="12"/>
  <c r="E112" i="8"/>
  <c r="P112" i="8" s="1"/>
  <c r="Q112" i="8" s="1"/>
  <c r="AH24" i="12"/>
  <c r="F112" i="8" s="1"/>
  <c r="AI52" i="12"/>
  <c r="G132" i="8"/>
  <c r="M132" i="8" s="1"/>
  <c r="C135" i="8"/>
  <c r="AG54" i="12"/>
  <c r="G110" i="8"/>
  <c r="L110" i="8" s="1"/>
  <c r="AI23" i="12"/>
  <c r="E134" i="8"/>
  <c r="AH53" i="12"/>
  <c r="F134" i="8" s="1"/>
  <c r="G133" i="8" l="1"/>
  <c r="AI53" i="12"/>
  <c r="G111" i="8"/>
  <c r="L111" i="8" s="1"/>
  <c r="AI24" i="12"/>
  <c r="C114" i="8"/>
  <c r="AG26" i="12"/>
  <c r="AE56" i="12"/>
  <c r="AE27" i="12"/>
  <c r="E135" i="8"/>
  <c r="AH54" i="12"/>
  <c r="F135" i="8" s="1"/>
  <c r="AH25" i="12"/>
  <c r="F113" i="8" s="1"/>
  <c r="E113" i="8"/>
  <c r="P113" i="8" s="1"/>
  <c r="Q113" i="8" s="1"/>
  <c r="C136" i="8"/>
  <c r="AG55" i="12"/>
  <c r="C115" i="8" l="1"/>
  <c r="AE57" i="12"/>
  <c r="AE28" i="12"/>
  <c r="AG27" i="12"/>
  <c r="C137" i="8"/>
  <c r="AG56" i="12"/>
  <c r="AH55" i="12"/>
  <c r="F136" i="8" s="1"/>
  <c r="E136" i="8"/>
  <c r="AH26" i="12"/>
  <c r="F114" i="8" s="1"/>
  <c r="E114" i="8"/>
  <c r="P114" i="8" s="1"/>
  <c r="Q114" i="8" s="1"/>
  <c r="G112" i="8"/>
  <c r="L112" i="8" s="1"/>
  <c r="AI25" i="12"/>
  <c r="G134" i="8"/>
  <c r="M134" i="8" s="1"/>
  <c r="AI54" i="12"/>
  <c r="M133" i="8"/>
  <c r="D144" i="8"/>
  <c r="E137" i="8" l="1"/>
  <c r="AH56" i="12"/>
  <c r="F137" i="8" s="1"/>
  <c r="G135" i="8"/>
  <c r="M135" i="8" s="1"/>
  <c r="AI55" i="12"/>
  <c r="C116" i="8"/>
  <c r="AG28" i="12"/>
  <c r="AE58" i="12"/>
  <c r="AE29" i="12"/>
  <c r="O127" i="8" a="1"/>
  <c r="O127" i="8" s="1"/>
  <c r="O128" i="8" a="1"/>
  <c r="O128" i="8" s="1"/>
  <c r="G113" i="8"/>
  <c r="L113" i="8" s="1"/>
  <c r="AI26" i="12"/>
  <c r="E115" i="8"/>
  <c r="P115" i="8" s="1"/>
  <c r="Q115" i="8" s="1"/>
  <c r="AH27" i="12"/>
  <c r="F115" i="8" s="1"/>
  <c r="C138" i="8"/>
  <c r="AG57" i="12"/>
  <c r="E116" i="8" l="1"/>
  <c r="P116" i="8" s="1"/>
  <c r="Q116" i="8" s="1"/>
  <c r="AH28" i="12"/>
  <c r="G114" i="8"/>
  <c r="L114" i="8" s="1"/>
  <c r="AI27" i="12"/>
  <c r="G136" i="8"/>
  <c r="M136" i="8" s="1"/>
  <c r="AI56" i="12"/>
  <c r="E138" i="8"/>
  <c r="AH57" i="12"/>
  <c r="F138" i="8" s="1"/>
  <c r="AG29" i="12"/>
  <c r="C117" i="8"/>
  <c r="AE59" i="12"/>
  <c r="C139" i="8"/>
  <c r="AG58" i="12"/>
  <c r="O129" i="8"/>
  <c r="O130" i="8" s="1"/>
  <c r="D145" i="8" s="1"/>
  <c r="F116" i="8" l="1"/>
  <c r="AI57" i="12"/>
  <c r="G137" i="8"/>
  <c r="M137" i="8" s="1"/>
  <c r="AH58" i="12"/>
  <c r="F139" i="8" s="1"/>
  <c r="E139" i="8"/>
  <c r="AI28" i="12"/>
  <c r="G115" i="8"/>
  <c r="L115" i="8" s="1"/>
  <c r="C140" i="8"/>
  <c r="AG59" i="12"/>
  <c r="E117" i="8"/>
  <c r="P117" i="8" s="1"/>
  <c r="Q117" i="8" s="1"/>
  <c r="AH29" i="12"/>
  <c r="F117" i="8" s="1"/>
  <c r="G138" i="8" l="1"/>
  <c r="M138" i="8" s="1"/>
  <c r="AI58" i="12"/>
  <c r="E140" i="8"/>
  <c r="AH59" i="12"/>
  <c r="F140" i="8" s="1"/>
  <c r="D142" i="8" s="1"/>
  <c r="G116" i="8"/>
  <c r="L116" i="8" s="1"/>
  <c r="AI29" i="12"/>
  <c r="G117" i="8" s="1"/>
  <c r="L117" i="8" s="1"/>
  <c r="AF31" i="12"/>
  <c r="AF62" i="12"/>
  <c r="AI59" i="12" l="1"/>
  <c r="G140" i="8" s="1"/>
  <c r="M140" i="8" s="1"/>
  <c r="G139" i="8"/>
  <c r="M139"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rrigation !$K$28:$V$41" type="102" refreshedVersion="7" minRefreshableVersion="5">
    <extLst>
      <ext xmlns:x15="http://schemas.microsoft.com/office/spreadsheetml/2010/11/main" uri="{DE250136-89BD-433C-8126-D09CA5730AF9}">
        <x15:connection id="Range">
          <x15:rangePr sourceName="_xlcn.WorksheetConnection_IrrigationK28V41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<sst xmlns="http://schemas.openxmlformats.org/spreadsheetml/2006/main" count="1041" uniqueCount="344">
  <si>
    <t>W</t>
  </si>
  <si>
    <t>Single</t>
  </si>
  <si>
    <t>Three</t>
  </si>
  <si>
    <t>VMP</t>
  </si>
  <si>
    <t>VOC</t>
  </si>
  <si>
    <t xml:space="preserve">Sizing Factor </t>
  </si>
  <si>
    <t>Time</t>
  </si>
  <si>
    <t xml:space="preserve">Sunshine </t>
  </si>
  <si>
    <t>Drive output</t>
  </si>
  <si>
    <t>Flow</t>
  </si>
  <si>
    <t>Other</t>
  </si>
  <si>
    <t>Single Phase Output Drive</t>
  </si>
  <si>
    <t>kW</t>
  </si>
  <si>
    <t>Min VMP</t>
  </si>
  <si>
    <t>Max Voc</t>
  </si>
  <si>
    <t>Optimal MAX</t>
  </si>
  <si>
    <t>Max Motor Size</t>
  </si>
  <si>
    <t>LOW VOLTAGE</t>
  </si>
  <si>
    <t>HIGH VOLTAGE</t>
  </si>
  <si>
    <t xml:space="preserve">STRING DIVISION </t>
  </si>
  <si>
    <t xml:space="preserve">Pump Motot Size </t>
  </si>
  <si>
    <t>Cedar SI30 D3 R75G</t>
  </si>
  <si>
    <t>Cedar SI30 D3 1R5G</t>
  </si>
  <si>
    <t>Cedar SI30 D3 2R2G</t>
  </si>
  <si>
    <t>Cedar SI30 D5 004G</t>
  </si>
  <si>
    <t>Cedar SI30 D5 2R2G</t>
  </si>
  <si>
    <t>Cedar SI30 D5 5R5G</t>
  </si>
  <si>
    <t>Cedar SI30 D5 7R5G</t>
  </si>
  <si>
    <t>Cedar SI30 D5 011G</t>
  </si>
  <si>
    <t>Cedar SI30 D5 015G</t>
  </si>
  <si>
    <t>-</t>
  </si>
  <si>
    <t>Customer</t>
  </si>
  <si>
    <t>Phone Number</t>
  </si>
  <si>
    <t>Email</t>
  </si>
  <si>
    <t>Select Area/Country</t>
  </si>
  <si>
    <t>Select Town</t>
  </si>
  <si>
    <t>Namibia</t>
  </si>
  <si>
    <t>Windhoek</t>
  </si>
  <si>
    <t xml:space="preserve">Client Information </t>
  </si>
  <si>
    <t xml:space="preserve">Pump Information </t>
  </si>
  <si>
    <t xml:space="preserve">Voltage </t>
  </si>
  <si>
    <t xml:space="preserve">Phases </t>
  </si>
  <si>
    <t>Power rating (kW)</t>
  </si>
  <si>
    <t>Flow at TDH (L/h)</t>
  </si>
  <si>
    <t xml:space="preserve">Solar Panel Information </t>
  </si>
  <si>
    <t>Watt</t>
  </si>
  <si>
    <t>Make</t>
  </si>
  <si>
    <t xml:space="preserve">Select Drive </t>
  </si>
  <si>
    <t xml:space="preserve">Recommended Configuration  </t>
  </si>
  <si>
    <t xml:space="preserve">Recommended Drive </t>
  </si>
  <si>
    <t>Total Number of Panels</t>
  </si>
  <si>
    <t xml:space="preserve">Number of Strings </t>
  </si>
  <si>
    <t xml:space="preserve">Panels per String </t>
  </si>
  <si>
    <t xml:space="preserve">Manual Selection  </t>
  </si>
  <si>
    <t xml:space="preserve">Aliwal-North </t>
  </si>
  <si>
    <t xml:space="preserve">Bloemfontein </t>
  </si>
  <si>
    <t xml:space="preserve">Cape Town </t>
  </si>
  <si>
    <t>Cradock</t>
  </si>
  <si>
    <t>Keetmanshoop</t>
  </si>
  <si>
    <t xml:space="preserve">DeAar  </t>
  </si>
  <si>
    <t xml:space="preserve">Gobabis </t>
  </si>
  <si>
    <t xml:space="preserve">Johannesburg </t>
  </si>
  <si>
    <t xml:space="preserve">Kimberly </t>
  </si>
  <si>
    <t>Mariental</t>
  </si>
  <si>
    <t xml:space="preserve">Otjiwarongo </t>
  </si>
  <si>
    <t xml:space="preserve">Pretoria </t>
  </si>
  <si>
    <t>Rustenburg</t>
  </si>
  <si>
    <t xml:space="preserve">Senekal </t>
  </si>
  <si>
    <t>Springbok</t>
  </si>
  <si>
    <t xml:space="preserve">Thabazimbi </t>
  </si>
  <si>
    <t xml:space="preserve">Tsumeb </t>
  </si>
  <si>
    <t>Upington</t>
  </si>
  <si>
    <t>Witbank</t>
  </si>
  <si>
    <t xml:space="preserve">Potchefstroom </t>
  </si>
  <si>
    <t xml:space="preserve">Kimberley </t>
  </si>
  <si>
    <t>Mosselbay</t>
  </si>
  <si>
    <t>PE</t>
  </si>
  <si>
    <t>Aliwal-Noord</t>
  </si>
  <si>
    <t>Beaufort West</t>
  </si>
  <si>
    <t xml:space="preserve">Nelspruit </t>
  </si>
  <si>
    <t>Maputo</t>
  </si>
  <si>
    <t>Inhambane</t>
  </si>
  <si>
    <t>Bulowayo</t>
  </si>
  <si>
    <t xml:space="preserve">Harare </t>
  </si>
  <si>
    <t>Maun</t>
  </si>
  <si>
    <t>Ghanzi</t>
  </si>
  <si>
    <t>Gabarone</t>
  </si>
  <si>
    <t xml:space="preserve">Ondangwa </t>
  </si>
  <si>
    <t>Grootfontein</t>
  </si>
  <si>
    <t>Swakopmund</t>
  </si>
  <si>
    <t>BelaBela</t>
  </si>
  <si>
    <t xml:space="preserve">Botswana </t>
  </si>
  <si>
    <t>Zimbabwe</t>
  </si>
  <si>
    <t xml:space="preserve">Mozambique </t>
  </si>
  <si>
    <t>WesternCape</t>
  </si>
  <si>
    <t>EasternCape</t>
  </si>
  <si>
    <t>NorthernCape</t>
  </si>
  <si>
    <t xml:space="preserve">Gauteng </t>
  </si>
  <si>
    <t xml:space="preserve">Mpumalanga </t>
  </si>
  <si>
    <t xml:space="preserve">Gabarone </t>
  </si>
  <si>
    <t>MosselBay</t>
  </si>
  <si>
    <t>Optimal MIN</t>
  </si>
  <si>
    <t>Rated Output App</t>
  </si>
  <si>
    <t xml:space="preserve">Size </t>
  </si>
  <si>
    <t>H</t>
  </si>
  <si>
    <t>D</t>
  </si>
  <si>
    <t>Installation Hole</t>
  </si>
  <si>
    <t>W1</t>
  </si>
  <si>
    <t>H1</t>
  </si>
  <si>
    <t>Amerture Size</t>
  </si>
  <si>
    <t>Cedar SI23 T3-037G</t>
  </si>
  <si>
    <t>Cedar SI23 T3-045G</t>
  </si>
  <si>
    <t>Cedar SI23 T3-055G</t>
  </si>
  <si>
    <t>Cedar SI23 T3-075G</t>
  </si>
  <si>
    <t>Cedar SI23 T3-093G</t>
  </si>
  <si>
    <t>Cedar SI23 T3-110G</t>
  </si>
  <si>
    <t>Cedar SI23 T3-132G</t>
  </si>
  <si>
    <t>Cedar SI23 T3-160G</t>
  </si>
  <si>
    <t>Cedar SI23 T3-185G</t>
  </si>
  <si>
    <t>Cedar SI23 T3-200G</t>
  </si>
  <si>
    <t>Cedar SI23 D5-018G</t>
  </si>
  <si>
    <t>Cedar SI23 D5-022G</t>
  </si>
  <si>
    <t>Cedar SI23 D5-030G</t>
  </si>
  <si>
    <t>M5</t>
  </si>
  <si>
    <t>M6</t>
  </si>
  <si>
    <t>M7</t>
  </si>
  <si>
    <t>M8</t>
  </si>
  <si>
    <t>M9</t>
  </si>
  <si>
    <t>M10</t>
  </si>
  <si>
    <t>M7.5</t>
  </si>
  <si>
    <t>M7.6</t>
  </si>
  <si>
    <t>M11</t>
  </si>
  <si>
    <t>M12</t>
  </si>
  <si>
    <t>Daily Yield</t>
  </si>
  <si>
    <t>Pump Info</t>
  </si>
  <si>
    <t>Recommended or Manual Configuration?</t>
  </si>
  <si>
    <t xml:space="preserve">Confuguration </t>
  </si>
  <si>
    <t>Recommended</t>
  </si>
  <si>
    <t xml:space="preserve">Manual </t>
  </si>
  <si>
    <t xml:space="preserve">AC Voltage </t>
  </si>
  <si>
    <t xml:space="preserve">Safe Max Voltage </t>
  </si>
  <si>
    <t xml:space="preserve">String Calculator </t>
  </si>
  <si>
    <t>Required Watt</t>
  </si>
  <si>
    <t>Total PV Watt</t>
  </si>
  <si>
    <t>Total Number of PV Panels</t>
  </si>
  <si>
    <t>Sizing Factor</t>
  </si>
  <si>
    <t xml:space="preserve">IP Rating </t>
  </si>
  <si>
    <t>IP65</t>
  </si>
  <si>
    <t>IP20</t>
  </si>
  <si>
    <t xml:space="preserve">Manual Configuration </t>
  </si>
  <si>
    <t>Drive Model</t>
  </si>
  <si>
    <t>Rated power (Pmax), Wp</t>
  </si>
  <si>
    <t>Max. power voltage (Vmp), V</t>
  </si>
  <si>
    <t>Max. power current (Imp), A</t>
  </si>
  <si>
    <t>Open circuit voltage (Voc), V</t>
  </si>
  <si>
    <t>Short circuit current (Isc), A</t>
  </si>
  <si>
    <t>Efficiency</t>
  </si>
  <si>
    <t xml:space="preserve">Panel Information </t>
  </si>
  <si>
    <t>Min VOC</t>
  </si>
  <si>
    <t>Min PV</t>
  </si>
  <si>
    <t xml:space="preserve">Min # PV Panels </t>
  </si>
  <si>
    <t xml:space="preserve">Watt requirement </t>
  </si>
  <si>
    <t>Least Option</t>
  </si>
  <si>
    <t>Open circuit voltage (Voc)</t>
  </si>
  <si>
    <t>Max. power voltage (Vmp)</t>
  </si>
  <si>
    <t>RenewSys</t>
  </si>
  <si>
    <t xml:space="preserve">Panel per string </t>
  </si>
  <si>
    <t>Drive Rated Output (A)</t>
  </si>
  <si>
    <t>Parameter</t>
  </si>
  <si>
    <t xml:space="preserve">Max Allowed </t>
  </si>
  <si>
    <t xml:space="preserve">Number of strings </t>
  </si>
  <si>
    <t xml:space="preserve">Panels per string </t>
  </si>
  <si>
    <t xml:space="preserve">Total Number of Panels </t>
  </si>
  <si>
    <t>Max DC Voltage Input</t>
  </si>
  <si>
    <t>Size</t>
  </si>
  <si>
    <t xml:space="preserve">Technical Parameters </t>
  </si>
  <si>
    <t>System Voc</t>
  </si>
  <si>
    <t>Drive AC Voltage Output</t>
  </si>
  <si>
    <t xml:space="preserve">Manual Sizing </t>
  </si>
  <si>
    <t xml:space="preserve">Minimum VOC </t>
  </si>
  <si>
    <t xml:space="preserve">January </t>
  </si>
  <si>
    <t>February</t>
  </si>
  <si>
    <t>March</t>
  </si>
  <si>
    <t>April</t>
  </si>
  <si>
    <t>May</t>
  </si>
  <si>
    <t>June</t>
  </si>
  <si>
    <t>July</t>
  </si>
  <si>
    <t>August</t>
  </si>
  <si>
    <t>September</t>
  </si>
  <si>
    <t>October</t>
  </si>
  <si>
    <t>November</t>
  </si>
  <si>
    <t>December</t>
  </si>
  <si>
    <t xml:space="preserve">Average </t>
  </si>
  <si>
    <t xml:space="preserve">Daily Flow </t>
  </si>
  <si>
    <t>Total</t>
  </si>
  <si>
    <t>Country Year Ave</t>
  </si>
  <si>
    <t xml:space="preserve">Jan </t>
  </si>
  <si>
    <t xml:space="preserve">Feb </t>
  </si>
  <si>
    <t>Mar</t>
  </si>
  <si>
    <t>Apr</t>
  </si>
  <si>
    <t>Jun</t>
  </si>
  <si>
    <t>Jul</t>
  </si>
  <si>
    <t>Aug</t>
  </si>
  <si>
    <t>Sep</t>
  </si>
  <si>
    <t>Oct</t>
  </si>
  <si>
    <t>Nov</t>
  </si>
  <si>
    <t>Dec</t>
  </si>
  <si>
    <t>Reference</t>
  </si>
  <si>
    <t xml:space="preserve">Option 1 </t>
  </si>
  <si>
    <t>Option 2</t>
  </si>
  <si>
    <t>Option 3</t>
  </si>
  <si>
    <t>Option 4</t>
  </si>
  <si>
    <t>Option 5</t>
  </si>
  <si>
    <t>Option 6</t>
  </si>
  <si>
    <t>Option 7</t>
  </si>
  <si>
    <t>Option 8</t>
  </si>
  <si>
    <t>Option 9</t>
  </si>
  <si>
    <t xml:space="preserve">Selection </t>
  </si>
  <si>
    <t xml:space="preserve">Solar Panel Selection </t>
  </si>
  <si>
    <t>Option</t>
  </si>
  <si>
    <t>Bergville</t>
  </si>
  <si>
    <t>Irradiance: 9.25=100%</t>
  </si>
  <si>
    <t>Cedar SI23 T3-280G</t>
  </si>
  <si>
    <t>Bottom Min</t>
  </si>
  <si>
    <t>Top Minimum Amp</t>
  </si>
  <si>
    <t xml:space="preserve">Savings </t>
  </si>
  <si>
    <t>Pump Output</t>
  </si>
  <si>
    <t>Drive Solar Output</t>
  </si>
  <si>
    <t>kWh</t>
  </si>
  <si>
    <t>Count</t>
  </si>
  <si>
    <t xml:space="preserve">Total </t>
  </si>
  <si>
    <t xml:space="preserve">Actual </t>
  </si>
  <si>
    <t xml:space="preserve">Assumed </t>
  </si>
  <si>
    <t>Pump kW</t>
  </si>
  <si>
    <t>Hourly Flow</t>
  </si>
  <si>
    <t xml:space="preserve">Days per month </t>
  </si>
  <si>
    <t xml:space="preserve">Consumption </t>
  </si>
  <si>
    <t xml:space="preserve">Generation </t>
  </si>
  <si>
    <t>Cum Hours from 12PM</t>
  </si>
  <si>
    <t xml:space="preserve">Pump hours per day. </t>
  </si>
  <si>
    <t>Climate Data</t>
  </si>
  <si>
    <t>Hours Savings Without Climate Data</t>
  </si>
  <si>
    <t>Average Energy Cost</t>
  </si>
  <si>
    <t>System Cost</t>
  </si>
  <si>
    <t>Total Savings</t>
  </si>
  <si>
    <t>Cashflow Analysis</t>
  </si>
  <si>
    <t>Assumptions</t>
  </si>
  <si>
    <t>System cost (excl. VAT)</t>
  </si>
  <si>
    <t>Deposit</t>
  </si>
  <si>
    <t>Loan period (years)</t>
  </si>
  <si>
    <t>Interest Rate (p.a.)</t>
  </si>
  <si>
    <t>Electricity rate increase (next 5 years)</t>
  </si>
  <si>
    <t>Electricity rate increase (from year 6)</t>
  </si>
  <si>
    <t xml:space="preserve">Loan </t>
  </si>
  <si>
    <t>Year</t>
  </si>
  <si>
    <t>Loan</t>
  </si>
  <si>
    <t>Electricity</t>
  </si>
  <si>
    <t xml:space="preserve">Tax </t>
  </si>
  <si>
    <t>Electricity +</t>
  </si>
  <si>
    <t>Annual</t>
  </si>
  <si>
    <t>Cummulative</t>
  </si>
  <si>
    <t>Repayment</t>
  </si>
  <si>
    <t>Savings</t>
  </si>
  <si>
    <t>Tax Savings</t>
  </si>
  <si>
    <t>Cashflow</t>
  </si>
  <si>
    <t>Net Present Value*</t>
  </si>
  <si>
    <t>Cash</t>
  </si>
  <si>
    <t>Money Outlay</t>
  </si>
  <si>
    <t>Year 1</t>
  </si>
  <si>
    <t>Year 2</t>
  </si>
  <si>
    <t>Year 3</t>
  </si>
  <si>
    <t>Year 4</t>
  </si>
  <si>
    <t>Year 5</t>
  </si>
  <si>
    <t>Year 6</t>
  </si>
  <si>
    <t>Year 7</t>
  </si>
  <si>
    <t>Year 8</t>
  </si>
  <si>
    <t>Year 9</t>
  </si>
  <si>
    <t>Year 10</t>
  </si>
  <si>
    <t>Year 11</t>
  </si>
  <si>
    <t>Year 12</t>
  </si>
  <si>
    <t>Year 13</t>
  </si>
  <si>
    <t>Year 14</t>
  </si>
  <si>
    <t>Year 15</t>
  </si>
  <si>
    <t>Tax Rate</t>
  </si>
  <si>
    <t>Cashflow Analysis Inputs</t>
  </si>
  <si>
    <t>Power From Grid</t>
  </si>
  <si>
    <t>Cost (kWh)</t>
  </si>
  <si>
    <t>Electricity increase 5yr</t>
  </si>
  <si>
    <t>Electricity increase 6yr</t>
  </si>
  <si>
    <t>Loan Based Cashflow Analysis</t>
  </si>
  <si>
    <t>Cash Based Cashflow Analysis</t>
  </si>
  <si>
    <t>Potential Savings</t>
  </si>
  <si>
    <t>Actual Savings</t>
  </si>
  <si>
    <t>Cumulative</t>
  </si>
  <si>
    <t>Jan</t>
  </si>
  <si>
    <t>Feb</t>
  </si>
  <si>
    <t>Power from Solar</t>
  </si>
  <si>
    <t>Average kwH per Day</t>
  </si>
  <si>
    <t>Month</t>
  </si>
  <si>
    <t>Cost per kwh</t>
  </si>
  <si>
    <t>Inflation</t>
  </si>
  <si>
    <t>Years</t>
  </si>
  <si>
    <t>Break Even Period</t>
  </si>
  <si>
    <t>Solar kWh Generation Cost</t>
  </si>
  <si>
    <t>Rand</t>
  </si>
  <si>
    <t>Total Financed Cost</t>
  </si>
  <si>
    <t>Expense</t>
  </si>
  <si>
    <t>Income</t>
  </si>
  <si>
    <t>Cum Break Even</t>
  </si>
  <si>
    <t>Year Before Break Even</t>
  </si>
  <si>
    <t>Owing Year Before BE</t>
  </si>
  <si>
    <t>Balance end of BEY</t>
  </si>
  <si>
    <t xml:space="preserve">Difference </t>
  </si>
  <si>
    <t>Month in BEY</t>
  </si>
  <si>
    <t>15 Year Cost per kwh</t>
  </si>
  <si>
    <t>ROI</t>
  </si>
  <si>
    <t>KWH</t>
  </si>
  <si>
    <t>Loss Factor For Savings</t>
  </si>
  <si>
    <t>Cedar SI30 D5 2R2G-H</t>
  </si>
  <si>
    <t>Cedar SI30 D5 004G-H</t>
  </si>
  <si>
    <t>Cedar SI30 D5 5R5G-H</t>
  </si>
  <si>
    <t>Cedar SI30 D5 7R5G-H</t>
  </si>
  <si>
    <t>Cedar SI30 D5 011G-H</t>
  </si>
  <si>
    <t>Cedar SI30 D5 015G-H</t>
  </si>
  <si>
    <t>Cedar SI23 D5-018G-H</t>
  </si>
  <si>
    <t>Cedar SI23 D5-022G-H</t>
  </si>
  <si>
    <t>Cedar SI23 D5-030G-H</t>
  </si>
  <si>
    <t>Cedar SI23 T3-037G-H</t>
  </si>
  <si>
    <t>Cedar SI23 T3-045G-H</t>
  </si>
  <si>
    <t>Cedar SI23 T3-055G-H</t>
  </si>
  <si>
    <t>Cedar SI23 T3-075G-H</t>
  </si>
  <si>
    <t>Cedar SI23 T3-093G-H</t>
  </si>
  <si>
    <t>Cedar SI23 T3-110G-H</t>
  </si>
  <si>
    <t>Cedar SI23 T3-132G-H</t>
  </si>
  <si>
    <t>Cedar SI23 T3-160G-H</t>
  </si>
  <si>
    <t>Cedar SI23 T3-185G-H</t>
  </si>
  <si>
    <t>Cedar SI23 T3-200G-H</t>
  </si>
  <si>
    <t>Cedar SI23 T3-280G-H</t>
  </si>
  <si>
    <t>Loss Factor</t>
  </si>
  <si>
    <t>Jinko</t>
  </si>
  <si>
    <t>Cedar SI23 D3 004G</t>
  </si>
  <si>
    <t>John Doe</t>
  </si>
  <si>
    <t>Top Max kW</t>
  </si>
  <si>
    <t>Hourly savings With Climate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</si>
</sst>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R&quot;#,##0.00;[Red]\-&quot;R&quot;#,##0.00"/>
    <numFmt numFmtId="44" formatCode="_-&quot;R&quot;* #,##0.00_-;\-&quot;R&quot;* #,##0.00_-;_-&quot;R&quot;* &quot;-&quot;??_-;_-@_-"/>
    <numFmt numFmtId="164" formatCode="0.0%"/>
    <numFmt numFmtId="165" formatCode="_-[$R-1C09]* #,##0.00_-;\-[$R-1C09]* #,##0.00_-;_-[$R-1C09]*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24"/>
      <color theme="1"/>
      <name val="Calibri"/>
      <family val="2"/>
      <scheme val="minor"/>
    </font>
    <font>
      <sz val="11"/>
      <color rgb="FF333333"/>
      <name val="Calibri"/>
      <family val="2"/>
      <scheme val="minor"/>
    </font>
    <font>
      <u/>
      <sz val="11"/>
      <color theme="10"/>
      <name val="Calibri"/>
      <family val="2"/>
      <scheme val="minor"/>
    </font>
    <font>
      <u/>
      <sz val="11"/>
      <color theme="11"/>
      <name val="Calibri"/>
      <family val="2"/>
      <scheme val="minor"/>
    </font>
    <font>
      <sz val="18"/>
      <color theme="1"/>
      <name val="Calibri"/>
      <family val="2"/>
      <scheme val="minor"/>
    </font>
    <font>
      <sz val="11"/>
      <color rgb="FFFF0000"/>
      <name val="Calibri"/>
      <family val="2"/>
      <scheme val="minor"/>
    </font>
    <font>
      <b/>
      <u/>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20">
    <xf numFmtId="0" fontId="0" fillId="0" borderId="0"/>
    <xf numFmtId="9" fontId="3"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09">
    <xf numFmtId="0" fontId="0" fillId="0" borderId="0" xfId="0"/>
    <xf numFmtId="0" fontId="4" fillId="0" borderId="12" xfId="0" applyFont="1" applyBorder="1"/>
    <xf numFmtId="0" fontId="4" fillId="0" borderId="13" xfId="0" applyFont="1" applyBorder="1"/>
    <xf numFmtId="9" fontId="0" fillId="0" borderId="1" xfId="0" applyNumberFormat="1" applyBorder="1"/>
    <xf numFmtId="9" fontId="0" fillId="0" borderId="5" xfId="0" applyNumberFormat="1" applyBorder="1"/>
    <xf numFmtId="20" fontId="4" fillId="0" borderId="20" xfId="0" applyNumberFormat="1" applyFont="1" applyBorder="1"/>
    <xf numFmtId="20" fontId="4" fillId="0" borderId="15" xfId="0" applyNumberFormat="1" applyFont="1" applyBorder="1"/>
    <xf numFmtId="20" fontId="4" fillId="0" borderId="9" xfId="0" applyNumberFormat="1" applyFont="1" applyBorder="1"/>
    <xf numFmtId="9" fontId="0" fillId="0" borderId="10" xfId="0" applyNumberFormat="1" applyBorder="1"/>
    <xf numFmtId="0" fontId="0" fillId="3" borderId="0" xfId="0" applyFill="1"/>
    <xf numFmtId="0" fontId="4" fillId="3" borderId="13" xfId="0" applyFont="1" applyFill="1" applyBorder="1"/>
    <xf numFmtId="0" fontId="4" fillId="3" borderId="18" xfId="0" applyFont="1" applyFill="1" applyBorder="1"/>
    <xf numFmtId="9" fontId="0" fillId="3" borderId="5" xfId="1" applyFont="1" applyFill="1" applyBorder="1"/>
    <xf numFmtId="9" fontId="0" fillId="3" borderId="2" xfId="1" applyFont="1" applyFill="1" applyBorder="1"/>
    <xf numFmtId="1" fontId="0" fillId="3" borderId="19" xfId="0" applyNumberFormat="1" applyFill="1" applyBorder="1"/>
    <xf numFmtId="1" fontId="0" fillId="0" borderId="0" xfId="0" applyNumberFormat="1"/>
    <xf numFmtId="0" fontId="0" fillId="3" borderId="1" xfId="0" applyFill="1" applyBorder="1" applyProtection="1">
      <protection locked="0"/>
    </xf>
    <xf numFmtId="0" fontId="0" fillId="3" borderId="0" xfId="0" applyFill="1" applyProtection="1">
      <protection locked="0"/>
    </xf>
    <xf numFmtId="0" fontId="0" fillId="3" borderId="1" xfId="0" applyFill="1" applyBorder="1"/>
    <xf numFmtId="0" fontId="0" fillId="3" borderId="1" xfId="0" applyFill="1" applyBorder="1" applyAlignment="1">
      <alignment horizontal="left"/>
    </xf>
    <xf numFmtId="0" fontId="0" fillId="3" borderId="1" xfId="0" applyFill="1" applyBorder="1" applyAlignment="1" applyProtection="1">
      <alignment horizontal="left"/>
      <protection locked="0"/>
    </xf>
    <xf numFmtId="9" fontId="0" fillId="3" borderId="0" xfId="1" applyFont="1" applyFill="1" applyBorder="1" applyProtection="1"/>
    <xf numFmtId="1" fontId="0" fillId="3" borderId="0" xfId="0" applyNumberFormat="1" applyFill="1"/>
    <xf numFmtId="20" fontId="0" fillId="3" borderId="0" xfId="0" applyNumberFormat="1" applyFill="1"/>
    <xf numFmtId="9" fontId="0" fillId="3" borderId="1" xfId="1" applyFont="1" applyFill="1" applyBorder="1" applyProtection="1"/>
    <xf numFmtId="0" fontId="7" fillId="0" borderId="0" xfId="0" applyFont="1"/>
    <xf numFmtId="0" fontId="0" fillId="0" borderId="0" xfId="0" applyAlignment="1">
      <alignment horizontal="right"/>
    </xf>
    <xf numFmtId="0" fontId="0" fillId="2" borderId="1" xfId="0" applyFill="1" applyBorder="1" applyProtection="1">
      <protection locked="0"/>
    </xf>
    <xf numFmtId="0" fontId="0" fillId="3" borderId="2" xfId="0" applyFill="1" applyBorder="1" applyAlignment="1">
      <alignment horizontal="left"/>
    </xf>
    <xf numFmtId="0" fontId="0" fillId="3" borderId="4" xfId="0" applyFill="1" applyBorder="1" applyAlignment="1">
      <alignment horizontal="left"/>
    </xf>
    <xf numFmtId="2" fontId="0" fillId="3" borderId="1" xfId="0" applyNumberFormat="1" applyFill="1" applyBorder="1"/>
    <xf numFmtId="0" fontId="10" fillId="0" borderId="0" xfId="0" applyFont="1"/>
    <xf numFmtId="0" fontId="0" fillId="0" borderId="1" xfId="0" applyBorder="1"/>
    <xf numFmtId="0" fontId="0" fillId="3" borderId="2" xfId="0" applyFill="1" applyBorder="1" applyProtection="1">
      <protection locked="0"/>
    </xf>
    <xf numFmtId="0" fontId="0" fillId="3" borderId="2" xfId="0" applyFill="1" applyBorder="1" applyAlignment="1">
      <alignment horizontal="center"/>
    </xf>
    <xf numFmtId="0" fontId="0" fillId="3" borderId="2"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1" xfId="0" applyFill="1" applyBorder="1" applyAlignment="1">
      <alignment horizontal="right"/>
    </xf>
    <xf numFmtId="0" fontId="0" fillId="3" borderId="2" xfId="0" applyFill="1" applyBorder="1"/>
    <xf numFmtId="0" fontId="0" fillId="3" borderId="4" xfId="0" applyFill="1" applyBorder="1"/>
    <xf numFmtId="0" fontId="0" fillId="3" borderId="21" xfId="0" applyFill="1" applyBorder="1"/>
    <xf numFmtId="2" fontId="0" fillId="0" borderId="0" xfId="0" applyNumberFormat="1"/>
    <xf numFmtId="0" fontId="6" fillId="3" borderId="0" xfId="0" applyFont="1" applyFill="1"/>
    <xf numFmtId="9" fontId="0" fillId="0" borderId="0" xfId="0" applyNumberFormat="1"/>
    <xf numFmtId="1" fontId="0" fillId="0" borderId="1" xfId="0" applyNumberFormat="1" applyBorder="1"/>
    <xf numFmtId="0" fontId="0" fillId="0" borderId="6" xfId="0" applyBorder="1"/>
    <xf numFmtId="0" fontId="0" fillId="0" borderId="7" xfId="0" applyBorder="1"/>
    <xf numFmtId="0" fontId="0" fillId="0" borderId="8" xfId="0" applyBorder="1"/>
    <xf numFmtId="1" fontId="0" fillId="0" borderId="9" xfId="0" applyNumberFormat="1" applyBorder="1"/>
    <xf numFmtId="9" fontId="0" fillId="0" borderId="10" xfId="1" applyFont="1" applyBorder="1"/>
    <xf numFmtId="1" fontId="0" fillId="0" borderId="11" xfId="0" applyNumberFormat="1" applyBorder="1"/>
    <xf numFmtId="20" fontId="0" fillId="0" borderId="1" xfId="0" applyNumberFormat="1" applyBorder="1"/>
    <xf numFmtId="0" fontId="0" fillId="3" borderId="0" xfId="1" applyNumberFormat="1" applyFont="1" applyFill="1" applyBorder="1" applyProtection="1"/>
    <xf numFmtId="0" fontId="11" fillId="0" borderId="0" xfId="0" applyFont="1"/>
    <xf numFmtId="9" fontId="0" fillId="0" borderId="0" xfId="1" applyFont="1"/>
    <xf numFmtId="0" fontId="0" fillId="0" borderId="2" xfId="0" applyBorder="1"/>
    <xf numFmtId="20" fontId="0" fillId="0" borderId="0" xfId="0" applyNumberFormat="1"/>
    <xf numFmtId="0" fontId="0" fillId="0" borderId="0" xfId="0" applyAlignment="1">
      <alignment vertical="center" wrapText="1"/>
    </xf>
    <xf numFmtId="9" fontId="0" fillId="4" borderId="0" xfId="1" applyFont="1" applyFill="1"/>
    <xf numFmtId="0" fontId="12" fillId="0" borderId="0" xfId="0" applyFont="1"/>
    <xf numFmtId="0" fontId="14" fillId="0" borderId="24" xfId="0" applyFont="1" applyBorder="1" applyAlignment="1">
      <alignment horizontal="center"/>
    </xf>
    <xf numFmtId="0" fontId="14" fillId="0" borderId="25" xfId="0" applyFont="1" applyBorder="1" applyAlignment="1">
      <alignment horizontal="center"/>
    </xf>
    <xf numFmtId="0" fontId="14" fillId="0" borderId="18" xfId="0" applyFont="1" applyBorder="1" applyAlignment="1">
      <alignment horizontal="center"/>
    </xf>
    <xf numFmtId="0" fontId="14" fillId="0" borderId="26" xfId="0" applyFont="1" applyBorder="1" applyAlignment="1">
      <alignment horizontal="center"/>
    </xf>
    <xf numFmtId="0" fontId="14" fillId="0" borderId="27" xfId="0" applyFont="1" applyBorder="1" applyAlignment="1">
      <alignment horizontal="center"/>
    </xf>
    <xf numFmtId="0" fontId="14" fillId="0" borderId="28" xfId="0" applyFont="1" applyBorder="1" applyAlignment="1">
      <alignment horizontal="center"/>
    </xf>
    <xf numFmtId="4" fontId="15" fillId="0" borderId="1" xfId="0" applyNumberFormat="1" applyFont="1" applyBorder="1"/>
    <xf numFmtId="0" fontId="0" fillId="0" borderId="30" xfId="0" applyBorder="1"/>
    <xf numFmtId="0" fontId="0" fillId="0" borderId="31" xfId="0" applyBorder="1"/>
    <xf numFmtId="40" fontId="0" fillId="0" borderId="8" xfId="0" applyNumberFormat="1" applyBorder="1"/>
    <xf numFmtId="40" fontId="0" fillId="0" borderId="29" xfId="0" applyNumberFormat="1" applyBorder="1"/>
    <xf numFmtId="0" fontId="0" fillId="0" borderId="15" xfId="0" applyBorder="1"/>
    <xf numFmtId="40" fontId="0" fillId="0" borderId="1" xfId="0" applyNumberFormat="1" applyBorder="1"/>
    <xf numFmtId="9" fontId="0" fillId="0" borderId="29" xfId="1" applyFont="1" applyBorder="1" applyAlignment="1"/>
    <xf numFmtId="0" fontId="0" fillId="0" borderId="9" xfId="0" applyBorder="1"/>
    <xf numFmtId="0" fontId="0" fillId="0" borderId="10" xfId="0" applyBorder="1"/>
    <xf numFmtId="40" fontId="0" fillId="0" borderId="10" xfId="0" applyNumberFormat="1" applyBorder="1"/>
    <xf numFmtId="9" fontId="0" fillId="0" borderId="11" xfId="1" applyFont="1" applyBorder="1" applyAlignment="1"/>
    <xf numFmtId="40" fontId="0" fillId="0" borderId="0" xfId="0" applyNumberFormat="1"/>
    <xf numFmtId="9" fontId="0" fillId="0" borderId="0" xfId="1" applyFont="1" applyAlignment="1"/>
    <xf numFmtId="0" fontId="15" fillId="0" borderId="0" xfId="0" applyFont="1"/>
    <xf numFmtId="0" fontId="14" fillId="0" borderId="34" xfId="0" applyFont="1" applyBorder="1" applyAlignment="1">
      <alignment horizontal="center"/>
    </xf>
    <xf numFmtId="0" fontId="14" fillId="0" borderId="36" xfId="0" applyFont="1" applyBorder="1" applyAlignment="1">
      <alignment horizontal="center"/>
    </xf>
    <xf numFmtId="0" fontId="15" fillId="0" borderId="20" xfId="0" applyFont="1" applyBorder="1"/>
    <xf numFmtId="2" fontId="0" fillId="0" borderId="29" xfId="0" applyNumberFormat="1" applyBorder="1"/>
    <xf numFmtId="9" fontId="0" fillId="0" borderId="29" xfId="0" applyNumberFormat="1" applyBorder="1"/>
    <xf numFmtId="9" fontId="0" fillId="0" borderId="11" xfId="0" applyNumberFormat="1" applyBorder="1"/>
    <xf numFmtId="0" fontId="14" fillId="0" borderId="1" xfId="0" applyFont="1" applyBorder="1" applyAlignment="1">
      <alignment horizontal="center"/>
    </xf>
    <xf numFmtId="0" fontId="15" fillId="0" borderId="1" xfId="0" applyFont="1" applyBorder="1"/>
    <xf numFmtId="4" fontId="0" fillId="0" borderId="0" xfId="0" applyNumberFormat="1"/>
    <xf numFmtId="8" fontId="0" fillId="0" borderId="0" xfId="0" applyNumberFormat="1"/>
    <xf numFmtId="0" fontId="0" fillId="0" borderId="0" xfId="0" applyAlignment="1">
      <alignment vertical="center"/>
    </xf>
    <xf numFmtId="0" fontId="0" fillId="0" borderId="0" xfId="1" applyNumberFormat="1" applyFont="1"/>
    <xf numFmtId="0" fontId="0" fillId="5" borderId="1" xfId="0" applyFill="1" applyBorder="1" applyProtection="1">
      <protection locked="0"/>
    </xf>
    <xf numFmtId="9" fontId="0" fillId="5" borderId="8" xfId="1" applyFont="1" applyFill="1" applyBorder="1" applyProtection="1">
      <protection locked="0"/>
    </xf>
    <xf numFmtId="0" fontId="0" fillId="5" borderId="29" xfId="0" applyFill="1" applyBorder="1" applyProtection="1">
      <protection locked="0"/>
    </xf>
    <xf numFmtId="9" fontId="0" fillId="5" borderId="29" xfId="1" applyFont="1" applyFill="1" applyBorder="1" applyProtection="1">
      <protection locked="0"/>
    </xf>
    <xf numFmtId="164" fontId="0" fillId="5" borderId="29" xfId="1" applyNumberFormat="1" applyFont="1" applyFill="1" applyBorder="1" applyProtection="1">
      <protection locked="0"/>
    </xf>
    <xf numFmtId="0" fontId="6" fillId="3" borderId="0" xfId="0" applyFont="1" applyFill="1" applyAlignment="1">
      <alignment horizontal="left"/>
    </xf>
    <xf numFmtId="0" fontId="0" fillId="3" borderId="37" xfId="0" applyFill="1" applyBorder="1"/>
    <xf numFmtId="0" fontId="0" fillId="3" borderId="30" xfId="0" applyFill="1" applyBorder="1"/>
    <xf numFmtId="0" fontId="0" fillId="3" borderId="39" xfId="0" applyFill="1" applyBorder="1"/>
    <xf numFmtId="0" fontId="0" fillId="3" borderId="6" xfId="0" applyFill="1" applyBorder="1" applyAlignment="1">
      <alignment horizontal="left"/>
    </xf>
    <xf numFmtId="0" fontId="0" fillId="3" borderId="7" xfId="0" applyFill="1" applyBorder="1" applyAlignment="1">
      <alignment horizontal="left"/>
    </xf>
    <xf numFmtId="0" fontId="0" fillId="3" borderId="40" xfId="0" applyFill="1" applyBorder="1" applyAlignment="1">
      <alignment horizontal="right"/>
    </xf>
    <xf numFmtId="0" fontId="0" fillId="3" borderId="15" xfId="0" applyFill="1" applyBorder="1" applyAlignment="1">
      <alignment horizontal="left"/>
    </xf>
    <xf numFmtId="0" fontId="0" fillId="3" borderId="29" xfId="0" applyFill="1" applyBorder="1" applyAlignment="1">
      <alignment horizontal="right"/>
    </xf>
    <xf numFmtId="0" fontId="0" fillId="3" borderId="11" xfId="0" applyFill="1" applyBorder="1" applyAlignment="1">
      <alignment horizontal="right"/>
    </xf>
    <xf numFmtId="0" fontId="0" fillId="0" borderId="29" xfId="0" applyBorder="1"/>
    <xf numFmtId="0" fontId="12" fillId="3" borderId="0" xfId="0" applyFont="1" applyFill="1"/>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4" fontId="15" fillId="0" borderId="5" xfId="0" applyNumberFormat="1" applyFont="1" applyBorder="1"/>
    <xf numFmtId="4" fontId="15" fillId="0" borderId="40" xfId="0" applyNumberFormat="1" applyFont="1" applyBorder="1"/>
    <xf numFmtId="0" fontId="15" fillId="0" borderId="15" xfId="0" applyFont="1" applyBorder="1"/>
    <xf numFmtId="4" fontId="15" fillId="0" borderId="29" xfId="0" applyNumberFormat="1" applyFont="1" applyBorder="1"/>
    <xf numFmtId="0" fontId="15" fillId="0" borderId="9" xfId="0" applyFont="1" applyBorder="1"/>
    <xf numFmtId="4" fontId="15" fillId="0" borderId="10" xfId="0" applyNumberFormat="1" applyFont="1" applyBorder="1"/>
    <xf numFmtId="4" fontId="15" fillId="0" borderId="11" xfId="0" applyNumberFormat="1" applyFont="1" applyBorder="1"/>
    <xf numFmtId="0" fontId="15" fillId="0" borderId="6" xfId="0" applyFont="1" applyBorder="1"/>
    <xf numFmtId="4" fontId="15" fillId="0" borderId="7" xfId="0" applyNumberFormat="1" applyFont="1" applyBorder="1"/>
    <xf numFmtId="0" fontId="15" fillId="0" borderId="26" xfId="0" applyFont="1" applyBorder="1"/>
    <xf numFmtId="0" fontId="0" fillId="6" borderId="29" xfId="0" applyFill="1" applyBorder="1" applyProtection="1">
      <protection locked="0"/>
    </xf>
    <xf numFmtId="0" fontId="0" fillId="5" borderId="8" xfId="0" applyFill="1" applyBorder="1" applyProtection="1">
      <protection locked="0"/>
    </xf>
    <xf numFmtId="9" fontId="0" fillId="3" borderId="0" xfId="0" applyNumberFormat="1" applyFill="1"/>
    <xf numFmtId="0" fontId="0" fillId="3" borderId="43" xfId="0" applyFill="1" applyBorder="1"/>
    <xf numFmtId="0" fontId="0" fillId="4" borderId="1" xfId="0" applyFill="1" applyBorder="1"/>
    <xf numFmtId="9" fontId="0" fillId="4" borderId="0" xfId="1" applyFont="1" applyFill="1" applyProtection="1"/>
    <xf numFmtId="165" fontId="0" fillId="0" borderId="1" xfId="0" applyNumberFormat="1" applyBorder="1"/>
    <xf numFmtId="0" fontId="0" fillId="0" borderId="0" xfId="0" applyAlignment="1">
      <alignment horizontal="left" vertical="center"/>
    </xf>
    <xf numFmtId="4" fontId="15" fillId="0" borderId="8" xfId="0" applyNumberFormat="1" applyFont="1" applyBorder="1"/>
    <xf numFmtId="40" fontId="0" fillId="3" borderId="1" xfId="0" applyNumberFormat="1" applyFill="1" applyBorder="1"/>
    <xf numFmtId="4" fontId="0" fillId="3" borderId="1" xfId="0" applyNumberFormat="1" applyFill="1" applyBorder="1"/>
    <xf numFmtId="44" fontId="0" fillId="3" borderId="1" xfId="0" applyNumberFormat="1" applyFill="1" applyBorder="1"/>
    <xf numFmtId="44" fontId="0" fillId="4" borderId="1" xfId="0" applyNumberFormat="1" applyFill="1" applyBorder="1"/>
    <xf numFmtId="9" fontId="0" fillId="4" borderId="1" xfId="1" applyFont="1" applyFill="1" applyBorder="1" applyProtection="1"/>
    <xf numFmtId="9" fontId="0" fillId="0" borderId="0" xfId="1" applyFont="1" applyFill="1" applyProtection="1"/>
    <xf numFmtId="164" fontId="0" fillId="5" borderId="45" xfId="1" applyNumberFormat="1" applyFont="1" applyFill="1" applyBorder="1" applyProtection="1">
      <protection locked="0"/>
    </xf>
    <xf numFmtId="9" fontId="0" fillId="5" borderId="1" xfId="1" applyFont="1" applyFill="1" applyBorder="1" applyProtection="1">
      <protection locked="0"/>
    </xf>
    <xf numFmtId="0" fontId="0" fillId="0" borderId="5" xfId="0" applyBorder="1"/>
    <xf numFmtId="0" fontId="0" fillId="0" borderId="1" xfId="0" applyBorder="1" applyAlignment="1">
      <alignment vertical="center"/>
    </xf>
    <xf numFmtId="0" fontId="0" fillId="0" borderId="15" xfId="0" applyBorder="1"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44" xfId="0" applyBorder="1" applyAlignment="1">
      <alignment horizontal="left"/>
    </xf>
    <xf numFmtId="0" fontId="0" fillId="0" borderId="43" xfId="0" applyBorder="1" applyAlignment="1">
      <alignment horizontal="left"/>
    </xf>
    <xf numFmtId="165" fontId="0" fillId="5" borderId="8" xfId="0" applyNumberFormat="1" applyFill="1" applyBorder="1" applyProtection="1">
      <protection locked="0"/>
    </xf>
    <xf numFmtId="8" fontId="0" fillId="3" borderId="0" xfId="0" applyNumberFormat="1" applyFill="1"/>
    <xf numFmtId="165" fontId="0" fillId="3" borderId="0" xfId="0" applyNumberFormat="1" applyFill="1"/>
    <xf numFmtId="0" fontId="0" fillId="7" borderId="0" xfId="0" applyFill="1"/>
    <xf numFmtId="0" fontId="0" fillId="3" borderId="9" xfId="0" applyFill="1" applyBorder="1" applyAlignment="1">
      <alignment horizontal="left"/>
    </xf>
    <xf numFmtId="0" fontId="0" fillId="3" borderId="10" xfId="0" applyFill="1" applyBorder="1" applyAlignment="1">
      <alignment horizontal="left"/>
    </xf>
    <xf numFmtId="0" fontId="0" fillId="3" borderId="7" xfId="0" applyFill="1" applyBorder="1" applyAlignment="1">
      <alignment horizontal="right"/>
    </xf>
    <xf numFmtId="0" fontId="0" fillId="3" borderId="8" xfId="0" applyFill="1" applyBorder="1" applyAlignment="1">
      <alignment horizontal="right"/>
    </xf>
    <xf numFmtId="0" fontId="0" fillId="3" borderId="15" xfId="0" applyFill="1" applyBorder="1" applyAlignment="1">
      <alignment horizontal="left"/>
    </xf>
    <xf numFmtId="0" fontId="0" fillId="3" borderId="1" xfId="0" applyFill="1" applyBorder="1" applyAlignment="1">
      <alignment horizontal="left"/>
    </xf>
    <xf numFmtId="0" fontId="0" fillId="3" borderId="2" xfId="0" applyFill="1" applyBorder="1" applyAlignment="1">
      <alignment horizontal="left"/>
    </xf>
    <xf numFmtId="0" fontId="0" fillId="3" borderId="4" xfId="0" applyFill="1" applyBorder="1" applyAlignment="1">
      <alignment horizontal="left"/>
    </xf>
    <xf numFmtId="0" fontId="11" fillId="3" borderId="0" xfId="0" applyFont="1" applyFill="1" applyAlignment="1">
      <alignment horizontal="center" vertical="top" wrapText="1"/>
    </xf>
    <xf numFmtId="0" fontId="0" fillId="3" borderId="32" xfId="0" applyFill="1" applyBorder="1" applyAlignment="1">
      <alignment horizontal="left"/>
    </xf>
    <xf numFmtId="0" fontId="0" fillId="5" borderId="2" xfId="0" applyFill="1" applyBorder="1" applyAlignment="1" applyProtection="1">
      <alignment horizontal="center"/>
      <protection locked="0"/>
    </xf>
    <xf numFmtId="0" fontId="0" fillId="5" borderId="4" xfId="0" applyFill="1" applyBorder="1" applyAlignment="1" applyProtection="1">
      <alignment horizontal="center"/>
      <protection locked="0"/>
    </xf>
    <xf numFmtId="0" fontId="6" fillId="3" borderId="0" xfId="0" applyFont="1" applyFill="1" applyAlignment="1">
      <alignment horizontal="left"/>
    </xf>
    <xf numFmtId="0" fontId="0" fillId="3" borderId="1" xfId="0" applyFill="1" applyBorder="1" applyAlignment="1">
      <alignment horizontal="right"/>
    </xf>
    <xf numFmtId="0" fontId="0" fillId="3" borderId="29" xfId="0" applyFill="1" applyBorder="1" applyAlignment="1">
      <alignment horizontal="right"/>
    </xf>
    <xf numFmtId="0" fontId="0" fillId="5" borderId="2" xfId="0" applyFill="1" applyBorder="1" applyAlignment="1" applyProtection="1">
      <alignment horizontal="left"/>
      <protection locked="0"/>
    </xf>
    <xf numFmtId="0" fontId="0" fillId="5" borderId="3" xfId="0" applyFill="1" applyBorder="1" applyAlignment="1" applyProtection="1">
      <alignment horizontal="left"/>
      <protection locked="0"/>
    </xf>
    <xf numFmtId="0" fontId="0" fillId="5" borderId="4" xfId="0" applyFill="1" applyBorder="1" applyAlignment="1" applyProtection="1">
      <alignment horizontal="left"/>
      <protection locked="0"/>
    </xf>
    <xf numFmtId="49" fontId="0" fillId="5" borderId="2" xfId="0" applyNumberFormat="1" applyFill="1" applyBorder="1" applyAlignment="1" applyProtection="1">
      <alignment horizontal="right"/>
      <protection locked="0"/>
    </xf>
    <xf numFmtId="49" fontId="0" fillId="5" borderId="3" xfId="0" applyNumberFormat="1" applyFill="1" applyBorder="1" applyAlignment="1" applyProtection="1">
      <alignment horizontal="right"/>
      <protection locked="0"/>
    </xf>
    <xf numFmtId="49" fontId="0" fillId="5" borderId="4" xfId="0" applyNumberFormat="1" applyFill="1" applyBorder="1" applyAlignment="1" applyProtection="1">
      <alignment horizontal="right"/>
      <protection locked="0"/>
    </xf>
    <xf numFmtId="0" fontId="2" fillId="3" borderId="14" xfId="0" applyFont="1" applyFill="1" applyBorder="1" applyAlignment="1">
      <alignment horizontal="left"/>
    </xf>
    <xf numFmtId="0" fontId="2" fillId="3" borderId="16" xfId="0" applyFont="1" applyFill="1" applyBorder="1" applyAlignment="1">
      <alignment horizontal="left"/>
    </xf>
    <xf numFmtId="0" fontId="2" fillId="3" borderId="22" xfId="0" applyFont="1" applyFill="1" applyBorder="1" applyAlignment="1">
      <alignment horizontal="left"/>
    </xf>
    <xf numFmtId="0" fontId="1" fillId="5" borderId="23" xfId="0" applyFont="1" applyFill="1" applyBorder="1" applyAlignment="1" applyProtection="1">
      <alignment horizontal="left"/>
      <protection locked="0"/>
    </xf>
    <xf numFmtId="0" fontId="2" fillId="5" borderId="17" xfId="0" applyFont="1" applyFill="1" applyBorder="1" applyAlignment="1" applyProtection="1">
      <alignment horizontal="left"/>
      <protection locked="0"/>
    </xf>
    <xf numFmtId="0" fontId="0" fillId="3" borderId="6" xfId="0" applyFill="1" applyBorder="1" applyAlignment="1">
      <alignment horizontal="left"/>
    </xf>
    <xf numFmtId="0" fontId="0" fillId="3" borderId="7" xfId="0" applyFill="1" applyBorder="1" applyAlignment="1">
      <alignment horizontal="left"/>
    </xf>
    <xf numFmtId="0" fontId="0" fillId="3" borderId="41" xfId="0" applyFill="1" applyBorder="1" applyAlignment="1">
      <alignment horizontal="left"/>
    </xf>
    <xf numFmtId="0" fontId="0" fillId="3" borderId="42" xfId="0" applyFill="1" applyBorder="1" applyAlignment="1">
      <alignment horizontal="left"/>
    </xf>
    <xf numFmtId="0" fontId="12" fillId="0" borderId="0" xfId="0" applyFont="1" applyAlignment="1">
      <alignment horizontal="center"/>
    </xf>
    <xf numFmtId="0" fontId="0" fillId="3" borderId="10" xfId="0" applyFill="1" applyBorder="1" applyAlignment="1">
      <alignment horizontal="right"/>
    </xf>
    <xf numFmtId="0" fontId="0" fillId="3" borderId="11" xfId="0" applyFill="1" applyBorder="1" applyAlignment="1">
      <alignment horizontal="right"/>
    </xf>
    <xf numFmtId="0" fontId="0" fillId="0" borderId="1" xfId="0" applyBorder="1" applyAlignment="1">
      <alignment horizontal="left"/>
    </xf>
    <xf numFmtId="0" fontId="13" fillId="0" borderId="33" xfId="0" applyFont="1" applyBorder="1" applyAlignment="1">
      <alignment horizontal="center"/>
    </xf>
    <xf numFmtId="0" fontId="13" fillId="0" borderId="34" xfId="0" applyFont="1" applyBorder="1" applyAlignment="1">
      <alignment horizontal="center"/>
    </xf>
    <xf numFmtId="0" fontId="13" fillId="0" borderId="35" xfId="0" applyFont="1" applyBorder="1" applyAlignment="1">
      <alignment horizontal="center"/>
    </xf>
    <xf numFmtId="0" fontId="0" fillId="0" borderId="1" xfId="0" applyBorder="1" applyAlignment="1">
      <alignment horizontal="left" vertical="center"/>
    </xf>
    <xf numFmtId="0" fontId="0" fillId="3" borderId="3" xfId="0" applyFill="1" applyBorder="1" applyAlignment="1">
      <alignment horizontal="left"/>
    </xf>
    <xf numFmtId="0" fontId="13" fillId="0" borderId="14"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0" fillId="3" borderId="1" xfId="0" applyFill="1" applyBorder="1" applyAlignment="1" applyProtection="1">
      <alignment horizontal="left"/>
      <protection locked="0"/>
    </xf>
    <xf numFmtId="0" fontId="0" fillId="3" borderId="1" xfId="0" applyFill="1" applyBorder="1" applyAlignment="1">
      <alignment horizontal="center"/>
    </xf>
    <xf numFmtId="0" fontId="0" fillId="0" borderId="43"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left"/>
    </xf>
    <xf numFmtId="0" fontId="0" fillId="0" borderId="38" xfId="0" applyBorder="1" applyAlignment="1">
      <alignment horizontal="left"/>
    </xf>
    <xf numFmtId="0" fontId="0" fillId="0" borderId="31" xfId="0" applyBorder="1" applyAlignment="1">
      <alignment horizontal="left"/>
    </xf>
    <xf numFmtId="0" fontId="0" fillId="0" borderId="15" xfId="0" applyBorder="1" applyAlignment="1">
      <alignment horizontal="left"/>
    </xf>
    <xf numFmtId="0" fontId="13" fillId="0" borderId="1" xfId="0" applyFont="1" applyBorder="1" applyAlignment="1">
      <alignment horizontal="center"/>
    </xf>
    <xf numFmtId="0" fontId="0" fillId="0" borderId="3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120">
    <cellStyle name="Followed Hyperlink" xfId="23" builtinId="9" hidden="1"/>
    <cellStyle name="Followed Hyperlink" xfId="107" builtinId="9" hidden="1"/>
    <cellStyle name="Followed Hyperlink" xfId="53" builtinId="9" hidden="1"/>
    <cellStyle name="Followed Hyperlink" xfId="77" builtinId="9" hidden="1"/>
    <cellStyle name="Followed Hyperlink" xfId="69" builtinId="9" hidden="1"/>
    <cellStyle name="Followed Hyperlink" xfId="93" builtinId="9" hidden="1"/>
    <cellStyle name="Followed Hyperlink" xfId="117" builtinId="9" hidden="1"/>
    <cellStyle name="Followed Hyperlink" xfId="57" builtinId="9" hidden="1"/>
    <cellStyle name="Followed Hyperlink" xfId="119" builtinId="9" hidden="1"/>
    <cellStyle name="Followed Hyperlink" xfId="9" builtinId="9" hidden="1"/>
    <cellStyle name="Followed Hyperlink" xfId="31" builtinId="9" hidden="1"/>
    <cellStyle name="Followed Hyperlink" xfId="49" builtinId="9" hidden="1"/>
    <cellStyle name="Followed Hyperlink" xfId="65" builtinId="9" hidden="1"/>
    <cellStyle name="Followed Hyperlink" xfId="39" builtinId="9" hidden="1"/>
    <cellStyle name="Followed Hyperlink" xfId="113" builtinId="9" hidden="1"/>
    <cellStyle name="Followed Hyperlink" xfId="59" builtinId="9" hidden="1"/>
    <cellStyle name="Followed Hyperlink" xfId="61" builtinId="9" hidden="1"/>
    <cellStyle name="Followed Hyperlink" xfId="111" builtinId="9" hidden="1"/>
    <cellStyle name="Followed Hyperlink" xfId="17" builtinId="9" hidden="1"/>
    <cellStyle name="Followed Hyperlink" xfId="21" builtinId="9" hidden="1"/>
    <cellStyle name="Followed Hyperlink" xfId="13" builtinId="9" hidden="1"/>
    <cellStyle name="Followed Hyperlink" xfId="101" builtinId="9" hidden="1"/>
    <cellStyle name="Followed Hyperlink" xfId="73" builtinId="9" hidden="1"/>
    <cellStyle name="Followed Hyperlink" xfId="55" builtinId="9" hidden="1"/>
    <cellStyle name="Followed Hyperlink" xfId="43" builtinId="9" hidden="1"/>
    <cellStyle name="Followed Hyperlink" xfId="37" builtinId="9" hidden="1"/>
    <cellStyle name="Followed Hyperlink" xfId="63" builtinId="9" hidden="1"/>
    <cellStyle name="Followed Hyperlink" xfId="75" builtinId="9" hidden="1"/>
    <cellStyle name="Followed Hyperlink" xfId="87" builtinId="9" hidden="1"/>
    <cellStyle name="Followed Hyperlink" xfId="95" builtinId="9" hidden="1"/>
    <cellStyle name="Followed Hyperlink" xfId="83" builtinId="9" hidden="1"/>
    <cellStyle name="Followed Hyperlink" xfId="85" builtinId="9" hidden="1"/>
    <cellStyle name="Followed Hyperlink" xfId="33" builtinId="9" hidden="1"/>
    <cellStyle name="Followed Hyperlink" xfId="109" builtinId="9" hidden="1"/>
    <cellStyle name="Followed Hyperlink" xfId="103" builtinId="9" hidden="1"/>
    <cellStyle name="Followed Hyperlink" xfId="19" builtinId="9" hidden="1"/>
    <cellStyle name="Followed Hyperlink" xfId="91" builtinId="9" hidden="1"/>
    <cellStyle name="Followed Hyperlink" xfId="71" builtinId="9" hidden="1"/>
    <cellStyle name="Followed Hyperlink" xfId="67" builtinId="9" hidden="1"/>
    <cellStyle name="Followed Hyperlink" xfId="51" builtinId="9" hidden="1"/>
    <cellStyle name="Followed Hyperlink" xfId="45" builtinId="9" hidden="1"/>
    <cellStyle name="Followed Hyperlink" xfId="41" builtinId="9" hidden="1"/>
    <cellStyle name="Followed Hyperlink" xfId="11" builtinId="9" hidden="1"/>
    <cellStyle name="Followed Hyperlink" xfId="47" builtinId="9" hidden="1"/>
    <cellStyle name="Followed Hyperlink" xfId="89" builtinId="9" hidden="1"/>
    <cellStyle name="Followed Hyperlink" xfId="5" builtinId="9" hidden="1"/>
    <cellStyle name="Followed Hyperlink" xfId="105" builtinId="9" hidden="1"/>
    <cellStyle name="Followed Hyperlink" xfId="25" builtinId="9" hidden="1"/>
    <cellStyle name="Followed Hyperlink" xfId="97" builtinId="9" hidden="1"/>
    <cellStyle name="Followed Hyperlink" xfId="3" builtinId="9" hidden="1"/>
    <cellStyle name="Followed Hyperlink" xfId="15" builtinId="9" hidden="1"/>
    <cellStyle name="Followed Hyperlink" xfId="81" builtinId="9" hidden="1"/>
    <cellStyle name="Followed Hyperlink" xfId="29" builtinId="9" hidden="1"/>
    <cellStyle name="Followed Hyperlink" xfId="115" builtinId="9" hidden="1"/>
    <cellStyle name="Followed Hyperlink" xfId="27" builtinId="9" hidden="1"/>
    <cellStyle name="Followed Hyperlink" xfId="79" builtinId="9" hidden="1"/>
    <cellStyle name="Followed Hyperlink" xfId="7" builtinId="9" hidden="1"/>
    <cellStyle name="Followed Hyperlink" xfId="35" builtinId="9" hidden="1"/>
    <cellStyle name="Followed Hyperlink" xfId="99" builtinId="9" hidden="1"/>
    <cellStyle name="Hyperlink" xfId="40" builtinId="8" hidden="1"/>
    <cellStyle name="Hyperlink" xfId="50" builtinId="8" hidden="1"/>
    <cellStyle name="Hyperlink" xfId="24" builtinId="8" hidden="1"/>
    <cellStyle name="Hyperlink" xfId="108" builtinId="8" hidden="1"/>
    <cellStyle name="Hyperlink" xfId="2" builtinId="8" hidden="1"/>
    <cellStyle name="Hyperlink" xfId="96" builtinId="8" hidden="1"/>
    <cellStyle name="Hyperlink" xfId="98" builtinId="8" hidden="1"/>
    <cellStyle name="Hyperlink" xfId="68" builtinId="8" hidden="1"/>
    <cellStyle name="Hyperlink" xfId="80" builtinId="8" hidden="1"/>
    <cellStyle name="Hyperlink" xfId="46" builtinId="8" hidden="1"/>
    <cellStyle name="Hyperlink" xfId="106" builtinId="8" hidden="1"/>
    <cellStyle name="Hyperlink" xfId="114" builtinId="8" hidden="1"/>
    <cellStyle name="Hyperlink" xfId="112" builtinId="8" hidden="1"/>
    <cellStyle name="Hyperlink" xfId="58" builtinId="8" hidden="1"/>
    <cellStyle name="Hyperlink" xfId="60" builtinId="8" hidden="1"/>
    <cellStyle name="Hyperlink" xfId="62" builtinId="8" hidden="1"/>
    <cellStyle name="Hyperlink" xfId="44" builtinId="8" hidden="1"/>
    <cellStyle name="Hyperlink" xfId="100" builtinId="8" hidden="1"/>
    <cellStyle name="Hyperlink" xfId="10" builtinId="8" hidden="1"/>
    <cellStyle name="Hyperlink" xfId="6" builtinId="8" hidden="1"/>
    <cellStyle name="Hyperlink" xfId="14" builtinId="8" hidden="1"/>
    <cellStyle name="Hyperlink" xfId="64" builtinId="8" hidden="1"/>
    <cellStyle name="Hyperlink" xfId="22" builtinId="8" hidden="1"/>
    <cellStyle name="Hyperlink" xfId="16" builtinId="8" hidden="1"/>
    <cellStyle name="Hyperlink" xfId="74" builtinId="8" hidden="1"/>
    <cellStyle name="Hyperlink" xfId="54" builtinId="8" hidden="1"/>
    <cellStyle name="Hyperlink" xfId="48" builtinId="8" hidden="1"/>
    <cellStyle name="Hyperlink" xfId="84" builtinId="8" hidden="1"/>
    <cellStyle name="Hyperlink" xfId="88" builtinId="8" hidden="1"/>
    <cellStyle name="Hyperlink" xfId="86" builtinId="8" hidden="1"/>
    <cellStyle name="Hyperlink" xfId="28" builtinId="8" hidden="1"/>
    <cellStyle name="Hyperlink" xfId="118" builtinId="8" hidden="1"/>
    <cellStyle name="Hyperlink" xfId="94" builtinId="8" hidden="1"/>
    <cellStyle name="Hyperlink" xfId="116" builtinId="8" hidden="1"/>
    <cellStyle name="Hyperlink" xfId="104" builtinId="8" hidden="1"/>
    <cellStyle name="Hyperlink" xfId="32" builtinId="8" hidden="1"/>
    <cellStyle name="Hyperlink" xfId="4" builtinId="8" hidden="1"/>
    <cellStyle name="Hyperlink" xfId="110" builtinId="8" hidden="1"/>
    <cellStyle name="Hyperlink" xfId="92" builtinId="8" hidden="1"/>
    <cellStyle name="Hyperlink" xfId="30" builtinId="8" hidden="1"/>
    <cellStyle name="Hyperlink" xfId="18" builtinId="8" hidden="1"/>
    <cellStyle name="Hyperlink" xfId="56" builtinId="8" hidden="1"/>
    <cellStyle name="Hyperlink" xfId="42" builtinId="8" hidden="1"/>
    <cellStyle name="Hyperlink" xfId="52" builtinId="8" hidden="1"/>
    <cellStyle name="Hyperlink" xfId="78" builtinId="8" hidden="1"/>
    <cellStyle name="Hyperlink" xfId="102" builtinId="8" hidden="1"/>
    <cellStyle name="Hyperlink" xfId="26" builtinId="8" hidden="1"/>
    <cellStyle name="Hyperlink" xfId="12" builtinId="8" hidden="1"/>
    <cellStyle name="Hyperlink" xfId="8" builtinId="8" hidden="1"/>
    <cellStyle name="Hyperlink" xfId="76" builtinId="8" hidden="1"/>
    <cellStyle name="Hyperlink" xfId="90" builtinId="8" hidden="1"/>
    <cellStyle name="Hyperlink" xfId="34" builtinId="8" hidden="1"/>
    <cellStyle name="Hyperlink" xfId="36" builtinId="8" hidden="1"/>
    <cellStyle name="Hyperlink" xfId="38" builtinId="8" hidden="1"/>
    <cellStyle name="Hyperlink" xfId="70" builtinId="8" hidden="1"/>
    <cellStyle name="Hyperlink" xfId="20" builtinId="8" hidden="1"/>
    <cellStyle name="Hyperlink" xfId="66" builtinId="8" hidden="1"/>
    <cellStyle name="Hyperlink" xfId="82" builtinId="8" hidden="1"/>
    <cellStyle name="Hyperlink" xfId="72" builtinId="8" hidden="1"/>
    <cellStyle name="Normal" xfId="0" builtinId="0"/>
    <cellStyle name="Percent" xfId="1" builtinId="5"/>
  </cellStyles>
  <dxfs count="12">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Medium9">
    <tableStyle name="Invisible" pivot="0" table="0" count="0" xr9:uid="{A81721C6-8E09-4D58-AA6B-A29EB4C1BE37}"/>
  </tableStyles>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dk1"/>
                </a:solidFill>
                <a:latin typeface="+mn-lt"/>
                <a:ea typeface="+mn-ea"/>
                <a:cs typeface="+mn-cs"/>
              </a:defRPr>
            </a:pPr>
            <a:r>
              <a:rPr lang="en-ZA"/>
              <a:t>Average Daylight Pumping Hours </a:t>
            </a:r>
          </a:p>
        </c:rich>
      </c:tx>
      <c:layout>
        <c:manualLayout>
          <c:xMode val="edge"/>
          <c:yMode val="edge"/>
          <c:x val="0.25167877254036675"/>
          <c:y val="5.2852870706320734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dk1"/>
              </a:solidFill>
              <a:latin typeface="+mn-lt"/>
              <a:ea typeface="+mn-ea"/>
              <a:cs typeface="+mn-cs"/>
            </a:defRPr>
          </a:pPr>
          <a:endParaRPr lang="en-US"/>
        </a:p>
      </c:txPr>
    </c:title>
    <c:autoTitleDeleted val="0"/>
    <c:view3D>
      <c:rotX val="20"/>
      <c:rotY val="5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19610016936709"/>
          <c:y val="0.1785867237687366"/>
          <c:w val="0.8785404807004229"/>
          <c:h val="0.54012958816148304"/>
        </c:manualLayout>
      </c:layout>
      <c:area3DChart>
        <c:grouping val="standard"/>
        <c:varyColors val="0"/>
        <c:ser>
          <c:idx val="0"/>
          <c:order val="0"/>
          <c:tx>
            <c:strRef>
              <c:f>'Irrigation Technical  '!$L$28</c:f>
              <c:strCache>
                <c:ptCount val="1"/>
                <c:pt idx="0">
                  <c:v>Jan</c:v>
                </c:pt>
              </c:strCache>
            </c:strRef>
          </c:tx>
          <c:spPr>
            <a:solidFill>
              <a:schemeClr val="accent1">
                <a:alpha val="35000"/>
              </a:schemeClr>
            </a:solidFill>
            <a:ln w="9525">
              <a:solidFill>
                <a:schemeClr val="accent1"/>
              </a:solidFill>
            </a:ln>
            <a:effectLst/>
            <a:sp3d contourW="9525">
              <a:contourClr>
                <a:schemeClr val="accent1"/>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'!$L$29:$L$41</c:f>
              <c:numCache>
                <c:formatCode>0%</c:formatCode>
                <c:ptCount val="13"/>
                <c:pt idx="0">
                  <c:v>0</c:v>
                </c:pt>
                <c:pt idx="1">
                  <c:v>0</c:v>
                </c:pt>
                <c:pt idx="2">
                  <c:v>0.26344086021505397</c:v>
                </c:pt>
                <c:pt idx="3">
                  <c:v>1</c:v>
                </c:pt>
                <c:pt idx="4">
                  <c:v>1</c:v>
                </c:pt>
                <c:pt idx="5">
                  <c:v>1</c:v>
                </c:pt>
                <c:pt idx="6">
                  <c:v>1</c:v>
                </c:pt>
                <c:pt idx="7">
                  <c:v>1</c:v>
                </c:pt>
                <c:pt idx="8">
                  <c:v>1</c:v>
                </c:pt>
                <c:pt idx="9">
                  <c:v>1</c:v>
                </c:pt>
                <c:pt idx="10">
                  <c:v>0.26344086021505397</c:v>
                </c:pt>
                <c:pt idx="11">
                  <c:v>0</c:v>
                </c:pt>
                <c:pt idx="12">
                  <c:v>0</c:v>
                </c:pt>
              </c:numCache>
            </c:numRef>
          </c:val>
          <c:extLst>
            <c:ext xmlns:c16="http://schemas.microsoft.com/office/drawing/2014/chart" uri="{C3380CC4-5D6E-409C-BE32-E72D297353CC}">
              <c16:uniqueId val="{00000000-9380-486F-BEAC-B5794A1FEF85}"/>
            </c:ext>
          </c:extLst>
        </c:ser>
        <c:ser>
          <c:idx val="1"/>
          <c:order val="1"/>
          <c:tx>
            <c:strRef>
              <c:f>'Irrigation Technical  '!$M$28</c:f>
              <c:strCache>
                <c:ptCount val="1"/>
                <c:pt idx="0">
                  <c:v>Feb</c:v>
                </c:pt>
              </c:strCache>
            </c:strRef>
          </c:tx>
          <c:spPr>
            <a:solidFill>
              <a:schemeClr val="accent2">
                <a:alpha val="35000"/>
              </a:schemeClr>
            </a:solidFill>
            <a:ln w="9525">
              <a:solidFill>
                <a:schemeClr val="accent2"/>
              </a:solidFill>
            </a:ln>
            <a:effectLst/>
            <a:sp3d contourW="9525">
              <a:contourClr>
                <a:schemeClr val="accent2"/>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'!$M$29:$M$41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1-9380-486F-BEAC-B5794A1FEF85}"/>
            </c:ext>
          </c:extLst>
        </c:ser>
        <c:ser>
          <c:idx val="2"/>
          <c:order val="2"/>
          <c:tx>
            <c:strRef>
              <c:f>'Irrigation Technical  '!$N$28</c:f>
              <c:strCache>
                <c:ptCount val="1"/>
                <c:pt idx="0">
                  <c:v>Mar</c:v>
                </c:pt>
              </c:strCache>
            </c:strRef>
          </c:tx>
          <c:spPr>
            <a:solidFill>
              <a:schemeClr val="accent3">
                <a:alpha val="35000"/>
              </a:schemeClr>
            </a:solidFill>
            <a:ln w="9525">
              <a:solidFill>
                <a:schemeClr val="accent3"/>
              </a:solidFill>
            </a:ln>
            <a:effectLst/>
            <a:sp3d contourW="9525">
              <a:contourClr>
                <a:schemeClr val="accent3"/>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'!$N$29:$N$41</c:f>
              <c:numCache>
                <c:formatCode>0%</c:formatCode>
                <c:ptCount val="13"/>
                <c:pt idx="0">
                  <c:v>0</c:v>
                </c:pt>
                <c:pt idx="1">
                  <c:v>0</c:v>
                </c:pt>
                <c:pt idx="2">
                  <c:v>0</c:v>
                </c:pt>
                <c:pt idx="3">
                  <c:v>0</c:v>
                </c:pt>
                <c:pt idx="4">
                  <c:v>0.65053763440860202</c:v>
                </c:pt>
                <c:pt idx="5">
                  <c:v>1</c:v>
                </c:pt>
                <c:pt idx="6">
                  <c:v>1</c:v>
                </c:pt>
                <c:pt idx="7">
                  <c:v>1</c:v>
                </c:pt>
                <c:pt idx="8">
                  <c:v>0.65053763440860202</c:v>
                </c:pt>
                <c:pt idx="9">
                  <c:v>0</c:v>
                </c:pt>
                <c:pt idx="10">
                  <c:v>0</c:v>
                </c:pt>
                <c:pt idx="11">
                  <c:v>0</c:v>
                </c:pt>
                <c:pt idx="12">
                  <c:v>0</c:v>
                </c:pt>
              </c:numCache>
            </c:numRef>
          </c:val>
          <c:extLst>
            <c:ext xmlns:c16="http://schemas.microsoft.com/office/drawing/2014/chart" uri="{C3380CC4-5D6E-409C-BE32-E72D297353CC}">
              <c16:uniqueId val="{00000002-9380-486F-BEAC-B5794A1FEF85}"/>
            </c:ext>
          </c:extLst>
        </c:ser>
        <c:ser>
          <c:idx val="3"/>
          <c:order val="3"/>
          <c:tx>
            <c:strRef>
              <c:f>'Irrigation Technical  '!$O$28</c:f>
              <c:strCache>
                <c:ptCount val="1"/>
                <c:pt idx="0">
                  <c:v>Apr</c:v>
                </c:pt>
              </c:strCache>
            </c:strRef>
          </c:tx>
          <c:spPr>
            <a:solidFill>
              <a:schemeClr val="accent4">
                <a:alpha val="35000"/>
              </a:schemeClr>
            </a:solidFill>
            <a:ln w="9525">
              <a:solidFill>
                <a:schemeClr val="accent4"/>
              </a:solidFill>
            </a:ln>
            <a:effectLst/>
            <a:sp3d contourW="9525">
              <a:contourClr>
                <a:schemeClr val="accent4"/>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'!$O$29:$O$41</c:f>
              <c:numCache>
                <c:formatCode>0%</c:formatCode>
                <c:ptCount val="13"/>
                <c:pt idx="0">
                  <c:v>0</c:v>
                </c:pt>
                <c:pt idx="1">
                  <c:v>0</c:v>
                </c:pt>
                <c:pt idx="2">
                  <c:v>0</c:v>
                </c:pt>
                <c:pt idx="3">
                  <c:v>0</c:v>
                </c:pt>
                <c:pt idx="4">
                  <c:v>0</c:v>
                </c:pt>
                <c:pt idx="5">
                  <c:v>0.61111111111111116</c:v>
                </c:pt>
                <c:pt idx="6">
                  <c:v>1</c:v>
                </c:pt>
                <c:pt idx="7">
                  <c:v>0.61111111111111116</c:v>
                </c:pt>
                <c:pt idx="8">
                  <c:v>0</c:v>
                </c:pt>
                <c:pt idx="9">
                  <c:v>0</c:v>
                </c:pt>
                <c:pt idx="10">
                  <c:v>0</c:v>
                </c:pt>
                <c:pt idx="11">
                  <c:v>0</c:v>
                </c:pt>
                <c:pt idx="12">
                  <c:v>0</c:v>
                </c:pt>
              </c:numCache>
            </c:numRef>
          </c:val>
          <c:extLst>
            <c:ext xmlns:c16="http://schemas.microsoft.com/office/drawing/2014/chart" uri="{C3380CC4-5D6E-409C-BE32-E72D297353CC}">
              <c16:uniqueId val="{00000003-9380-486F-BEAC-B5794A1FEF85}"/>
            </c:ext>
          </c:extLst>
        </c:ser>
        <c:ser>
          <c:idx val="4"/>
          <c:order val="4"/>
          <c:tx>
            <c:strRef>
              <c:f>'Irrigation Technical  '!$P$28</c:f>
              <c:strCache>
                <c:ptCount val="1"/>
                <c:pt idx="0">
                  <c:v>May</c:v>
                </c:pt>
              </c:strCache>
            </c:strRef>
          </c:tx>
          <c:spPr>
            <a:solidFill>
              <a:schemeClr val="accent5">
                <a:alpha val="35000"/>
              </a:schemeClr>
            </a:solidFill>
            <a:ln w="9525">
              <a:solidFill>
                <a:schemeClr val="accent5"/>
              </a:solidFill>
            </a:ln>
            <a:effectLst/>
            <a:sp3d contourW="9525">
              <a:contourClr>
                <a:schemeClr val="accent5"/>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'!$P$29:$P$41</c:f>
              <c:numCache>
                <c:formatCode>0%</c:formatCode>
                <c:ptCount val="13"/>
                <c:pt idx="0">
                  <c:v>0</c:v>
                </c:pt>
                <c:pt idx="1">
                  <c:v>0</c:v>
                </c:pt>
                <c:pt idx="2">
                  <c:v>0.41300097751710707</c:v>
                </c:pt>
                <c:pt idx="3">
                  <c:v>1</c:v>
                </c:pt>
                <c:pt idx="4">
                  <c:v>1</c:v>
                </c:pt>
                <c:pt idx="5">
                  <c:v>1</c:v>
                </c:pt>
                <c:pt idx="6">
                  <c:v>1</c:v>
                </c:pt>
                <c:pt idx="7">
                  <c:v>1</c:v>
                </c:pt>
                <c:pt idx="8">
                  <c:v>1</c:v>
                </c:pt>
                <c:pt idx="9">
                  <c:v>1</c:v>
                </c:pt>
                <c:pt idx="10">
                  <c:v>0.41300097751710707</c:v>
                </c:pt>
                <c:pt idx="11">
                  <c:v>0</c:v>
                </c:pt>
                <c:pt idx="12">
                  <c:v>0</c:v>
                </c:pt>
              </c:numCache>
            </c:numRef>
          </c:val>
          <c:extLst>
            <c:ext xmlns:c16="http://schemas.microsoft.com/office/drawing/2014/chart" uri="{C3380CC4-5D6E-409C-BE32-E72D297353CC}">
              <c16:uniqueId val="{00000004-9380-486F-BEAC-B5794A1FEF85}"/>
            </c:ext>
          </c:extLst>
        </c:ser>
        <c:ser>
          <c:idx val="5"/>
          <c:order val="5"/>
          <c:tx>
            <c:strRef>
              <c:f>'Irrigation Technical  '!$Q$28</c:f>
              <c:strCache>
                <c:ptCount val="1"/>
                <c:pt idx="0">
                  <c:v>Jun</c:v>
                </c:pt>
              </c:strCache>
            </c:strRef>
          </c:tx>
          <c:spPr>
            <a:solidFill>
              <a:schemeClr val="accent6">
                <a:alpha val="35000"/>
              </a:schemeClr>
            </a:solidFill>
            <a:ln w="9525">
              <a:solidFill>
                <a:schemeClr val="accent6"/>
              </a:solidFill>
            </a:ln>
            <a:effectLst/>
            <a:sp3d contourW="9525">
              <a:contourClr>
                <a:schemeClr val="accent6"/>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'!$Q$29:$Q$41</c:f>
              <c:numCache>
                <c:formatCode>0%</c:formatCode>
                <c:ptCount val="13"/>
                <c:pt idx="0">
                  <c:v>0</c:v>
                </c:pt>
                <c:pt idx="1">
                  <c:v>0</c:v>
                </c:pt>
                <c:pt idx="2">
                  <c:v>0</c:v>
                </c:pt>
                <c:pt idx="3">
                  <c:v>0</c:v>
                </c:pt>
                <c:pt idx="4">
                  <c:v>0</c:v>
                </c:pt>
                <c:pt idx="5">
                  <c:v>0</c:v>
                </c:pt>
                <c:pt idx="6">
                  <c:v>0.22222222222222221</c:v>
                </c:pt>
                <c:pt idx="7">
                  <c:v>0</c:v>
                </c:pt>
                <c:pt idx="8">
                  <c:v>0</c:v>
                </c:pt>
                <c:pt idx="9">
                  <c:v>0</c:v>
                </c:pt>
                <c:pt idx="10">
                  <c:v>0</c:v>
                </c:pt>
                <c:pt idx="11">
                  <c:v>0</c:v>
                </c:pt>
                <c:pt idx="12">
                  <c:v>0</c:v>
                </c:pt>
              </c:numCache>
            </c:numRef>
          </c:val>
          <c:extLst>
            <c:ext xmlns:c16="http://schemas.microsoft.com/office/drawing/2014/chart" uri="{C3380CC4-5D6E-409C-BE32-E72D297353CC}">
              <c16:uniqueId val="{00000005-9380-486F-BEAC-B5794A1FEF85}"/>
            </c:ext>
          </c:extLst>
        </c:ser>
        <c:ser>
          <c:idx val="6"/>
          <c:order val="6"/>
          <c:tx>
            <c:strRef>
              <c:f>'Irrigation Technical  '!$R$28</c:f>
              <c:strCache>
                <c:ptCount val="1"/>
                <c:pt idx="0">
                  <c:v>Jul</c:v>
                </c:pt>
              </c:strCache>
            </c:strRef>
          </c:tx>
          <c:spPr>
            <a:solidFill>
              <a:schemeClr val="accent1">
                <a:lumMod val="60000"/>
                <a:alpha val="35000"/>
              </a:schemeClr>
            </a:solidFill>
            <a:ln w="9525">
              <a:solidFill>
                <a:schemeClr val="accent1">
                  <a:lumMod val="60000"/>
                </a:schemeClr>
              </a:solidFill>
            </a:ln>
            <a:effectLst/>
            <a:sp3d contourW="9525">
              <a:contourClr>
                <a:schemeClr val="accent1">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'!$R$29:$R$41</c:f>
              <c:numCache>
                <c:formatCode>0%</c:formatCode>
                <c:ptCount val="13"/>
                <c:pt idx="0">
                  <c:v>0</c:v>
                </c:pt>
                <c:pt idx="1">
                  <c:v>0</c:v>
                </c:pt>
                <c:pt idx="2">
                  <c:v>0</c:v>
                </c:pt>
                <c:pt idx="3">
                  <c:v>0</c:v>
                </c:pt>
                <c:pt idx="4">
                  <c:v>0</c:v>
                </c:pt>
                <c:pt idx="5">
                  <c:v>0.5</c:v>
                </c:pt>
                <c:pt idx="6">
                  <c:v>1</c:v>
                </c:pt>
                <c:pt idx="7">
                  <c:v>0.5</c:v>
                </c:pt>
                <c:pt idx="8">
                  <c:v>0</c:v>
                </c:pt>
                <c:pt idx="9">
                  <c:v>0</c:v>
                </c:pt>
                <c:pt idx="10">
                  <c:v>0</c:v>
                </c:pt>
                <c:pt idx="11">
                  <c:v>0</c:v>
                </c:pt>
                <c:pt idx="12">
                  <c:v>0</c:v>
                </c:pt>
              </c:numCache>
            </c:numRef>
          </c:val>
          <c:extLst>
            <c:ext xmlns:c16="http://schemas.microsoft.com/office/drawing/2014/chart" uri="{C3380CC4-5D6E-409C-BE32-E72D297353CC}">
              <c16:uniqueId val="{00000006-9380-486F-BEAC-B5794A1FEF85}"/>
            </c:ext>
          </c:extLst>
        </c:ser>
        <c:ser>
          <c:idx val="7"/>
          <c:order val="7"/>
          <c:tx>
            <c:strRef>
              <c:f>'Irrigation Technical  '!$S$28</c:f>
              <c:strCache>
                <c:ptCount val="1"/>
                <c:pt idx="0">
                  <c:v>Aug</c:v>
                </c:pt>
              </c:strCache>
            </c:strRef>
          </c:tx>
          <c:spPr>
            <a:solidFill>
              <a:schemeClr val="accent2">
                <a:lumMod val="60000"/>
                <a:alpha val="35000"/>
              </a:schemeClr>
            </a:solidFill>
            <a:ln w="9525">
              <a:solidFill>
                <a:schemeClr val="accent2">
                  <a:lumMod val="60000"/>
                </a:schemeClr>
              </a:solidFill>
            </a:ln>
            <a:effectLst/>
            <a:sp3d contourW="9525">
              <a:contourClr>
                <a:schemeClr val="accent2">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'!$S$29:$S$41</c:f>
              <c:numCache>
                <c:formatCode>0%</c:formatCode>
                <c:ptCount val="13"/>
                <c:pt idx="0">
                  <c:v>0</c:v>
                </c:pt>
                <c:pt idx="1">
                  <c:v>0</c:v>
                </c:pt>
                <c:pt idx="2">
                  <c:v>0</c:v>
                </c:pt>
                <c:pt idx="3">
                  <c:v>0</c:v>
                </c:pt>
                <c:pt idx="4">
                  <c:v>0.11290322580645173</c:v>
                </c:pt>
                <c:pt idx="5">
                  <c:v>1</c:v>
                </c:pt>
                <c:pt idx="6">
                  <c:v>1</c:v>
                </c:pt>
                <c:pt idx="7">
                  <c:v>1</c:v>
                </c:pt>
                <c:pt idx="8">
                  <c:v>0.11290322580645173</c:v>
                </c:pt>
                <c:pt idx="9">
                  <c:v>0</c:v>
                </c:pt>
                <c:pt idx="10">
                  <c:v>0</c:v>
                </c:pt>
                <c:pt idx="11">
                  <c:v>0</c:v>
                </c:pt>
                <c:pt idx="12">
                  <c:v>0</c:v>
                </c:pt>
              </c:numCache>
            </c:numRef>
          </c:val>
          <c:extLst>
            <c:ext xmlns:c16="http://schemas.microsoft.com/office/drawing/2014/chart" uri="{C3380CC4-5D6E-409C-BE32-E72D297353CC}">
              <c16:uniqueId val="{00000007-9380-486F-BEAC-B5794A1FEF85}"/>
            </c:ext>
          </c:extLst>
        </c:ser>
        <c:ser>
          <c:idx val="8"/>
          <c:order val="8"/>
          <c:tx>
            <c:strRef>
              <c:f>'Irrigation Technical  '!$T$28</c:f>
              <c:strCache>
                <c:ptCount val="1"/>
                <c:pt idx="0">
                  <c:v>Sep</c:v>
                </c:pt>
              </c:strCache>
            </c:strRef>
          </c:tx>
          <c:spPr>
            <a:solidFill>
              <a:schemeClr val="accent3">
                <a:lumMod val="60000"/>
                <a:alpha val="35000"/>
              </a:schemeClr>
            </a:solidFill>
            <a:ln w="9525">
              <a:solidFill>
                <a:schemeClr val="accent3">
                  <a:lumMod val="60000"/>
                </a:schemeClr>
              </a:solidFill>
            </a:ln>
            <a:effectLst/>
            <a:sp3d contourW="9525">
              <a:contourClr>
                <a:schemeClr val="accent3">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'!$T$29:$T$41</c:f>
              <c:numCache>
                <c:formatCode>0%</c:formatCode>
                <c:ptCount val="13"/>
                <c:pt idx="0">
                  <c:v>5.5555555555555358E-2</c:v>
                </c:pt>
                <c:pt idx="1">
                  <c:v>1</c:v>
                </c:pt>
                <c:pt idx="2">
                  <c:v>1</c:v>
                </c:pt>
                <c:pt idx="3">
                  <c:v>1</c:v>
                </c:pt>
                <c:pt idx="4">
                  <c:v>1</c:v>
                </c:pt>
                <c:pt idx="5">
                  <c:v>1</c:v>
                </c:pt>
                <c:pt idx="6">
                  <c:v>1</c:v>
                </c:pt>
                <c:pt idx="7">
                  <c:v>1</c:v>
                </c:pt>
                <c:pt idx="8">
                  <c:v>1</c:v>
                </c:pt>
                <c:pt idx="9">
                  <c:v>1</c:v>
                </c:pt>
                <c:pt idx="10">
                  <c:v>1</c:v>
                </c:pt>
                <c:pt idx="11">
                  <c:v>1</c:v>
                </c:pt>
                <c:pt idx="12">
                  <c:v>5.5555555555555358E-2</c:v>
                </c:pt>
              </c:numCache>
            </c:numRef>
          </c:val>
          <c:extLst>
            <c:ext xmlns:c16="http://schemas.microsoft.com/office/drawing/2014/chart" uri="{C3380CC4-5D6E-409C-BE32-E72D297353CC}">
              <c16:uniqueId val="{00000008-9380-486F-BEAC-B5794A1FEF85}"/>
            </c:ext>
          </c:extLst>
        </c:ser>
        <c:ser>
          <c:idx val="9"/>
          <c:order val="9"/>
          <c:tx>
            <c:strRef>
              <c:f>'Irrigation Technical  '!$U$28</c:f>
              <c:strCache>
                <c:ptCount val="1"/>
                <c:pt idx="0">
                  <c:v>Oct</c:v>
                </c:pt>
              </c:strCache>
            </c:strRef>
          </c:tx>
          <c:spPr>
            <a:solidFill>
              <a:schemeClr val="accent4">
                <a:lumMod val="60000"/>
                <a:alpha val="35000"/>
              </a:schemeClr>
            </a:solidFill>
            <a:ln w="9525">
              <a:solidFill>
                <a:schemeClr val="accent4">
                  <a:lumMod val="60000"/>
                </a:schemeClr>
              </a:solidFill>
            </a:ln>
            <a:effectLst/>
            <a:sp3d contourW="9525">
              <a:contourClr>
                <a:schemeClr val="accent4">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'!$U$29:$U$41</c:f>
              <c:numCache>
                <c:formatCode>0%</c:formatCode>
                <c:ptCount val="13"/>
                <c:pt idx="0">
                  <c:v>0.4139784946236551</c:v>
                </c:pt>
                <c:pt idx="1">
                  <c:v>1</c:v>
                </c:pt>
                <c:pt idx="2">
                  <c:v>1</c:v>
                </c:pt>
                <c:pt idx="3">
                  <c:v>1</c:v>
                </c:pt>
                <c:pt idx="4">
                  <c:v>1</c:v>
                </c:pt>
                <c:pt idx="5">
                  <c:v>1</c:v>
                </c:pt>
                <c:pt idx="6">
                  <c:v>1</c:v>
                </c:pt>
                <c:pt idx="7">
                  <c:v>1</c:v>
                </c:pt>
                <c:pt idx="8">
                  <c:v>1</c:v>
                </c:pt>
                <c:pt idx="9">
                  <c:v>1</c:v>
                </c:pt>
                <c:pt idx="10">
                  <c:v>1</c:v>
                </c:pt>
                <c:pt idx="11">
                  <c:v>1</c:v>
                </c:pt>
                <c:pt idx="12">
                  <c:v>0.4139784946236551</c:v>
                </c:pt>
              </c:numCache>
            </c:numRef>
          </c:val>
          <c:extLst>
            <c:ext xmlns:c16="http://schemas.microsoft.com/office/drawing/2014/chart" uri="{C3380CC4-5D6E-409C-BE32-E72D297353CC}">
              <c16:uniqueId val="{00000009-9380-486F-BEAC-B5794A1FEF85}"/>
            </c:ext>
          </c:extLst>
        </c:ser>
        <c:ser>
          <c:idx val="10"/>
          <c:order val="10"/>
          <c:tx>
            <c:strRef>
              <c:f>'Irrigation Technical  '!$V$28</c:f>
              <c:strCache>
                <c:ptCount val="1"/>
                <c:pt idx="0">
                  <c:v>Nov</c:v>
                </c:pt>
              </c:strCache>
            </c:strRef>
          </c:tx>
          <c:spPr>
            <a:solidFill>
              <a:schemeClr val="accent5">
                <a:lumMod val="60000"/>
                <a:alpha val="35000"/>
              </a:schemeClr>
            </a:solidFill>
            <a:ln w="9525">
              <a:solidFill>
                <a:schemeClr val="accent5">
                  <a:lumMod val="60000"/>
                </a:schemeClr>
              </a:solidFill>
            </a:ln>
            <a:effectLst/>
            <a:sp3d contourW="9525">
              <a:contourClr>
                <a:schemeClr val="accent5">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'!$V$29:$V$41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A-9380-486F-BEAC-B5794A1FEF85}"/>
            </c:ext>
          </c:extLst>
        </c:ser>
        <c:ser>
          <c:idx val="11"/>
          <c:order val="11"/>
          <c:tx>
            <c:strRef>
              <c:f>'Irrigation Technical  '!$W$28</c:f>
              <c:strCache>
                <c:ptCount val="1"/>
                <c:pt idx="0">
                  <c:v>Dec</c:v>
                </c:pt>
              </c:strCache>
            </c:strRef>
          </c:tx>
          <c:spPr>
            <a:solidFill>
              <a:schemeClr val="accent6">
                <a:lumMod val="60000"/>
                <a:alpha val="35000"/>
              </a:schemeClr>
            </a:solidFill>
            <a:ln w="9525">
              <a:solidFill>
                <a:schemeClr val="accent6">
                  <a:lumMod val="60000"/>
                </a:schemeClr>
              </a:solidFill>
            </a:ln>
            <a:effectLst/>
            <a:sp3d contourW="9525">
              <a:contourClr>
                <a:schemeClr val="accent6">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'!$W$29:$W$41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B-9380-486F-BEAC-B5794A1FEF85}"/>
            </c:ext>
          </c:extLst>
        </c:ser>
        <c:dLbls>
          <c:showLegendKey val="0"/>
          <c:showVal val="0"/>
          <c:showCatName val="0"/>
          <c:showSerName val="0"/>
          <c:showPercent val="0"/>
          <c:showBubbleSize val="0"/>
        </c:dLbls>
        <c:axId val="683039536"/>
        <c:axId val="683038704"/>
        <c:axId val="913812112"/>
      </c:area3DChart>
      <c:catAx>
        <c:axId val="683039536"/>
        <c:scaling>
          <c:orientation val="minMax"/>
        </c:scaling>
        <c:delete val="0"/>
        <c:axPos val="b"/>
        <c:numFmt formatCode="h:mm"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3038704"/>
        <c:crosses val="autoZero"/>
        <c:auto val="1"/>
        <c:lblAlgn val="ctr"/>
        <c:lblOffset val="100"/>
        <c:noMultiLvlLbl val="0"/>
      </c:catAx>
      <c:valAx>
        <c:axId val="6830387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3039536"/>
        <c:crosses val="autoZero"/>
        <c:crossBetween val="midCat"/>
      </c:valAx>
      <c:serAx>
        <c:axId val="913812112"/>
        <c:scaling>
          <c:orientation val="minMax"/>
        </c:scaling>
        <c:delete val="0"/>
        <c:axPos val="b"/>
        <c:majorTickMark val="none"/>
        <c:minorTickMark val="none"/>
        <c:tickLblPos val="nextTo"/>
        <c:spPr>
          <a:noFill/>
          <a:ln w="9525" cap="flat" cmpd="sng" algn="ctr">
            <a:solidFill>
              <a:schemeClr val="tx1">
                <a:lumMod val="5000"/>
                <a:lumOff val="9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68303870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ZA"/>
              <a:t>Monthly Electricity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'Irrigation Technical  '!$B$3</c:f>
              <c:strCache>
                <c:ptCount val="1"/>
                <c:pt idx="0">
                  <c:v>Actual </c:v>
                </c:pt>
              </c:strCache>
            </c:strRef>
          </c:tx>
          <c:spPr>
            <a:solidFill>
              <a:schemeClr val="accent1"/>
            </a:solidFill>
            <a:ln>
              <a:noFill/>
            </a:ln>
            <a:effectLst/>
          </c:spPr>
          <c:invertIfNegative val="0"/>
          <c:cat>
            <c:strRef>
              <c:f>'Irrigation Technical  '!$A$4:$A$15</c:f>
              <c:strCache>
                <c:ptCount val="12"/>
                <c:pt idx="0">
                  <c:v>Jan </c:v>
                </c:pt>
                <c:pt idx="1">
                  <c:v>Feb </c:v>
                </c:pt>
                <c:pt idx="2">
                  <c:v>Mar</c:v>
                </c:pt>
                <c:pt idx="3">
                  <c:v>Apr</c:v>
                </c:pt>
                <c:pt idx="4">
                  <c:v>May</c:v>
                </c:pt>
                <c:pt idx="5">
                  <c:v>Jun</c:v>
                </c:pt>
                <c:pt idx="6">
                  <c:v>Jul</c:v>
                </c:pt>
                <c:pt idx="7">
                  <c:v>Aug</c:v>
                </c:pt>
                <c:pt idx="8">
                  <c:v>Sep</c:v>
                </c:pt>
                <c:pt idx="9">
                  <c:v>Oct</c:v>
                </c:pt>
                <c:pt idx="10">
                  <c:v>Nov</c:v>
                </c:pt>
                <c:pt idx="11">
                  <c:v>Dec</c:v>
                </c:pt>
              </c:strCache>
            </c:strRef>
          </c:cat>
          <c:val>
            <c:numRef>
              <c:f>'Irrigation Technical  '!$B$4:$B$15</c:f>
              <c:numCache>
                <c:formatCode>General</c:formatCode>
                <c:ptCount val="12"/>
                <c:pt idx="0">
                  <c:v>3500</c:v>
                </c:pt>
                <c:pt idx="1">
                  <c:v>6000</c:v>
                </c:pt>
                <c:pt idx="2">
                  <c:v>2000</c:v>
                </c:pt>
                <c:pt idx="3">
                  <c:v>1000</c:v>
                </c:pt>
                <c:pt idx="4">
                  <c:v>0</c:v>
                </c:pt>
                <c:pt idx="5">
                  <c:v>100</c:v>
                </c:pt>
                <c:pt idx="6">
                  <c:v>930</c:v>
                </c:pt>
                <c:pt idx="7">
                  <c:v>1500</c:v>
                </c:pt>
                <c:pt idx="8">
                  <c:v>5000</c:v>
                </c:pt>
                <c:pt idx="9">
                  <c:v>5500</c:v>
                </c:pt>
                <c:pt idx="10">
                  <c:v>6500</c:v>
                </c:pt>
                <c:pt idx="11">
                  <c:v>8000</c:v>
                </c:pt>
              </c:numCache>
            </c:numRef>
          </c:val>
          <c:extLst>
            <c:ext xmlns:c16="http://schemas.microsoft.com/office/drawing/2014/chart" uri="{C3380CC4-5D6E-409C-BE32-E72D297353CC}">
              <c16:uniqueId val="{00000000-AC06-408B-897F-8AB6F72CBFEF}"/>
            </c:ext>
          </c:extLst>
        </c:ser>
        <c:ser>
          <c:idx val="1"/>
          <c:order val="1"/>
          <c:tx>
            <c:strRef>
              <c:f>'Irrigation Technical  '!$C$3</c:f>
              <c:strCache>
                <c:ptCount val="1"/>
                <c:pt idx="0">
                  <c:v>Assumed </c:v>
                </c:pt>
              </c:strCache>
            </c:strRef>
          </c:tx>
          <c:spPr>
            <a:solidFill>
              <a:schemeClr val="accent2"/>
            </a:solidFill>
            <a:ln>
              <a:noFill/>
            </a:ln>
            <a:effectLst/>
          </c:spPr>
          <c:invertIfNegative val="0"/>
          <c:val>
            <c:numRef>
              <c:f>'Irrigation Technical  '!$C$4:$C$15</c:f>
              <c:numCache>
                <c:formatCode>General</c:formatCode>
                <c:ptCount val="12"/>
                <c:pt idx="0">
                  <c:v>0</c:v>
                </c:pt>
                <c:pt idx="1">
                  <c:v>0</c:v>
                </c:pt>
                <c:pt idx="2">
                  <c:v>0</c:v>
                </c:pt>
                <c:pt idx="3">
                  <c:v>0</c:v>
                </c:pt>
                <c:pt idx="4">
                  <c:v>3639.090909090909</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C06-408B-897F-8AB6F72CBFEF}"/>
            </c:ext>
          </c:extLst>
        </c:ser>
        <c:dLbls>
          <c:showLegendKey val="0"/>
          <c:showVal val="0"/>
          <c:showCatName val="0"/>
          <c:showSerName val="0"/>
          <c:showPercent val="0"/>
          <c:showBubbleSize val="0"/>
        </c:dLbls>
        <c:gapWidth val="219"/>
        <c:overlap val="-27"/>
        <c:axId val="413001696"/>
        <c:axId val="412993792"/>
      </c:barChart>
      <c:catAx>
        <c:axId val="4130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2993792"/>
        <c:crosses val="autoZero"/>
        <c:auto val="1"/>
        <c:lblAlgn val="ctr"/>
        <c:lblOffset val="100"/>
        <c:noMultiLvlLbl val="0"/>
      </c:catAx>
      <c:valAx>
        <c:axId val="4129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ZA"/>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300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ZA"/>
              <a:t>Daily System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'Irrigation Technical  '!$Y$28</c:f>
              <c:strCache>
                <c:ptCount val="1"/>
                <c:pt idx="0">
                  <c:v>Pump Output</c:v>
                </c:pt>
              </c:strCache>
            </c:strRef>
          </c:tx>
          <c:spPr>
            <a:ln w="28575" cap="rnd">
              <a:solidFill>
                <a:schemeClr val="accent1"/>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'!$Y$29:$Y$41</c:f>
              <c:numCache>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15</c:v>
                </c:pt>
              </c:numCache>
            </c:numRef>
          </c:val>
          <c:smooth val="0"/>
          <c:extLst>
            <c:ext xmlns:c16="http://schemas.microsoft.com/office/drawing/2014/chart" uri="{C3380CC4-5D6E-409C-BE32-E72D297353CC}">
              <c16:uniqueId val="{00000000-6754-4221-9988-4574E485E114}"/>
            </c:ext>
          </c:extLst>
        </c:ser>
        <c:ser>
          <c:idx val="1"/>
          <c:order val="1"/>
          <c:tx>
            <c:strRef>
              <c:f>'Irrigation Technical  '!$Z$28</c:f>
              <c:strCache>
                <c:ptCount val="1"/>
                <c:pt idx="0">
                  <c:v>Power from Solar</c:v>
                </c:pt>
              </c:strCache>
            </c:strRef>
          </c:tx>
          <c:spPr>
            <a:ln w="28575" cap="rnd">
              <a:solidFill>
                <a:schemeClr val="accent2"/>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'!$Z$29:$Z$41</c:f>
              <c:numCache>
                <c:formatCode>General</c:formatCode>
                <c:ptCount val="13"/>
                <c:pt idx="0">
                  <c:v>0</c:v>
                </c:pt>
                <c:pt idx="1">
                  <c:v>0</c:v>
                </c:pt>
                <c:pt idx="2">
                  <c:v>0</c:v>
                </c:pt>
                <c:pt idx="3">
                  <c:v>7.6145999999999994</c:v>
                </c:pt>
                <c:pt idx="4">
                  <c:v>11.421899999999999</c:v>
                </c:pt>
                <c:pt idx="5">
                  <c:v>13.706280000000001</c:v>
                </c:pt>
                <c:pt idx="6">
                  <c:v>14.7</c:v>
                </c:pt>
                <c:pt idx="7">
                  <c:v>14.7</c:v>
                </c:pt>
                <c:pt idx="8">
                  <c:v>12.94482</c:v>
                </c:pt>
                <c:pt idx="9">
                  <c:v>9.8989799999999999</c:v>
                </c:pt>
                <c:pt idx="10">
                  <c:v>0</c:v>
                </c:pt>
                <c:pt idx="11">
                  <c:v>0</c:v>
                </c:pt>
                <c:pt idx="12">
                  <c:v>0</c:v>
                </c:pt>
              </c:numCache>
            </c:numRef>
          </c:val>
          <c:smooth val="0"/>
          <c:extLst>
            <c:ext xmlns:c16="http://schemas.microsoft.com/office/drawing/2014/chart" uri="{C3380CC4-5D6E-409C-BE32-E72D297353CC}">
              <c16:uniqueId val="{00000001-6754-4221-9988-4574E485E114}"/>
            </c:ext>
          </c:extLst>
        </c:ser>
        <c:ser>
          <c:idx val="2"/>
          <c:order val="2"/>
          <c:tx>
            <c:strRef>
              <c:f>'Irrigation Technical  '!$AA$28</c:f>
              <c:strCache>
                <c:ptCount val="1"/>
                <c:pt idx="0">
                  <c:v>Power From Grid</c:v>
                </c:pt>
              </c:strCache>
            </c:strRef>
          </c:tx>
          <c:spPr>
            <a:ln w="28575" cap="rnd">
              <a:solidFill>
                <a:schemeClr val="accent3"/>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'!$AA$29:$AA$41</c:f>
              <c:numCache>
                <c:formatCode>General</c:formatCode>
                <c:ptCount val="13"/>
                <c:pt idx="0">
                  <c:v>15</c:v>
                </c:pt>
                <c:pt idx="1">
                  <c:v>15</c:v>
                </c:pt>
                <c:pt idx="2">
                  <c:v>15</c:v>
                </c:pt>
                <c:pt idx="3">
                  <c:v>7.3854000000000006</c:v>
                </c:pt>
                <c:pt idx="4">
                  <c:v>3.5781000000000009</c:v>
                </c:pt>
                <c:pt idx="5">
                  <c:v>1.2937199999999986</c:v>
                </c:pt>
                <c:pt idx="6">
                  <c:v>0.30000000000000071</c:v>
                </c:pt>
                <c:pt idx="7">
                  <c:v>0.30000000000000071</c:v>
                </c:pt>
                <c:pt idx="8">
                  <c:v>2.05518</c:v>
                </c:pt>
                <c:pt idx="9">
                  <c:v>5.1010200000000001</c:v>
                </c:pt>
                <c:pt idx="10">
                  <c:v>15</c:v>
                </c:pt>
                <c:pt idx="11">
                  <c:v>15</c:v>
                </c:pt>
                <c:pt idx="12">
                  <c:v>15</c:v>
                </c:pt>
              </c:numCache>
            </c:numRef>
          </c:val>
          <c:smooth val="0"/>
          <c:extLst>
            <c:ext xmlns:c16="http://schemas.microsoft.com/office/drawing/2014/chart" uri="{C3380CC4-5D6E-409C-BE32-E72D297353CC}">
              <c16:uniqueId val="{00000002-6754-4221-9988-4574E485E114}"/>
            </c:ext>
          </c:extLst>
        </c:ser>
        <c:dLbls>
          <c:showLegendKey val="0"/>
          <c:showVal val="0"/>
          <c:showCatName val="0"/>
          <c:showSerName val="0"/>
          <c:showPercent val="0"/>
          <c:showBubbleSize val="0"/>
        </c:dLbls>
        <c:smooth val="0"/>
        <c:axId val="805856944"/>
        <c:axId val="805858608"/>
      </c:lineChart>
      <c:catAx>
        <c:axId val="805856944"/>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5858608"/>
        <c:crosses val="autoZero"/>
        <c:auto val="1"/>
        <c:lblAlgn val="ctr"/>
        <c:lblOffset val="100"/>
        <c:noMultiLvlLbl val="0"/>
      </c:catAx>
      <c:valAx>
        <c:axId val="80585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ZA"/>
                  <a:t>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585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ZA"/>
              <a:t>Savings Potential</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7898676729932045"/>
          <c:y val="0.16513305403015915"/>
          <c:w val="0.70568545718384768"/>
          <c:h val="0.51818529221581833"/>
        </c:manualLayout>
      </c:layout>
      <c:barChart>
        <c:barDir val="col"/>
        <c:grouping val="clustered"/>
        <c:varyColors val="0"/>
        <c:ser>
          <c:idx val="0"/>
          <c:order val="0"/>
          <c:tx>
            <c:strRef>
              <c:f>'Irrigation Technical  '!$M$3</c:f>
              <c:strCache>
                <c:ptCount val="1"/>
                <c:pt idx="0">
                  <c:v>Potential Savings</c:v>
                </c:pt>
              </c:strCache>
            </c:strRef>
          </c:tx>
          <c:spPr>
            <a:solidFill>
              <a:schemeClr val="accent1"/>
            </a:solidFill>
            <a:ln>
              <a:noFill/>
            </a:ln>
            <a:effectLst/>
          </c:spPr>
          <c:invertIfNegative val="0"/>
          <c:cat>
            <c:strRef>
              <c:f>'Irrigation Technical  '!$A$4:$A$15</c:f>
              <c:strCache>
                <c:ptCount val="12"/>
                <c:pt idx="0">
                  <c:v>Jan </c:v>
                </c:pt>
                <c:pt idx="1">
                  <c:v>Feb </c:v>
                </c:pt>
                <c:pt idx="2">
                  <c:v>Mar</c:v>
                </c:pt>
                <c:pt idx="3">
                  <c:v>Apr</c:v>
                </c:pt>
                <c:pt idx="4">
                  <c:v>May</c:v>
                </c:pt>
                <c:pt idx="5">
                  <c:v>Jun</c:v>
                </c:pt>
                <c:pt idx="6">
                  <c:v>Jul</c:v>
                </c:pt>
                <c:pt idx="7">
                  <c:v>Aug</c:v>
                </c:pt>
                <c:pt idx="8">
                  <c:v>Sep</c:v>
                </c:pt>
                <c:pt idx="9">
                  <c:v>Oct</c:v>
                </c:pt>
                <c:pt idx="10">
                  <c:v>Nov</c:v>
                </c:pt>
                <c:pt idx="11">
                  <c:v>Dec</c:v>
                </c:pt>
              </c:strCache>
            </c:strRef>
          </c:cat>
          <c:val>
            <c:numRef>
              <c:f>'Irrigation Technical  '!$M$4:$M$15</c:f>
              <c:numCache>
                <c:formatCode>General</c:formatCode>
                <c:ptCount val="12"/>
                <c:pt idx="0">
                  <c:v>6930.5056226823508</c:v>
                </c:pt>
                <c:pt idx="1">
                  <c:v>5732.0948604705873</c:v>
                </c:pt>
                <c:pt idx="2">
                  <c:v>5661.2560464352928</c:v>
                </c:pt>
                <c:pt idx="3">
                  <c:v>4718.2549531764689</c:v>
                </c:pt>
                <c:pt idx="4">
                  <c:v>4422.2266981941166</c:v>
                </c:pt>
                <c:pt idx="5">
                  <c:v>3909.1327194705873</c:v>
                </c:pt>
                <c:pt idx="6">
                  <c:v>4371.8596515176459</c:v>
                </c:pt>
                <c:pt idx="7">
                  <c:v>5066.92489565294</c:v>
                </c:pt>
                <c:pt idx="8">
                  <c:v>5849.0763882352931</c:v>
                </c:pt>
                <c:pt idx="9">
                  <c:v>6235.4403785470577</c:v>
                </c:pt>
                <c:pt idx="10">
                  <c:v>6619.2047793529391</c:v>
                </c:pt>
                <c:pt idx="11">
                  <c:v>7001.0194880294102</c:v>
                </c:pt>
              </c:numCache>
            </c:numRef>
          </c:val>
          <c:extLst>
            <c:ext xmlns:c16="http://schemas.microsoft.com/office/drawing/2014/chart" uri="{C3380CC4-5D6E-409C-BE32-E72D297353CC}">
              <c16:uniqueId val="{00000000-B37B-4BEF-B63F-A15991C4F61D}"/>
            </c:ext>
          </c:extLst>
        </c:ser>
        <c:ser>
          <c:idx val="1"/>
          <c:order val="1"/>
          <c:tx>
            <c:strRef>
              <c:f>'Irrigation Technical  '!$L$3</c:f>
              <c:strCache>
                <c:ptCount val="1"/>
                <c:pt idx="0">
                  <c:v>Actual Savings</c:v>
                </c:pt>
              </c:strCache>
            </c:strRef>
          </c:tx>
          <c:spPr>
            <a:solidFill>
              <a:schemeClr val="accent3"/>
            </a:solidFill>
            <a:ln>
              <a:noFill/>
            </a:ln>
            <a:effectLst/>
          </c:spPr>
          <c:invertIfNegative val="0"/>
          <c:val>
            <c:numRef>
              <c:f>'Irrigation Technical  '!$L$4:$L$15</c:f>
              <c:numCache>
                <c:formatCode>General</c:formatCode>
                <c:ptCount val="12"/>
                <c:pt idx="0">
                  <c:v>5544.404498145881</c:v>
                </c:pt>
                <c:pt idx="1">
                  <c:v>4585.6758883764696</c:v>
                </c:pt>
                <c:pt idx="2">
                  <c:v>3141.9069649882354</c:v>
                </c:pt>
                <c:pt idx="3">
                  <c:v>1423.8896672000001</c:v>
                </c:pt>
                <c:pt idx="4">
                  <c:v>3537.7813585552926</c:v>
                </c:pt>
                <c:pt idx="5">
                  <c:v>120.20564705882353</c:v>
                </c:pt>
                <c:pt idx="6">
                  <c:v>134.43447843137255</c:v>
                </c:pt>
                <c:pt idx="7">
                  <c:v>2187.2234940705885</c:v>
                </c:pt>
                <c:pt idx="8">
                  <c:v>4679.2611105882343</c:v>
                </c:pt>
                <c:pt idx="9">
                  <c:v>4988.3523028376467</c:v>
                </c:pt>
                <c:pt idx="10">
                  <c:v>5295.363823482352</c:v>
                </c:pt>
                <c:pt idx="11">
                  <c:v>5600.8155904235291</c:v>
                </c:pt>
              </c:numCache>
            </c:numRef>
          </c:val>
          <c:extLst>
            <c:ext xmlns:c16="http://schemas.microsoft.com/office/drawing/2014/chart" uri="{C3380CC4-5D6E-409C-BE32-E72D297353CC}">
              <c16:uniqueId val="{00000001-B37B-4BEF-B63F-A15991C4F61D}"/>
            </c:ext>
          </c:extLst>
        </c:ser>
        <c:dLbls>
          <c:showLegendKey val="0"/>
          <c:showVal val="0"/>
          <c:showCatName val="0"/>
          <c:showSerName val="0"/>
          <c:showPercent val="0"/>
          <c:showBubbleSize val="0"/>
        </c:dLbls>
        <c:gapWidth val="219"/>
        <c:axId val="413001696"/>
        <c:axId val="412993792"/>
      </c:barChart>
      <c:scatterChart>
        <c:scatterStyle val="lineMarker"/>
        <c:varyColors val="0"/>
        <c:ser>
          <c:idx val="2"/>
          <c:order val="2"/>
          <c:tx>
            <c:v>Average Daily Pumping Hours</c:v>
          </c:tx>
          <c:spPr>
            <a:ln w="9525" cap="rnd">
              <a:solidFill>
                <a:schemeClr val="accent5"/>
              </a:solidFill>
              <a:round/>
            </a:ln>
            <a:effectLst/>
          </c:spPr>
          <c:marker>
            <c:symbol val="none"/>
          </c:marker>
          <c:yVal>
            <c:numRef>
              <c:f>'Irrigation Technical  '!$G$4:$G$15</c:f>
              <c:numCache>
                <c:formatCode>General</c:formatCode>
                <c:ptCount val="12"/>
                <c:pt idx="0">
                  <c:v>7.5268817204301079</c:v>
                </c:pt>
                <c:pt idx="1">
                  <c:v>14.285714285714285</c:v>
                </c:pt>
                <c:pt idx="2">
                  <c:v>4.301075268817204</c:v>
                </c:pt>
                <c:pt idx="3">
                  <c:v>2.2222222222222223</c:v>
                </c:pt>
                <c:pt idx="4">
                  <c:v>7.8260019550342141</c:v>
                </c:pt>
                <c:pt idx="5">
                  <c:v>0.22222222222222221</c:v>
                </c:pt>
                <c:pt idx="6">
                  <c:v>2</c:v>
                </c:pt>
                <c:pt idx="7">
                  <c:v>3.2258064516129035</c:v>
                </c:pt>
                <c:pt idx="8">
                  <c:v>11.111111111111111</c:v>
                </c:pt>
                <c:pt idx="9">
                  <c:v>11.82795698924731</c:v>
                </c:pt>
                <c:pt idx="10">
                  <c:v>14.444444444444446</c:v>
                </c:pt>
                <c:pt idx="11">
                  <c:v>17.204301075268816</c:v>
                </c:pt>
              </c:numCache>
            </c:numRef>
          </c:yVal>
          <c:smooth val="0"/>
          <c:extLst>
            <c:ext xmlns:c16="http://schemas.microsoft.com/office/drawing/2014/chart" uri="{C3380CC4-5D6E-409C-BE32-E72D297353CC}">
              <c16:uniqueId val="{00000002-3B10-46E1-82F5-42F775055BA1}"/>
            </c:ext>
          </c:extLst>
        </c:ser>
        <c:dLbls>
          <c:showLegendKey val="0"/>
          <c:showVal val="0"/>
          <c:showCatName val="0"/>
          <c:showSerName val="0"/>
          <c:showPercent val="0"/>
          <c:showBubbleSize val="0"/>
        </c:dLbls>
        <c:axId val="973329232"/>
        <c:axId val="973337552"/>
      </c:scatterChart>
      <c:catAx>
        <c:axId val="4130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2993792"/>
        <c:crosses val="autoZero"/>
        <c:auto val="1"/>
        <c:lblAlgn val="ctr"/>
        <c:lblOffset val="100"/>
        <c:noMultiLvlLbl val="0"/>
      </c:catAx>
      <c:valAx>
        <c:axId val="4129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ZA"/>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3001696"/>
        <c:crosses val="autoZero"/>
        <c:crossBetween val="between"/>
      </c:valAx>
      <c:valAx>
        <c:axId val="9733375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ZA"/>
                  <a:t>Pumping</a:t>
                </a:r>
                <a:r>
                  <a:rPr lang="en-ZA" baseline="0"/>
                  <a:t> Hours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Z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329232"/>
        <c:crosses val="max"/>
        <c:crossBetween val="midCat"/>
      </c:valAx>
      <c:valAx>
        <c:axId val="973329232"/>
        <c:scaling>
          <c:orientation val="minMax"/>
        </c:scaling>
        <c:delete val="1"/>
        <c:axPos val="b"/>
        <c:majorTickMark val="out"/>
        <c:minorTickMark val="none"/>
        <c:tickLblPos val="nextTo"/>
        <c:crossAx val="973337552"/>
        <c:crosses val="autoZero"/>
        <c:crossBetween val="midCat"/>
      </c:valAx>
      <c:spPr>
        <a:noFill/>
        <a:ln>
          <a:noFill/>
        </a:ln>
        <a:effectLst/>
      </c:spPr>
    </c:plotArea>
    <c:legend>
      <c:legendPos val="b"/>
      <c:layout>
        <c:manualLayout>
          <c:xMode val="edge"/>
          <c:yMode val="edge"/>
          <c:x val="6.8188077825874251E-3"/>
          <c:y val="0.76522016984885888"/>
          <c:w val="0.98962534068346353"/>
          <c:h val="0.2347798301511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Function'!$B$33:$B$45</c:f>
              <c:numCache>
                <c:formatCode>0%</c:formatCode>
                <c:ptCount val="13"/>
                <c:pt idx="0">
                  <c:v>0</c:v>
                </c:pt>
                <c:pt idx="1">
                  <c:v>0.03</c:v>
                </c:pt>
                <c:pt idx="2">
                  <c:v>0.32</c:v>
                </c:pt>
                <c:pt idx="3">
                  <c:v>0.5</c:v>
                </c:pt>
                <c:pt idx="4">
                  <c:v>0.75</c:v>
                </c:pt>
                <c:pt idx="5">
                  <c:v>0.9</c:v>
                </c:pt>
                <c:pt idx="6">
                  <c:v>1</c:v>
                </c:pt>
                <c:pt idx="7">
                  <c:v>0.99</c:v>
                </c:pt>
                <c:pt idx="8">
                  <c:v>0.85</c:v>
                </c:pt>
                <c:pt idx="9">
                  <c:v>0.65</c:v>
                </c:pt>
                <c:pt idx="10">
                  <c:v>0.3</c:v>
                </c:pt>
                <c:pt idx="11">
                  <c:v>0.01</c:v>
                </c:pt>
                <c:pt idx="12">
                  <c:v>0</c:v>
                </c:pt>
              </c:numCache>
            </c:numRef>
          </c:val>
          <c:smooth val="0"/>
          <c:extLst>
            <c:ext xmlns:c16="http://schemas.microsoft.com/office/drawing/2014/chart" uri="{C3380CC4-5D6E-409C-BE32-E72D297353CC}">
              <c16:uniqueId val="{00000000-55EA-4370-A3B7-93D2B7A05AA2}"/>
            </c:ext>
          </c:extLst>
        </c:ser>
        <c:ser>
          <c:idx val="1"/>
          <c:order val="1"/>
          <c:spPr>
            <a:ln w="28575" cap="rnd">
              <a:solidFill>
                <a:schemeClr val="accent2"/>
              </a:solidFill>
              <a:round/>
            </a:ln>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Function'!$C$33:$C$45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1-55EA-4370-A3B7-93D2B7A05AA2}"/>
            </c:ext>
          </c:extLst>
        </c:ser>
        <c:ser>
          <c:idx val="2"/>
          <c:order val="2"/>
          <c:spPr>
            <a:ln w="28575" cap="rnd">
              <a:solidFill>
                <a:schemeClr val="accent3"/>
              </a:solidFill>
              <a:round/>
            </a:ln>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Function'!$D$33:$D$45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2-55EA-4370-A3B7-93D2B7A05AA2}"/>
            </c:ext>
          </c:extLst>
        </c:ser>
        <c:ser>
          <c:idx val="3"/>
          <c:order val="3"/>
          <c:spPr>
            <a:ln w="28575" cap="rnd">
              <a:solidFill>
                <a:schemeClr val="accent4"/>
              </a:solidFill>
              <a:round/>
            </a:ln>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Function'!$E$33:$E$45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3-55EA-4370-A3B7-93D2B7A05AA2}"/>
            </c:ext>
          </c:extLst>
        </c:ser>
        <c:dLbls>
          <c:showLegendKey val="0"/>
          <c:showVal val="0"/>
          <c:showCatName val="0"/>
          <c:showSerName val="0"/>
          <c:showPercent val="0"/>
          <c:showBubbleSize val="0"/>
        </c:dLbls>
        <c:smooth val="0"/>
        <c:axId val="1817037520"/>
        <c:axId val="1817037936"/>
      </c:lineChart>
      <c:catAx>
        <c:axId val="1817037520"/>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37936"/>
        <c:crosses val="autoZero"/>
        <c:auto val="1"/>
        <c:lblAlgn val="ctr"/>
        <c:lblOffset val="100"/>
        <c:noMultiLvlLbl val="0"/>
      </c:catAx>
      <c:valAx>
        <c:axId val="181703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3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ZA"/>
              <a:t>True Hybrid Financial Simulation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ndard"/>
        <c:varyColors val="0"/>
        <c:ser>
          <c:idx val="4"/>
          <c:order val="3"/>
          <c:tx>
            <c:strRef>
              <c:f>'True Hybrid Function'!$F$32</c:f>
              <c:strCache>
                <c:ptCount val="1"/>
                <c:pt idx="0">
                  <c:v>Pump Output</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Function'!$F$33:$F$45</c:f>
              <c:numCache>
                <c:formatCode>General</c:formatCode>
                <c:ptCount val="13"/>
                <c:pt idx="0">
                  <c:v>15000</c:v>
                </c:pt>
                <c:pt idx="1">
                  <c:v>15000</c:v>
                </c:pt>
                <c:pt idx="2">
                  <c:v>15000</c:v>
                </c:pt>
                <c:pt idx="3">
                  <c:v>15000</c:v>
                </c:pt>
                <c:pt idx="4">
                  <c:v>15000</c:v>
                </c:pt>
                <c:pt idx="5">
                  <c:v>15000</c:v>
                </c:pt>
                <c:pt idx="6">
                  <c:v>15000</c:v>
                </c:pt>
                <c:pt idx="7">
                  <c:v>15000</c:v>
                </c:pt>
                <c:pt idx="8">
                  <c:v>15000</c:v>
                </c:pt>
                <c:pt idx="9">
                  <c:v>15000</c:v>
                </c:pt>
                <c:pt idx="10">
                  <c:v>15000</c:v>
                </c:pt>
                <c:pt idx="11">
                  <c:v>15000</c:v>
                </c:pt>
                <c:pt idx="12">
                  <c:v>15000</c:v>
                </c:pt>
              </c:numCache>
            </c:numRef>
          </c:val>
          <c:extLst>
            <c:ext xmlns:c16="http://schemas.microsoft.com/office/drawing/2014/chart" uri="{C3380CC4-5D6E-409C-BE32-E72D297353CC}">
              <c16:uniqueId val="{00000004-F159-41EF-BD17-255B35696F27}"/>
            </c:ext>
          </c:extLst>
        </c:ser>
        <c:ser>
          <c:idx val="5"/>
          <c:order val="4"/>
          <c:tx>
            <c:strRef>
              <c:f>'True Hybrid Function'!$G$32</c:f>
              <c:strCache>
                <c:ptCount val="1"/>
                <c:pt idx="0">
                  <c:v>Bottom Min</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Function'!$G$33:$G$45</c:f>
              <c:numCache>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extLst>
            <c:ext xmlns:c16="http://schemas.microsoft.com/office/drawing/2014/chart" uri="{C3380CC4-5D6E-409C-BE32-E72D297353CC}">
              <c16:uniqueId val="{00000005-F159-41EF-BD17-255B35696F27}"/>
            </c:ext>
          </c:extLst>
        </c:ser>
        <c:ser>
          <c:idx val="6"/>
          <c:order val="5"/>
          <c:tx>
            <c:strRef>
              <c:f>'True Hybrid Function'!$H$32</c:f>
              <c:strCache>
                <c:ptCount val="1"/>
                <c:pt idx="0">
                  <c:v>Top Minimum Amp</c:v>
                </c:pt>
              </c:strCache>
            </c:strRef>
          </c:tx>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Function'!$H$33:$H$45</c:f>
              <c:numCache>
                <c:formatCode>General</c:formatCode>
                <c:ptCount val="13"/>
                <c:pt idx="0">
                  <c:v>225</c:v>
                </c:pt>
                <c:pt idx="1">
                  <c:v>225</c:v>
                </c:pt>
                <c:pt idx="2">
                  <c:v>225</c:v>
                </c:pt>
                <c:pt idx="3">
                  <c:v>225</c:v>
                </c:pt>
                <c:pt idx="4">
                  <c:v>225</c:v>
                </c:pt>
                <c:pt idx="5">
                  <c:v>225</c:v>
                </c:pt>
                <c:pt idx="6">
                  <c:v>225</c:v>
                </c:pt>
                <c:pt idx="7">
                  <c:v>225</c:v>
                </c:pt>
                <c:pt idx="8">
                  <c:v>225</c:v>
                </c:pt>
                <c:pt idx="9">
                  <c:v>225</c:v>
                </c:pt>
                <c:pt idx="10">
                  <c:v>225</c:v>
                </c:pt>
                <c:pt idx="11">
                  <c:v>225</c:v>
                </c:pt>
                <c:pt idx="12">
                  <c:v>225</c:v>
                </c:pt>
              </c:numCache>
            </c:numRef>
          </c:val>
          <c:extLst>
            <c:ext xmlns:c16="http://schemas.microsoft.com/office/drawing/2014/chart" uri="{C3380CC4-5D6E-409C-BE32-E72D297353CC}">
              <c16:uniqueId val="{00000006-F159-41EF-BD17-255B35696F27}"/>
            </c:ext>
          </c:extLst>
        </c:ser>
        <c:ser>
          <c:idx val="7"/>
          <c:order val="6"/>
          <c:tx>
            <c:strRef>
              <c:f>'True Hybrid Function'!$I$32</c:f>
              <c:strCache>
                <c:ptCount val="1"/>
                <c:pt idx="0">
                  <c:v>Savings </c:v>
                </c:pt>
              </c:strCache>
            </c:strRef>
          </c:tx>
          <c:spPr>
            <a:gradFill rotWithShape="1">
              <a:gsLst>
                <a:gs pos="0">
                  <a:schemeClr val="accent2">
                    <a:lumMod val="60000"/>
                    <a:tint val="50000"/>
                    <a:satMod val="300000"/>
                  </a:schemeClr>
                </a:gs>
                <a:gs pos="35000">
                  <a:schemeClr val="accent2">
                    <a:lumMod val="60000"/>
                    <a:tint val="37000"/>
                    <a:satMod val="300000"/>
                  </a:schemeClr>
                </a:gs>
                <a:gs pos="100000">
                  <a:schemeClr val="accent2">
                    <a:lumMod val="60000"/>
                    <a:tint val="15000"/>
                    <a:satMod val="350000"/>
                  </a:schemeClr>
                </a:gs>
              </a:gsLst>
              <a:lin ang="16200000" scaled="1"/>
            </a:gradFill>
            <a:ln w="9525" cap="flat" cmpd="sng" algn="ctr">
              <a:solidFill>
                <a:schemeClr val="accent2">
                  <a:lumMod val="60000"/>
                  <a:shade val="95000"/>
                </a:schemeClr>
              </a:solidFill>
              <a:round/>
            </a:ln>
            <a:effectLst>
              <a:outerShdw blurRad="40000" dist="20000" dir="5400000" rotWithShape="0">
                <a:srgbClr val="000000">
                  <a:alpha val="38000"/>
                </a:srgbClr>
              </a:outerShdw>
            </a:effectLst>
          </c:spP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Function'!$I$33:$I$45</c:f>
              <c:numCache>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extLst>
            <c:ext xmlns:c16="http://schemas.microsoft.com/office/drawing/2014/chart" uri="{C3380CC4-5D6E-409C-BE32-E72D297353CC}">
              <c16:uniqueId val="{00000007-F159-41EF-BD17-255B35696F27}"/>
            </c:ext>
          </c:extLst>
        </c:ser>
        <c:dLbls>
          <c:showLegendKey val="0"/>
          <c:showVal val="0"/>
          <c:showCatName val="0"/>
          <c:showSerName val="0"/>
          <c:showPercent val="0"/>
          <c:showBubbleSize val="0"/>
        </c:dLbls>
        <c:axId val="1812311488"/>
        <c:axId val="1812309408"/>
      </c:areaChart>
      <c:lineChart>
        <c:grouping val="standard"/>
        <c:varyColors val="0"/>
        <c:ser>
          <c:idx val="1"/>
          <c:order val="0"/>
          <c:tx>
            <c:strRef>
              <c:f>'True Hybrid Function'!$C$32</c:f>
              <c:strCache>
                <c:ptCount val="1"/>
                <c:pt idx="0">
                  <c:v>Sunshine </c:v>
                </c:pt>
              </c:strCache>
            </c:strRef>
          </c:tx>
          <c:spPr>
            <a:ln w="15875" cap="rnd">
              <a:solidFill>
                <a:schemeClr val="accent2"/>
              </a:solidFill>
              <a:round/>
            </a:ln>
            <a:effectLst>
              <a:outerShdw blurRad="40000" dist="20000" dir="5400000" rotWithShape="0">
                <a:srgbClr val="000000">
                  <a:alpha val="38000"/>
                </a:srgbClr>
              </a:outerShdw>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Function'!$C$33:$C$45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1-F159-41EF-BD17-255B35696F27}"/>
            </c:ext>
          </c:extLst>
        </c:ser>
        <c:ser>
          <c:idx val="2"/>
          <c:order val="1"/>
          <c:tx>
            <c:strRef>
              <c:f>'True Hybrid Function'!$D$32</c:f>
              <c:strCache>
                <c:ptCount val="1"/>
                <c:pt idx="0">
                  <c:v>Sizing Factor</c:v>
                </c:pt>
              </c:strCache>
            </c:strRef>
          </c:tx>
          <c:spPr>
            <a:ln w="15875" cap="rnd">
              <a:solidFill>
                <a:schemeClr val="accent3"/>
              </a:solidFill>
              <a:round/>
            </a:ln>
            <a:effectLst>
              <a:outerShdw blurRad="40000" dist="20000" dir="5400000" rotWithShape="0">
                <a:srgbClr val="000000">
                  <a:alpha val="38000"/>
                </a:srgbClr>
              </a:outerShdw>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Function'!$D$33:$D$45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2-F159-41EF-BD17-255B35696F27}"/>
            </c:ext>
          </c:extLst>
        </c:ser>
        <c:ser>
          <c:idx val="3"/>
          <c:order val="2"/>
          <c:tx>
            <c:strRef>
              <c:f>'True Hybrid Function'!$E$32</c:f>
              <c:strCache>
                <c:ptCount val="1"/>
                <c:pt idx="0">
                  <c:v>Drive Solar Output</c:v>
                </c:pt>
              </c:strCache>
            </c:strRef>
          </c:tx>
          <c:spPr>
            <a:ln w="15875" cap="rnd">
              <a:solidFill>
                <a:schemeClr val="accent4"/>
              </a:solidFill>
              <a:round/>
            </a:ln>
            <a:effectLst>
              <a:outerShdw blurRad="40000" dist="20000" dir="5400000" rotWithShape="0">
                <a:srgbClr val="000000">
                  <a:alpha val="38000"/>
                </a:srgbClr>
              </a:outerShdw>
            </a:effectLst>
          </c:spPr>
          <c:marker>
            <c:symbol val="none"/>
          </c:marker>
          <c:cat>
            <c:numRef>
              <c:f>'True Hybrid Function'!$A$33:$A$45</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'True Hybrid Function'!$E$33:$E$45</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val>
          <c:smooth val="0"/>
          <c:extLst>
            <c:ext xmlns:c16="http://schemas.microsoft.com/office/drawing/2014/chart" uri="{C3380CC4-5D6E-409C-BE32-E72D297353CC}">
              <c16:uniqueId val="{00000003-F159-41EF-BD17-255B35696F27}"/>
            </c:ext>
          </c:extLst>
        </c:ser>
        <c:dLbls>
          <c:showLegendKey val="0"/>
          <c:showVal val="0"/>
          <c:showCatName val="0"/>
          <c:showSerName val="0"/>
          <c:showPercent val="0"/>
          <c:showBubbleSize val="0"/>
        </c:dLbls>
        <c:marker val="1"/>
        <c:smooth val="0"/>
        <c:axId val="1812315232"/>
        <c:axId val="1812312320"/>
      </c:lineChart>
      <c:catAx>
        <c:axId val="181231523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12312320"/>
        <c:crosses val="autoZero"/>
        <c:auto val="1"/>
        <c:lblAlgn val="ctr"/>
        <c:lblOffset val="100"/>
        <c:noMultiLvlLbl val="0"/>
      </c:catAx>
      <c:valAx>
        <c:axId val="181231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Percentage Output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12315232"/>
        <c:crosses val="autoZero"/>
        <c:crossBetween val="between"/>
      </c:valAx>
      <c:valAx>
        <c:axId val="1812309408"/>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Watt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12311488"/>
        <c:crosses val="max"/>
        <c:crossBetween val="between"/>
      </c:valAx>
      <c:catAx>
        <c:axId val="1812311488"/>
        <c:scaling>
          <c:orientation val="minMax"/>
        </c:scaling>
        <c:delete val="1"/>
        <c:axPos val="b"/>
        <c:numFmt formatCode="h:mm" sourceLinked="1"/>
        <c:majorTickMark val="none"/>
        <c:minorTickMark val="none"/>
        <c:tickLblPos val="nextTo"/>
        <c:crossAx val="1812309408"/>
        <c:crosses val="autoZero"/>
        <c:auto val="1"/>
        <c:lblAlgn val="ctr"/>
        <c:lblOffset val="100"/>
        <c:noMultiLvlLbl val="0"/>
      </c:cat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Consumption</a:t>
            </a:r>
            <a:r>
              <a:rPr lang="en-ZA" baseline="0"/>
              <a:t>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lotArea>
      <c:layout/>
      <c:barChart>
        <c:barDir val="col"/>
        <c:grouping val="clustered"/>
        <c:varyColors val="0"/>
        <c:ser>
          <c:idx val="0"/>
          <c:order val="0"/>
          <c:tx>
            <c:strRef>
              <c:f>'Irrigation Technical  '!$B$3</c:f>
              <c:strCache>
                <c:ptCount val="1"/>
                <c:pt idx="0">
                  <c:v>Actual </c:v>
                </c:pt>
              </c:strCache>
            </c:strRef>
          </c:tx>
          <c:spPr>
            <a:solidFill>
              <a:schemeClr val="accent1"/>
            </a:solidFill>
            <a:ln>
              <a:noFill/>
            </a:ln>
            <a:effectLst/>
          </c:spPr>
          <c:invertIfNegative val="0"/>
          <c:cat>
            <c:strRef>
              <c:f>'Irrigation Technical  '!$A$4:$A$15</c:f>
              <c:strCache>
                <c:ptCount val="12"/>
                <c:pt idx="0">
                  <c:v>Jan </c:v>
                </c:pt>
                <c:pt idx="1">
                  <c:v>Feb </c:v>
                </c:pt>
                <c:pt idx="2">
                  <c:v>Mar</c:v>
                </c:pt>
                <c:pt idx="3">
                  <c:v>Apr</c:v>
                </c:pt>
                <c:pt idx="4">
                  <c:v>May</c:v>
                </c:pt>
                <c:pt idx="5">
                  <c:v>Jun</c:v>
                </c:pt>
                <c:pt idx="6">
                  <c:v>Jul</c:v>
                </c:pt>
                <c:pt idx="7">
                  <c:v>Aug</c:v>
                </c:pt>
                <c:pt idx="8">
                  <c:v>Sep</c:v>
                </c:pt>
                <c:pt idx="9">
                  <c:v>Oct</c:v>
                </c:pt>
                <c:pt idx="10">
                  <c:v>Nov</c:v>
                </c:pt>
                <c:pt idx="11">
                  <c:v>Dec</c:v>
                </c:pt>
              </c:strCache>
            </c:strRef>
          </c:cat>
          <c:val>
            <c:numRef>
              <c:f>'Irrigation Technical  '!$B$4:$B$15</c:f>
              <c:numCache>
                <c:formatCode>General</c:formatCode>
                <c:ptCount val="12"/>
                <c:pt idx="0">
                  <c:v>3500</c:v>
                </c:pt>
                <c:pt idx="1">
                  <c:v>6000</c:v>
                </c:pt>
                <c:pt idx="2">
                  <c:v>2000</c:v>
                </c:pt>
                <c:pt idx="3">
                  <c:v>1000</c:v>
                </c:pt>
                <c:pt idx="4">
                  <c:v>0</c:v>
                </c:pt>
                <c:pt idx="5">
                  <c:v>100</c:v>
                </c:pt>
                <c:pt idx="6">
                  <c:v>930</c:v>
                </c:pt>
                <c:pt idx="7">
                  <c:v>1500</c:v>
                </c:pt>
                <c:pt idx="8">
                  <c:v>5000</c:v>
                </c:pt>
                <c:pt idx="9">
                  <c:v>5500</c:v>
                </c:pt>
                <c:pt idx="10">
                  <c:v>6500</c:v>
                </c:pt>
                <c:pt idx="11">
                  <c:v>8000</c:v>
                </c:pt>
              </c:numCache>
            </c:numRef>
          </c:val>
          <c:extLst>
            <c:ext xmlns:c16="http://schemas.microsoft.com/office/drawing/2014/chart" uri="{C3380CC4-5D6E-409C-BE32-E72D297353CC}">
              <c16:uniqueId val="{00000000-565C-4DAB-9649-8DF5604C479C}"/>
            </c:ext>
          </c:extLst>
        </c:ser>
        <c:ser>
          <c:idx val="1"/>
          <c:order val="1"/>
          <c:tx>
            <c:strRef>
              <c:f>'Irrigation Technical  '!$C$3</c:f>
              <c:strCache>
                <c:ptCount val="1"/>
                <c:pt idx="0">
                  <c:v>Assumed </c:v>
                </c:pt>
              </c:strCache>
            </c:strRef>
          </c:tx>
          <c:spPr>
            <a:solidFill>
              <a:schemeClr val="accent2"/>
            </a:solidFill>
            <a:ln>
              <a:noFill/>
            </a:ln>
            <a:effectLst/>
          </c:spPr>
          <c:invertIfNegative val="0"/>
          <c:val>
            <c:numRef>
              <c:f>'Irrigation Technical  '!$C$4:$C$15</c:f>
              <c:numCache>
                <c:formatCode>General</c:formatCode>
                <c:ptCount val="12"/>
                <c:pt idx="0">
                  <c:v>0</c:v>
                </c:pt>
                <c:pt idx="1">
                  <c:v>0</c:v>
                </c:pt>
                <c:pt idx="2">
                  <c:v>0</c:v>
                </c:pt>
                <c:pt idx="3">
                  <c:v>0</c:v>
                </c:pt>
                <c:pt idx="4">
                  <c:v>3639.090909090909</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565C-4DAB-9649-8DF5604C479C}"/>
            </c:ext>
          </c:extLst>
        </c:ser>
        <c:dLbls>
          <c:showLegendKey val="0"/>
          <c:showVal val="0"/>
          <c:showCatName val="0"/>
          <c:showSerName val="0"/>
          <c:showPercent val="0"/>
          <c:showBubbleSize val="0"/>
        </c:dLbls>
        <c:gapWidth val="219"/>
        <c:overlap val="-27"/>
        <c:axId val="413001696"/>
        <c:axId val="412993792"/>
      </c:barChart>
      <c:catAx>
        <c:axId val="4130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93792"/>
        <c:crosses val="autoZero"/>
        <c:auto val="1"/>
        <c:lblAlgn val="ctr"/>
        <c:lblOffset val="100"/>
        <c:noMultiLvlLbl val="0"/>
      </c:catAx>
      <c:valAx>
        <c:axId val="41299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ZA"/>
              <a:t>Average Daylight</a:t>
            </a:r>
            <a:r>
              <a:rPr lang="en-ZA" baseline="0"/>
              <a:t> Pumping Hours </a:t>
            </a:r>
            <a:endParaRPr lang="en-ZA"/>
          </a:p>
        </c:rich>
      </c:tx>
      <c:layout>
        <c:manualLayout>
          <c:xMode val="edge"/>
          <c:yMode val="edge"/>
          <c:x val="0.29348230912476725"/>
          <c:y val="3.2407407407407406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ZA"/>
        </a:p>
      </c:txPr>
    </c:title>
    <c:autoTitleDeleted val="0"/>
    <c:view3D>
      <c:rotX val="20"/>
      <c:rotY val="5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'Irrigation Technical  '!$L$28</c:f>
              <c:strCache>
                <c:ptCount val="1"/>
                <c:pt idx="0">
                  <c:v>Jan</c:v>
                </c:pt>
              </c:strCache>
            </c:strRef>
          </c:tx>
          <c:spPr>
            <a:solidFill>
              <a:schemeClr val="accent1">
                <a:alpha val="35000"/>
              </a:schemeClr>
            </a:solidFill>
            <a:ln w="9525">
              <a:solidFill>
                <a:schemeClr val="accent1"/>
              </a:solidFill>
            </a:ln>
            <a:effectLst/>
            <a:sp3d contourW="9525">
              <a:contourClr>
                <a:schemeClr val="accent1"/>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'!$L$29:$L$41</c:f>
              <c:numCache>
                <c:formatCode>0%</c:formatCode>
                <c:ptCount val="13"/>
                <c:pt idx="0">
                  <c:v>0</c:v>
                </c:pt>
                <c:pt idx="1">
                  <c:v>0</c:v>
                </c:pt>
                <c:pt idx="2">
                  <c:v>0.26344086021505397</c:v>
                </c:pt>
                <c:pt idx="3">
                  <c:v>1</c:v>
                </c:pt>
                <c:pt idx="4">
                  <c:v>1</c:v>
                </c:pt>
                <c:pt idx="5">
                  <c:v>1</c:v>
                </c:pt>
                <c:pt idx="6">
                  <c:v>1</c:v>
                </c:pt>
                <c:pt idx="7">
                  <c:v>1</c:v>
                </c:pt>
                <c:pt idx="8">
                  <c:v>1</c:v>
                </c:pt>
                <c:pt idx="9">
                  <c:v>1</c:v>
                </c:pt>
                <c:pt idx="10">
                  <c:v>0.26344086021505397</c:v>
                </c:pt>
                <c:pt idx="11">
                  <c:v>0</c:v>
                </c:pt>
                <c:pt idx="12">
                  <c:v>0</c:v>
                </c:pt>
              </c:numCache>
            </c:numRef>
          </c:val>
          <c:extLst>
            <c:ext xmlns:c16="http://schemas.microsoft.com/office/drawing/2014/chart" uri="{C3380CC4-5D6E-409C-BE32-E72D297353CC}">
              <c16:uniqueId val="{00000000-B036-4BFA-B978-3E25A050F60E}"/>
            </c:ext>
          </c:extLst>
        </c:ser>
        <c:ser>
          <c:idx val="1"/>
          <c:order val="1"/>
          <c:tx>
            <c:strRef>
              <c:f>'Irrigation Technical  '!$M$28</c:f>
              <c:strCache>
                <c:ptCount val="1"/>
                <c:pt idx="0">
                  <c:v>Feb</c:v>
                </c:pt>
              </c:strCache>
            </c:strRef>
          </c:tx>
          <c:spPr>
            <a:solidFill>
              <a:schemeClr val="accent2">
                <a:alpha val="35000"/>
              </a:schemeClr>
            </a:solidFill>
            <a:ln w="9525">
              <a:solidFill>
                <a:schemeClr val="accent2"/>
              </a:solidFill>
            </a:ln>
            <a:effectLst/>
            <a:sp3d contourW="9525">
              <a:contourClr>
                <a:schemeClr val="accent2"/>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'!$M$29:$M$41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1-B036-4BFA-B978-3E25A050F60E}"/>
            </c:ext>
          </c:extLst>
        </c:ser>
        <c:ser>
          <c:idx val="2"/>
          <c:order val="2"/>
          <c:tx>
            <c:strRef>
              <c:f>'Irrigation Technical  '!$N$28</c:f>
              <c:strCache>
                <c:ptCount val="1"/>
                <c:pt idx="0">
                  <c:v>Mar</c:v>
                </c:pt>
              </c:strCache>
            </c:strRef>
          </c:tx>
          <c:spPr>
            <a:solidFill>
              <a:schemeClr val="accent3">
                <a:alpha val="35000"/>
              </a:schemeClr>
            </a:solidFill>
            <a:ln w="9525">
              <a:solidFill>
                <a:schemeClr val="accent3"/>
              </a:solidFill>
            </a:ln>
            <a:effectLst/>
            <a:sp3d contourW="9525">
              <a:contourClr>
                <a:schemeClr val="accent3"/>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'!$N$29:$N$41</c:f>
              <c:numCache>
                <c:formatCode>0%</c:formatCode>
                <c:ptCount val="13"/>
                <c:pt idx="0">
                  <c:v>0</c:v>
                </c:pt>
                <c:pt idx="1">
                  <c:v>0</c:v>
                </c:pt>
                <c:pt idx="2">
                  <c:v>0</c:v>
                </c:pt>
                <c:pt idx="3">
                  <c:v>0</c:v>
                </c:pt>
                <c:pt idx="4">
                  <c:v>0.65053763440860202</c:v>
                </c:pt>
                <c:pt idx="5">
                  <c:v>1</c:v>
                </c:pt>
                <c:pt idx="6">
                  <c:v>1</c:v>
                </c:pt>
                <c:pt idx="7">
                  <c:v>1</c:v>
                </c:pt>
                <c:pt idx="8">
                  <c:v>0.65053763440860202</c:v>
                </c:pt>
                <c:pt idx="9">
                  <c:v>0</c:v>
                </c:pt>
                <c:pt idx="10">
                  <c:v>0</c:v>
                </c:pt>
                <c:pt idx="11">
                  <c:v>0</c:v>
                </c:pt>
                <c:pt idx="12">
                  <c:v>0</c:v>
                </c:pt>
              </c:numCache>
            </c:numRef>
          </c:val>
          <c:extLst>
            <c:ext xmlns:c16="http://schemas.microsoft.com/office/drawing/2014/chart" uri="{C3380CC4-5D6E-409C-BE32-E72D297353CC}">
              <c16:uniqueId val="{00000002-B036-4BFA-B978-3E25A050F60E}"/>
            </c:ext>
          </c:extLst>
        </c:ser>
        <c:ser>
          <c:idx val="3"/>
          <c:order val="3"/>
          <c:tx>
            <c:strRef>
              <c:f>'Irrigation Technical  '!$O$28</c:f>
              <c:strCache>
                <c:ptCount val="1"/>
                <c:pt idx="0">
                  <c:v>Apr</c:v>
                </c:pt>
              </c:strCache>
            </c:strRef>
          </c:tx>
          <c:spPr>
            <a:solidFill>
              <a:schemeClr val="accent4">
                <a:alpha val="35000"/>
              </a:schemeClr>
            </a:solidFill>
            <a:ln w="9525">
              <a:solidFill>
                <a:schemeClr val="accent4"/>
              </a:solidFill>
            </a:ln>
            <a:effectLst/>
            <a:sp3d contourW="9525">
              <a:contourClr>
                <a:schemeClr val="accent4"/>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'!$O$29:$O$41</c:f>
              <c:numCache>
                <c:formatCode>0%</c:formatCode>
                <c:ptCount val="13"/>
                <c:pt idx="0">
                  <c:v>0</c:v>
                </c:pt>
                <c:pt idx="1">
                  <c:v>0</c:v>
                </c:pt>
                <c:pt idx="2">
                  <c:v>0</c:v>
                </c:pt>
                <c:pt idx="3">
                  <c:v>0</c:v>
                </c:pt>
                <c:pt idx="4">
                  <c:v>0</c:v>
                </c:pt>
                <c:pt idx="5">
                  <c:v>0.61111111111111116</c:v>
                </c:pt>
                <c:pt idx="6">
                  <c:v>1</c:v>
                </c:pt>
                <c:pt idx="7">
                  <c:v>0.61111111111111116</c:v>
                </c:pt>
                <c:pt idx="8">
                  <c:v>0</c:v>
                </c:pt>
                <c:pt idx="9">
                  <c:v>0</c:v>
                </c:pt>
                <c:pt idx="10">
                  <c:v>0</c:v>
                </c:pt>
                <c:pt idx="11">
                  <c:v>0</c:v>
                </c:pt>
                <c:pt idx="12">
                  <c:v>0</c:v>
                </c:pt>
              </c:numCache>
            </c:numRef>
          </c:val>
          <c:extLst>
            <c:ext xmlns:c16="http://schemas.microsoft.com/office/drawing/2014/chart" uri="{C3380CC4-5D6E-409C-BE32-E72D297353CC}">
              <c16:uniqueId val="{00000003-B036-4BFA-B978-3E25A050F60E}"/>
            </c:ext>
          </c:extLst>
        </c:ser>
        <c:ser>
          <c:idx val="4"/>
          <c:order val="4"/>
          <c:tx>
            <c:strRef>
              <c:f>'Irrigation Technical  '!$P$28</c:f>
              <c:strCache>
                <c:ptCount val="1"/>
                <c:pt idx="0">
                  <c:v>May</c:v>
                </c:pt>
              </c:strCache>
            </c:strRef>
          </c:tx>
          <c:spPr>
            <a:solidFill>
              <a:schemeClr val="accent5">
                <a:alpha val="35000"/>
              </a:schemeClr>
            </a:solidFill>
            <a:ln w="9525">
              <a:solidFill>
                <a:schemeClr val="accent5"/>
              </a:solidFill>
            </a:ln>
            <a:effectLst/>
            <a:sp3d contourW="9525">
              <a:contourClr>
                <a:schemeClr val="accent5"/>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'!$P$29:$P$41</c:f>
              <c:numCache>
                <c:formatCode>0%</c:formatCode>
                <c:ptCount val="13"/>
                <c:pt idx="0">
                  <c:v>0</c:v>
                </c:pt>
                <c:pt idx="1">
                  <c:v>0</c:v>
                </c:pt>
                <c:pt idx="2">
                  <c:v>0.41300097751710707</c:v>
                </c:pt>
                <c:pt idx="3">
                  <c:v>1</c:v>
                </c:pt>
                <c:pt idx="4">
                  <c:v>1</c:v>
                </c:pt>
                <c:pt idx="5">
                  <c:v>1</c:v>
                </c:pt>
                <c:pt idx="6">
                  <c:v>1</c:v>
                </c:pt>
                <c:pt idx="7">
                  <c:v>1</c:v>
                </c:pt>
                <c:pt idx="8">
                  <c:v>1</c:v>
                </c:pt>
                <c:pt idx="9">
                  <c:v>1</c:v>
                </c:pt>
                <c:pt idx="10">
                  <c:v>0.41300097751710707</c:v>
                </c:pt>
                <c:pt idx="11">
                  <c:v>0</c:v>
                </c:pt>
                <c:pt idx="12">
                  <c:v>0</c:v>
                </c:pt>
              </c:numCache>
            </c:numRef>
          </c:val>
          <c:extLst>
            <c:ext xmlns:c16="http://schemas.microsoft.com/office/drawing/2014/chart" uri="{C3380CC4-5D6E-409C-BE32-E72D297353CC}">
              <c16:uniqueId val="{00000004-B036-4BFA-B978-3E25A050F60E}"/>
            </c:ext>
          </c:extLst>
        </c:ser>
        <c:ser>
          <c:idx val="5"/>
          <c:order val="5"/>
          <c:tx>
            <c:strRef>
              <c:f>'Irrigation Technical  '!$Q$28</c:f>
              <c:strCache>
                <c:ptCount val="1"/>
                <c:pt idx="0">
                  <c:v>Jun</c:v>
                </c:pt>
              </c:strCache>
            </c:strRef>
          </c:tx>
          <c:spPr>
            <a:solidFill>
              <a:schemeClr val="accent6">
                <a:alpha val="35000"/>
              </a:schemeClr>
            </a:solidFill>
            <a:ln w="9525">
              <a:solidFill>
                <a:schemeClr val="accent6"/>
              </a:solidFill>
            </a:ln>
            <a:effectLst/>
            <a:sp3d contourW="9525">
              <a:contourClr>
                <a:schemeClr val="accent6"/>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'!$Q$29:$Q$41</c:f>
              <c:numCache>
                <c:formatCode>0%</c:formatCode>
                <c:ptCount val="13"/>
                <c:pt idx="0">
                  <c:v>0</c:v>
                </c:pt>
                <c:pt idx="1">
                  <c:v>0</c:v>
                </c:pt>
                <c:pt idx="2">
                  <c:v>0</c:v>
                </c:pt>
                <c:pt idx="3">
                  <c:v>0</c:v>
                </c:pt>
                <c:pt idx="4">
                  <c:v>0</c:v>
                </c:pt>
                <c:pt idx="5">
                  <c:v>0</c:v>
                </c:pt>
                <c:pt idx="6">
                  <c:v>0.22222222222222221</c:v>
                </c:pt>
                <c:pt idx="7">
                  <c:v>0</c:v>
                </c:pt>
                <c:pt idx="8">
                  <c:v>0</c:v>
                </c:pt>
                <c:pt idx="9">
                  <c:v>0</c:v>
                </c:pt>
                <c:pt idx="10">
                  <c:v>0</c:v>
                </c:pt>
                <c:pt idx="11">
                  <c:v>0</c:v>
                </c:pt>
                <c:pt idx="12">
                  <c:v>0</c:v>
                </c:pt>
              </c:numCache>
            </c:numRef>
          </c:val>
          <c:extLst>
            <c:ext xmlns:c16="http://schemas.microsoft.com/office/drawing/2014/chart" uri="{C3380CC4-5D6E-409C-BE32-E72D297353CC}">
              <c16:uniqueId val="{00000005-B036-4BFA-B978-3E25A050F60E}"/>
            </c:ext>
          </c:extLst>
        </c:ser>
        <c:ser>
          <c:idx val="6"/>
          <c:order val="6"/>
          <c:tx>
            <c:strRef>
              <c:f>'Irrigation Technical  '!$R$28</c:f>
              <c:strCache>
                <c:ptCount val="1"/>
                <c:pt idx="0">
                  <c:v>Jul</c:v>
                </c:pt>
              </c:strCache>
            </c:strRef>
          </c:tx>
          <c:spPr>
            <a:solidFill>
              <a:schemeClr val="accent1">
                <a:lumMod val="60000"/>
                <a:alpha val="35000"/>
              </a:schemeClr>
            </a:solidFill>
            <a:ln w="9525">
              <a:solidFill>
                <a:schemeClr val="accent1">
                  <a:lumMod val="60000"/>
                </a:schemeClr>
              </a:solidFill>
            </a:ln>
            <a:effectLst/>
            <a:sp3d contourW="9525">
              <a:contourClr>
                <a:schemeClr val="accent1">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'!$R$29:$R$41</c:f>
              <c:numCache>
                <c:formatCode>0%</c:formatCode>
                <c:ptCount val="13"/>
                <c:pt idx="0">
                  <c:v>0</c:v>
                </c:pt>
                <c:pt idx="1">
                  <c:v>0</c:v>
                </c:pt>
                <c:pt idx="2">
                  <c:v>0</c:v>
                </c:pt>
                <c:pt idx="3">
                  <c:v>0</c:v>
                </c:pt>
                <c:pt idx="4">
                  <c:v>0</c:v>
                </c:pt>
                <c:pt idx="5">
                  <c:v>0.5</c:v>
                </c:pt>
                <c:pt idx="6">
                  <c:v>1</c:v>
                </c:pt>
                <c:pt idx="7">
                  <c:v>0.5</c:v>
                </c:pt>
                <c:pt idx="8">
                  <c:v>0</c:v>
                </c:pt>
                <c:pt idx="9">
                  <c:v>0</c:v>
                </c:pt>
                <c:pt idx="10">
                  <c:v>0</c:v>
                </c:pt>
                <c:pt idx="11">
                  <c:v>0</c:v>
                </c:pt>
                <c:pt idx="12">
                  <c:v>0</c:v>
                </c:pt>
              </c:numCache>
            </c:numRef>
          </c:val>
          <c:extLst>
            <c:ext xmlns:c16="http://schemas.microsoft.com/office/drawing/2014/chart" uri="{C3380CC4-5D6E-409C-BE32-E72D297353CC}">
              <c16:uniqueId val="{00000006-B036-4BFA-B978-3E25A050F60E}"/>
            </c:ext>
          </c:extLst>
        </c:ser>
        <c:ser>
          <c:idx val="7"/>
          <c:order val="7"/>
          <c:tx>
            <c:strRef>
              <c:f>'Irrigation Technical  '!$S$28</c:f>
              <c:strCache>
                <c:ptCount val="1"/>
                <c:pt idx="0">
                  <c:v>Aug</c:v>
                </c:pt>
              </c:strCache>
            </c:strRef>
          </c:tx>
          <c:spPr>
            <a:solidFill>
              <a:schemeClr val="accent2">
                <a:lumMod val="60000"/>
                <a:alpha val="35000"/>
              </a:schemeClr>
            </a:solidFill>
            <a:ln w="9525">
              <a:solidFill>
                <a:schemeClr val="accent2">
                  <a:lumMod val="60000"/>
                </a:schemeClr>
              </a:solidFill>
            </a:ln>
            <a:effectLst/>
            <a:sp3d contourW="9525">
              <a:contourClr>
                <a:schemeClr val="accent2">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'!$S$29:$S$41</c:f>
              <c:numCache>
                <c:formatCode>0%</c:formatCode>
                <c:ptCount val="13"/>
                <c:pt idx="0">
                  <c:v>0</c:v>
                </c:pt>
                <c:pt idx="1">
                  <c:v>0</c:v>
                </c:pt>
                <c:pt idx="2">
                  <c:v>0</c:v>
                </c:pt>
                <c:pt idx="3">
                  <c:v>0</c:v>
                </c:pt>
                <c:pt idx="4">
                  <c:v>0.11290322580645173</c:v>
                </c:pt>
                <c:pt idx="5">
                  <c:v>1</c:v>
                </c:pt>
                <c:pt idx="6">
                  <c:v>1</c:v>
                </c:pt>
                <c:pt idx="7">
                  <c:v>1</c:v>
                </c:pt>
                <c:pt idx="8">
                  <c:v>0.11290322580645173</c:v>
                </c:pt>
                <c:pt idx="9">
                  <c:v>0</c:v>
                </c:pt>
                <c:pt idx="10">
                  <c:v>0</c:v>
                </c:pt>
                <c:pt idx="11">
                  <c:v>0</c:v>
                </c:pt>
                <c:pt idx="12">
                  <c:v>0</c:v>
                </c:pt>
              </c:numCache>
            </c:numRef>
          </c:val>
          <c:extLst>
            <c:ext xmlns:c16="http://schemas.microsoft.com/office/drawing/2014/chart" uri="{C3380CC4-5D6E-409C-BE32-E72D297353CC}">
              <c16:uniqueId val="{00000007-B036-4BFA-B978-3E25A050F60E}"/>
            </c:ext>
          </c:extLst>
        </c:ser>
        <c:ser>
          <c:idx val="8"/>
          <c:order val="8"/>
          <c:tx>
            <c:strRef>
              <c:f>'Irrigation Technical  '!$T$28</c:f>
              <c:strCache>
                <c:ptCount val="1"/>
                <c:pt idx="0">
                  <c:v>Sep</c:v>
                </c:pt>
              </c:strCache>
            </c:strRef>
          </c:tx>
          <c:spPr>
            <a:solidFill>
              <a:schemeClr val="accent3">
                <a:lumMod val="60000"/>
                <a:alpha val="35000"/>
              </a:schemeClr>
            </a:solidFill>
            <a:ln w="9525">
              <a:solidFill>
                <a:schemeClr val="accent3">
                  <a:lumMod val="60000"/>
                </a:schemeClr>
              </a:solidFill>
            </a:ln>
            <a:effectLst/>
            <a:sp3d contourW="9525">
              <a:contourClr>
                <a:schemeClr val="accent3">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'!$T$29:$T$41</c:f>
              <c:numCache>
                <c:formatCode>0%</c:formatCode>
                <c:ptCount val="13"/>
                <c:pt idx="0">
                  <c:v>5.5555555555555358E-2</c:v>
                </c:pt>
                <c:pt idx="1">
                  <c:v>1</c:v>
                </c:pt>
                <c:pt idx="2">
                  <c:v>1</c:v>
                </c:pt>
                <c:pt idx="3">
                  <c:v>1</c:v>
                </c:pt>
                <c:pt idx="4">
                  <c:v>1</c:v>
                </c:pt>
                <c:pt idx="5">
                  <c:v>1</c:v>
                </c:pt>
                <c:pt idx="6">
                  <c:v>1</c:v>
                </c:pt>
                <c:pt idx="7">
                  <c:v>1</c:v>
                </c:pt>
                <c:pt idx="8">
                  <c:v>1</c:v>
                </c:pt>
                <c:pt idx="9">
                  <c:v>1</c:v>
                </c:pt>
                <c:pt idx="10">
                  <c:v>1</c:v>
                </c:pt>
                <c:pt idx="11">
                  <c:v>1</c:v>
                </c:pt>
                <c:pt idx="12">
                  <c:v>5.5555555555555358E-2</c:v>
                </c:pt>
              </c:numCache>
            </c:numRef>
          </c:val>
          <c:extLst>
            <c:ext xmlns:c16="http://schemas.microsoft.com/office/drawing/2014/chart" uri="{C3380CC4-5D6E-409C-BE32-E72D297353CC}">
              <c16:uniqueId val="{00000008-B036-4BFA-B978-3E25A050F60E}"/>
            </c:ext>
          </c:extLst>
        </c:ser>
        <c:ser>
          <c:idx val="9"/>
          <c:order val="9"/>
          <c:tx>
            <c:strRef>
              <c:f>'Irrigation Technical  '!$U$28</c:f>
              <c:strCache>
                <c:ptCount val="1"/>
                <c:pt idx="0">
                  <c:v>Oct</c:v>
                </c:pt>
              </c:strCache>
            </c:strRef>
          </c:tx>
          <c:spPr>
            <a:solidFill>
              <a:schemeClr val="accent4">
                <a:lumMod val="60000"/>
                <a:alpha val="35000"/>
              </a:schemeClr>
            </a:solidFill>
            <a:ln w="9525">
              <a:solidFill>
                <a:schemeClr val="accent4">
                  <a:lumMod val="60000"/>
                </a:schemeClr>
              </a:solidFill>
            </a:ln>
            <a:effectLst/>
            <a:sp3d contourW="9525">
              <a:contourClr>
                <a:schemeClr val="accent4">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'!$U$29:$U$41</c:f>
              <c:numCache>
                <c:formatCode>0%</c:formatCode>
                <c:ptCount val="13"/>
                <c:pt idx="0">
                  <c:v>0.4139784946236551</c:v>
                </c:pt>
                <c:pt idx="1">
                  <c:v>1</c:v>
                </c:pt>
                <c:pt idx="2">
                  <c:v>1</c:v>
                </c:pt>
                <c:pt idx="3">
                  <c:v>1</c:v>
                </c:pt>
                <c:pt idx="4">
                  <c:v>1</c:v>
                </c:pt>
                <c:pt idx="5">
                  <c:v>1</c:v>
                </c:pt>
                <c:pt idx="6">
                  <c:v>1</c:v>
                </c:pt>
                <c:pt idx="7">
                  <c:v>1</c:v>
                </c:pt>
                <c:pt idx="8">
                  <c:v>1</c:v>
                </c:pt>
                <c:pt idx="9">
                  <c:v>1</c:v>
                </c:pt>
                <c:pt idx="10">
                  <c:v>1</c:v>
                </c:pt>
                <c:pt idx="11">
                  <c:v>1</c:v>
                </c:pt>
                <c:pt idx="12">
                  <c:v>0.4139784946236551</c:v>
                </c:pt>
              </c:numCache>
            </c:numRef>
          </c:val>
          <c:extLst>
            <c:ext xmlns:c16="http://schemas.microsoft.com/office/drawing/2014/chart" uri="{C3380CC4-5D6E-409C-BE32-E72D297353CC}">
              <c16:uniqueId val="{00000009-B036-4BFA-B978-3E25A050F60E}"/>
            </c:ext>
          </c:extLst>
        </c:ser>
        <c:ser>
          <c:idx val="10"/>
          <c:order val="10"/>
          <c:tx>
            <c:strRef>
              <c:f>'Irrigation Technical  '!$V$28</c:f>
              <c:strCache>
                <c:ptCount val="1"/>
                <c:pt idx="0">
                  <c:v>Nov</c:v>
                </c:pt>
              </c:strCache>
            </c:strRef>
          </c:tx>
          <c:spPr>
            <a:solidFill>
              <a:schemeClr val="accent5">
                <a:lumMod val="60000"/>
                <a:alpha val="35000"/>
              </a:schemeClr>
            </a:solidFill>
            <a:ln w="9525">
              <a:solidFill>
                <a:schemeClr val="accent5">
                  <a:lumMod val="60000"/>
                </a:schemeClr>
              </a:solidFill>
            </a:ln>
            <a:effectLst/>
            <a:sp3d contourW="9525">
              <a:contourClr>
                <a:schemeClr val="accent5">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'!$V$29:$V$41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A-B036-4BFA-B978-3E25A050F60E}"/>
            </c:ext>
          </c:extLst>
        </c:ser>
        <c:ser>
          <c:idx val="11"/>
          <c:order val="11"/>
          <c:tx>
            <c:strRef>
              <c:f>'Irrigation Technical  '!$W$28</c:f>
              <c:strCache>
                <c:ptCount val="1"/>
                <c:pt idx="0">
                  <c:v>Dec</c:v>
                </c:pt>
              </c:strCache>
            </c:strRef>
          </c:tx>
          <c:spPr>
            <a:solidFill>
              <a:schemeClr val="accent6">
                <a:lumMod val="60000"/>
                <a:alpha val="35000"/>
              </a:schemeClr>
            </a:solidFill>
            <a:ln w="9525">
              <a:solidFill>
                <a:schemeClr val="accent6">
                  <a:lumMod val="60000"/>
                </a:schemeClr>
              </a:solidFill>
            </a:ln>
            <a:effectLst/>
            <a:sp3d contourW="9525">
              <a:contourClr>
                <a:schemeClr val="accent6">
                  <a:lumMod val="60000"/>
                </a:schemeClr>
              </a:contourClr>
            </a:sp3d>
          </c:spP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'!$W$29:$W$41</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B-B036-4BFA-B978-3E25A050F60E}"/>
            </c:ext>
          </c:extLst>
        </c:ser>
        <c:dLbls>
          <c:showLegendKey val="0"/>
          <c:showVal val="0"/>
          <c:showCatName val="0"/>
          <c:showSerName val="0"/>
          <c:showPercent val="0"/>
          <c:showBubbleSize val="0"/>
        </c:dLbls>
        <c:axId val="683039536"/>
        <c:axId val="683038704"/>
        <c:axId val="913812112"/>
      </c:area3DChart>
      <c:catAx>
        <c:axId val="683039536"/>
        <c:scaling>
          <c:orientation val="minMax"/>
        </c:scaling>
        <c:delete val="0"/>
        <c:axPos val="b"/>
        <c:numFmt formatCode="h:mm"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3038704"/>
        <c:crosses val="autoZero"/>
        <c:auto val="1"/>
        <c:lblAlgn val="ctr"/>
        <c:lblOffset val="100"/>
        <c:noMultiLvlLbl val="0"/>
      </c:catAx>
      <c:valAx>
        <c:axId val="6830387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3039536"/>
        <c:crosses val="autoZero"/>
        <c:crossBetween val="midCat"/>
      </c:valAx>
      <c:serAx>
        <c:axId val="913812112"/>
        <c:scaling>
          <c:orientation val="minMax"/>
        </c:scaling>
        <c:delete val="0"/>
        <c:axPos val="b"/>
        <c:majorTickMark val="none"/>
        <c:minorTickMark val="none"/>
        <c:tickLblPos val="nextTo"/>
        <c:spPr>
          <a:noFill/>
          <a:ln w="9525" cap="flat" cmpd="sng" algn="ctr">
            <a:solidFill>
              <a:schemeClr val="tx1">
                <a:lumMod val="5000"/>
                <a:lumOff val="95000"/>
              </a:schemeClr>
            </a:solidFill>
            <a:round/>
          </a:ln>
          <a:effectLst/>
        </c:spPr>
        <c:txPr>
          <a:bodyPr rot="540000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303870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Daily System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'Irrigation Technical  '!$Y$28</c:f>
              <c:strCache>
                <c:ptCount val="1"/>
                <c:pt idx="0">
                  <c:v>Pump Output</c:v>
                </c:pt>
              </c:strCache>
            </c:strRef>
          </c:tx>
          <c:spPr>
            <a:ln w="28575" cap="rnd">
              <a:solidFill>
                <a:schemeClr val="accent1"/>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'!$Y$29:$Y$41</c:f>
              <c:numCache>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15</c:v>
                </c:pt>
              </c:numCache>
            </c:numRef>
          </c:val>
          <c:smooth val="0"/>
          <c:extLst>
            <c:ext xmlns:c16="http://schemas.microsoft.com/office/drawing/2014/chart" uri="{C3380CC4-5D6E-409C-BE32-E72D297353CC}">
              <c16:uniqueId val="{00000000-DFF6-4D36-8770-69E75543BE18}"/>
            </c:ext>
          </c:extLst>
        </c:ser>
        <c:ser>
          <c:idx val="1"/>
          <c:order val="1"/>
          <c:tx>
            <c:strRef>
              <c:f>'Irrigation Technical  '!$Z$28</c:f>
              <c:strCache>
                <c:ptCount val="1"/>
                <c:pt idx="0">
                  <c:v>Power from Solar</c:v>
                </c:pt>
              </c:strCache>
            </c:strRef>
          </c:tx>
          <c:spPr>
            <a:ln w="28575" cap="rnd">
              <a:solidFill>
                <a:schemeClr val="accent2"/>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'!$Z$29:$Z$41</c:f>
              <c:numCache>
                <c:formatCode>General</c:formatCode>
                <c:ptCount val="13"/>
                <c:pt idx="0">
                  <c:v>0</c:v>
                </c:pt>
                <c:pt idx="1">
                  <c:v>0</c:v>
                </c:pt>
                <c:pt idx="2">
                  <c:v>0</c:v>
                </c:pt>
                <c:pt idx="3">
                  <c:v>7.6145999999999994</c:v>
                </c:pt>
                <c:pt idx="4">
                  <c:v>11.421899999999999</c:v>
                </c:pt>
                <c:pt idx="5">
                  <c:v>13.706280000000001</c:v>
                </c:pt>
                <c:pt idx="6">
                  <c:v>14.7</c:v>
                </c:pt>
                <c:pt idx="7">
                  <c:v>14.7</c:v>
                </c:pt>
                <c:pt idx="8">
                  <c:v>12.94482</c:v>
                </c:pt>
                <c:pt idx="9">
                  <c:v>9.8989799999999999</c:v>
                </c:pt>
                <c:pt idx="10">
                  <c:v>0</c:v>
                </c:pt>
                <c:pt idx="11">
                  <c:v>0</c:v>
                </c:pt>
                <c:pt idx="12">
                  <c:v>0</c:v>
                </c:pt>
              </c:numCache>
            </c:numRef>
          </c:val>
          <c:smooth val="0"/>
          <c:extLst>
            <c:ext xmlns:c16="http://schemas.microsoft.com/office/drawing/2014/chart" uri="{C3380CC4-5D6E-409C-BE32-E72D297353CC}">
              <c16:uniqueId val="{00000001-DFF6-4D36-8770-69E75543BE18}"/>
            </c:ext>
          </c:extLst>
        </c:ser>
        <c:ser>
          <c:idx val="2"/>
          <c:order val="2"/>
          <c:tx>
            <c:strRef>
              <c:f>'Irrigation Technical  '!$AA$28</c:f>
              <c:strCache>
                <c:ptCount val="1"/>
                <c:pt idx="0">
                  <c:v>Power From Grid</c:v>
                </c:pt>
              </c:strCache>
            </c:strRef>
          </c:tx>
          <c:spPr>
            <a:ln w="28575" cap="rnd">
              <a:solidFill>
                <a:schemeClr val="accent3"/>
              </a:solidFill>
              <a:round/>
            </a:ln>
            <a:effectLst/>
          </c:spPr>
          <c:marker>
            <c:symbol val="none"/>
          </c:marker>
          <c:cat>
            <c:numRef>
              <c:f>'Irrigation Technical  '!$K$29:$K$41</c:f>
              <c:numCache>
                <c:formatCode>h:mm</c:formatCode>
                <c:ptCount val="13"/>
                <c:pt idx="0">
                  <c:v>0.25</c:v>
                </c:pt>
                <c:pt idx="1">
                  <c:v>0.29166666666666669</c:v>
                </c:pt>
                <c:pt idx="2">
                  <c:v>0.33333333333333331</c:v>
                </c:pt>
                <c:pt idx="3">
                  <c:v>0.375</c:v>
                </c:pt>
                <c:pt idx="4">
                  <c:v>0.41666666666666669</c:v>
                </c:pt>
                <c:pt idx="5">
                  <c:v>0.45833333333333331</c:v>
                </c:pt>
                <c:pt idx="6">
                  <c:v>0.5</c:v>
                </c:pt>
                <c:pt idx="7">
                  <c:v>0.54166666666666663</c:v>
                </c:pt>
                <c:pt idx="8">
                  <c:v>0.58333333333333337</c:v>
                </c:pt>
                <c:pt idx="9">
                  <c:v>0.625</c:v>
                </c:pt>
                <c:pt idx="10">
                  <c:v>0.66666666666666663</c:v>
                </c:pt>
                <c:pt idx="11">
                  <c:v>0.70833333333333337</c:v>
                </c:pt>
                <c:pt idx="12">
                  <c:v>0.75</c:v>
                </c:pt>
              </c:numCache>
            </c:numRef>
          </c:cat>
          <c:val>
            <c:numRef>
              <c:f>'Irrigation Technical  '!$AA$29:$AA$41</c:f>
              <c:numCache>
                <c:formatCode>General</c:formatCode>
                <c:ptCount val="13"/>
                <c:pt idx="0">
                  <c:v>15</c:v>
                </c:pt>
                <c:pt idx="1">
                  <c:v>15</c:v>
                </c:pt>
                <c:pt idx="2">
                  <c:v>15</c:v>
                </c:pt>
                <c:pt idx="3">
                  <c:v>7.3854000000000006</c:v>
                </c:pt>
                <c:pt idx="4">
                  <c:v>3.5781000000000009</c:v>
                </c:pt>
                <c:pt idx="5">
                  <c:v>1.2937199999999986</c:v>
                </c:pt>
                <c:pt idx="6">
                  <c:v>0.30000000000000071</c:v>
                </c:pt>
                <c:pt idx="7">
                  <c:v>0.30000000000000071</c:v>
                </c:pt>
                <c:pt idx="8">
                  <c:v>2.05518</c:v>
                </c:pt>
                <c:pt idx="9">
                  <c:v>5.1010200000000001</c:v>
                </c:pt>
                <c:pt idx="10">
                  <c:v>15</c:v>
                </c:pt>
                <c:pt idx="11">
                  <c:v>15</c:v>
                </c:pt>
                <c:pt idx="12">
                  <c:v>15</c:v>
                </c:pt>
              </c:numCache>
            </c:numRef>
          </c:val>
          <c:smooth val="0"/>
          <c:extLst>
            <c:ext xmlns:c16="http://schemas.microsoft.com/office/drawing/2014/chart" uri="{C3380CC4-5D6E-409C-BE32-E72D297353CC}">
              <c16:uniqueId val="{00000002-DFF6-4D36-8770-69E75543BE18}"/>
            </c:ext>
          </c:extLst>
        </c:ser>
        <c:dLbls>
          <c:showLegendKey val="0"/>
          <c:showVal val="0"/>
          <c:showCatName val="0"/>
          <c:showSerName val="0"/>
          <c:showPercent val="0"/>
          <c:showBubbleSize val="0"/>
        </c:dLbls>
        <c:smooth val="0"/>
        <c:axId val="805856944"/>
        <c:axId val="805858608"/>
      </c:lineChart>
      <c:catAx>
        <c:axId val="805856944"/>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58608"/>
        <c:crosses val="autoZero"/>
        <c:auto val="1"/>
        <c:lblAlgn val="ctr"/>
        <c:lblOffset val="100"/>
        <c:noMultiLvlLbl val="0"/>
      </c:catAx>
      <c:valAx>
        <c:axId val="8058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5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
  <cs:dataPoint3D>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spPr>
      <a:ln w="9525" cap="flat" cmpd="sng" algn="ctr">
        <a:solidFill>
          <a:schemeClr val="tx1">
            <a:lumMod val="5000"/>
            <a:lumOff val="9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
  <cs:dataPoint3D>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spPr>
      <a:ln w="9525" cap="flat" cmpd="sng" algn="ctr">
        <a:solidFill>
          <a:schemeClr val="tx1">
            <a:lumMod val="5000"/>
            <a:lumOff val="9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0</xdr:rowOff>
    </xdr:from>
    <xdr:to>
      <xdr:col>7</xdr:col>
      <xdr:colOff>518459</xdr:colOff>
      <xdr:row>8</xdr:row>
      <xdr:rowOff>111125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0"/>
          <a:ext cx="6108700" cy="1533525"/>
        </a:xfrm>
        <a:prstGeom prst="rect">
          <a:avLst/>
        </a:prstGeom>
      </xdr:spPr>
    </xdr:pic>
    <xdr:clientData/>
  </xdr:twoCellAnchor>
  <xdr:twoCellAnchor>
    <xdr:from>
      <xdr:col>0</xdr:col>
      <xdr:colOff>1</xdr:colOff>
      <xdr:row>81</xdr:row>
      <xdr:rowOff>38101</xdr:rowOff>
    </xdr:from>
    <xdr:to>
      <xdr:col>8</xdr:col>
      <xdr:colOff>0</xdr:colOff>
      <xdr:row>97</xdr:row>
      <xdr:rowOff>72390</xdr:rowOff>
    </xdr:to>
    <xdr:graphicFrame macro="">
      <xdr:nvGraphicFramePr>
        <xdr:cNvPr id="9" name="Chart 8">
          <a:extLst>
            <a:ext uri="{FF2B5EF4-FFF2-40B4-BE49-F238E27FC236}">
              <a16:creationId xmlns:a16="http://schemas.microsoft.com/office/drawing/2014/main" id="{50EC50B6-F0E6-46D8-8F67-A0434AD40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53</xdr:row>
      <xdr:rowOff>34290</xdr:rowOff>
    </xdr:from>
    <xdr:to>
      <xdr:col>8</xdr:col>
      <xdr:colOff>1</xdr:colOff>
      <xdr:row>60</xdr:row>
      <xdr:rowOff>0</xdr:rowOff>
    </xdr:to>
    <xdr:graphicFrame macro="">
      <xdr:nvGraphicFramePr>
        <xdr:cNvPr id="10" name="Chart 9">
          <a:extLst>
            <a:ext uri="{FF2B5EF4-FFF2-40B4-BE49-F238E27FC236}">
              <a16:creationId xmlns:a16="http://schemas.microsoft.com/office/drawing/2014/main" id="{210373A6-3E4B-4273-B652-9C572886E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60</xdr:row>
      <xdr:rowOff>0</xdr:rowOff>
    </xdr:from>
    <xdr:to>
      <xdr:col>8</xdr:col>
      <xdr:colOff>0</xdr:colOff>
      <xdr:row>70</xdr:row>
      <xdr:rowOff>70485</xdr:rowOff>
    </xdr:to>
    <xdr:graphicFrame macro="">
      <xdr:nvGraphicFramePr>
        <xdr:cNvPr id="11" name="Chart 10">
          <a:extLst>
            <a:ext uri="{FF2B5EF4-FFF2-40B4-BE49-F238E27FC236}">
              <a16:creationId xmlns:a16="http://schemas.microsoft.com/office/drawing/2014/main" id="{4A494844-5B2D-408F-AA00-70C2E8DA5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70</xdr:row>
      <xdr:rowOff>1</xdr:rowOff>
    </xdr:from>
    <xdr:to>
      <xdr:col>8</xdr:col>
      <xdr:colOff>0</xdr:colOff>
      <xdr:row>81</xdr:row>
      <xdr:rowOff>1</xdr:rowOff>
    </xdr:to>
    <xdr:graphicFrame macro="">
      <xdr:nvGraphicFramePr>
        <xdr:cNvPr id="12" name="Chart 11">
          <a:extLst>
            <a:ext uri="{FF2B5EF4-FFF2-40B4-BE49-F238E27FC236}">
              <a16:creationId xmlns:a16="http://schemas.microsoft.com/office/drawing/2014/main" id="{F77133A5-6F7A-4C3C-8069-F39E2BC1F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145</xdr:row>
      <xdr:rowOff>80177</xdr:rowOff>
    </xdr:from>
    <xdr:to>
      <xdr:col>7</xdr:col>
      <xdr:colOff>471805</xdr:colOff>
      <xdr:row>150</xdr:row>
      <xdr:rowOff>152627</xdr:rowOff>
    </xdr:to>
    <xdr:sp macro="" textlink="">
      <xdr:nvSpPr>
        <xdr:cNvPr id="13" name="TextBox 4">
          <a:extLst>
            <a:ext uri="{FF2B5EF4-FFF2-40B4-BE49-F238E27FC236}">
              <a16:creationId xmlns:a16="http://schemas.microsoft.com/office/drawing/2014/main" id="{920356E1-12AA-4ACF-B06E-577DDEC3EDAA}"/>
            </a:ext>
          </a:extLst>
        </xdr:cNvPr>
        <xdr:cNvSpPr txBox="1"/>
      </xdr:nvSpPr>
      <xdr:spPr>
        <a:xfrm>
          <a:off x="0" y="26862236"/>
          <a:ext cx="6082217" cy="968920"/>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ZA" sz="800" i="1"/>
            <a:t>Disclaimer: </a:t>
          </a:r>
          <a:r>
            <a:rPr lang="en-US" sz="800" i="1"/>
            <a:t>Solar system is depreciated fully in the first year as stipulated in (Section 12B of the Income Tax Act (Act 58 of 1996).</a:t>
          </a:r>
          <a:endParaRPr lang="en-ZA" sz="800" i="1"/>
        </a:p>
        <a:p>
          <a:r>
            <a:rPr lang="en-US" sz="800" i="1"/>
            <a:t>The assumption is made that the entity is a profitable venture and that these benefits would be fully utilized.</a:t>
          </a:r>
        </a:p>
        <a:p>
          <a:r>
            <a:rPr lang="en-US" sz="800" i="1"/>
            <a:t>Net Present Value calculated over a period of 15 years.</a:t>
          </a:r>
        </a:p>
        <a:p>
          <a:r>
            <a:rPr lang="en-US" sz="800" i="1"/>
            <a:t>It is assumed that the pumping will be scheduled</a:t>
          </a:r>
          <a:r>
            <a:rPr lang="en-US" sz="800" i="1" baseline="0"/>
            <a:t> to utilize full sun potential. </a:t>
          </a:r>
        </a:p>
        <a:p>
          <a:r>
            <a:rPr lang="en-US" sz="800" i="1" baseline="0"/>
            <a:t>If a entry is blank in the monthly consumption, an average of the entered data will be applied to the blank month. </a:t>
          </a:r>
          <a:endParaRPr lang="en-ZA" sz="800" i="1" baseline="0"/>
        </a:p>
        <a:p>
          <a:r>
            <a:rPr lang="en-ZA" sz="800" i="1" baseline="0"/>
            <a:t>Solar kWh cost is calculated over the loan period for financing and 10 years cash. </a:t>
          </a:r>
        </a:p>
        <a:p>
          <a:r>
            <a:rPr lang="en-US" sz="800" i="1" baseline="0"/>
            <a:t>All the values are estimates based on past climate data, and may differ from present and future yields.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333867</xdr:colOff>
      <xdr:row>45</xdr:row>
      <xdr:rowOff>128832</xdr:rowOff>
    </xdr:from>
    <xdr:to>
      <xdr:col>5</xdr:col>
      <xdr:colOff>184609</xdr:colOff>
      <xdr:row>59</xdr:row>
      <xdr:rowOff>130403</xdr:rowOff>
    </xdr:to>
    <xdr:graphicFrame macro="">
      <xdr:nvGraphicFramePr>
        <xdr:cNvPr id="2" name="Chart 1">
          <a:extLst>
            <a:ext uri="{FF2B5EF4-FFF2-40B4-BE49-F238E27FC236}">
              <a16:creationId xmlns:a16="http://schemas.microsoft.com/office/drawing/2014/main" id="{8BB24C9D-BE7D-4141-9F18-5701E8D7C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679277</xdr:colOff>
      <xdr:row>45</xdr:row>
      <xdr:rowOff>151162</xdr:rowOff>
    </xdr:from>
    <xdr:to>
      <xdr:col>14</xdr:col>
      <xdr:colOff>78557</xdr:colOff>
      <xdr:row>62</xdr:row>
      <xdr:rowOff>7855</xdr:rowOff>
    </xdr:to>
    <xdr:graphicFrame macro="">
      <xdr:nvGraphicFramePr>
        <xdr:cNvPr id="4" name="Chart 3">
          <a:extLst>
            <a:ext uri="{FF2B5EF4-FFF2-40B4-BE49-F238E27FC236}">
              <a16:creationId xmlns:a16="http://schemas.microsoft.com/office/drawing/2014/main" id="{4A125DBF-CB50-463E-A4D1-D925A9B4B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502764</xdr:colOff>
      <xdr:row>26</xdr:row>
      <xdr:rowOff>7855</xdr:rowOff>
    </xdr:from>
    <xdr:to>
      <xdr:col>5</xdr:col>
      <xdr:colOff>1091940</xdr:colOff>
      <xdr:row>30</xdr:row>
      <xdr:rowOff>0</xdr:rowOff>
    </xdr:to>
    <xdr:sp macro="" textlink="">
      <xdr:nvSpPr>
        <xdr:cNvPr id="3" name="TextBox 2">
          <a:extLst>
            <a:ext uri="{FF2B5EF4-FFF2-40B4-BE49-F238E27FC236}">
              <a16:creationId xmlns:a16="http://schemas.microsoft.com/office/drawing/2014/main" id="{7DE0C855-117F-436E-BB23-9C9CF1780FB9}"/>
            </a:ext>
          </a:extLst>
        </xdr:cNvPr>
        <xdr:cNvSpPr txBox="1"/>
      </xdr:nvSpPr>
      <xdr:spPr>
        <a:xfrm>
          <a:off x="4383465" y="4823381"/>
          <a:ext cx="1437588" cy="714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rgbClr val="C00000"/>
              </a:solidFill>
            </a:rPr>
            <a:t>At least 8% solar</a:t>
          </a:r>
          <a:r>
            <a:rPr lang="en-ZA" sz="1100" baseline="0">
              <a:solidFill>
                <a:srgbClr val="C00000"/>
              </a:solidFill>
            </a:rPr>
            <a:t> power available for true hybrid to work </a:t>
          </a:r>
          <a:endParaRPr lang="en-ZA" sz="1100">
            <a:solidFill>
              <a:srgbClr val="C00000"/>
            </a:solidFill>
          </a:endParaRPr>
        </a:p>
      </xdr:txBody>
    </xdr:sp>
    <xdr:clientData/>
  </xdr:twoCellAnchor>
  <xdr:twoCellAnchor>
    <xdr:from>
      <xdr:col>5</xdr:col>
      <xdr:colOff>1091940</xdr:colOff>
      <xdr:row>28</xdr:row>
      <xdr:rowOff>3927</xdr:rowOff>
    </xdr:from>
    <xdr:to>
      <xdr:col>6</xdr:col>
      <xdr:colOff>549897</xdr:colOff>
      <xdr:row>29</xdr:row>
      <xdr:rowOff>157113</xdr:rowOff>
    </xdr:to>
    <xdr:cxnSp macro="">
      <xdr:nvCxnSpPr>
        <xdr:cNvPr id="6" name="Straight Arrow Connector 5">
          <a:extLst>
            <a:ext uri="{FF2B5EF4-FFF2-40B4-BE49-F238E27FC236}">
              <a16:creationId xmlns:a16="http://schemas.microsoft.com/office/drawing/2014/main" id="{68745090-04EA-485E-B9C4-6E8A568ACDA9}"/>
            </a:ext>
          </a:extLst>
        </xdr:cNvPr>
        <xdr:cNvCxnSpPr>
          <a:stCxn id="3" idx="3"/>
        </xdr:cNvCxnSpPr>
      </xdr:nvCxnSpPr>
      <xdr:spPr>
        <a:xfrm>
          <a:off x="5821053" y="5180814"/>
          <a:ext cx="652019" cy="3338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136689</xdr:colOff>
      <xdr:row>25</xdr:row>
      <xdr:rowOff>97411</xdr:rowOff>
    </xdr:from>
    <xdr:to>
      <xdr:col>9</xdr:col>
      <xdr:colOff>686587</xdr:colOff>
      <xdr:row>29</xdr:row>
      <xdr:rowOff>89555</xdr:rowOff>
    </xdr:to>
    <xdr:sp macro="" textlink="">
      <xdr:nvSpPr>
        <xdr:cNvPr id="8" name="TextBox 7">
          <a:extLst>
            <a:ext uri="{FF2B5EF4-FFF2-40B4-BE49-F238E27FC236}">
              <a16:creationId xmlns:a16="http://schemas.microsoft.com/office/drawing/2014/main" id="{6CC22183-5812-4445-8CC6-EFEAFA31A15E}"/>
            </a:ext>
          </a:extLst>
        </xdr:cNvPr>
        <xdr:cNvSpPr txBox="1"/>
      </xdr:nvSpPr>
      <xdr:spPr>
        <a:xfrm>
          <a:off x="7670277" y="4732256"/>
          <a:ext cx="1437588" cy="714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rgbClr val="C00000"/>
              </a:solidFill>
            </a:rPr>
            <a:t>Loss Factor</a:t>
          </a:r>
        </a:p>
      </xdr:txBody>
    </xdr:sp>
    <xdr:clientData/>
  </xdr:twoCellAnchor>
  <xdr:twoCellAnchor>
    <xdr:from>
      <xdr:col>7</xdr:col>
      <xdr:colOff>487051</xdr:colOff>
      <xdr:row>27</xdr:row>
      <xdr:rowOff>86413</xdr:rowOff>
    </xdr:from>
    <xdr:to>
      <xdr:col>8</xdr:col>
      <xdr:colOff>117835</xdr:colOff>
      <xdr:row>29</xdr:row>
      <xdr:rowOff>164969</xdr:rowOff>
    </xdr:to>
    <xdr:cxnSp macro="">
      <xdr:nvCxnSpPr>
        <xdr:cNvPr id="9" name="Straight Arrow Connector 8">
          <a:extLst>
            <a:ext uri="{FF2B5EF4-FFF2-40B4-BE49-F238E27FC236}">
              <a16:creationId xmlns:a16="http://schemas.microsoft.com/office/drawing/2014/main" id="{E057514A-F642-4B2E-B2D1-77ABB62F903D}"/>
            </a:ext>
          </a:extLst>
        </xdr:cNvPr>
        <xdr:cNvCxnSpPr/>
      </xdr:nvCxnSpPr>
      <xdr:spPr>
        <a:xfrm flipH="1">
          <a:off x="7235072" y="5082619"/>
          <a:ext cx="416351" cy="43991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435205</xdr:colOff>
      <xdr:row>73</xdr:row>
      <xdr:rowOff>0</xdr:rowOff>
    </xdr:from>
    <xdr:to>
      <xdr:col>5</xdr:col>
      <xdr:colOff>238814</xdr:colOff>
      <xdr:row>76</xdr:row>
      <xdr:rowOff>172824</xdr:rowOff>
    </xdr:to>
    <xdr:sp macro="" textlink="">
      <xdr:nvSpPr>
        <xdr:cNvPr id="13" name="TextBox 12">
          <a:extLst>
            <a:ext uri="{FF2B5EF4-FFF2-40B4-BE49-F238E27FC236}">
              <a16:creationId xmlns:a16="http://schemas.microsoft.com/office/drawing/2014/main" id="{FC8B81B2-7A4E-48E0-9908-C23F28EA10E3}"/>
            </a:ext>
          </a:extLst>
        </xdr:cNvPr>
        <xdr:cNvSpPr txBox="1"/>
      </xdr:nvSpPr>
      <xdr:spPr>
        <a:xfrm>
          <a:off x="3530339" y="13849546"/>
          <a:ext cx="1437588" cy="714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rgbClr val="C00000"/>
              </a:solidFill>
            </a:rPr>
            <a:t>Internal Referance Only</a:t>
          </a:r>
        </a:p>
      </xdr:txBody>
    </xdr:sp>
    <xdr:clientData/>
  </xdr:twoCellAnchor>
  <xdr:twoCellAnchor>
    <xdr:from>
      <xdr:col>5</xdr:col>
      <xdr:colOff>251382</xdr:colOff>
      <xdr:row>70</xdr:row>
      <xdr:rowOff>172825</xdr:rowOff>
    </xdr:from>
    <xdr:to>
      <xdr:col>6</xdr:col>
      <xdr:colOff>793423</xdr:colOff>
      <xdr:row>75</xdr:row>
      <xdr:rowOff>47134</xdr:rowOff>
    </xdr:to>
    <xdr:cxnSp macro="">
      <xdr:nvCxnSpPr>
        <xdr:cNvPr id="14" name="Straight Arrow Connector 13">
          <a:extLst>
            <a:ext uri="{FF2B5EF4-FFF2-40B4-BE49-F238E27FC236}">
              <a16:creationId xmlns:a16="http://schemas.microsoft.com/office/drawing/2014/main" id="{FFF90FBC-623E-4BB1-8A3C-4EC0C96BC78C}"/>
            </a:ext>
          </a:extLst>
        </xdr:cNvPr>
        <xdr:cNvCxnSpPr/>
      </xdr:nvCxnSpPr>
      <xdr:spPr>
        <a:xfrm flipV="1">
          <a:off x="4980495" y="13480330"/>
          <a:ext cx="1736103" cy="7777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259080</xdr:colOff>
      <xdr:row>0</xdr:row>
      <xdr:rowOff>152400</xdr:rowOff>
    </xdr:from>
    <xdr:to>
      <xdr:col>23</xdr:col>
      <xdr:colOff>306705</xdr:colOff>
      <xdr:row>9</xdr:row>
      <xdr:rowOff>83820</xdr:rowOff>
    </xdr:to>
    <xdr:graphicFrame macro="">
      <xdr:nvGraphicFramePr>
        <xdr:cNvPr id="4" name="Chart 3">
          <a:extLst>
            <a:ext uri="{FF2B5EF4-FFF2-40B4-BE49-F238E27FC236}">
              <a16:creationId xmlns:a16="http://schemas.microsoft.com/office/drawing/2014/main" id="{466C28AD-BEA8-4ED5-8239-DC479664E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19</xdr:row>
      <xdr:rowOff>120015</xdr:rowOff>
    </xdr:from>
    <xdr:to>
      <xdr:col>3</xdr:col>
      <xdr:colOff>381000</xdr:colOff>
      <xdr:row>21</xdr:row>
      <xdr:rowOff>72390</xdr:rowOff>
    </xdr:to>
    <xdr:sp macro="" textlink="">
      <xdr:nvSpPr>
        <xdr:cNvPr id="5" name="TextBox 4">
          <a:extLst>
            <a:ext uri="{FF2B5EF4-FFF2-40B4-BE49-F238E27FC236}">
              <a16:creationId xmlns:a16="http://schemas.microsoft.com/office/drawing/2014/main" id="{794C683C-DB86-4C35-86C0-BBC278CF845C}"/>
            </a:ext>
          </a:extLst>
        </xdr:cNvPr>
        <xdr:cNvSpPr txBox="1"/>
      </xdr:nvSpPr>
      <xdr:spPr>
        <a:xfrm>
          <a:off x="1779270" y="3739515"/>
          <a:ext cx="788670" cy="33337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ZA" sz="1100"/>
            <a:t>User Input </a:t>
          </a:r>
        </a:p>
      </xdr:txBody>
    </xdr:sp>
    <xdr:clientData/>
  </xdr:twoCellAnchor>
  <xdr:twoCellAnchor>
    <xdr:from>
      <xdr:col>2</xdr:col>
      <xdr:colOff>34292</xdr:colOff>
      <xdr:row>20</xdr:row>
      <xdr:rowOff>96203</xdr:rowOff>
    </xdr:from>
    <xdr:to>
      <xdr:col>2</xdr:col>
      <xdr:colOff>323850</xdr:colOff>
      <xdr:row>20</xdr:row>
      <xdr:rowOff>114300</xdr:rowOff>
    </xdr:to>
    <xdr:cxnSp macro="">
      <xdr:nvCxnSpPr>
        <xdr:cNvPr id="7" name="Straight Arrow Connector 6">
          <a:extLst>
            <a:ext uri="{FF2B5EF4-FFF2-40B4-BE49-F238E27FC236}">
              <a16:creationId xmlns:a16="http://schemas.microsoft.com/office/drawing/2014/main" id="{FB166962-8E60-4C9D-BF3D-E2F078DAE30F}"/>
            </a:ext>
          </a:extLst>
        </xdr:cNvPr>
        <xdr:cNvCxnSpPr>
          <a:stCxn id="5" idx="1"/>
        </xdr:cNvCxnSpPr>
      </xdr:nvCxnSpPr>
      <xdr:spPr>
        <a:xfrm flipH="1">
          <a:off x="1489712" y="3906203"/>
          <a:ext cx="289558" cy="1809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491490</xdr:colOff>
      <xdr:row>10</xdr:row>
      <xdr:rowOff>41910</xdr:rowOff>
    </xdr:from>
    <xdr:to>
      <xdr:col>22</xdr:col>
      <xdr:colOff>400049</xdr:colOff>
      <xdr:row>24</xdr:row>
      <xdr:rowOff>125730</xdr:rowOff>
    </xdr:to>
    <xdr:graphicFrame macro="">
      <xdr:nvGraphicFramePr>
        <xdr:cNvPr id="11" name="Chart 10">
          <a:extLst>
            <a:ext uri="{FF2B5EF4-FFF2-40B4-BE49-F238E27FC236}">
              <a16:creationId xmlns:a16="http://schemas.microsoft.com/office/drawing/2014/main" id="{2357F9CC-F7DC-44BE-B701-40F977E2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464820</xdr:colOff>
      <xdr:row>17</xdr:row>
      <xdr:rowOff>11430</xdr:rowOff>
    </xdr:from>
    <xdr:to>
      <xdr:col>8</xdr:col>
      <xdr:colOff>381000</xdr:colOff>
      <xdr:row>25</xdr:row>
      <xdr:rowOff>91440</xdr:rowOff>
    </xdr:to>
    <xdr:graphicFrame macro="">
      <xdr:nvGraphicFramePr>
        <xdr:cNvPr id="13" name="Chart 12">
          <a:extLst>
            <a:ext uri="{FF2B5EF4-FFF2-40B4-BE49-F238E27FC236}">
              <a16:creationId xmlns:a16="http://schemas.microsoft.com/office/drawing/2014/main" id="{29BEA2B9-BFB7-4FCF-87CB-D3394B111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15</xdr:row>
      <xdr:rowOff>91440</xdr:rowOff>
    </xdr:from>
    <xdr:to>
      <xdr:col>8</xdr:col>
      <xdr:colOff>312420</xdr:colOff>
      <xdr:row>17</xdr:row>
      <xdr:rowOff>68580</xdr:rowOff>
    </xdr:to>
    <xdr:sp macro="" textlink="">
      <xdr:nvSpPr>
        <xdr:cNvPr id="2" name="TextBox 1">
          <a:extLst>
            <a:ext uri="{FF2B5EF4-FFF2-40B4-BE49-F238E27FC236}">
              <a16:creationId xmlns:a16="http://schemas.microsoft.com/office/drawing/2014/main" id="{7D8D96FA-18B4-4477-B1CC-B40132ADACF7}"/>
            </a:ext>
          </a:extLst>
        </xdr:cNvPr>
        <xdr:cNvSpPr txBox="1"/>
      </xdr:nvSpPr>
      <xdr:spPr>
        <a:xfrm>
          <a:off x="3710940" y="2849880"/>
          <a:ext cx="290322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rgbClr val="FF0000"/>
              </a:solidFill>
            </a:rPr>
            <a:t>=consumption/month days/pump KW</a:t>
          </a:r>
        </a:p>
      </xdr:txBody>
    </xdr:sp>
    <xdr:clientData/>
  </xdr:twoCellAnchor>
  <xdr:twoCellAnchor>
    <xdr:from>
      <xdr:col>4</xdr:col>
      <xdr:colOff>563880</xdr:colOff>
      <xdr:row>3</xdr:row>
      <xdr:rowOff>137160</xdr:rowOff>
    </xdr:from>
    <xdr:to>
      <xdr:col>6</xdr:col>
      <xdr:colOff>251460</xdr:colOff>
      <xdr:row>16</xdr:row>
      <xdr:rowOff>80010</xdr:rowOff>
    </xdr:to>
    <xdr:cxnSp macro="">
      <xdr:nvCxnSpPr>
        <xdr:cNvPr id="6" name="Straight Arrow Connector 5">
          <a:extLst>
            <a:ext uri="{FF2B5EF4-FFF2-40B4-BE49-F238E27FC236}">
              <a16:creationId xmlns:a16="http://schemas.microsoft.com/office/drawing/2014/main" id="{6DCF8BE8-F3A8-4606-99C9-C46C8FCF86DC}"/>
            </a:ext>
          </a:extLst>
        </xdr:cNvPr>
        <xdr:cNvCxnSpPr>
          <a:stCxn id="2" idx="1"/>
        </xdr:cNvCxnSpPr>
      </xdr:nvCxnSpPr>
      <xdr:spPr>
        <a:xfrm flipV="1">
          <a:off x="3710940" y="685800"/>
          <a:ext cx="1196340" cy="23355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381000</xdr:colOff>
      <xdr:row>11</xdr:row>
      <xdr:rowOff>152400</xdr:rowOff>
    </xdr:from>
    <xdr:to>
      <xdr:col>16</xdr:col>
      <xdr:colOff>556260</xdr:colOff>
      <xdr:row>14</xdr:row>
      <xdr:rowOff>60960</xdr:rowOff>
    </xdr:to>
    <xdr:sp macro="" textlink="">
      <xdr:nvSpPr>
        <xdr:cNvPr id="10" name="TextBox 9">
          <a:extLst>
            <a:ext uri="{FF2B5EF4-FFF2-40B4-BE49-F238E27FC236}">
              <a16:creationId xmlns:a16="http://schemas.microsoft.com/office/drawing/2014/main" id="{F384AFBC-0AB1-4105-A602-0BD60D3F495F}"/>
            </a:ext>
          </a:extLst>
        </xdr:cNvPr>
        <xdr:cNvSpPr txBox="1"/>
      </xdr:nvSpPr>
      <xdr:spPr>
        <a:xfrm>
          <a:off x="9974580" y="2164080"/>
          <a:ext cx="2903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rgbClr val="FF0000"/>
              </a:solidFill>
            </a:rPr>
            <a:t>Climate data makes savings more than consumption. Benchmark is 92,5%</a:t>
          </a:r>
        </a:p>
      </xdr:txBody>
    </xdr:sp>
    <xdr:clientData/>
  </xdr:twoCellAnchor>
  <xdr:twoCellAnchor>
    <xdr:from>
      <xdr:col>11</xdr:col>
      <xdr:colOff>586740</xdr:colOff>
      <xdr:row>3</xdr:row>
      <xdr:rowOff>106680</xdr:rowOff>
    </xdr:from>
    <xdr:to>
      <xdr:col>13</xdr:col>
      <xdr:colOff>381000</xdr:colOff>
      <xdr:row>13</xdr:row>
      <xdr:rowOff>7620</xdr:rowOff>
    </xdr:to>
    <xdr:cxnSp macro="">
      <xdr:nvCxnSpPr>
        <xdr:cNvPr id="12" name="Straight Arrow Connector 11">
          <a:extLst>
            <a:ext uri="{FF2B5EF4-FFF2-40B4-BE49-F238E27FC236}">
              <a16:creationId xmlns:a16="http://schemas.microsoft.com/office/drawing/2014/main" id="{28B3BCAA-3D9E-4B93-8109-F5FD1FA8380F}"/>
            </a:ext>
          </a:extLst>
        </xdr:cNvPr>
        <xdr:cNvCxnSpPr>
          <a:stCxn id="10" idx="1"/>
        </xdr:cNvCxnSpPr>
      </xdr:nvCxnSpPr>
      <xdr:spPr>
        <a:xfrm flipH="1" flipV="1">
          <a:off x="8534400" y="655320"/>
          <a:ext cx="1440180" cy="174498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45</xdr:row>
      <xdr:rowOff>85618</xdr:rowOff>
    </xdr:from>
    <xdr:to>
      <xdr:col>6</xdr:col>
      <xdr:colOff>1078092</xdr:colOff>
      <xdr:row>88</xdr:row>
      <xdr:rowOff>17312</xdr:rowOff>
    </xdr:to>
    <xdr:sp macro="" textlink="">
      <xdr:nvSpPr>
        <xdr:cNvPr id="8" name="TextBox 2">
          <a:extLst>
            <a:ext uri="{FF2B5EF4-FFF2-40B4-BE49-F238E27FC236}">
              <a16:creationId xmlns:a16="http://schemas.microsoft.com/office/drawing/2014/main" id="{56DA6DD3-07B6-86ED-A83A-3B84BD4E7A00}"/>
            </a:ext>
            <a:ext uri="{147F2762-F138-4A5C-976F-8EAC2B608ADB}">
              <a16:predDERef xmlns:a16="http://schemas.microsoft.com/office/drawing/2014/main" pred="{28B3BCAA-3D9E-4B93-8109-F5FD1FA8380F}"/>
            </a:ext>
          </a:extLst>
        </xdr:cNvPr>
        <xdr:cNvSpPr txBox="1"/>
      </xdr:nvSpPr>
      <xdr:spPr>
        <a:xfrm>
          <a:off x="0" y="8790112"/>
          <a:ext cx="6272249" cy="82295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A4</a:t>
          </a:r>
          <a:r>
            <a:rPr lang="en-ZA" sz="1100" baseline="0"/>
            <a:t> to A15 is the monthly figures for the columns B4 to B14 ton M4 to M15</a:t>
          </a:r>
          <a:br>
            <a:rPr lang="en-ZA" sz="1100"/>
          </a:br>
          <a:r>
            <a:rPr lang="en-ZA" sz="1100"/>
            <a:t>User Inputs</a:t>
          </a:r>
          <a:r>
            <a:rPr lang="en-ZA" sz="1100" baseline="0"/>
            <a:t> monthly pump consumption: at B4 to B15. </a:t>
          </a:r>
          <a:br>
            <a:rPr lang="en-ZA" sz="1100" baseline="0"/>
          </a:br>
          <a:r>
            <a:rPr lang="en-ZA" sz="1100" baseline="0"/>
            <a:t>Ignore Assumed column </a:t>
          </a:r>
          <a:br>
            <a:rPr lang="en-ZA" sz="1100" baseline="0"/>
          </a:br>
          <a:r>
            <a:rPr lang="en-ZA" sz="1100" baseline="0"/>
            <a:t>Rands in D4 to D15 is the cost per kwh x Actual in column B </a:t>
          </a:r>
          <a:br>
            <a:rPr lang="en-ZA" sz="1100" baseline="0"/>
          </a:br>
          <a:r>
            <a:rPr lang="en-ZA" sz="1100" baseline="0"/>
            <a:t>Days per months is a fixed input at column E4 to E15</a:t>
          </a:r>
        </a:p>
        <a:p>
          <a:r>
            <a:rPr lang="en-ZA" sz="1100" baseline="0"/>
            <a:t>Average kwh per day is the Actual figures in B4 to B15 divided by days per month in E4 to E15. </a:t>
          </a:r>
          <a:br>
            <a:rPr lang="en-ZA" sz="1100" baseline="0"/>
          </a:br>
          <a:r>
            <a:rPr lang="en-ZA" sz="1100" baseline="0"/>
            <a:t>Pump Hours per day in G4 and G15 in the kwh per day divided by the pump kW input by client (here it is 11kW)</a:t>
          </a:r>
        </a:p>
        <a:p>
          <a:r>
            <a:rPr lang="en-ZA" sz="1100" baseline="0"/>
            <a:t>Climate data is pulled form a table (here we can use the data in H4 to H15</a:t>
          </a:r>
          <a:br>
            <a:rPr lang="en-ZA" sz="1100" baseline="0"/>
          </a:br>
          <a:endParaRPr lang="en-ZA" sz="1100" baseline="0"/>
        </a:p>
        <a:p>
          <a:r>
            <a:rPr lang="en-ZA" sz="1100" baseline="0"/>
            <a:t>Hourly </a:t>
          </a:r>
          <a:r>
            <a:rPr lang="en-US" sz="1100" baseline="0"/>
            <a:t>saving without climate data is deduced from l43 to x43 see the hourly section below</a:t>
          </a:r>
          <a:endParaRPr lang="en-ZA" sz="1100" baseline="0"/>
        </a:p>
        <a:p>
          <a:r>
            <a:rPr lang="en-US" sz="1100" baseline="0"/>
            <a:t>Hourly Savings with climate data I43 to X43 times the climate percentage in H4 to H15 (the climate data is collected form the climate registry for different town in SA)</a:t>
          </a:r>
        </a:p>
        <a:p>
          <a:r>
            <a:rPr lang="en-US" sz="1100" baseline="0"/>
            <a:t>Actual savings calculates if hourly savings in k4 to k15 * pump kw in B21 * cost of kwh in B22 * day per month in E4 to E15 is less than the monthly spend for that month in D4 to D15 (D4 to D15 is calculated by multiplying the kWh consumed per month in B4 to B15 with the cost of electricity in B22), then take the monthly spend in D4 to D15 * loss factor in B24, else calculate k4 to k15 * pump kw in B21 * cost of kwh in B22 * day per month in E4 to E15 is less the loss factor in B24.</a:t>
          </a:r>
        </a:p>
        <a:p>
          <a:r>
            <a:rPr lang="en-US" sz="1100" baseline="0"/>
            <a:t>Potential savings in M4 to M15 is th motor kw in B21 * H4 to H15 (climate percentage) * E4 to E15 (days per month) * B22 (kwh cost) * X43 (potential savings from the hourly section)</a:t>
          </a:r>
        </a:p>
        <a:p>
          <a:endParaRPr lang="en-US" sz="1100" baseline="0"/>
        </a:p>
        <a:p>
          <a:endParaRPr lang="en-US" sz="1100" baseline="0"/>
        </a:p>
        <a:p>
          <a:r>
            <a:rPr lang="en-US" sz="1100" baseline="0"/>
            <a:t>hourly section</a:t>
          </a:r>
          <a:endParaRPr lang="en-ZA" sz="1100" baseline="0"/>
        </a:p>
        <a:p>
          <a:r>
            <a:rPr lang="en-ZA" sz="1100" baseline="0"/>
            <a:t>A29 to A41 is the hour of the day that can </a:t>
          </a:r>
          <a:r>
            <a:rPr lang="en-US" sz="1100" baseline="0"/>
            <a:t>receive</a:t>
          </a:r>
          <a:r>
            <a:rPr lang="en-ZA" sz="1100" baseline="0"/>
            <a:t> sunshine</a:t>
          </a:r>
          <a:r>
            <a:rPr lang="en-US" sz="1100" baseline="0"/>
            <a:t> (hard coded)</a:t>
          </a:r>
          <a:br>
            <a:rPr lang="en-ZA" sz="1100" baseline="0"/>
          </a:br>
          <a:r>
            <a:rPr lang="en-ZA" sz="1100" baseline="0">
              <a:solidFill>
                <a:schemeClr val="dk1"/>
              </a:solidFill>
              <a:effectLst/>
              <a:latin typeface="+mn-lt"/>
              <a:ea typeface="+mn-ea"/>
              <a:cs typeface="+mn-cs"/>
            </a:rPr>
            <a:t>B29 to B41 &amp; C21 to C41  is the percentage of total shunshine per hour of the day on a clear sky day</a:t>
          </a:r>
          <a:r>
            <a:rPr lang="en-US" sz="1100" baseline="0">
              <a:solidFill>
                <a:schemeClr val="dk1"/>
              </a:solidFill>
              <a:effectLst/>
              <a:latin typeface="+mn-lt"/>
              <a:ea typeface="+mn-ea"/>
              <a:cs typeface="+mn-cs"/>
            </a:rPr>
            <a:t> (hard coded)</a:t>
          </a:r>
          <a:br>
            <a:rPr lang="en-ZA" sz="1100" baseline="0">
              <a:solidFill>
                <a:schemeClr val="dk1"/>
              </a:solidFill>
              <a:effectLst/>
              <a:latin typeface="+mn-lt"/>
              <a:ea typeface="+mn-ea"/>
              <a:cs typeface="+mn-cs"/>
            </a:rPr>
          </a:br>
          <a:r>
            <a:rPr lang="en-ZA" sz="1100" baseline="0">
              <a:solidFill>
                <a:schemeClr val="dk1"/>
              </a:solidFill>
              <a:effectLst/>
              <a:latin typeface="+mn-lt"/>
              <a:ea typeface="+mn-ea"/>
              <a:cs typeface="+mn-cs"/>
            </a:rPr>
            <a:t>D29 to D41 Sizing factor drive output. This is the sunshine percentage multiplied by the sizing factor (solar kw/motor kw). </a:t>
          </a:r>
          <a:r>
            <a:rPr lang="en-US" sz="1100" baseline="0">
              <a:solidFill>
                <a:schemeClr val="dk1"/>
              </a:solidFill>
              <a:effectLst/>
              <a:latin typeface="+mn-lt"/>
              <a:ea typeface="+mn-ea"/>
              <a:cs typeface="+mn-cs"/>
            </a:rPr>
            <a:t>In this instance, the total solar ration is 15.54kW. Sizing factor of </a:t>
          </a:r>
          <a:r>
            <a:rPr lang="en-NA" sz="1100" b="0" i="0" u="none" strike="noStrike">
              <a:solidFill>
                <a:srgbClr val="000000"/>
              </a:solidFill>
              <a:effectLst/>
              <a:latin typeface="Calibri" panose="020F0502020204030204" pitchFamily="34" charset="0"/>
            </a:rPr>
            <a:t>1.412727273</a:t>
          </a:r>
          <a:endParaRPr lang="en-ZA" sz="1100" baseline="0">
            <a:solidFill>
              <a:schemeClr val="dk1"/>
            </a:solidFill>
            <a:effectLst/>
            <a:latin typeface="+mn-lt"/>
            <a:ea typeface="+mn-ea"/>
            <a:cs typeface="+mn-cs"/>
          </a:endParaRPr>
        </a:p>
        <a:p>
          <a:r>
            <a:rPr lang="en-ZA" sz="1100" baseline="0">
              <a:solidFill>
                <a:schemeClr val="dk1"/>
              </a:solidFill>
              <a:effectLst/>
              <a:latin typeface="+mn-lt"/>
              <a:ea typeface="+mn-ea"/>
              <a:cs typeface="+mn-cs"/>
            </a:rPr>
            <a:t>E29 to E41 Drive output is the sizing factor column with a maximum of 100%. The drive cannot output more than 100% of its rated capacity. </a:t>
          </a:r>
          <a:br>
            <a:rPr lang="en-ZA" sz="1100" baseline="0">
              <a:solidFill>
                <a:schemeClr val="dk1"/>
              </a:solidFill>
              <a:effectLst/>
              <a:latin typeface="+mn-lt"/>
              <a:ea typeface="+mn-ea"/>
              <a:cs typeface="+mn-cs"/>
            </a:rPr>
          </a:br>
          <a:r>
            <a:rPr lang="en-ZA" sz="1100" baseline="0">
              <a:solidFill>
                <a:schemeClr val="dk1"/>
              </a:solidFill>
              <a:effectLst/>
              <a:latin typeface="+mn-lt"/>
              <a:ea typeface="+mn-ea"/>
              <a:cs typeface="+mn-cs"/>
            </a:rPr>
            <a:t>F29 to F41 Pump Output watt output of the pump. </a:t>
          </a:r>
          <a:br>
            <a:rPr lang="en-ZA" sz="1100" baseline="0">
              <a:solidFill>
                <a:schemeClr val="dk1"/>
              </a:solidFill>
              <a:effectLst/>
              <a:latin typeface="+mn-lt"/>
              <a:ea typeface="+mn-ea"/>
              <a:cs typeface="+mn-cs"/>
            </a:rPr>
          </a:br>
          <a:r>
            <a:rPr lang="en-ZA" sz="1100" baseline="0">
              <a:solidFill>
                <a:schemeClr val="dk1"/>
              </a:solidFill>
              <a:effectLst/>
              <a:latin typeface="+mn-lt"/>
              <a:ea typeface="+mn-ea"/>
              <a:cs typeface="+mn-cs"/>
            </a:rPr>
            <a:t>H29 to H41 Remove the loss factor from savings (currently 2%, but should be a user input)</a:t>
          </a:r>
          <a:br>
            <a:rPr lang="en-ZA" sz="1100" baseline="0">
              <a:solidFill>
                <a:schemeClr val="dk1"/>
              </a:solidFill>
              <a:effectLst/>
              <a:latin typeface="+mn-lt"/>
              <a:ea typeface="+mn-ea"/>
              <a:cs typeface="+mn-cs"/>
            </a:rPr>
          </a:br>
          <a:r>
            <a:rPr lang="en-ZA" sz="1100" baseline="0">
              <a:solidFill>
                <a:schemeClr val="dk1"/>
              </a:solidFill>
              <a:effectLst/>
              <a:latin typeface="+mn-lt"/>
              <a:ea typeface="+mn-ea"/>
              <a:cs typeface="+mn-cs"/>
            </a:rPr>
            <a:t>J29 to J41 </a:t>
          </a:r>
        </a:p>
        <a:p>
          <a:r>
            <a:rPr lang="en-ZA" sz="1100" baseline="0">
              <a:solidFill>
                <a:schemeClr val="dk1"/>
              </a:solidFill>
              <a:effectLst/>
              <a:latin typeface="+mn-lt"/>
              <a:ea typeface="+mn-ea"/>
              <a:cs typeface="+mn-cs"/>
            </a:rPr>
            <a:t>L27 to W27 are the figures to in pump hours per day in G4 to G15</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 table in L29 to W41 is used to spread the pumping profile around midday 12:00. Half of the total pumping hours before 12 and the rest after 12 noon</a:t>
          </a:r>
          <a:br>
            <a:rPr lang="en-ZA" sz="1100" baseline="0">
              <a:solidFill>
                <a:schemeClr val="dk1"/>
              </a:solidFill>
              <a:effectLst/>
              <a:latin typeface="+mn-lt"/>
              <a:ea typeface="+mn-ea"/>
              <a:cs typeface="+mn-cs"/>
            </a:rPr>
          </a:br>
          <a:r>
            <a:rPr lang="en-US" sz="1100" baseline="0">
              <a:solidFill>
                <a:schemeClr val="dk1"/>
              </a:solidFill>
              <a:effectLst/>
              <a:latin typeface="+mn-lt"/>
              <a:ea typeface="+mn-ea"/>
              <a:cs typeface="+mn-cs"/>
            </a:rPr>
            <a:t>L43 to X43 is the pumping hours is the column above it sumproduct with I29 to I41</a:t>
          </a:r>
          <a:endParaRPr lang="en-ZA"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z29 to z41 is the kw of top max watt in h29 to h41</a:t>
          </a:r>
        </a:p>
        <a:p>
          <a:r>
            <a:rPr lang="en-US" sz="1100" baseline="0">
              <a:solidFill>
                <a:schemeClr val="dk1"/>
              </a:solidFill>
              <a:effectLst/>
              <a:latin typeface="+mn-lt"/>
              <a:ea typeface="+mn-ea"/>
              <a:cs typeface="+mn-cs"/>
            </a:rPr>
            <a:t>power from grid is the difference of the pump kw rating less power from solar for each of the hour in aa29 to aa41</a:t>
          </a:r>
          <a:endParaRPr lang="en-ZA" sz="1100" baseline="0">
            <a:solidFill>
              <a:schemeClr val="dk1"/>
            </a:solidFill>
            <a:effectLst/>
            <a:latin typeface="+mn-lt"/>
            <a:ea typeface="+mn-ea"/>
            <a:cs typeface="+mn-cs"/>
          </a:endParaRPr>
        </a:p>
        <a:p>
          <a:endParaRPr lang="en-ZA" sz="1100" baseline="0">
            <a:solidFill>
              <a:schemeClr val="dk1"/>
            </a:solidFill>
            <a:effectLst/>
            <a:latin typeface="+mn-lt"/>
            <a:ea typeface="+mn-ea"/>
            <a:cs typeface="+mn-cs"/>
          </a:endParaRPr>
        </a:p>
        <a:p>
          <a:br>
            <a:rPr lang="en-ZA" sz="1100" baseline="0">
              <a:solidFill>
                <a:schemeClr val="dk1"/>
              </a:solidFill>
              <a:effectLst/>
              <a:latin typeface="+mn-lt"/>
              <a:ea typeface="+mn-ea"/>
              <a:cs typeface="+mn-cs"/>
            </a:rPr>
          </a:br>
          <a:endParaRPr lang="en-Z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christiaanackermann\Dropbox\Cedar%2520SA%25202019\Sizing%2520Tools\Digital%2520Platform-%2520Multiflow%2520Namibia%2520B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Sizing_Multiflow"/>
      <sheetName val="Technical Info"/>
      <sheetName val="Multiflow Sizing"/>
      <sheetName val="Pipe Drop Down"/>
      <sheetName val="Climate Data"/>
    </sheetNames>
    <sheetDataSet>
      <sheetData sheetId="0" refreshError="1"/>
      <sheetData sheetId="1" refreshError="1"/>
      <sheetData sheetId="2" refreshError="1"/>
      <sheetData sheetId="3" refreshError="1"/>
      <sheetData sheetId="4">
        <row r="22">
          <cell r="B22" t="str">
            <v xml:space="preserve">Botswana </v>
          </cell>
        </row>
        <row r="23">
          <cell r="B23" t="str">
            <v>EasternCape</v>
          </cell>
        </row>
        <row r="24">
          <cell r="B24" t="str">
            <v xml:space="preserve">Gauteng </v>
          </cell>
        </row>
        <row r="25">
          <cell r="B25" t="str">
            <v xml:space="preserve">Mozambique </v>
          </cell>
        </row>
        <row r="26">
          <cell r="B26" t="str">
            <v xml:space="preserve">Mpumalanga </v>
          </cell>
        </row>
        <row r="27">
          <cell r="B27" t="str">
            <v>Namibia</v>
          </cell>
        </row>
        <row r="28">
          <cell r="B28" t="str">
            <v>NorthernCape</v>
          </cell>
        </row>
        <row r="29">
          <cell r="B29" t="str">
            <v>WesternCape</v>
          </cell>
        </row>
        <row r="30">
          <cell r="B30" t="str">
            <v>Zimbabwe</v>
          </cell>
        </row>
        <row r="31">
          <cell r="B31"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I145"/>
  <sheetViews>
    <sheetView view="pageBreakPreview" topLeftCell="A13" zoomScaleNormal="85" zoomScaleSheetLayoutView="100" workbookViewId="0">
      <selection activeCell="G21" sqref="G21"/>
    </sheetView>
  </sheetViews>
  <sheetFormatPr defaultColWidth="10.88671875" defaultRowHeight="14.4" x14ac:dyDescent="0.3"/>
  <cols>
    <col min="1" max="1" width="10.88671875" style="9"/>
    <col min="2" max="2" width="11.5546875" style="9" customWidth="1"/>
    <col min="3" max="3" width="13" style="9" bestFit="1" customWidth="1"/>
    <col min="4" max="4" width="12.33203125" style="9" bestFit="1" customWidth="1"/>
    <col min="5" max="6" width="11" style="9" bestFit="1" customWidth="1"/>
    <col min="7" max="7" width="12" style="9" bestFit="1" customWidth="1"/>
    <col min="8" max="8" width="10.88671875" style="9"/>
    <col min="9" max="9" width="0" style="9" hidden="1" customWidth="1"/>
    <col min="10" max="10" width="12.88671875" style="9" hidden="1" customWidth="1"/>
    <col min="11" max="11" width="12.33203125" style="9" hidden="1" customWidth="1"/>
    <col min="12" max="16" width="11.6640625" style="9" hidden="1" customWidth="1"/>
    <col min="17" max="17" width="19" style="9" hidden="1" customWidth="1"/>
    <col min="18" max="27" width="11.6640625" style="9" hidden="1" customWidth="1"/>
    <col min="28" max="28" width="0" style="9" hidden="1" customWidth="1"/>
    <col min="29" max="16384" width="10.88671875" style="9"/>
  </cols>
  <sheetData>
    <row r="3" spans="1:9" x14ac:dyDescent="0.3">
      <c r="I3" s="40"/>
    </row>
    <row r="10" spans="1:9" x14ac:dyDescent="0.3">
      <c r="A10" s="167" t="s">
        <v>38</v>
      </c>
      <c r="B10" s="167"/>
      <c r="C10" s="167"/>
      <c r="D10" s="167"/>
      <c r="E10" s="167"/>
      <c r="F10" s="167"/>
      <c r="G10" s="167"/>
    </row>
    <row r="11" spans="1:9" x14ac:dyDescent="0.3">
      <c r="A11" s="167"/>
      <c r="B11" s="167"/>
      <c r="C11" s="167"/>
      <c r="D11" s="167"/>
      <c r="E11" s="167"/>
      <c r="F11" s="167"/>
      <c r="G11" s="167"/>
    </row>
    <row r="12" spans="1:9" x14ac:dyDescent="0.3">
      <c r="A12" s="9" t="s">
        <v>31</v>
      </c>
      <c r="E12" s="9" t="s">
        <v>32</v>
      </c>
    </row>
    <row r="13" spans="1:9" x14ac:dyDescent="0.3">
      <c r="A13" s="170" t="s">
        <v>341</v>
      </c>
      <c r="B13" s="171"/>
      <c r="C13" s="172"/>
      <c r="E13" s="173"/>
      <c r="F13" s="174"/>
      <c r="G13" s="175"/>
    </row>
    <row r="15" spans="1:9" x14ac:dyDescent="0.3">
      <c r="A15" s="9" t="s">
        <v>33</v>
      </c>
      <c r="E15" s="9" t="s">
        <v>34</v>
      </c>
      <c r="G15" s="9" t="s">
        <v>35</v>
      </c>
    </row>
    <row r="16" spans="1:9" x14ac:dyDescent="0.3">
      <c r="A16" s="170"/>
      <c r="B16" s="171"/>
      <c r="C16" s="172"/>
      <c r="E16" s="165" t="s">
        <v>10</v>
      </c>
      <c r="F16" s="166"/>
      <c r="G16" s="93" t="s">
        <v>73</v>
      </c>
    </row>
    <row r="18" spans="1:7" ht="15" customHeight="1" x14ac:dyDescent="0.3">
      <c r="A18" s="167" t="s">
        <v>39</v>
      </c>
      <c r="B18" s="167"/>
      <c r="C18" s="167"/>
      <c r="D18" s="167"/>
      <c r="E18" s="167"/>
      <c r="F18" s="167"/>
      <c r="G18" s="167"/>
    </row>
    <row r="19" spans="1:7" ht="15" customHeight="1" x14ac:dyDescent="0.3">
      <c r="A19" s="167"/>
      <c r="B19" s="167"/>
      <c r="C19" s="167"/>
      <c r="D19" s="167"/>
      <c r="E19" s="167"/>
      <c r="F19" s="167"/>
      <c r="G19" s="167"/>
    </row>
    <row r="21" spans="1:7" x14ac:dyDescent="0.3">
      <c r="A21" s="161" t="s">
        <v>40</v>
      </c>
      <c r="B21" s="162"/>
      <c r="C21" s="93">
        <v>380</v>
      </c>
      <c r="E21" s="160" t="s">
        <v>42</v>
      </c>
      <c r="F21" s="160"/>
      <c r="G21" s="93">
        <v>15</v>
      </c>
    </row>
    <row r="23" spans="1:7" x14ac:dyDescent="0.3">
      <c r="A23" s="160" t="s">
        <v>41</v>
      </c>
      <c r="B23" s="160"/>
      <c r="C23" s="93" t="s">
        <v>2</v>
      </c>
      <c r="E23" s="160" t="s">
        <v>43</v>
      </c>
      <c r="F23" s="160"/>
      <c r="G23" s="93">
        <v>0</v>
      </c>
    </row>
    <row r="24" spans="1:7" ht="15" thickBot="1" x14ac:dyDescent="0.35"/>
    <row r="25" spans="1:7" ht="15" customHeight="1" thickBot="1" x14ac:dyDescent="0.35">
      <c r="A25" s="176" t="s">
        <v>135</v>
      </c>
      <c r="B25" s="177"/>
      <c r="C25" s="177"/>
      <c r="D25" s="178"/>
      <c r="E25" s="179" t="s">
        <v>138</v>
      </c>
      <c r="F25" s="180"/>
    </row>
    <row r="26" spans="1:7" ht="15" customHeight="1" x14ac:dyDescent="0.3"/>
    <row r="27" spans="1:7" x14ac:dyDescent="0.3">
      <c r="A27" s="167" t="s">
        <v>48</v>
      </c>
      <c r="B27" s="167"/>
      <c r="C27" s="167"/>
      <c r="D27" s="167"/>
      <c r="E27" s="167"/>
      <c r="F27" s="167"/>
      <c r="G27" s="167"/>
    </row>
    <row r="28" spans="1:7" x14ac:dyDescent="0.3">
      <c r="A28" s="167"/>
      <c r="B28" s="167"/>
      <c r="C28" s="167"/>
      <c r="D28" s="167"/>
      <c r="E28" s="167"/>
      <c r="F28" s="167"/>
      <c r="G28" s="167"/>
    </row>
    <row r="30" spans="1:7" x14ac:dyDescent="0.3">
      <c r="A30" s="28" t="s">
        <v>49</v>
      </c>
      <c r="B30" s="29"/>
      <c r="C30" s="161" t="str">
        <f>IFERROR((IF(E25="Recommended",'Veichi Tech'!I48," ")),"Pump Info Conflict")</f>
        <v xml:space="preserve"> </v>
      </c>
      <c r="D30" s="162"/>
      <c r="E30" s="19" t="s">
        <v>51</v>
      </c>
      <c r="F30" s="19"/>
      <c r="G30" s="18">
        <v>5</v>
      </c>
    </row>
    <row r="32" spans="1:7" x14ac:dyDescent="0.3">
      <c r="A32" s="19" t="s">
        <v>50</v>
      </c>
      <c r="B32" s="19"/>
      <c r="C32" s="18" t="str">
        <f>IFERROR(IF(E25="Recommended",G30*G32,""),"")</f>
        <v/>
      </c>
      <c r="E32" s="19" t="s">
        <v>52</v>
      </c>
      <c r="F32" s="19"/>
      <c r="G32" s="18">
        <v>15</v>
      </c>
    </row>
    <row r="34" spans="1:8" x14ac:dyDescent="0.3">
      <c r="A34" s="161" t="str">
        <f>'Veichi Tech'!R51</f>
        <v>Rated power (Pmax), Wp</v>
      </c>
      <c r="B34" s="162"/>
      <c r="C34" s="18">
        <v>555</v>
      </c>
      <c r="E34" s="161" t="str">
        <f>'Veichi Tech'!R53</f>
        <v>Max. power voltage (Vmp)</v>
      </c>
      <c r="F34" s="162"/>
      <c r="G34" s="18">
        <v>43</v>
      </c>
    </row>
    <row r="36" spans="1:8" x14ac:dyDescent="0.3">
      <c r="A36" s="161" t="str">
        <f>'Veichi Tech'!R52</f>
        <v>Open circuit voltage (Voc)</v>
      </c>
      <c r="B36" s="162"/>
      <c r="C36" s="18">
        <v>49</v>
      </c>
      <c r="E36" s="161" t="s">
        <v>207</v>
      </c>
      <c r="F36" s="162"/>
      <c r="G36" s="18" t="str">
        <f>IF(G34="","",IF(E25="Recommended",'Veichi Tech'!S58,""))</f>
        <v/>
      </c>
    </row>
    <row r="38" spans="1:8" ht="31.2" x14ac:dyDescent="0.6">
      <c r="A38" s="98" t="s">
        <v>149</v>
      </c>
      <c r="B38" s="98"/>
      <c r="C38" s="98"/>
      <c r="D38" s="98"/>
      <c r="E38" s="98"/>
      <c r="F38" s="98"/>
      <c r="G38" s="98"/>
    </row>
    <row r="40" spans="1:8" x14ac:dyDescent="0.3">
      <c r="A40" s="28" t="s">
        <v>47</v>
      </c>
      <c r="B40" s="29"/>
      <c r="C40" s="165" t="s">
        <v>323</v>
      </c>
      <c r="D40" s="166"/>
      <c r="E40" s="19" t="s">
        <v>51</v>
      </c>
      <c r="F40" s="19"/>
      <c r="G40" s="93">
        <v>2</v>
      </c>
    </row>
    <row r="42" spans="1:8" ht="15" customHeight="1" x14ac:dyDescent="0.3">
      <c r="A42" s="19" t="s">
        <v>50</v>
      </c>
      <c r="B42" s="19"/>
      <c r="C42" s="18">
        <f>G40*G42</f>
        <v>28</v>
      </c>
      <c r="E42" s="19" t="s">
        <v>52</v>
      </c>
      <c r="F42" s="19"/>
      <c r="G42" s="93">
        <v>14</v>
      </c>
    </row>
    <row r="43" spans="1:8" ht="15" customHeight="1" x14ac:dyDescent="0.3"/>
    <row r="44" spans="1:8" x14ac:dyDescent="0.3">
      <c r="A44" s="28" t="s">
        <v>45</v>
      </c>
      <c r="B44" s="29"/>
      <c r="C44" s="93">
        <v>555</v>
      </c>
      <c r="E44" s="28" t="s">
        <v>3</v>
      </c>
      <c r="F44" s="29"/>
      <c r="G44" s="93">
        <v>40.33</v>
      </c>
    </row>
    <row r="46" spans="1:8" x14ac:dyDescent="0.3">
      <c r="A46" s="28" t="s">
        <v>4</v>
      </c>
      <c r="B46" s="29"/>
      <c r="C46" s="93">
        <v>49.72</v>
      </c>
      <c r="E46" s="28" t="s">
        <v>46</v>
      </c>
      <c r="F46" s="29"/>
      <c r="G46" s="93" t="s">
        <v>339</v>
      </c>
    </row>
    <row r="47" spans="1:8" x14ac:dyDescent="0.3">
      <c r="A47" s="163"/>
      <c r="B47" s="163"/>
      <c r="C47" s="163"/>
      <c r="D47" s="163"/>
      <c r="E47" s="163"/>
      <c r="F47" s="163"/>
      <c r="G47" s="163"/>
      <c r="H47" s="163"/>
    </row>
    <row r="48" spans="1:8" x14ac:dyDescent="0.3">
      <c r="A48" s="163"/>
      <c r="B48" s="163"/>
      <c r="C48" s="163"/>
      <c r="D48" s="163"/>
      <c r="E48" s="163"/>
      <c r="F48" s="163"/>
      <c r="G48" s="163"/>
      <c r="H48" s="163"/>
    </row>
    <row r="49" spans="1:35" ht="31.8" thickBot="1" x14ac:dyDescent="0.65">
      <c r="A49" s="167" t="s">
        <v>175</v>
      </c>
      <c r="B49" s="167"/>
      <c r="C49" s="167"/>
      <c r="D49" s="167"/>
      <c r="E49" s="167"/>
      <c r="F49" s="167"/>
      <c r="G49" s="167"/>
    </row>
    <row r="50" spans="1:35" x14ac:dyDescent="0.3">
      <c r="A50" s="99" t="str">
        <f>'Veichi Tech'!G67</f>
        <v>Drive Model</v>
      </c>
      <c r="B50" s="100" t="str">
        <f>'Veichi Tech'!I67</f>
        <v>Cedar SI30 D5 015G-H</v>
      </c>
      <c r="C50" s="101"/>
      <c r="E50" s="102" t="str">
        <f>'Veichi Tech'!J67</f>
        <v xml:space="preserve">Number of strings </v>
      </c>
      <c r="F50" s="103"/>
      <c r="G50" s="157">
        <f>'Veichi Tech'!K67</f>
        <v>2</v>
      </c>
      <c r="H50" s="158"/>
    </row>
    <row r="51" spans="1:35" x14ac:dyDescent="0.3">
      <c r="A51" s="164" t="str">
        <f>'Veichi Tech'!G68</f>
        <v>Total PV Watt</v>
      </c>
      <c r="B51" s="162"/>
      <c r="C51" s="104">
        <f>'Veichi Tech'!I68</f>
        <v>15540</v>
      </c>
      <c r="E51" s="105" t="str">
        <f>'Veichi Tech'!J68</f>
        <v xml:space="preserve">Panels per string </v>
      </c>
      <c r="F51" s="19"/>
      <c r="G51" s="168">
        <f>'Veichi Tech'!K68</f>
        <v>14</v>
      </c>
      <c r="H51" s="169"/>
    </row>
    <row r="52" spans="1:35" x14ac:dyDescent="0.3">
      <c r="A52" s="164" t="str">
        <f>'Veichi Tech'!G69</f>
        <v>Sizing Factor</v>
      </c>
      <c r="B52" s="162"/>
      <c r="C52" s="106">
        <f>'Veichi Tech'!I69</f>
        <v>1.036</v>
      </c>
      <c r="E52" s="159" t="str">
        <f>'Veichi Tech'!J69</f>
        <v>Total Number of Panels</v>
      </c>
      <c r="F52" s="160"/>
      <c r="G52" s="168">
        <f>'Veichi Tech'!K69</f>
        <v>28</v>
      </c>
      <c r="H52" s="169"/>
    </row>
    <row r="53" spans="1:35" ht="15" thickBot="1" x14ac:dyDescent="0.35">
      <c r="A53" s="164" t="str">
        <f>'Veichi Tech'!G70</f>
        <v>Drive Rated Output (A)</v>
      </c>
      <c r="B53" s="162"/>
      <c r="C53" s="106">
        <f>'Veichi Tech'!I70</f>
        <v>32</v>
      </c>
      <c r="E53" s="155" t="str">
        <f>'Veichi Tech'!J70</f>
        <v>System Voc</v>
      </c>
      <c r="F53" s="156"/>
      <c r="G53" s="186">
        <f>'Veichi Tech'!K70</f>
        <v>696.07999999999993</v>
      </c>
      <c r="H53" s="187"/>
    </row>
    <row r="54" spans="1:35" x14ac:dyDescent="0.3">
      <c r="A54" s="164" t="str">
        <f>'Veichi Tech'!G71</f>
        <v xml:space="preserve">IP Rating </v>
      </c>
      <c r="B54" s="162"/>
      <c r="C54" s="106" t="str">
        <f>'Veichi Tech'!I71</f>
        <v>IP65</v>
      </c>
    </row>
    <row r="55" spans="1:35" x14ac:dyDescent="0.3">
      <c r="A55" s="164" t="str">
        <f>'Veichi Tech'!G72</f>
        <v>Max DC Voltage Input</v>
      </c>
      <c r="B55" s="162"/>
      <c r="C55" s="106">
        <f>'Veichi Tech'!I72</f>
        <v>850</v>
      </c>
    </row>
    <row r="56" spans="1:35" ht="15" thickBot="1" x14ac:dyDescent="0.35">
      <c r="A56" s="183" t="str">
        <f>'Veichi Tech'!G73</f>
        <v>Drive AC Voltage Output</v>
      </c>
      <c r="B56" s="184"/>
      <c r="C56" s="107">
        <f>'Veichi Tech'!I73</f>
        <v>380</v>
      </c>
    </row>
    <row r="57" spans="1:35" ht="15" thickBot="1" x14ac:dyDescent="0.35">
      <c r="A57" s="185" t="s">
        <v>236</v>
      </c>
      <c r="B57" s="185"/>
    </row>
    <row r="58" spans="1:35" x14ac:dyDescent="0.3">
      <c r="A58" s="181" t="s">
        <v>286</v>
      </c>
      <c r="B58" s="182"/>
      <c r="C58" s="127">
        <v>2.6</v>
      </c>
    </row>
    <row r="59" spans="1:35" x14ac:dyDescent="0.3">
      <c r="A59" s="159" t="s">
        <v>298</v>
      </c>
      <c r="B59" s="160"/>
      <c r="C59" s="108" t="s">
        <v>228</v>
      </c>
    </row>
    <row r="60" spans="1:35" x14ac:dyDescent="0.3">
      <c r="A60" s="159" t="s">
        <v>180</v>
      </c>
      <c r="B60" s="160"/>
      <c r="C60" s="126">
        <v>3500</v>
      </c>
      <c r="J60" s="9">
        <f>G21*8*30</f>
        <v>3600</v>
      </c>
    </row>
    <row r="61" spans="1:35" x14ac:dyDescent="0.3">
      <c r="A61" s="159" t="s">
        <v>181</v>
      </c>
      <c r="B61" s="160"/>
      <c r="C61" s="126">
        <v>6000</v>
      </c>
    </row>
    <row r="62" spans="1:35" x14ac:dyDescent="0.3">
      <c r="A62" s="159" t="s">
        <v>182</v>
      </c>
      <c r="B62" s="160"/>
      <c r="C62" s="126">
        <v>2000</v>
      </c>
      <c r="AF62" s="9" t="s">
        <v>294</v>
      </c>
      <c r="AG62" s="9">
        <v>31</v>
      </c>
      <c r="AI62" s="9">
        <f>$G$21*10*AG62</f>
        <v>4650</v>
      </c>
    </row>
    <row r="63" spans="1:35" x14ac:dyDescent="0.3">
      <c r="A63" s="159" t="s">
        <v>183</v>
      </c>
      <c r="B63" s="160"/>
      <c r="C63" s="126">
        <v>1000</v>
      </c>
      <c r="AF63" s="9" t="s">
        <v>295</v>
      </c>
      <c r="AG63" s="9">
        <v>28</v>
      </c>
      <c r="AI63" s="9">
        <f t="shared" ref="AI63:AI73" si="0">$G$21*10*AG63</f>
        <v>4200</v>
      </c>
    </row>
    <row r="64" spans="1:35" x14ac:dyDescent="0.3">
      <c r="A64" s="159" t="s">
        <v>184</v>
      </c>
      <c r="B64" s="160"/>
      <c r="C64" s="126">
        <v>0</v>
      </c>
      <c r="AF64" s="9" t="s">
        <v>198</v>
      </c>
      <c r="AG64" s="9">
        <v>31</v>
      </c>
      <c r="AI64" s="9">
        <f t="shared" si="0"/>
        <v>4650</v>
      </c>
    </row>
    <row r="65" spans="1:35" x14ac:dyDescent="0.3">
      <c r="A65" s="159" t="s">
        <v>185</v>
      </c>
      <c r="B65" s="160"/>
      <c r="C65" s="126">
        <v>100</v>
      </c>
      <c r="AF65" s="9" t="s">
        <v>199</v>
      </c>
      <c r="AG65" s="9">
        <v>30</v>
      </c>
      <c r="AI65" s="9">
        <f t="shared" si="0"/>
        <v>4500</v>
      </c>
    </row>
    <row r="66" spans="1:35" x14ac:dyDescent="0.3">
      <c r="A66" s="159" t="s">
        <v>186</v>
      </c>
      <c r="B66" s="160"/>
      <c r="C66" s="126">
        <v>930</v>
      </c>
      <c r="AF66" s="9" t="s">
        <v>184</v>
      </c>
      <c r="AG66" s="9">
        <v>31</v>
      </c>
      <c r="AI66" s="9">
        <f t="shared" si="0"/>
        <v>4650</v>
      </c>
    </row>
    <row r="67" spans="1:35" x14ac:dyDescent="0.3">
      <c r="A67" s="159" t="s">
        <v>187</v>
      </c>
      <c r="B67" s="160"/>
      <c r="C67" s="126">
        <v>1500</v>
      </c>
      <c r="AF67" s="9" t="s">
        <v>200</v>
      </c>
      <c r="AG67" s="9">
        <v>30</v>
      </c>
      <c r="AI67" s="9">
        <f t="shared" si="0"/>
        <v>4500</v>
      </c>
    </row>
    <row r="68" spans="1:35" x14ac:dyDescent="0.3">
      <c r="A68" s="159" t="s">
        <v>188</v>
      </c>
      <c r="B68" s="160"/>
      <c r="C68" s="126">
        <v>5000</v>
      </c>
      <c r="AF68" s="9" t="s">
        <v>201</v>
      </c>
      <c r="AG68" s="9">
        <v>31</v>
      </c>
      <c r="AI68" s="9">
        <f t="shared" si="0"/>
        <v>4650</v>
      </c>
    </row>
    <row r="69" spans="1:35" x14ac:dyDescent="0.3">
      <c r="A69" s="159" t="s">
        <v>189</v>
      </c>
      <c r="B69" s="160"/>
      <c r="C69" s="126">
        <v>5500</v>
      </c>
      <c r="AF69" s="9" t="s">
        <v>202</v>
      </c>
      <c r="AG69" s="9">
        <v>31</v>
      </c>
      <c r="AI69" s="9">
        <f t="shared" si="0"/>
        <v>4650</v>
      </c>
    </row>
    <row r="70" spans="1:35" x14ac:dyDescent="0.3">
      <c r="A70" s="159" t="s">
        <v>190</v>
      </c>
      <c r="B70" s="160"/>
      <c r="C70" s="126">
        <v>6500</v>
      </c>
      <c r="AF70" s="9" t="s">
        <v>203</v>
      </c>
      <c r="AG70" s="9">
        <v>30</v>
      </c>
      <c r="AI70" s="9">
        <f t="shared" si="0"/>
        <v>4500</v>
      </c>
    </row>
    <row r="71" spans="1:35" ht="15" thickBot="1" x14ac:dyDescent="0.35">
      <c r="A71" s="155" t="s">
        <v>191</v>
      </c>
      <c r="B71" s="156"/>
      <c r="C71" s="126">
        <v>8000</v>
      </c>
      <c r="AF71" s="9" t="s">
        <v>204</v>
      </c>
      <c r="AG71" s="9">
        <v>31</v>
      </c>
      <c r="AI71" s="9">
        <f t="shared" si="0"/>
        <v>4650</v>
      </c>
    </row>
    <row r="72" spans="1:35" ht="15" thickBot="1" x14ac:dyDescent="0.35">
      <c r="A72" s="109" t="s">
        <v>284</v>
      </c>
      <c r="AF72" s="9" t="s">
        <v>205</v>
      </c>
      <c r="AG72" s="9">
        <v>30</v>
      </c>
      <c r="AI72" s="9">
        <f t="shared" si="0"/>
        <v>4500</v>
      </c>
    </row>
    <row r="73" spans="1:35" ht="15" thickBot="1" x14ac:dyDescent="0.35">
      <c r="A73" s="147" t="s">
        <v>283</v>
      </c>
      <c r="B73" s="148"/>
      <c r="C73" s="94">
        <v>0.27</v>
      </c>
      <c r="AF73" s="9" t="s">
        <v>206</v>
      </c>
      <c r="AG73" s="9">
        <v>31</v>
      </c>
      <c r="AI73" s="9">
        <f t="shared" si="0"/>
        <v>4650</v>
      </c>
    </row>
    <row r="74" spans="1:35" x14ac:dyDescent="0.3">
      <c r="A74" s="145" t="s">
        <v>247</v>
      </c>
      <c r="B74" s="146"/>
      <c r="C74" s="151">
        <v>180000</v>
      </c>
      <c r="J74" s="153">
        <f>C74*0.9</f>
        <v>162000</v>
      </c>
    </row>
    <row r="75" spans="1:35" x14ac:dyDescent="0.3">
      <c r="A75" s="145" t="s">
        <v>248</v>
      </c>
      <c r="B75" s="146"/>
      <c r="C75" s="96">
        <v>0.1</v>
      </c>
    </row>
    <row r="76" spans="1:35" x14ac:dyDescent="0.3">
      <c r="A76" s="145" t="s">
        <v>249</v>
      </c>
      <c r="B76" s="146"/>
      <c r="C76" s="95">
        <v>10</v>
      </c>
    </row>
    <row r="77" spans="1:35" x14ac:dyDescent="0.3">
      <c r="A77" s="145" t="s">
        <v>250</v>
      </c>
      <c r="B77" s="146"/>
      <c r="C77" s="97">
        <v>0.12</v>
      </c>
    </row>
    <row r="78" spans="1:35" x14ac:dyDescent="0.3">
      <c r="A78" s="145" t="s">
        <v>287</v>
      </c>
      <c r="B78" s="146"/>
      <c r="C78" s="97">
        <v>0.14000000000000001</v>
      </c>
    </row>
    <row r="79" spans="1:35" x14ac:dyDescent="0.3">
      <c r="A79" s="149" t="s">
        <v>288</v>
      </c>
      <c r="B79" s="150"/>
      <c r="C79" s="141">
        <v>0.06</v>
      </c>
    </row>
    <row r="80" spans="1:35" x14ac:dyDescent="0.3">
      <c r="A80" s="160" t="s">
        <v>300</v>
      </c>
      <c r="B80" s="160"/>
      <c r="C80" s="142">
        <v>0.05</v>
      </c>
    </row>
    <row r="81" spans="1:3" x14ac:dyDescent="0.3">
      <c r="A81" s="160" t="s">
        <v>338</v>
      </c>
      <c r="B81" s="160"/>
      <c r="C81" s="142">
        <v>0.2</v>
      </c>
    </row>
    <row r="99" spans="1:27" ht="15" thickBot="1" x14ac:dyDescent="0.35">
      <c r="J99" s="152"/>
      <c r="K99" s="152"/>
    </row>
    <row r="100" spans="1:27" ht="16.2" thickBot="1" x14ac:dyDescent="0.35">
      <c r="A100" s="189" t="s">
        <v>289</v>
      </c>
      <c r="B100" s="190"/>
      <c r="C100" s="190"/>
      <c r="D100" s="190"/>
      <c r="E100" s="190"/>
      <c r="F100" s="190"/>
      <c r="G100" s="191"/>
    </row>
    <row r="101" spans="1:27" x14ac:dyDescent="0.3">
      <c r="A101" s="110" t="s">
        <v>254</v>
      </c>
      <c r="B101" s="111" t="s">
        <v>255</v>
      </c>
      <c r="C101" s="111" t="s">
        <v>256</v>
      </c>
      <c r="D101" s="111" t="s">
        <v>257</v>
      </c>
      <c r="E101" s="111" t="s">
        <v>258</v>
      </c>
      <c r="F101" s="111" t="s">
        <v>259</v>
      </c>
      <c r="G101" s="112" t="s">
        <v>260</v>
      </c>
    </row>
    <row r="102" spans="1:27" ht="15" thickBot="1" x14ac:dyDescent="0.35">
      <c r="A102" s="113"/>
      <c r="B102" s="114" t="s">
        <v>261</v>
      </c>
      <c r="C102" s="114" t="s">
        <v>262</v>
      </c>
      <c r="D102" s="114" t="s">
        <v>262</v>
      </c>
      <c r="E102" s="114" t="s">
        <v>263</v>
      </c>
      <c r="F102" s="114" t="s">
        <v>264</v>
      </c>
      <c r="G102" s="115" t="s">
        <v>264</v>
      </c>
      <c r="N102" s="18" t="s">
        <v>305</v>
      </c>
      <c r="O102" s="18" t="s">
        <v>306</v>
      </c>
      <c r="P102" s="18" t="s">
        <v>307</v>
      </c>
      <c r="Q102" s="18" t="s">
        <v>308</v>
      </c>
      <c r="R102" s="18" t="s">
        <v>299</v>
      </c>
      <c r="S102" s="39"/>
    </row>
    <row r="103" spans="1:27" x14ac:dyDescent="0.3">
      <c r="A103" s="83" t="s">
        <v>268</v>
      </c>
      <c r="B103" s="116">
        <f>'Irrigation Technical  '!AD15</f>
        <v>-45890.752369462985</v>
      </c>
      <c r="C103" s="116">
        <f>'Irrigation Technical  '!AE15</f>
        <v>41239.314824158428</v>
      </c>
      <c r="D103" s="116">
        <f>'Irrigation Technical  '!AF15</f>
        <v>48600</v>
      </c>
      <c r="E103" s="116">
        <f>'Irrigation Technical  '!AG15</f>
        <v>89839.314824158428</v>
      </c>
      <c r="F103" s="116">
        <f>'Irrigation Technical  '!AH15</f>
        <v>43948.562454695442</v>
      </c>
      <c r="G103" s="117">
        <f>'Irrigation Technical  '!AI15</f>
        <v>43948.562454695442</v>
      </c>
      <c r="L103" s="131">
        <f t="shared" ref="L103:L117" si="1">-1*G103/-$C$74</f>
        <v>0.24415868030386356</v>
      </c>
      <c r="M103" s="38" t="str">
        <f t="shared" ref="M103:M117" si="2">A103</f>
        <v>Year 1</v>
      </c>
      <c r="N103" s="136">
        <f>SUM(O103:O112)</f>
        <v>-296907.52369462984</v>
      </c>
      <c r="O103" s="136">
        <f>B103</f>
        <v>-45890.752369462985</v>
      </c>
      <c r="P103" s="136">
        <f>E103</f>
        <v>89839.314824158428</v>
      </c>
      <c r="Q103" s="136">
        <f>N103+P103</f>
        <v>-207068.2088704714</v>
      </c>
      <c r="R103" s="137">
        <f>IFERROR(O103/'Irrigation Technical  '!$K$17*-1,0)</f>
        <v>1.1127913391659867</v>
      </c>
      <c r="S103" s="39" t="s">
        <v>309</v>
      </c>
      <c r="U103" s="140"/>
      <c r="V103" s="140"/>
      <c r="W103" s="140"/>
      <c r="X103" s="140"/>
      <c r="Y103" s="140"/>
      <c r="Z103" s="140"/>
      <c r="AA103" s="140"/>
    </row>
    <row r="104" spans="1:27" x14ac:dyDescent="0.3">
      <c r="A104" s="118" t="s">
        <v>269</v>
      </c>
      <c r="B104" s="66">
        <f>'Irrigation Technical  '!AD16</f>
        <v>-27890.752369462982</v>
      </c>
      <c r="C104" s="66">
        <f>'Irrigation Technical  '!AE16</f>
        <v>47012.818899540616</v>
      </c>
      <c r="D104" s="66"/>
      <c r="E104" s="66">
        <f>'Irrigation Technical  '!AG16</f>
        <v>47012.818899540616</v>
      </c>
      <c r="F104" s="66">
        <f>'Irrigation Technical  '!AH16</f>
        <v>19122.066530077635</v>
      </c>
      <c r="G104" s="119">
        <f>'Irrigation Technical  '!AI16</f>
        <v>63070.62898477308</v>
      </c>
      <c r="L104" s="131">
        <f t="shared" si="1"/>
        <v>0.35039238324873934</v>
      </c>
      <c r="M104" s="18" t="str">
        <f t="shared" si="2"/>
        <v>Year 2</v>
      </c>
      <c r="O104" s="136">
        <f t="shared" ref="O104:O117" si="3">B104</f>
        <v>-27890.752369462982</v>
      </c>
      <c r="P104" s="136">
        <f t="shared" ref="P104:P117" si="4">E104</f>
        <v>47012.818899540616</v>
      </c>
      <c r="Q104" s="136">
        <f>Q103+P104</f>
        <v>-160055.38997093079</v>
      </c>
      <c r="R104" s="137">
        <f>IFERROR(O104/'Irrigation Technical  '!$K$17*-1,0)</f>
        <v>0.67631464025014021</v>
      </c>
      <c r="S104" s="39" t="s">
        <v>310</v>
      </c>
      <c r="T104" s="18" cm="1">
        <f t="array" ref="T104">INDEX(M103:Q117,D120,5)</f>
        <v>-45362.916983611482</v>
      </c>
      <c r="U104" s="140"/>
      <c r="V104" s="140"/>
      <c r="W104" s="140"/>
      <c r="X104" s="140"/>
      <c r="Y104" s="140"/>
      <c r="Z104" s="140"/>
      <c r="AA104" s="140"/>
    </row>
    <row r="105" spans="1:27" x14ac:dyDescent="0.3">
      <c r="A105" s="118" t="s">
        <v>270</v>
      </c>
      <c r="B105" s="66">
        <f>'Irrigation Technical  '!AD17</f>
        <v>-27890.752369462982</v>
      </c>
      <c r="C105" s="66">
        <f>'Irrigation Technical  '!AE17</f>
        <v>53594.613545476306</v>
      </c>
      <c r="D105" s="66"/>
      <c r="E105" s="66">
        <f>'Irrigation Technical  '!AG17</f>
        <v>53594.613545476306</v>
      </c>
      <c r="F105" s="66">
        <f>'Irrigation Technical  '!AH17</f>
        <v>25703.861176013324</v>
      </c>
      <c r="G105" s="119">
        <f>'Irrigation Technical  '!AI17</f>
        <v>88774.490160786401</v>
      </c>
      <c r="L105" s="131">
        <f t="shared" si="1"/>
        <v>0.4931916120043689</v>
      </c>
      <c r="M105" s="18" t="str">
        <f t="shared" si="2"/>
        <v>Year 3</v>
      </c>
      <c r="O105" s="136">
        <f t="shared" si="3"/>
        <v>-27890.752369462982</v>
      </c>
      <c r="P105" s="136">
        <f t="shared" si="4"/>
        <v>53594.613545476306</v>
      </c>
      <c r="Q105" s="136">
        <f t="shared" ref="Q105:Q117" si="5">Q104+P105</f>
        <v>-106460.77642545447</v>
      </c>
      <c r="R105" s="137">
        <f>IFERROR(O105/'Irrigation Technical  '!$K$17*-1,0)</f>
        <v>0.67631464025014021</v>
      </c>
      <c r="S105" s="39" t="s">
        <v>311</v>
      </c>
      <c r="T105" s="18" cm="1">
        <f t="array" ref="T105">ABS(INDEX(M103:Q117,D120+1,5))</f>
        <v>24288.64278008954</v>
      </c>
      <c r="U105" s="140"/>
      <c r="V105" s="140"/>
      <c r="W105" s="140"/>
      <c r="X105" s="140"/>
      <c r="Y105" s="140"/>
      <c r="Z105" s="140"/>
      <c r="AA105" s="140"/>
    </row>
    <row r="106" spans="1:27" x14ac:dyDescent="0.3">
      <c r="A106" s="118" t="s">
        <v>271</v>
      </c>
      <c r="B106" s="66">
        <f>'Irrigation Technical  '!AD18</f>
        <v>-27890.752369462982</v>
      </c>
      <c r="C106" s="66">
        <f>'Irrigation Technical  '!AE18</f>
        <v>61097.859441842993</v>
      </c>
      <c r="D106" s="66"/>
      <c r="E106" s="66">
        <f>'Irrigation Technical  '!AG18</f>
        <v>61097.859441842993</v>
      </c>
      <c r="F106" s="66">
        <f>'Irrigation Technical  '!AH18</f>
        <v>33207.107072380008</v>
      </c>
      <c r="G106" s="119">
        <f>'Irrigation Technical  '!AI18</f>
        <v>121981.59723316641</v>
      </c>
      <c r="L106" s="131">
        <f t="shared" si="1"/>
        <v>0.6776755401842578</v>
      </c>
      <c r="M106" s="18" t="str">
        <f t="shared" si="2"/>
        <v>Year 4</v>
      </c>
      <c r="O106" s="136">
        <f t="shared" si="3"/>
        <v>-27890.752369462982</v>
      </c>
      <c r="P106" s="136">
        <f t="shared" si="4"/>
        <v>61097.859441842993</v>
      </c>
      <c r="Q106" s="136">
        <f t="shared" si="5"/>
        <v>-45362.916983611482</v>
      </c>
      <c r="R106" s="137">
        <f>IFERROR(O106/'Irrigation Technical  '!$K$17*-1,0)</f>
        <v>0.67631464025014021</v>
      </c>
      <c r="S106" s="39" t="s">
        <v>312</v>
      </c>
      <c r="T106" s="18">
        <f>T105+(-1*T104)</f>
        <v>69651.559763701021</v>
      </c>
      <c r="U106" s="140"/>
      <c r="V106" s="140"/>
      <c r="W106" s="140"/>
      <c r="X106" s="140"/>
      <c r="Y106" s="140"/>
      <c r="Z106" s="140"/>
      <c r="AA106" s="140"/>
    </row>
    <row r="107" spans="1:27" x14ac:dyDescent="0.3">
      <c r="A107" s="118" t="s">
        <v>272</v>
      </c>
      <c r="B107" s="66">
        <f>'Irrigation Technical  '!AD19</f>
        <v>-27890.752369462982</v>
      </c>
      <c r="C107" s="66">
        <f>'Irrigation Technical  '!AE19</f>
        <v>69651.559763701021</v>
      </c>
      <c r="D107" s="66"/>
      <c r="E107" s="66">
        <f>'Irrigation Technical  '!AG19</f>
        <v>69651.559763701021</v>
      </c>
      <c r="F107" s="66">
        <f>'Irrigation Technical  '!AH19</f>
        <v>41760.807394238043</v>
      </c>
      <c r="G107" s="119">
        <f>'Irrigation Technical  '!AI19</f>
        <v>163742.40462740447</v>
      </c>
      <c r="L107" s="131">
        <f t="shared" si="1"/>
        <v>0.9096800257078026</v>
      </c>
      <c r="M107" s="18" t="str">
        <f t="shared" si="2"/>
        <v>Year 5</v>
      </c>
      <c r="O107" s="136">
        <f t="shared" si="3"/>
        <v>-27890.752369462982</v>
      </c>
      <c r="P107" s="136">
        <f t="shared" si="4"/>
        <v>69651.559763701021</v>
      </c>
      <c r="Q107" s="136">
        <f t="shared" si="5"/>
        <v>24288.64278008954</v>
      </c>
      <c r="R107" s="137">
        <f>IFERROR(O107/'Irrigation Technical  '!$K$17*-1,0)</f>
        <v>0.67631464025014021</v>
      </c>
      <c r="S107" s="39" t="s">
        <v>313</v>
      </c>
      <c r="T107" s="18">
        <f>ROUNDUP((1-(T105/T106))*12,0)</f>
        <v>8</v>
      </c>
      <c r="U107" s="140"/>
      <c r="V107" s="140"/>
      <c r="W107" s="140"/>
      <c r="X107" s="140"/>
      <c r="Y107" s="140"/>
      <c r="Z107" s="140"/>
      <c r="AA107" s="140"/>
    </row>
    <row r="108" spans="1:27" x14ac:dyDescent="0.3">
      <c r="A108" s="118" t="s">
        <v>273</v>
      </c>
      <c r="B108" s="66">
        <f>'Irrigation Technical  '!AD20</f>
        <v>-27890.752369462982</v>
      </c>
      <c r="C108" s="66">
        <f>'Irrigation Technical  '!AE20</f>
        <v>75223.684544797114</v>
      </c>
      <c r="D108" s="66"/>
      <c r="E108" s="66">
        <f>'Irrigation Technical  '!AG20</f>
        <v>75223.684544797114</v>
      </c>
      <c r="F108" s="66">
        <f>'Irrigation Technical  '!AH20</f>
        <v>47332.932175334136</v>
      </c>
      <c r="G108" s="119">
        <f>'Irrigation Technical  '!AI20</f>
        <v>211075.3368027386</v>
      </c>
      <c r="L108" s="131">
        <f t="shared" si="1"/>
        <v>1.1726407600152144</v>
      </c>
      <c r="M108" s="18" t="str">
        <f t="shared" si="2"/>
        <v>Year 6</v>
      </c>
      <c r="O108" s="136">
        <f t="shared" si="3"/>
        <v>-27890.752369462982</v>
      </c>
      <c r="P108" s="136">
        <f t="shared" si="4"/>
        <v>75223.684544797114</v>
      </c>
      <c r="Q108" s="136">
        <f t="shared" si="5"/>
        <v>99512.327324886661</v>
      </c>
      <c r="R108" s="137">
        <f>IFERROR(O108/'Irrigation Technical  '!$K$17*-1,0)</f>
        <v>0.67631464025014021</v>
      </c>
      <c r="U108" s="140"/>
      <c r="V108" s="140"/>
      <c r="W108" s="140"/>
      <c r="X108" s="140"/>
      <c r="Y108" s="140"/>
      <c r="Z108" s="140"/>
      <c r="AA108" s="140"/>
    </row>
    <row r="109" spans="1:27" x14ac:dyDescent="0.3">
      <c r="A109" s="118" t="s">
        <v>274</v>
      </c>
      <c r="B109" s="66">
        <f>'Irrigation Technical  '!AD21</f>
        <v>-27890.752369462982</v>
      </c>
      <c r="C109" s="66">
        <f>'Irrigation Technical  '!AE21</f>
        <v>81241.579308380882</v>
      </c>
      <c r="D109" s="66"/>
      <c r="E109" s="66">
        <f>'Irrigation Technical  '!AG21</f>
        <v>81241.579308380882</v>
      </c>
      <c r="F109" s="66">
        <f>'Irrigation Technical  '!AH21</f>
        <v>53350.826938917904</v>
      </c>
      <c r="G109" s="119">
        <f>'Irrigation Technical  '!AI21</f>
        <v>264426.16374165652</v>
      </c>
      <c r="L109" s="131">
        <f t="shared" si="1"/>
        <v>1.4690342430092029</v>
      </c>
      <c r="M109" s="18" t="str">
        <f t="shared" si="2"/>
        <v>Year 7</v>
      </c>
      <c r="O109" s="136">
        <f t="shared" si="3"/>
        <v>-27890.752369462982</v>
      </c>
      <c r="P109" s="136">
        <f t="shared" si="4"/>
        <v>81241.579308380882</v>
      </c>
      <c r="Q109" s="136">
        <f t="shared" si="5"/>
        <v>180753.90663326753</v>
      </c>
      <c r="R109" s="137">
        <f>IFERROR(O109/'Irrigation Technical  '!$K$17*-1,0)</f>
        <v>0.67631464025014021</v>
      </c>
      <c r="U109" s="140"/>
      <c r="V109" s="140"/>
      <c r="W109" s="140"/>
      <c r="X109" s="140"/>
      <c r="Y109" s="140"/>
      <c r="Z109" s="140"/>
      <c r="AA109" s="140"/>
    </row>
    <row r="110" spans="1:27" x14ac:dyDescent="0.3">
      <c r="A110" s="118" t="s">
        <v>275</v>
      </c>
      <c r="B110" s="66">
        <f>'Irrigation Technical  '!AD22</f>
        <v>-27890.752369462982</v>
      </c>
      <c r="C110" s="66">
        <f>'Irrigation Technical  '!AE22</f>
        <v>87740.905653051363</v>
      </c>
      <c r="D110" s="66"/>
      <c r="E110" s="66">
        <f>'Irrigation Technical  '!AG22</f>
        <v>87740.905653051363</v>
      </c>
      <c r="F110" s="66">
        <f>'Irrigation Technical  '!AH22</f>
        <v>59850.153283588385</v>
      </c>
      <c r="G110" s="119">
        <f>'Irrigation Technical  '!AI22</f>
        <v>324276.31702524493</v>
      </c>
      <c r="L110" s="131">
        <f t="shared" si="1"/>
        <v>1.8015350945846942</v>
      </c>
      <c r="M110" s="18" t="str">
        <f t="shared" si="2"/>
        <v>Year 8</v>
      </c>
      <c r="O110" s="136">
        <f t="shared" si="3"/>
        <v>-27890.752369462982</v>
      </c>
      <c r="P110" s="136">
        <f t="shared" si="4"/>
        <v>87740.905653051363</v>
      </c>
      <c r="Q110" s="136">
        <f t="shared" si="5"/>
        <v>268494.81228631886</v>
      </c>
      <c r="R110" s="137">
        <f>IFERROR(O110/'Irrigation Technical  '!$K$17*-1,0)</f>
        <v>0.67631464025014021</v>
      </c>
      <c r="U110" s="140"/>
      <c r="V110" s="140"/>
      <c r="W110" s="140"/>
      <c r="X110" s="140"/>
      <c r="Y110" s="140"/>
      <c r="Z110" s="140"/>
      <c r="AA110" s="140"/>
    </row>
    <row r="111" spans="1:27" x14ac:dyDescent="0.3">
      <c r="A111" s="118" t="s">
        <v>276</v>
      </c>
      <c r="B111" s="66">
        <f>'Irrigation Technical  '!AD23</f>
        <v>-27890.752369462982</v>
      </c>
      <c r="C111" s="66">
        <f>'Irrigation Technical  '!AE23</f>
        <v>94760.178105295476</v>
      </c>
      <c r="D111" s="66"/>
      <c r="E111" s="66">
        <f>'Irrigation Technical  '!AG23</f>
        <v>94760.178105295476</v>
      </c>
      <c r="F111" s="66">
        <f>'Irrigation Technical  '!AH23</f>
        <v>66869.425735832498</v>
      </c>
      <c r="G111" s="119">
        <f>'Irrigation Technical  '!AI23</f>
        <v>391145.74276107742</v>
      </c>
      <c r="L111" s="131">
        <f t="shared" si="1"/>
        <v>2.1730319042282078</v>
      </c>
      <c r="M111" s="18" t="str">
        <f t="shared" si="2"/>
        <v>Year 9</v>
      </c>
      <c r="O111" s="136">
        <f t="shared" si="3"/>
        <v>-27890.752369462982</v>
      </c>
      <c r="P111" s="136">
        <f t="shared" si="4"/>
        <v>94760.178105295476</v>
      </c>
      <c r="Q111" s="136">
        <f t="shared" si="5"/>
        <v>363254.99039161432</v>
      </c>
      <c r="R111" s="137">
        <f>IFERROR(O111/'Irrigation Technical  '!$K$17*-1,0)</f>
        <v>0.67631464025014021</v>
      </c>
      <c r="U111" s="140"/>
      <c r="V111" s="140"/>
      <c r="W111" s="140"/>
      <c r="X111" s="140"/>
      <c r="Y111" s="140"/>
      <c r="Z111" s="140"/>
      <c r="AA111" s="140"/>
    </row>
    <row r="112" spans="1:27" x14ac:dyDescent="0.3">
      <c r="A112" s="118" t="s">
        <v>277</v>
      </c>
      <c r="B112" s="66">
        <f>'Irrigation Technical  '!AD24</f>
        <v>-27890.752369462982</v>
      </c>
      <c r="C112" s="66">
        <f>'Irrigation Technical  '!AE24</f>
        <v>102340.99235371912</v>
      </c>
      <c r="D112" s="66"/>
      <c r="E112" s="66">
        <f>'Irrigation Technical  '!AG24</f>
        <v>102340.99235371912</v>
      </c>
      <c r="F112" s="66">
        <f>'Irrigation Technical  '!AH24</f>
        <v>74450.239984256143</v>
      </c>
      <c r="G112" s="119">
        <f>'Irrigation Technical  '!AI24</f>
        <v>465595.98274533357</v>
      </c>
      <c r="L112" s="131">
        <f t="shared" si="1"/>
        <v>2.5866443485851867</v>
      </c>
      <c r="M112" s="18" t="str">
        <f t="shared" si="2"/>
        <v>Year 10</v>
      </c>
      <c r="O112" s="136">
        <f t="shared" si="3"/>
        <v>-27890.752369462982</v>
      </c>
      <c r="P112" s="136">
        <f t="shared" si="4"/>
        <v>102340.99235371912</v>
      </c>
      <c r="Q112" s="136">
        <f t="shared" si="5"/>
        <v>465595.98274533346</v>
      </c>
      <c r="R112" s="137">
        <f>IFERROR(O112/'Irrigation Technical  '!$K$17*-1,0)</f>
        <v>0.67631464025014021</v>
      </c>
      <c r="U112" s="140"/>
      <c r="V112" s="140"/>
      <c r="W112" s="140"/>
      <c r="X112" s="140"/>
      <c r="Y112" s="140"/>
      <c r="Z112" s="140"/>
      <c r="AA112" s="140"/>
    </row>
    <row r="113" spans="1:27" x14ac:dyDescent="0.3">
      <c r="A113" s="118" t="s">
        <v>278</v>
      </c>
      <c r="B113" s="66" t="str">
        <f>'Irrigation Technical  '!AD25</f>
        <v xml:space="preserve"> </v>
      </c>
      <c r="C113" s="66">
        <f>'Irrigation Technical  '!AE25</f>
        <v>110528.27174201666</v>
      </c>
      <c r="D113" s="66"/>
      <c r="E113" s="66">
        <f>'Irrigation Technical  '!AG25</f>
        <v>110528.27174201666</v>
      </c>
      <c r="F113" s="66">
        <f>'Irrigation Technical  '!AH25</f>
        <v>110528.27174201666</v>
      </c>
      <c r="G113" s="119">
        <f>'Irrigation Technical  '!AI25</f>
        <v>576124.25448735023</v>
      </c>
      <c r="L113" s="131">
        <f t="shared" si="1"/>
        <v>3.2006903027075011</v>
      </c>
      <c r="M113" s="18" t="str">
        <f t="shared" si="2"/>
        <v>Year 11</v>
      </c>
      <c r="O113" s="136" t="str">
        <f t="shared" si="3"/>
        <v xml:space="preserve"> </v>
      </c>
      <c r="P113" s="136">
        <f t="shared" si="4"/>
        <v>110528.27174201666</v>
      </c>
      <c r="Q113" s="136">
        <f t="shared" si="5"/>
        <v>576124.25448735012</v>
      </c>
      <c r="R113" s="137">
        <f>IFERROR(O113/'Irrigation Technical  '!$K$17*-1,0)</f>
        <v>0</v>
      </c>
      <c r="U113" s="140"/>
      <c r="V113" s="140"/>
      <c r="W113" s="140"/>
      <c r="X113" s="140"/>
      <c r="Y113" s="140"/>
      <c r="Z113" s="140"/>
      <c r="AA113" s="140"/>
    </row>
    <row r="114" spans="1:27" x14ac:dyDescent="0.3">
      <c r="A114" s="118" t="s">
        <v>279</v>
      </c>
      <c r="B114" s="66" t="str">
        <f>'Irrigation Technical  '!AD26</f>
        <v xml:space="preserve"> </v>
      </c>
      <c r="C114" s="66">
        <f>'Irrigation Technical  '!AE26</f>
        <v>119370.53348137801</v>
      </c>
      <c r="D114" s="66"/>
      <c r="E114" s="66">
        <f>'Irrigation Technical  '!AG26</f>
        <v>119370.53348137801</v>
      </c>
      <c r="F114" s="66">
        <f>'Irrigation Technical  '!AH26</f>
        <v>119370.53348137801</v>
      </c>
      <c r="G114" s="119">
        <f>'Irrigation Technical  '!AI26</f>
        <v>695494.78796872823</v>
      </c>
      <c r="L114" s="131">
        <f t="shared" si="1"/>
        <v>3.8638599331596013</v>
      </c>
      <c r="M114" s="18" t="str">
        <f t="shared" si="2"/>
        <v>Year 12</v>
      </c>
      <c r="O114" s="136" t="str">
        <f t="shared" si="3"/>
        <v xml:space="preserve"> </v>
      </c>
      <c r="P114" s="136">
        <f t="shared" si="4"/>
        <v>119370.53348137801</v>
      </c>
      <c r="Q114" s="136">
        <f t="shared" si="5"/>
        <v>695494.78796872811</v>
      </c>
      <c r="R114" s="137">
        <f>IFERROR(O114/'Irrigation Technical  '!$K$17*-1,0)</f>
        <v>0</v>
      </c>
      <c r="U114" s="140"/>
      <c r="V114" s="140"/>
      <c r="W114" s="140"/>
      <c r="X114" s="140"/>
      <c r="Y114" s="140"/>
      <c r="Z114" s="140"/>
      <c r="AA114" s="140"/>
    </row>
    <row r="115" spans="1:27" x14ac:dyDescent="0.3">
      <c r="A115" s="118" t="s">
        <v>280</v>
      </c>
      <c r="B115" s="66" t="str">
        <f>'Irrigation Technical  '!AD27</f>
        <v xml:space="preserve"> </v>
      </c>
      <c r="C115" s="66">
        <f>'Irrigation Technical  '!AE27</f>
        <v>128920.17615988826</v>
      </c>
      <c r="D115" s="66"/>
      <c r="E115" s="66">
        <f>'Irrigation Technical  '!AG27</f>
        <v>128920.17615988826</v>
      </c>
      <c r="F115" s="66">
        <f>'Irrigation Technical  '!AH27</f>
        <v>128920.17615988826</v>
      </c>
      <c r="G115" s="119">
        <f>'Irrigation Technical  '!AI27</f>
        <v>824414.9641286165</v>
      </c>
      <c r="L115" s="131">
        <f t="shared" si="1"/>
        <v>4.5800831340478698</v>
      </c>
      <c r="M115" s="18" t="str">
        <f t="shared" si="2"/>
        <v>Year 13</v>
      </c>
      <c r="O115" s="136" t="str">
        <f t="shared" si="3"/>
        <v xml:space="preserve"> </v>
      </c>
      <c r="P115" s="136">
        <f t="shared" si="4"/>
        <v>128920.17615988826</v>
      </c>
      <c r="Q115" s="136">
        <f t="shared" si="5"/>
        <v>824414.96412861638</v>
      </c>
      <c r="R115" s="137">
        <f>IFERROR(O115/'Irrigation Technical  '!$K$17*-1,0)</f>
        <v>0</v>
      </c>
      <c r="U115" s="140"/>
      <c r="V115" s="140"/>
      <c r="W115" s="140"/>
      <c r="X115" s="140"/>
      <c r="Y115" s="140"/>
      <c r="Z115" s="140"/>
      <c r="AA115" s="140"/>
    </row>
    <row r="116" spans="1:27" x14ac:dyDescent="0.3">
      <c r="A116" s="118" t="s">
        <v>281</v>
      </c>
      <c r="B116" s="66" t="str">
        <f>'Irrigation Technical  '!AD28</f>
        <v xml:space="preserve"> </v>
      </c>
      <c r="C116" s="66">
        <f>'Irrigation Technical  '!AE28</f>
        <v>139233.79025267932</v>
      </c>
      <c r="D116" s="66"/>
      <c r="E116" s="66">
        <f>'Irrigation Technical  '!AG28</f>
        <v>139233.79025267932</v>
      </c>
      <c r="F116" s="66">
        <f>'Irrigation Technical  '!AH28</f>
        <v>139233.79025267932</v>
      </c>
      <c r="G116" s="119">
        <f>'Irrigation Technical  '!AI28</f>
        <v>963648.75438129576</v>
      </c>
      <c r="L116" s="131">
        <f t="shared" si="1"/>
        <v>5.3536041910071983</v>
      </c>
      <c r="M116" s="18" t="str">
        <f t="shared" si="2"/>
        <v>Year 14</v>
      </c>
      <c r="O116" s="136" t="str">
        <f t="shared" si="3"/>
        <v xml:space="preserve"> </v>
      </c>
      <c r="P116" s="136">
        <f t="shared" si="4"/>
        <v>139233.79025267932</v>
      </c>
      <c r="Q116" s="136">
        <f t="shared" si="5"/>
        <v>963648.75438129576</v>
      </c>
      <c r="R116" s="137">
        <f>IFERROR(O116/'Irrigation Technical  '!$K$17*-1,0)</f>
        <v>0</v>
      </c>
      <c r="U116" s="140"/>
      <c r="V116" s="140"/>
      <c r="W116" s="140"/>
      <c r="X116" s="140"/>
      <c r="Y116" s="140"/>
      <c r="Z116" s="140"/>
      <c r="AA116" s="140"/>
    </row>
    <row r="117" spans="1:27" ht="15" thickBot="1" x14ac:dyDescent="0.35">
      <c r="A117" s="120" t="s">
        <v>282</v>
      </c>
      <c r="B117" s="66" t="str">
        <f>'Irrigation Technical  '!AD29</f>
        <v xml:space="preserve"> </v>
      </c>
      <c r="C117" s="121">
        <f>'Irrigation Technical  '!AE29</f>
        <v>150372.49347289366</v>
      </c>
      <c r="D117" s="121"/>
      <c r="E117" s="121">
        <f>'Irrigation Technical  '!AG29</f>
        <v>150372.49347289366</v>
      </c>
      <c r="F117" s="121">
        <f>'Irrigation Technical  '!AH29</f>
        <v>150372.49347289366</v>
      </c>
      <c r="G117" s="122">
        <f>'Irrigation Technical  '!AI29</f>
        <v>1114021.2478541895</v>
      </c>
      <c r="L117" s="131">
        <f t="shared" si="1"/>
        <v>6.1890069325232746</v>
      </c>
      <c r="M117" s="18" t="str">
        <f t="shared" si="2"/>
        <v>Year 15</v>
      </c>
      <c r="O117" s="136" t="str">
        <f t="shared" si="3"/>
        <v xml:space="preserve"> </v>
      </c>
      <c r="P117" s="136">
        <f t="shared" si="4"/>
        <v>150372.49347289366</v>
      </c>
      <c r="Q117" s="136">
        <f t="shared" si="5"/>
        <v>1114021.2478541895</v>
      </c>
      <c r="R117" s="137">
        <f>IFERROR(O117/'Irrigation Technical  '!$K$17*-1,0)</f>
        <v>0</v>
      </c>
      <c r="U117" s="140"/>
      <c r="V117" s="140"/>
      <c r="W117" s="140"/>
      <c r="X117" s="140"/>
      <c r="Y117" s="140"/>
      <c r="Z117" s="140"/>
      <c r="AA117" s="140"/>
    </row>
    <row r="118" spans="1:27" x14ac:dyDescent="0.3">
      <c r="L118" s="128"/>
      <c r="Q118" s="18" t="s">
        <v>314</v>
      </c>
      <c r="U118" s="128"/>
      <c r="V118" s="128"/>
      <c r="W118" s="128"/>
      <c r="X118" s="128"/>
      <c r="Y118" s="128"/>
      <c r="Z118" s="128"/>
      <c r="AA118" s="128"/>
    </row>
    <row r="119" spans="1:27" x14ac:dyDescent="0.3">
      <c r="A119" s="188" t="s">
        <v>303</v>
      </c>
      <c r="B119" s="188"/>
      <c r="C119" s="188"/>
      <c r="D119" s="132">
        <f>SUM(R103:R108)/COUNTIF(R103:R117,"&gt;0")</f>
        <v>0.44943645404166876</v>
      </c>
    </row>
    <row r="120" spans="1:27" x14ac:dyDescent="0.3">
      <c r="A120" s="192" t="s">
        <v>302</v>
      </c>
      <c r="B120" s="192"/>
      <c r="C120" s="32" t="s">
        <v>301</v>
      </c>
      <c r="D120" s="32">
        <f>IFERROR(MATCH(0,Q103:Q117,1),"Inconsequent")</f>
        <v>4</v>
      </c>
    </row>
    <row r="121" spans="1:27" x14ac:dyDescent="0.3">
      <c r="A121" s="192"/>
      <c r="B121" s="192"/>
      <c r="C121" s="32" t="s">
        <v>298</v>
      </c>
      <c r="D121" s="32">
        <f>IFERROR(T107,"Inconsequent")</f>
        <v>8</v>
      </c>
    </row>
    <row r="122" spans="1:27" ht="15" thickBot="1" x14ac:dyDescent="0.35">
      <c r="A122" s="133"/>
      <c r="B122" s="133"/>
      <c r="C122"/>
    </row>
    <row r="123" spans="1:27" ht="16.2" thickBot="1" x14ac:dyDescent="0.35">
      <c r="A123" s="194" t="s">
        <v>290</v>
      </c>
      <c r="B123" s="195"/>
      <c r="C123" s="195"/>
      <c r="D123" s="195"/>
      <c r="E123" s="195"/>
      <c r="F123" s="195"/>
      <c r="G123" s="196"/>
    </row>
    <row r="124" spans="1:27" x14ac:dyDescent="0.3">
      <c r="A124" s="60" t="s">
        <v>254</v>
      </c>
      <c r="B124" s="81" t="s">
        <v>267</v>
      </c>
      <c r="C124" s="61" t="s">
        <v>256</v>
      </c>
      <c r="D124" s="81" t="s">
        <v>257</v>
      </c>
      <c r="E124" s="61" t="s">
        <v>258</v>
      </c>
      <c r="F124" s="81" t="s">
        <v>259</v>
      </c>
      <c r="G124" s="62" t="s">
        <v>260</v>
      </c>
      <c r="L124" s="129" t="s">
        <v>299</v>
      </c>
      <c r="P124"/>
      <c r="Q124"/>
      <c r="R124"/>
      <c r="S124"/>
      <c r="T124"/>
      <c r="U124"/>
      <c r="V124"/>
      <c r="W124"/>
      <c r="X124"/>
      <c r="Y124"/>
      <c r="Z124"/>
      <c r="AA124"/>
    </row>
    <row r="125" spans="1:27" ht="15" thickBot="1" x14ac:dyDescent="0.35">
      <c r="A125" s="63"/>
      <c r="B125" s="82"/>
      <c r="C125" s="64" t="s">
        <v>262</v>
      </c>
      <c r="D125" s="82" t="s">
        <v>262</v>
      </c>
      <c r="E125" s="64" t="s">
        <v>263</v>
      </c>
      <c r="F125" s="82" t="s">
        <v>264</v>
      </c>
      <c r="G125" s="65" t="s">
        <v>264</v>
      </c>
      <c r="L125" s="130"/>
      <c r="M125" s="130" t="s">
        <v>315</v>
      </c>
      <c r="N125" s="39"/>
      <c r="P125"/>
      <c r="Q125"/>
      <c r="R125"/>
      <c r="S125"/>
      <c r="T125"/>
      <c r="U125"/>
      <c r="V125"/>
      <c r="W125"/>
      <c r="X125"/>
      <c r="Y125"/>
      <c r="Z125"/>
      <c r="AA125"/>
    </row>
    <row r="126" spans="1:27" x14ac:dyDescent="0.3">
      <c r="A126" s="123" t="s">
        <v>268</v>
      </c>
      <c r="B126" s="124">
        <f>'Irrigation Technical  '!AD45</f>
        <v>-180000</v>
      </c>
      <c r="C126" s="124">
        <f>'Irrigation Technical  '!AE45</f>
        <v>41239.314824158428</v>
      </c>
      <c r="D126" s="124">
        <f>'Irrigation Technical  '!AF45</f>
        <v>48600</v>
      </c>
      <c r="E126" s="124">
        <f>'Irrigation Technical  '!AG45</f>
        <v>89839.314824158428</v>
      </c>
      <c r="F126" s="124">
        <f>'Irrigation Technical  '!AH45</f>
        <v>-90160.685175841572</v>
      </c>
      <c r="G126" s="134">
        <f>'Irrigation Technical  '!AI45</f>
        <v>-90160.685175841572</v>
      </c>
      <c r="L126" s="138">
        <f>B126/'Irrigation Technical  '!$K$17*(-1)</f>
        <v>4.364766989158464</v>
      </c>
      <c r="M126" s="139">
        <f>(G126/-$C$60)</f>
        <v>25.760195764526163</v>
      </c>
      <c r="N126" s="39" t="s">
        <v>309</v>
      </c>
      <c r="P126"/>
      <c r="Q126"/>
      <c r="R126"/>
      <c r="S126"/>
      <c r="T126"/>
      <c r="U126"/>
      <c r="V126"/>
      <c r="W126"/>
      <c r="X126"/>
      <c r="Y126"/>
      <c r="Z126"/>
      <c r="AA126"/>
    </row>
    <row r="127" spans="1:27" x14ac:dyDescent="0.3">
      <c r="A127" s="83" t="s">
        <v>269</v>
      </c>
      <c r="B127" s="66"/>
      <c r="C127" s="66">
        <f>'Irrigation Technical  '!AE46</f>
        <v>47012.818899540616</v>
      </c>
      <c r="D127" s="66"/>
      <c r="E127" s="66">
        <f>'Irrigation Technical  '!AG46</f>
        <v>47012.818899540616</v>
      </c>
      <c r="F127" s="66">
        <f>'Irrigation Technical  '!AH46</f>
        <v>47012.818899540616</v>
      </c>
      <c r="G127" s="119">
        <f>'Irrigation Technical  '!AI46</f>
        <v>-43147.866276300956</v>
      </c>
      <c r="L127" s="138">
        <f>B127/'Irrigation Technical  '!$K$17*(-1)</f>
        <v>0</v>
      </c>
      <c r="M127" s="139">
        <f t="shared" ref="M127:M140" si="6">(G127/-$C$60)</f>
        <v>12.327961793228845</v>
      </c>
      <c r="N127" s="39" t="s">
        <v>310</v>
      </c>
      <c r="O127" s="18" cm="1">
        <f t="array" ref="O127">INDEX(C126:G140,D144,5)</f>
        <v>-43147.866276300956</v>
      </c>
      <c r="P127"/>
      <c r="Q127"/>
      <c r="R127"/>
      <c r="S127"/>
      <c r="T127"/>
      <c r="U127"/>
      <c r="V127"/>
      <c r="W127"/>
      <c r="X127"/>
      <c r="Y127"/>
      <c r="Z127"/>
      <c r="AA127"/>
    </row>
    <row r="128" spans="1:27" x14ac:dyDescent="0.3">
      <c r="A128" s="83" t="s">
        <v>270</v>
      </c>
      <c r="B128" s="66"/>
      <c r="C128" s="66">
        <f>'Irrigation Technical  '!AE47</f>
        <v>53594.613545476306</v>
      </c>
      <c r="D128" s="66"/>
      <c r="E128" s="66">
        <f>'Irrigation Technical  '!AG47</f>
        <v>53594.613545476306</v>
      </c>
      <c r="F128" s="66">
        <f>'Irrigation Technical  '!AH47</f>
        <v>53594.613545476306</v>
      </c>
      <c r="G128" s="119">
        <f>'Irrigation Technical  '!AI47</f>
        <v>10446.74726917535</v>
      </c>
      <c r="L128" s="138">
        <f>B128/'Irrigation Technical  '!$K$17*(-1)</f>
        <v>0</v>
      </c>
      <c r="M128" s="139">
        <f t="shared" si="6"/>
        <v>-2.9847849340500998</v>
      </c>
      <c r="N128" s="39" t="s">
        <v>311</v>
      </c>
      <c r="O128" s="18" cm="1">
        <f t="array" ref="O128">INDEX(C126:G140,D144+1,5)</f>
        <v>10446.74726917535</v>
      </c>
      <c r="P128"/>
      <c r="Q128"/>
      <c r="R128"/>
      <c r="S128"/>
      <c r="T128"/>
      <c r="U128"/>
      <c r="V128"/>
      <c r="W128"/>
      <c r="X128"/>
      <c r="Y128"/>
      <c r="Z128"/>
      <c r="AA128"/>
    </row>
    <row r="129" spans="1:27" x14ac:dyDescent="0.3">
      <c r="A129" s="83" t="s">
        <v>271</v>
      </c>
      <c r="B129" s="66"/>
      <c r="C129" s="66">
        <f>'Irrigation Technical  '!AE48</f>
        <v>61097.859441842993</v>
      </c>
      <c r="D129" s="66"/>
      <c r="E129" s="66">
        <f>'Irrigation Technical  '!AG48</f>
        <v>61097.859441842993</v>
      </c>
      <c r="F129" s="66">
        <f>'Irrigation Technical  '!AH48</f>
        <v>61097.859441842993</v>
      </c>
      <c r="G129" s="119">
        <f>'Irrigation Technical  '!AI48</f>
        <v>71544.606711018336</v>
      </c>
      <c r="L129" s="138">
        <f>B129/'Irrigation Technical  '!$K$17*(-1)</f>
        <v>0</v>
      </c>
      <c r="M129" s="139">
        <f t="shared" si="6"/>
        <v>-20.441316203148094</v>
      </c>
      <c r="N129" s="39" t="s">
        <v>312</v>
      </c>
      <c r="O129" s="18">
        <f>O128+(-1*O127)</f>
        <v>53594.613545476306</v>
      </c>
      <c r="P129"/>
      <c r="Q129"/>
      <c r="R129"/>
      <c r="S129"/>
      <c r="T129"/>
      <c r="U129"/>
      <c r="V129"/>
      <c r="W129"/>
      <c r="X129"/>
      <c r="Y129"/>
      <c r="Z129"/>
      <c r="AA129"/>
    </row>
    <row r="130" spans="1:27" x14ac:dyDescent="0.3">
      <c r="A130" s="83" t="s">
        <v>272</v>
      </c>
      <c r="B130" s="66"/>
      <c r="C130" s="66">
        <f>'Irrigation Technical  '!AE49</f>
        <v>69651.559763701021</v>
      </c>
      <c r="D130" s="66"/>
      <c r="E130" s="66">
        <f>'Irrigation Technical  '!AG49</f>
        <v>69651.559763701021</v>
      </c>
      <c r="F130" s="66">
        <f>'Irrigation Technical  '!AH49</f>
        <v>69651.559763701021</v>
      </c>
      <c r="G130" s="119">
        <f>'Irrigation Technical  '!AI49</f>
        <v>141196.16647471936</v>
      </c>
      <c r="L130" s="138">
        <f>B130/'Irrigation Technical  '!$K$17*(-1)</f>
        <v>0</v>
      </c>
      <c r="M130" s="139">
        <f t="shared" si="6"/>
        <v>-40.34176184991982</v>
      </c>
      <c r="N130" s="39" t="s">
        <v>313</v>
      </c>
      <c r="O130" s="18">
        <f>ROUNDUP((1-(O128/O129))*12,0)</f>
        <v>10</v>
      </c>
      <c r="P130"/>
      <c r="Q130"/>
      <c r="R130"/>
      <c r="S130"/>
      <c r="T130"/>
      <c r="U130"/>
      <c r="V130"/>
      <c r="W130"/>
      <c r="X130"/>
      <c r="Y130"/>
      <c r="Z130"/>
      <c r="AA130"/>
    </row>
    <row r="131" spans="1:27" x14ac:dyDescent="0.3">
      <c r="A131" s="83" t="s">
        <v>273</v>
      </c>
      <c r="B131" s="66"/>
      <c r="C131" s="66">
        <f>'Irrigation Technical  '!AE50</f>
        <v>75223.684544797114</v>
      </c>
      <c r="D131" s="66"/>
      <c r="E131" s="66">
        <f>'Irrigation Technical  '!AG50</f>
        <v>75223.684544797114</v>
      </c>
      <c r="F131" s="66">
        <f>'Irrigation Technical  '!AH50</f>
        <v>75223.684544797114</v>
      </c>
      <c r="G131" s="119">
        <f>'Irrigation Technical  '!AI50</f>
        <v>216419.85101951647</v>
      </c>
      <c r="L131" s="138">
        <f>B131/'Irrigation Technical  '!$K$17*(-1)</f>
        <v>0</v>
      </c>
      <c r="M131" s="139">
        <f t="shared" si="6"/>
        <v>-61.834243148433281</v>
      </c>
      <c r="P131"/>
      <c r="Q131"/>
      <c r="R131"/>
      <c r="S131"/>
      <c r="T131"/>
      <c r="U131"/>
      <c r="V131"/>
      <c r="W131"/>
      <c r="X131"/>
      <c r="Y131"/>
      <c r="Z131"/>
      <c r="AA131"/>
    </row>
    <row r="132" spans="1:27" x14ac:dyDescent="0.3">
      <c r="A132" s="83" t="s">
        <v>274</v>
      </c>
      <c r="B132" s="66"/>
      <c r="C132" s="66">
        <f>'Irrigation Technical  '!AE51</f>
        <v>81241.579308380882</v>
      </c>
      <c r="D132" s="66"/>
      <c r="E132" s="66">
        <f>'Irrigation Technical  '!AG51</f>
        <v>81241.579308380882</v>
      </c>
      <c r="F132" s="66">
        <f>'Irrigation Technical  '!AH51</f>
        <v>81241.579308380882</v>
      </c>
      <c r="G132" s="119">
        <f>'Irrigation Technical  '!AI51</f>
        <v>297661.43032789737</v>
      </c>
      <c r="L132" s="138">
        <f>B132/'Irrigation Technical  '!$K$17*(-1)</f>
        <v>0</v>
      </c>
      <c r="M132" s="139">
        <f t="shared" si="6"/>
        <v>-85.046122950827822</v>
      </c>
      <c r="P132"/>
      <c r="Q132"/>
      <c r="R132"/>
      <c r="S132"/>
      <c r="T132"/>
      <c r="U132"/>
      <c r="V132"/>
      <c r="W132"/>
      <c r="X132"/>
      <c r="Y132"/>
      <c r="Z132"/>
      <c r="AA132"/>
    </row>
    <row r="133" spans="1:27" x14ac:dyDescent="0.3">
      <c r="A133" s="83" t="s">
        <v>275</v>
      </c>
      <c r="B133" s="66"/>
      <c r="C133" s="66">
        <f>'Irrigation Technical  '!AE52</f>
        <v>87740.905653051363</v>
      </c>
      <c r="D133" s="66"/>
      <c r="E133" s="66">
        <f>'Irrigation Technical  '!AG52</f>
        <v>87740.905653051363</v>
      </c>
      <c r="F133" s="66">
        <f>'Irrigation Technical  '!AH52</f>
        <v>87740.905653051363</v>
      </c>
      <c r="G133" s="119">
        <f>'Irrigation Technical  '!AI52</f>
        <v>385402.33598094876</v>
      </c>
      <c r="L133" s="138">
        <f>B133/'Irrigation Technical  '!$K$17*(-1)</f>
        <v>0</v>
      </c>
      <c r="M133" s="139">
        <f t="shared" si="6"/>
        <v>-110.11495313741393</v>
      </c>
      <c r="P133"/>
      <c r="Q133"/>
      <c r="R133"/>
      <c r="S133"/>
      <c r="T133"/>
      <c r="U133"/>
      <c r="V133"/>
      <c r="W133"/>
      <c r="X133"/>
      <c r="Y133"/>
      <c r="Z133"/>
      <c r="AA133"/>
    </row>
    <row r="134" spans="1:27" x14ac:dyDescent="0.3">
      <c r="A134" s="83" t="s">
        <v>276</v>
      </c>
      <c r="B134" s="66"/>
      <c r="C134" s="66">
        <f>'Irrigation Technical  '!AE53</f>
        <v>94760.178105295476</v>
      </c>
      <c r="D134" s="66"/>
      <c r="E134" s="66">
        <f>'Irrigation Technical  '!AG53</f>
        <v>94760.178105295476</v>
      </c>
      <c r="F134" s="66">
        <f>'Irrigation Technical  '!AH53</f>
        <v>94760.178105295476</v>
      </c>
      <c r="G134" s="119">
        <f>'Irrigation Technical  '!AI53</f>
        <v>480162.51408624422</v>
      </c>
      <c r="L134" s="138">
        <f>B134/'Irrigation Technical  '!$K$17*(-1)</f>
        <v>0</v>
      </c>
      <c r="M134" s="139">
        <f t="shared" si="6"/>
        <v>-137.18928973892693</v>
      </c>
      <c r="P134"/>
      <c r="Q134"/>
      <c r="R134"/>
      <c r="S134"/>
      <c r="T134"/>
      <c r="U134"/>
      <c r="V134"/>
      <c r="W134"/>
      <c r="X134"/>
      <c r="Y134"/>
      <c r="Z134"/>
      <c r="AA134"/>
    </row>
    <row r="135" spans="1:27" x14ac:dyDescent="0.3">
      <c r="A135" s="83" t="s">
        <v>277</v>
      </c>
      <c r="B135" s="66"/>
      <c r="C135" s="66">
        <f>'Irrigation Technical  '!AE54</f>
        <v>102340.99235371912</v>
      </c>
      <c r="D135" s="66"/>
      <c r="E135" s="66">
        <f>'Irrigation Technical  '!AG54</f>
        <v>102340.99235371912</v>
      </c>
      <c r="F135" s="66">
        <f>'Irrigation Technical  '!AH54</f>
        <v>102340.99235371912</v>
      </c>
      <c r="G135" s="119">
        <f>'Irrigation Technical  '!AI54</f>
        <v>582503.50643996336</v>
      </c>
      <c r="L135" s="138">
        <f>B135/'Irrigation Technical  '!$K$17*(-1)</f>
        <v>0</v>
      </c>
      <c r="M135" s="139">
        <f t="shared" si="6"/>
        <v>-166.42957326856097</v>
      </c>
      <c r="P135"/>
      <c r="Q135"/>
      <c r="R135"/>
      <c r="S135"/>
      <c r="T135"/>
      <c r="U135"/>
      <c r="V135"/>
      <c r="W135"/>
      <c r="X135"/>
      <c r="Y135"/>
      <c r="Z135"/>
      <c r="AA135"/>
    </row>
    <row r="136" spans="1:27" x14ac:dyDescent="0.3">
      <c r="A136" s="83" t="s">
        <v>278</v>
      </c>
      <c r="B136" s="66"/>
      <c r="C136" s="66">
        <f>'Irrigation Technical  '!AE55</f>
        <v>110528.27174201666</v>
      </c>
      <c r="D136" s="66"/>
      <c r="E136" s="66">
        <f>'Irrigation Technical  '!AG55</f>
        <v>110528.27174201666</v>
      </c>
      <c r="F136" s="66">
        <f>'Irrigation Technical  '!AH55</f>
        <v>110528.27174201666</v>
      </c>
      <c r="G136" s="119">
        <f>'Irrigation Technical  '!AI55</f>
        <v>693031.77818198001</v>
      </c>
      <c r="L136" s="138">
        <f>B136/'Irrigation Technical  '!$K$17*(-1)</f>
        <v>0</v>
      </c>
      <c r="M136" s="139">
        <f t="shared" si="6"/>
        <v>-198.00907948056573</v>
      </c>
      <c r="P136"/>
      <c r="Q136"/>
      <c r="R136"/>
      <c r="S136"/>
      <c r="T136"/>
      <c r="U136"/>
      <c r="V136"/>
      <c r="W136"/>
      <c r="X136"/>
      <c r="Y136"/>
      <c r="Z136"/>
      <c r="AA136"/>
    </row>
    <row r="137" spans="1:27" x14ac:dyDescent="0.3">
      <c r="A137" s="83" t="s">
        <v>279</v>
      </c>
      <c r="B137" s="66"/>
      <c r="C137" s="66">
        <f>'Irrigation Technical  '!AE56</f>
        <v>119370.53348137801</v>
      </c>
      <c r="D137" s="66"/>
      <c r="E137" s="66">
        <f>'Irrigation Technical  '!AG56</f>
        <v>119370.53348137801</v>
      </c>
      <c r="F137" s="66">
        <f>'Irrigation Technical  '!AH56</f>
        <v>119370.53348137801</v>
      </c>
      <c r="G137" s="119">
        <f>'Irrigation Technical  '!AI56</f>
        <v>812402.31166335801</v>
      </c>
      <c r="L137" s="138">
        <f>B137/'Irrigation Technical  '!$K$17*(-1)</f>
        <v>0</v>
      </c>
      <c r="M137" s="139">
        <f t="shared" si="6"/>
        <v>-232.11494618953085</v>
      </c>
      <c r="P137"/>
      <c r="Q137"/>
      <c r="R137"/>
      <c r="S137"/>
      <c r="T137"/>
      <c r="U137"/>
      <c r="V137"/>
      <c r="W137"/>
      <c r="X137"/>
      <c r="Y137"/>
      <c r="Z137"/>
      <c r="AA137"/>
    </row>
    <row r="138" spans="1:27" x14ac:dyDescent="0.3">
      <c r="A138" s="83" t="s">
        <v>280</v>
      </c>
      <c r="B138" s="66"/>
      <c r="C138" s="66">
        <f>'Irrigation Technical  '!AE57</f>
        <v>128920.17615988826</v>
      </c>
      <c r="D138" s="66"/>
      <c r="E138" s="66">
        <f>'Irrigation Technical  '!AG57</f>
        <v>128920.17615988826</v>
      </c>
      <c r="F138" s="66">
        <f>'Irrigation Technical  '!AH57</f>
        <v>128920.17615988826</v>
      </c>
      <c r="G138" s="119">
        <f>'Irrigation Technical  '!AI57</f>
        <v>941322.48782324628</v>
      </c>
      <c r="L138" s="138">
        <f>B138/'Irrigation Technical  '!$K$17*(-1)</f>
        <v>0</v>
      </c>
      <c r="M138" s="139">
        <f t="shared" si="6"/>
        <v>-268.94928223521322</v>
      </c>
      <c r="P138"/>
      <c r="Q138"/>
      <c r="R138"/>
      <c r="S138"/>
      <c r="T138"/>
      <c r="U138"/>
      <c r="V138"/>
      <c r="W138"/>
      <c r="X138"/>
      <c r="Y138"/>
      <c r="Z138"/>
      <c r="AA138"/>
    </row>
    <row r="139" spans="1:27" x14ac:dyDescent="0.3">
      <c r="A139" s="83" t="s">
        <v>281</v>
      </c>
      <c r="B139" s="66"/>
      <c r="C139" s="66">
        <f>'Irrigation Technical  '!AE58</f>
        <v>139233.79025267932</v>
      </c>
      <c r="D139" s="66"/>
      <c r="E139" s="66">
        <f>'Irrigation Technical  '!AG58</f>
        <v>139233.79025267932</v>
      </c>
      <c r="F139" s="66">
        <f>'Irrigation Technical  '!AH58</f>
        <v>139233.79025267932</v>
      </c>
      <c r="G139" s="119">
        <f>'Irrigation Technical  '!AI58</f>
        <v>1080556.2780759255</v>
      </c>
      <c r="L139" s="138">
        <f>B139/'Irrigation Technical  '!$K$17*(-1)</f>
        <v>0</v>
      </c>
      <c r="M139" s="139">
        <f t="shared" si="6"/>
        <v>-308.73036516455016</v>
      </c>
      <c r="P139"/>
      <c r="Q139"/>
      <c r="R139"/>
      <c r="S139"/>
      <c r="T139"/>
      <c r="U139"/>
      <c r="V139"/>
      <c r="W139"/>
      <c r="X139"/>
      <c r="Y139"/>
      <c r="Z139"/>
      <c r="AA139"/>
    </row>
    <row r="140" spans="1:27" ht="15" thickBot="1" x14ac:dyDescent="0.35">
      <c r="A140" s="125" t="s">
        <v>282</v>
      </c>
      <c r="B140" s="121"/>
      <c r="C140" s="121">
        <f>'Irrigation Technical  '!AE59</f>
        <v>150372.49347289366</v>
      </c>
      <c r="D140" s="121"/>
      <c r="E140" s="121">
        <f>'Irrigation Technical  '!AG59</f>
        <v>150372.49347289366</v>
      </c>
      <c r="F140" s="121">
        <f>'Irrigation Technical  '!AH59</f>
        <v>150372.49347289366</v>
      </c>
      <c r="G140" s="122">
        <f>'Irrigation Technical  '!AI59</f>
        <v>1230928.7715488193</v>
      </c>
      <c r="L140" s="138">
        <f>B140/'Irrigation Technical  '!$K$17*(-1)</f>
        <v>0</v>
      </c>
      <c r="M140" s="139">
        <f t="shared" si="6"/>
        <v>-351.69393472823407</v>
      </c>
      <c r="O140" s="128"/>
      <c r="P140"/>
      <c r="Q140"/>
      <c r="R140"/>
      <c r="S140"/>
      <c r="T140"/>
      <c r="U140"/>
      <c r="V140"/>
      <c r="W140"/>
      <c r="X140"/>
      <c r="Y140"/>
      <c r="Z140"/>
      <c r="AA140"/>
    </row>
    <row r="141" spans="1:27" x14ac:dyDescent="0.3">
      <c r="M141" s="139"/>
    </row>
    <row r="142" spans="1:27" x14ac:dyDescent="0.3">
      <c r="A142" s="161" t="s">
        <v>265</v>
      </c>
      <c r="B142" s="193"/>
      <c r="C142" s="162"/>
      <c r="D142" s="135">
        <f>NPV(0.05,F126:F140)</f>
        <v>747196.06541104044</v>
      </c>
    </row>
    <row r="143" spans="1:27" x14ac:dyDescent="0.3">
      <c r="A143" s="188" t="s">
        <v>303</v>
      </c>
      <c r="B143" s="188"/>
      <c r="C143" s="188"/>
      <c r="D143" s="132">
        <f>L126/C76</f>
        <v>0.4364766989158464</v>
      </c>
    </row>
    <row r="144" spans="1:27" x14ac:dyDescent="0.3">
      <c r="A144" s="192" t="s">
        <v>302</v>
      </c>
      <c r="B144" s="192"/>
      <c r="C144" s="32" t="s">
        <v>301</v>
      </c>
      <c r="D144" s="32">
        <f>IFERROR(MATCH(0,G126:G140,1),"Inconsequent")</f>
        <v>2</v>
      </c>
    </row>
    <row r="145" spans="1:4" x14ac:dyDescent="0.3">
      <c r="A145" s="192"/>
      <c r="B145" s="192"/>
      <c r="C145" s="32" t="s">
        <v>298</v>
      </c>
      <c r="D145" s="32">
        <f>IFERROR(O130,"Inconsequent")</f>
        <v>10</v>
      </c>
    </row>
  </sheetData>
  <sheetProtection selectLockedCells="1"/>
  <mergeCells count="57">
    <mergeCell ref="A120:B121"/>
    <mergeCell ref="A142:C142"/>
    <mergeCell ref="A143:C143"/>
    <mergeCell ref="A144:B145"/>
    <mergeCell ref="A123:G123"/>
    <mergeCell ref="A80:B80"/>
    <mergeCell ref="A69:B69"/>
    <mergeCell ref="A68:B68"/>
    <mergeCell ref="A119:C119"/>
    <mergeCell ref="A100:G100"/>
    <mergeCell ref="A81:B81"/>
    <mergeCell ref="A65:B65"/>
    <mergeCell ref="A71:B71"/>
    <mergeCell ref="A70:B70"/>
    <mergeCell ref="A67:B67"/>
    <mergeCell ref="A66:B66"/>
    <mergeCell ref="A25:D25"/>
    <mergeCell ref="A27:G28"/>
    <mergeCell ref="E25:F25"/>
    <mergeCell ref="A64:B64"/>
    <mergeCell ref="A63:B63"/>
    <mergeCell ref="A59:B59"/>
    <mergeCell ref="A58:B58"/>
    <mergeCell ref="A54:B54"/>
    <mergeCell ref="A55:B55"/>
    <mergeCell ref="A56:B56"/>
    <mergeCell ref="A62:B62"/>
    <mergeCell ref="A61:B61"/>
    <mergeCell ref="A60:B60"/>
    <mergeCell ref="A57:B57"/>
    <mergeCell ref="A53:B53"/>
    <mergeCell ref="G53:H53"/>
    <mergeCell ref="A10:G11"/>
    <mergeCell ref="A18:G19"/>
    <mergeCell ref="A21:B21"/>
    <mergeCell ref="A16:C16"/>
    <mergeCell ref="A23:B23"/>
    <mergeCell ref="E21:F21"/>
    <mergeCell ref="E23:F23"/>
    <mergeCell ref="A13:C13"/>
    <mergeCell ref="E13:G13"/>
    <mergeCell ref="E16:F16"/>
    <mergeCell ref="E53:F53"/>
    <mergeCell ref="G50:H50"/>
    <mergeCell ref="E52:F52"/>
    <mergeCell ref="C30:D30"/>
    <mergeCell ref="A47:H48"/>
    <mergeCell ref="A51:B51"/>
    <mergeCell ref="A52:B52"/>
    <mergeCell ref="A34:B34"/>
    <mergeCell ref="C40:D40"/>
    <mergeCell ref="A49:G49"/>
    <mergeCell ref="A36:B36"/>
    <mergeCell ref="E36:F36"/>
    <mergeCell ref="G52:H52"/>
    <mergeCell ref="G51:H51"/>
    <mergeCell ref="E34:F34"/>
  </mergeCells>
  <phoneticPr fontId="5" type="noConversion"/>
  <conditionalFormatting sqref="B103:G117">
    <cfRule type="cellIs" dxfId="11" priority="5" operator="greaterThan">
      <formula>0</formula>
    </cfRule>
    <cfRule type="cellIs" dxfId="10" priority="6" operator="lessThan">
      <formula>0</formula>
    </cfRule>
    <cfRule type="cellIs" dxfId="9" priority="8" operator="greaterThan">
      <formula>0</formula>
    </cfRule>
  </conditionalFormatting>
  <conditionalFormatting sqref="B126:G140">
    <cfRule type="cellIs" dxfId="8" priority="1" operator="greaterThan">
      <formula>0</formula>
    </cfRule>
    <cfRule type="cellIs" dxfId="7" priority="2" operator="lessThan">
      <formula>0</formula>
    </cfRule>
    <cfRule type="cellIs" dxfId="6" priority="4" operator="greaterThan">
      <formula>0</formula>
    </cfRule>
  </conditionalFormatting>
  <pageMargins left="0.7" right="0.7" top="0.75" bottom="0.75" header="0.3" footer="0.3"/>
  <pageSetup paperSize="9" scale="94" orientation="portrait" r:id="rId1"/>
  <headerFooter>
    <oddHeader>&amp;LCedar Solar (Pty) Ltd&amp;Cwww.cedarsolar.com&amp;Rinfo@cedarsolar.com</oddHeader>
  </headerFooter>
  <rowBreaks count="3" manualBreakCount="3">
    <brk id="48" max="7" man="1"/>
    <brk id="98" max="7" man="1"/>
    <brk id="145" max="7"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'Climate and DD'!$K$21:$K$25</xm:f>
          </x14:formula1>
          <xm:sqref>G16</xm:sqref>
        </x14:dataValidation>
        <x14:dataValidation type="list" allowBlank="1" showInputMessage="1" showErrorMessage="1" xr:uid="{00000000-0002-0000-0000-000001000000}">
          <x14:formula1>
            <xm:f>'Climate and DD'!$B$20:$B$30</xm:f>
          </x14:formula1>
          <xm:sqref>E16</xm:sqref>
        </x14:dataValidation>
        <x14:dataValidation type="list" allowBlank="1" showInputMessage="1" showErrorMessage="1" xr:uid="{00000000-0002-0000-0000-000002000000}">
          <x14:formula1>
            <xm:f>'Climate and DD'!$C$35:$C$37</xm:f>
          </x14:formula1>
          <xm:sqref>C21</xm:sqref>
        </x14:dataValidation>
        <x14:dataValidation type="list" allowBlank="1" showInputMessage="1" showErrorMessage="1" xr:uid="{00000000-0002-0000-0000-000003000000}">
          <x14:formula1>
            <xm:f>'Climate and DD'!$F$35:$F$37</xm:f>
          </x14:formula1>
          <xm:sqref>C23</xm:sqref>
        </x14:dataValidation>
        <x14:dataValidation type="list" allowBlank="1" showInputMessage="1" showErrorMessage="1" xr:uid="{00000000-0002-0000-0000-000004000000}">
          <x14:formula1>
            <xm:f>'Climate and DD'!$C$40:$C$42</xm:f>
          </x14:formula1>
          <xm:sqref>E25:F25</xm:sqref>
        </x14:dataValidation>
        <x14:dataValidation type="list" allowBlank="1" showInputMessage="1" showErrorMessage="1" xr:uid="{00000000-0002-0000-0000-000005000000}">
          <x14:formula1>
            <xm:f>'Veichi Tech'!$A$3:$A$27</xm:f>
          </x14:formula1>
          <xm:sqref>C40:D40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7"/>
  <sheetViews>
    <sheetView workbookViewId="0">
      <selection activeCell="C27" sqref="C27"/>
    </sheetView>
  </sheetViews>
  <sheetFormatPr defaultColWidth="10.88671875" defaultRowHeight="14.4" x14ac:dyDescent="0.3"/>
  <cols>
    <col min="1" max="1" width="10.88671875" style="9"/>
    <col min="2" max="2" width="22.88671875" style="9" bestFit="1" customWidth="1"/>
    <col min="3" max="16384" width="10.88671875" style="9"/>
  </cols>
  <sheetData>
    <row r="2" spans="2:11" x14ac:dyDescent="0.3">
      <c r="B2" s="167" t="s">
        <v>218</v>
      </c>
      <c r="C2" s="167"/>
      <c r="D2" s="167"/>
      <c r="E2" s="167"/>
      <c r="F2" s="167"/>
      <c r="G2" s="167"/>
    </row>
    <row r="3" spans="2:11" ht="15" customHeight="1" x14ac:dyDescent="0.3">
      <c r="B3" s="167"/>
      <c r="C3" s="167"/>
      <c r="D3" s="167"/>
      <c r="E3" s="167"/>
      <c r="F3" s="167"/>
      <c r="G3" s="167"/>
    </row>
    <row r="4" spans="2:11" ht="15" customHeight="1" x14ac:dyDescent="0.3">
      <c r="B4" s="34" t="s">
        <v>217</v>
      </c>
      <c r="C4" s="18" t="s">
        <v>208</v>
      </c>
      <c r="D4" s="18" t="s">
        <v>209</v>
      </c>
      <c r="E4" s="18" t="s">
        <v>210</v>
      </c>
      <c r="F4" s="18" t="s">
        <v>211</v>
      </c>
      <c r="G4" s="18" t="s">
        <v>212</v>
      </c>
      <c r="H4" s="18" t="s">
        <v>213</v>
      </c>
      <c r="I4" s="18" t="s">
        <v>214</v>
      </c>
      <c r="J4" s="18" t="s">
        <v>215</v>
      </c>
      <c r="K4" s="18" t="s">
        <v>216</v>
      </c>
    </row>
    <row r="5" spans="2:11" x14ac:dyDescent="0.3">
      <c r="B5" s="18" t="s">
        <v>151</v>
      </c>
      <c r="C5" s="18">
        <v>260</v>
      </c>
      <c r="D5" s="18">
        <v>265</v>
      </c>
      <c r="E5" s="18">
        <v>270</v>
      </c>
      <c r="F5" s="18">
        <v>275</v>
      </c>
      <c r="G5" s="18">
        <v>315</v>
      </c>
      <c r="H5" s="18">
        <v>320</v>
      </c>
      <c r="I5" s="18">
        <v>325</v>
      </c>
      <c r="J5" s="18">
        <v>330</v>
      </c>
      <c r="K5" s="18">
        <v>335</v>
      </c>
    </row>
    <row r="6" spans="2:11" x14ac:dyDescent="0.3">
      <c r="B6" s="18" t="s">
        <v>152</v>
      </c>
      <c r="C6" s="18">
        <v>30.72</v>
      </c>
      <c r="D6" s="18">
        <v>30.77</v>
      </c>
      <c r="E6" s="18">
        <v>30.95</v>
      </c>
      <c r="F6" s="18">
        <v>31.16</v>
      </c>
      <c r="G6" s="18">
        <v>36.92</v>
      </c>
      <c r="H6" s="18">
        <v>37.200000000000003</v>
      </c>
      <c r="I6" s="18">
        <v>37.409999999999997</v>
      </c>
      <c r="J6" s="18">
        <v>37.67</v>
      </c>
      <c r="K6" s="18">
        <v>37.9</v>
      </c>
    </row>
    <row r="7" spans="2:11" x14ac:dyDescent="0.3">
      <c r="B7" s="18" t="s">
        <v>154</v>
      </c>
      <c r="C7" s="18">
        <v>38.4</v>
      </c>
      <c r="D7" s="18">
        <v>38.46</v>
      </c>
      <c r="E7" s="18">
        <v>38.700000000000003</v>
      </c>
      <c r="F7" s="18">
        <v>38.97</v>
      </c>
      <c r="G7" s="18">
        <v>46.15</v>
      </c>
      <c r="H7" s="18">
        <v>46.18</v>
      </c>
      <c r="I7" s="18">
        <v>46.21</v>
      </c>
      <c r="J7" s="18">
        <v>46.24</v>
      </c>
      <c r="K7" s="18">
        <v>46.27</v>
      </c>
    </row>
  </sheetData>
  <mergeCells count="1">
    <mergeCell ref="B2: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133"/>
  <sheetViews>
    <sheetView topLeftCell="A24" zoomScale="97" zoomScaleNormal="97" zoomScalePageLayoutView="97" workbookViewId="0">
      <selection activeCell="E33" sqref="E33"/>
    </sheetView>
  </sheetViews>
  <sheetFormatPr defaultColWidth="11.44140625" defaultRowHeight="14.4" x14ac:dyDescent="0.3"/>
  <cols>
    <col min="1" max="1" width="28.21875" customWidth="1"/>
    <col min="3" max="3" width="13.33203125" customWidth="1"/>
    <col min="5" max="5" width="12.33203125" customWidth="1"/>
    <col min="6" max="6" width="17.44140625" customWidth="1"/>
    <col min="9" max="9" width="13" customWidth="1"/>
    <col min="18" max="18" width="23.5546875" bestFit="1" customWidth="1"/>
    <col min="19" max="19" width="12" bestFit="1" customWidth="1"/>
  </cols>
  <sheetData>
    <row r="1" spans="1:144" x14ac:dyDescent="0.3">
      <c r="A1">
        <v>1</v>
      </c>
      <c r="B1">
        <v>2</v>
      </c>
      <c r="C1">
        <v>3</v>
      </c>
      <c r="D1">
        <v>4</v>
      </c>
      <c r="E1">
        <v>5</v>
      </c>
      <c r="F1">
        <v>6</v>
      </c>
      <c r="G1">
        <v>7</v>
      </c>
      <c r="H1">
        <v>8</v>
      </c>
      <c r="I1">
        <v>9</v>
      </c>
      <c r="J1">
        <v>10</v>
      </c>
      <c r="K1">
        <v>11</v>
      </c>
      <c r="L1">
        <v>12</v>
      </c>
      <c r="M1">
        <v>13</v>
      </c>
      <c r="N1">
        <v>14</v>
      </c>
      <c r="O1">
        <v>15</v>
      </c>
      <c r="P1">
        <v>16</v>
      </c>
      <c r="Q1">
        <v>17</v>
      </c>
    </row>
    <row r="2" spans="1:144" x14ac:dyDescent="0.3">
      <c r="A2" t="s">
        <v>11</v>
      </c>
      <c r="J2" t="s">
        <v>146</v>
      </c>
      <c r="K2" t="s">
        <v>103</v>
      </c>
      <c r="N2" t="s">
        <v>106</v>
      </c>
    </row>
    <row r="3" spans="1:144" x14ac:dyDescent="0.3">
      <c r="B3" t="s">
        <v>12</v>
      </c>
      <c r="C3" t="s">
        <v>20</v>
      </c>
      <c r="D3" t="s">
        <v>139</v>
      </c>
      <c r="E3" t="s">
        <v>13</v>
      </c>
      <c r="F3" t="s">
        <v>14</v>
      </c>
      <c r="G3" t="s">
        <v>101</v>
      </c>
      <c r="H3" t="s">
        <v>15</v>
      </c>
      <c r="I3" t="s">
        <v>140</v>
      </c>
      <c r="K3" t="s">
        <v>102</v>
      </c>
      <c r="L3" t="s">
        <v>0</v>
      </c>
      <c r="M3" t="s">
        <v>104</v>
      </c>
      <c r="N3" t="s">
        <v>105</v>
      </c>
      <c r="O3" t="s">
        <v>107</v>
      </c>
      <c r="P3" t="s">
        <v>108</v>
      </c>
      <c r="Q3" t="s">
        <v>109</v>
      </c>
      <c r="R3" t="s">
        <v>16</v>
      </c>
    </row>
    <row r="4" spans="1:144" x14ac:dyDescent="0.3">
      <c r="A4" t="s">
        <v>21</v>
      </c>
      <c r="B4">
        <v>0.75</v>
      </c>
      <c r="C4">
        <v>0.37</v>
      </c>
      <c r="D4">
        <v>240</v>
      </c>
      <c r="E4">
        <v>300</v>
      </c>
      <c r="F4">
        <v>450</v>
      </c>
      <c r="G4">
        <v>320</v>
      </c>
      <c r="H4">
        <v>430</v>
      </c>
      <c r="I4">
        <f>F4*0.95</f>
        <v>427.5</v>
      </c>
      <c r="J4" t="s">
        <v>147</v>
      </c>
      <c r="K4">
        <v>4</v>
      </c>
      <c r="L4">
        <v>308</v>
      </c>
      <c r="M4">
        <v>446.5</v>
      </c>
      <c r="N4">
        <v>151.37</v>
      </c>
      <c r="O4">
        <v>221</v>
      </c>
      <c r="P4">
        <v>270</v>
      </c>
      <c r="Q4" s="26" t="s">
        <v>124</v>
      </c>
      <c r="S4" t="s">
        <v>17</v>
      </c>
      <c r="T4" t="e">
        <f>VLOOKUP(#REF!,A4:H26,4,FALSE)</f>
        <v>#REF!</v>
      </c>
      <c r="U4" s="15" t="e">
        <f>#REF!*#REF!</f>
        <v>#REF!</v>
      </c>
      <c r="V4" t="s">
        <v>21</v>
      </c>
    </row>
    <row r="5" spans="1:144" ht="23.4" x14ac:dyDescent="0.45">
      <c r="A5" t="s">
        <v>22</v>
      </c>
      <c r="B5">
        <v>1.5</v>
      </c>
      <c r="C5">
        <v>1.1000000000000001</v>
      </c>
      <c r="D5">
        <v>240</v>
      </c>
      <c r="E5">
        <v>300</v>
      </c>
      <c r="F5">
        <v>450</v>
      </c>
      <c r="G5">
        <v>320</v>
      </c>
      <c r="H5">
        <v>430</v>
      </c>
      <c r="I5">
        <f t="shared" ref="I5:I6" si="0">H5*0.95</f>
        <v>408.5</v>
      </c>
      <c r="J5" t="s">
        <v>147</v>
      </c>
      <c r="K5">
        <v>7</v>
      </c>
      <c r="L5">
        <v>308</v>
      </c>
      <c r="M5">
        <v>446.5</v>
      </c>
      <c r="N5">
        <v>151.37</v>
      </c>
      <c r="O5">
        <v>221</v>
      </c>
      <c r="P5">
        <v>270</v>
      </c>
      <c r="Q5" s="26" t="s">
        <v>125</v>
      </c>
      <c r="S5" t="s">
        <v>18</v>
      </c>
      <c r="T5" t="e">
        <f>VLOOKUP(#REF!,A4:L26,5,FALSE)</f>
        <v>#REF!</v>
      </c>
      <c r="U5" s="15" t="e">
        <f>#REF!*#REF!</f>
        <v>#REF!</v>
      </c>
      <c r="V5" t="s">
        <v>22</v>
      </c>
      <c r="Y5" s="31" t="s">
        <v>141</v>
      </c>
    </row>
    <row r="6" spans="1:144" x14ac:dyDescent="0.3">
      <c r="A6" t="s">
        <v>23</v>
      </c>
      <c r="B6">
        <v>2.2000000000000002</v>
      </c>
      <c r="C6">
        <v>1.5</v>
      </c>
      <c r="D6">
        <v>240</v>
      </c>
      <c r="E6">
        <v>300</v>
      </c>
      <c r="F6">
        <v>450</v>
      </c>
      <c r="G6">
        <v>320</v>
      </c>
      <c r="H6">
        <v>430</v>
      </c>
      <c r="I6">
        <f t="shared" si="0"/>
        <v>408.5</v>
      </c>
      <c r="J6" t="s">
        <v>147</v>
      </c>
      <c r="K6">
        <v>10</v>
      </c>
      <c r="L6">
        <v>308</v>
      </c>
      <c r="M6">
        <v>446.5</v>
      </c>
      <c r="N6">
        <v>151.37</v>
      </c>
      <c r="O6">
        <v>221</v>
      </c>
      <c r="P6">
        <v>270</v>
      </c>
      <c r="Q6" s="26" t="s">
        <v>126</v>
      </c>
      <c r="S6" t="s">
        <v>19</v>
      </c>
      <c r="T6" t="e">
        <f>MOD((#REF!/#REF!),1)=0</f>
        <v>#REF!</v>
      </c>
      <c r="V6" t="s">
        <v>23</v>
      </c>
      <c r="Y6">
        <v>1</v>
      </c>
      <c r="Z6">
        <v>2</v>
      </c>
      <c r="AA6">
        <v>3</v>
      </c>
      <c r="AB6">
        <v>4</v>
      </c>
      <c r="AC6">
        <v>5</v>
      </c>
      <c r="AD6">
        <v>6</v>
      </c>
      <c r="AE6">
        <v>7</v>
      </c>
      <c r="AF6">
        <v>8</v>
      </c>
      <c r="AG6">
        <v>9</v>
      </c>
      <c r="AH6">
        <v>10</v>
      </c>
      <c r="AI6">
        <v>11</v>
      </c>
      <c r="AJ6">
        <v>12</v>
      </c>
      <c r="AK6">
        <v>13</v>
      </c>
      <c r="AL6">
        <v>14</v>
      </c>
      <c r="AM6">
        <v>15</v>
      </c>
      <c r="AN6">
        <v>16</v>
      </c>
      <c r="AO6">
        <v>17</v>
      </c>
      <c r="AP6">
        <v>18</v>
      </c>
      <c r="AQ6">
        <v>19</v>
      </c>
      <c r="AR6">
        <v>20</v>
      </c>
      <c r="AS6">
        <v>21</v>
      </c>
      <c r="AT6">
        <v>22</v>
      </c>
      <c r="AU6">
        <v>23</v>
      </c>
      <c r="AV6">
        <v>24</v>
      </c>
      <c r="AW6">
        <v>25</v>
      </c>
      <c r="AX6">
        <v>26</v>
      </c>
      <c r="AY6">
        <v>27</v>
      </c>
      <c r="AZ6">
        <v>28</v>
      </c>
      <c r="BA6">
        <v>29</v>
      </c>
      <c r="BB6">
        <v>30</v>
      </c>
      <c r="BC6">
        <v>31</v>
      </c>
      <c r="BD6">
        <v>32</v>
      </c>
      <c r="BE6">
        <v>33</v>
      </c>
      <c r="BF6">
        <v>34</v>
      </c>
      <c r="BG6">
        <v>35</v>
      </c>
      <c r="BH6">
        <v>36</v>
      </c>
      <c r="BI6">
        <v>37</v>
      </c>
      <c r="BJ6">
        <v>38</v>
      </c>
      <c r="BK6">
        <v>39</v>
      </c>
      <c r="BL6">
        <v>40</v>
      </c>
      <c r="BM6">
        <v>41</v>
      </c>
      <c r="BN6">
        <v>42</v>
      </c>
      <c r="BO6">
        <v>43</v>
      </c>
      <c r="BP6">
        <v>44</v>
      </c>
      <c r="BQ6">
        <v>45</v>
      </c>
      <c r="BR6">
        <v>46</v>
      </c>
      <c r="BS6">
        <v>47</v>
      </c>
      <c r="BT6">
        <v>48</v>
      </c>
      <c r="BU6">
        <v>49</v>
      </c>
      <c r="BV6">
        <v>50</v>
      </c>
      <c r="BW6">
        <v>51</v>
      </c>
      <c r="BX6">
        <v>52</v>
      </c>
      <c r="BY6">
        <v>53</v>
      </c>
      <c r="BZ6">
        <v>54</v>
      </c>
      <c r="CA6">
        <v>55</v>
      </c>
      <c r="CB6">
        <v>56</v>
      </c>
      <c r="CC6">
        <v>57</v>
      </c>
      <c r="CD6">
        <v>58</v>
      </c>
      <c r="CE6">
        <v>59</v>
      </c>
      <c r="CF6">
        <v>60</v>
      </c>
      <c r="CG6">
        <v>61</v>
      </c>
      <c r="CH6">
        <v>62</v>
      </c>
      <c r="CI6">
        <v>63</v>
      </c>
      <c r="CJ6">
        <v>64</v>
      </c>
      <c r="CK6">
        <v>65</v>
      </c>
      <c r="CL6">
        <v>66</v>
      </c>
      <c r="CM6">
        <v>67</v>
      </c>
      <c r="CN6">
        <v>68</v>
      </c>
      <c r="CO6">
        <v>69</v>
      </c>
      <c r="CP6">
        <v>70</v>
      </c>
      <c r="CQ6">
        <v>71</v>
      </c>
      <c r="CR6">
        <v>72</v>
      </c>
      <c r="CS6">
        <v>73</v>
      </c>
      <c r="CT6">
        <v>74</v>
      </c>
      <c r="CU6">
        <v>75</v>
      </c>
      <c r="CV6">
        <v>76</v>
      </c>
      <c r="CW6">
        <v>77</v>
      </c>
      <c r="CX6">
        <v>78</v>
      </c>
      <c r="CY6">
        <v>79</v>
      </c>
      <c r="CZ6">
        <v>80</v>
      </c>
      <c r="DA6">
        <v>81</v>
      </c>
      <c r="DB6">
        <v>82</v>
      </c>
      <c r="DC6">
        <v>83</v>
      </c>
      <c r="DD6">
        <v>84</v>
      </c>
      <c r="DE6">
        <v>85</v>
      </c>
      <c r="DF6">
        <v>86</v>
      </c>
      <c r="DG6">
        <v>87</v>
      </c>
      <c r="DH6">
        <v>88</v>
      </c>
      <c r="DI6">
        <v>89</v>
      </c>
      <c r="DJ6">
        <v>90</v>
      </c>
      <c r="DK6">
        <v>91</v>
      </c>
      <c r="DL6">
        <v>92</v>
      </c>
      <c r="DM6">
        <v>93</v>
      </c>
      <c r="DN6">
        <v>94</v>
      </c>
      <c r="DO6">
        <v>95</v>
      </c>
      <c r="DP6">
        <v>96</v>
      </c>
      <c r="DQ6">
        <v>97</v>
      </c>
      <c r="DR6">
        <v>98</v>
      </c>
      <c r="DS6">
        <v>99</v>
      </c>
      <c r="DT6">
        <v>100</v>
      </c>
      <c r="DU6">
        <v>101</v>
      </c>
      <c r="DV6">
        <v>102</v>
      </c>
      <c r="DW6">
        <v>103</v>
      </c>
      <c r="DX6">
        <v>104</v>
      </c>
      <c r="DY6">
        <v>105</v>
      </c>
      <c r="DZ6">
        <v>106</v>
      </c>
      <c r="EA6">
        <v>107</v>
      </c>
      <c r="EB6">
        <v>108</v>
      </c>
      <c r="EC6">
        <v>109</v>
      </c>
      <c r="ED6">
        <v>110</v>
      </c>
      <c r="EE6">
        <v>111</v>
      </c>
      <c r="EF6">
        <v>112</v>
      </c>
      <c r="EG6">
        <v>113</v>
      </c>
      <c r="EH6">
        <v>114</v>
      </c>
      <c r="EI6">
        <v>115</v>
      </c>
      <c r="EJ6">
        <v>116</v>
      </c>
      <c r="EK6">
        <v>117</v>
      </c>
      <c r="EL6">
        <v>118</v>
      </c>
      <c r="EM6">
        <v>119</v>
      </c>
      <c r="EN6">
        <v>120</v>
      </c>
    </row>
    <row r="7" spans="1:144" x14ac:dyDescent="0.3">
      <c r="A7" t="s">
        <v>340</v>
      </c>
      <c r="B7">
        <v>4</v>
      </c>
      <c r="C7">
        <v>4</v>
      </c>
      <c r="D7">
        <v>240</v>
      </c>
      <c r="E7">
        <v>300</v>
      </c>
      <c r="F7">
        <v>450</v>
      </c>
      <c r="G7">
        <v>320</v>
      </c>
      <c r="H7">
        <v>430</v>
      </c>
      <c r="I7">
        <f t="shared" ref="I7" si="1">H7*0.95</f>
        <v>408.5</v>
      </c>
      <c r="J7" t="s">
        <v>148</v>
      </c>
      <c r="K7">
        <v>15</v>
      </c>
      <c r="L7">
        <v>308</v>
      </c>
      <c r="M7">
        <v>446.5</v>
      </c>
      <c r="N7">
        <v>151.37</v>
      </c>
      <c r="O7">
        <v>221</v>
      </c>
      <c r="P7">
        <v>270</v>
      </c>
      <c r="Q7" s="26" t="s">
        <v>128</v>
      </c>
      <c r="V7" t="s">
        <v>25</v>
      </c>
      <c r="Y7">
        <f>$M$50*$I$42*Y6</f>
        <v>7215</v>
      </c>
      <c r="Z7">
        <f t="shared" ref="Z7:BD7" si="2">$M$50*$I$42*Z6</f>
        <v>14430</v>
      </c>
      <c r="AA7">
        <f t="shared" si="2"/>
        <v>21645</v>
      </c>
      <c r="AB7">
        <f t="shared" si="2"/>
        <v>28860</v>
      </c>
      <c r="AC7">
        <f t="shared" si="2"/>
        <v>36075</v>
      </c>
      <c r="AD7">
        <f t="shared" si="2"/>
        <v>43290</v>
      </c>
      <c r="AE7">
        <f t="shared" si="2"/>
        <v>50505</v>
      </c>
      <c r="AF7">
        <f t="shared" si="2"/>
        <v>57720</v>
      </c>
      <c r="AG7">
        <f t="shared" si="2"/>
        <v>64935</v>
      </c>
      <c r="AH7">
        <f t="shared" si="2"/>
        <v>72150</v>
      </c>
      <c r="AI7">
        <f t="shared" si="2"/>
        <v>79365</v>
      </c>
      <c r="AJ7">
        <f t="shared" si="2"/>
        <v>86580</v>
      </c>
      <c r="AK7">
        <f t="shared" si="2"/>
        <v>93795</v>
      </c>
      <c r="AL7">
        <f t="shared" si="2"/>
        <v>101010</v>
      </c>
      <c r="AM7">
        <f t="shared" si="2"/>
        <v>108225</v>
      </c>
      <c r="AN7">
        <f t="shared" si="2"/>
        <v>115440</v>
      </c>
      <c r="AO7">
        <f t="shared" si="2"/>
        <v>122655</v>
      </c>
      <c r="AP7">
        <f t="shared" si="2"/>
        <v>129870</v>
      </c>
      <c r="AQ7">
        <f t="shared" si="2"/>
        <v>137085</v>
      </c>
      <c r="AR7">
        <f t="shared" si="2"/>
        <v>144300</v>
      </c>
      <c r="AS7">
        <f t="shared" si="2"/>
        <v>151515</v>
      </c>
      <c r="AT7">
        <f t="shared" si="2"/>
        <v>158730</v>
      </c>
      <c r="AU7">
        <f t="shared" si="2"/>
        <v>165945</v>
      </c>
      <c r="AV7">
        <f t="shared" si="2"/>
        <v>173160</v>
      </c>
      <c r="AW7">
        <f t="shared" si="2"/>
        <v>180375</v>
      </c>
      <c r="AX7">
        <f t="shared" si="2"/>
        <v>187590</v>
      </c>
      <c r="AY7">
        <f t="shared" si="2"/>
        <v>194805</v>
      </c>
      <c r="AZ7">
        <f t="shared" si="2"/>
        <v>202020</v>
      </c>
      <c r="BA7">
        <f t="shared" si="2"/>
        <v>209235</v>
      </c>
      <c r="BB7">
        <f t="shared" si="2"/>
        <v>216450</v>
      </c>
      <c r="BC7">
        <f t="shared" si="2"/>
        <v>223665</v>
      </c>
      <c r="BD7">
        <f t="shared" si="2"/>
        <v>230880</v>
      </c>
      <c r="BE7">
        <f t="shared" ref="BE7:CJ7" si="3">$M$50*$I$42*BE6</f>
        <v>238095</v>
      </c>
      <c r="BF7">
        <f t="shared" si="3"/>
        <v>245310</v>
      </c>
      <c r="BG7">
        <f t="shared" si="3"/>
        <v>252525</v>
      </c>
      <c r="BH7">
        <f t="shared" si="3"/>
        <v>259740</v>
      </c>
      <c r="BI7">
        <f t="shared" si="3"/>
        <v>266955</v>
      </c>
      <c r="BJ7">
        <f t="shared" si="3"/>
        <v>274170</v>
      </c>
      <c r="BK7">
        <f t="shared" si="3"/>
        <v>281385</v>
      </c>
      <c r="BL7">
        <f t="shared" si="3"/>
        <v>288600</v>
      </c>
      <c r="BM7">
        <f t="shared" si="3"/>
        <v>295815</v>
      </c>
      <c r="BN7">
        <f t="shared" si="3"/>
        <v>303030</v>
      </c>
      <c r="BO7">
        <f t="shared" si="3"/>
        <v>310245</v>
      </c>
      <c r="BP7">
        <f t="shared" si="3"/>
        <v>317460</v>
      </c>
      <c r="BQ7">
        <f t="shared" si="3"/>
        <v>324675</v>
      </c>
      <c r="BR7">
        <f t="shared" si="3"/>
        <v>331890</v>
      </c>
      <c r="BS7">
        <f t="shared" si="3"/>
        <v>339105</v>
      </c>
      <c r="BT7">
        <f t="shared" si="3"/>
        <v>346320</v>
      </c>
      <c r="BU7">
        <f t="shared" si="3"/>
        <v>353535</v>
      </c>
      <c r="BV7">
        <f t="shared" si="3"/>
        <v>360750</v>
      </c>
      <c r="BW7">
        <f t="shared" si="3"/>
        <v>367965</v>
      </c>
      <c r="BX7">
        <f t="shared" si="3"/>
        <v>375180</v>
      </c>
      <c r="BY7">
        <f t="shared" si="3"/>
        <v>382395</v>
      </c>
      <c r="BZ7">
        <f t="shared" si="3"/>
        <v>389610</v>
      </c>
      <c r="CA7">
        <f t="shared" si="3"/>
        <v>396825</v>
      </c>
      <c r="CB7">
        <f t="shared" si="3"/>
        <v>404040</v>
      </c>
      <c r="CC7">
        <f t="shared" si="3"/>
        <v>411255</v>
      </c>
      <c r="CD7">
        <f t="shared" si="3"/>
        <v>418470</v>
      </c>
      <c r="CE7">
        <f t="shared" si="3"/>
        <v>425685</v>
      </c>
      <c r="CF7">
        <f t="shared" si="3"/>
        <v>432900</v>
      </c>
      <c r="CG7">
        <f t="shared" si="3"/>
        <v>440115</v>
      </c>
      <c r="CH7">
        <f t="shared" si="3"/>
        <v>447330</v>
      </c>
      <c r="CI7">
        <f t="shared" si="3"/>
        <v>454545</v>
      </c>
      <c r="CJ7">
        <f t="shared" si="3"/>
        <v>461760</v>
      </c>
      <c r="CK7">
        <f t="shared" ref="CK7:DP7" si="4">$M$50*$I$42*CK6</f>
        <v>468975</v>
      </c>
      <c r="CL7">
        <f t="shared" si="4"/>
        <v>476190</v>
      </c>
      <c r="CM7">
        <f t="shared" si="4"/>
        <v>483405</v>
      </c>
      <c r="CN7">
        <f t="shared" si="4"/>
        <v>490620</v>
      </c>
      <c r="CO7">
        <f t="shared" si="4"/>
        <v>497835</v>
      </c>
      <c r="CP7">
        <f t="shared" si="4"/>
        <v>505050</v>
      </c>
      <c r="CQ7">
        <f t="shared" si="4"/>
        <v>512265</v>
      </c>
      <c r="CR7">
        <f t="shared" si="4"/>
        <v>519480</v>
      </c>
      <c r="CS7">
        <f t="shared" si="4"/>
        <v>526695</v>
      </c>
      <c r="CT7">
        <f t="shared" si="4"/>
        <v>533910</v>
      </c>
      <c r="CU7">
        <f t="shared" si="4"/>
        <v>541125</v>
      </c>
      <c r="CV7">
        <f t="shared" si="4"/>
        <v>548340</v>
      </c>
      <c r="CW7">
        <f t="shared" si="4"/>
        <v>555555</v>
      </c>
      <c r="CX7">
        <f t="shared" si="4"/>
        <v>562770</v>
      </c>
      <c r="CY7">
        <f t="shared" si="4"/>
        <v>569985</v>
      </c>
      <c r="CZ7">
        <f t="shared" si="4"/>
        <v>577200</v>
      </c>
      <c r="DA7">
        <f t="shared" si="4"/>
        <v>584415</v>
      </c>
      <c r="DB7">
        <f t="shared" si="4"/>
        <v>591630</v>
      </c>
      <c r="DC7">
        <f t="shared" si="4"/>
        <v>598845</v>
      </c>
      <c r="DD7">
        <f t="shared" si="4"/>
        <v>606060</v>
      </c>
      <c r="DE7">
        <f t="shared" si="4"/>
        <v>613275</v>
      </c>
      <c r="DF7">
        <f t="shared" si="4"/>
        <v>620490</v>
      </c>
      <c r="DG7">
        <f t="shared" si="4"/>
        <v>627705</v>
      </c>
      <c r="DH7">
        <f t="shared" si="4"/>
        <v>634920</v>
      </c>
      <c r="DI7">
        <f t="shared" si="4"/>
        <v>642135</v>
      </c>
      <c r="DJ7">
        <f t="shared" si="4"/>
        <v>649350</v>
      </c>
      <c r="DK7">
        <f t="shared" si="4"/>
        <v>656565</v>
      </c>
      <c r="DL7">
        <f t="shared" si="4"/>
        <v>663780</v>
      </c>
      <c r="DM7">
        <f t="shared" si="4"/>
        <v>670995</v>
      </c>
      <c r="DN7">
        <f t="shared" si="4"/>
        <v>678210</v>
      </c>
      <c r="DO7">
        <f t="shared" si="4"/>
        <v>685425</v>
      </c>
      <c r="DP7">
        <f t="shared" si="4"/>
        <v>692640</v>
      </c>
      <c r="DQ7">
        <f t="shared" ref="DQ7:EN7" si="5">$M$50*$I$42*DQ6</f>
        <v>699855</v>
      </c>
      <c r="DR7">
        <f t="shared" si="5"/>
        <v>707070</v>
      </c>
      <c r="DS7">
        <f t="shared" si="5"/>
        <v>714285</v>
      </c>
      <c r="DT7">
        <f t="shared" si="5"/>
        <v>721500</v>
      </c>
      <c r="DU7">
        <f t="shared" si="5"/>
        <v>728715</v>
      </c>
      <c r="DV7">
        <f t="shared" si="5"/>
        <v>735930</v>
      </c>
      <c r="DW7">
        <f t="shared" si="5"/>
        <v>743145</v>
      </c>
      <c r="DX7">
        <f t="shared" si="5"/>
        <v>750360</v>
      </c>
      <c r="DY7">
        <f t="shared" si="5"/>
        <v>757575</v>
      </c>
      <c r="DZ7">
        <f t="shared" si="5"/>
        <v>764790</v>
      </c>
      <c r="EA7">
        <f t="shared" si="5"/>
        <v>772005</v>
      </c>
      <c r="EB7">
        <f t="shared" si="5"/>
        <v>779220</v>
      </c>
      <c r="EC7">
        <f t="shared" si="5"/>
        <v>786435</v>
      </c>
      <c r="ED7">
        <f t="shared" si="5"/>
        <v>793650</v>
      </c>
      <c r="EE7">
        <f t="shared" si="5"/>
        <v>800865</v>
      </c>
      <c r="EF7">
        <f t="shared" si="5"/>
        <v>808080</v>
      </c>
      <c r="EG7">
        <f t="shared" si="5"/>
        <v>815295</v>
      </c>
      <c r="EH7">
        <f t="shared" si="5"/>
        <v>822510</v>
      </c>
      <c r="EI7">
        <f t="shared" si="5"/>
        <v>829725</v>
      </c>
      <c r="EJ7">
        <f t="shared" si="5"/>
        <v>836940</v>
      </c>
      <c r="EK7">
        <f t="shared" si="5"/>
        <v>844155</v>
      </c>
      <c r="EL7">
        <f t="shared" si="5"/>
        <v>851370</v>
      </c>
      <c r="EM7">
        <f t="shared" si="5"/>
        <v>858585</v>
      </c>
      <c r="EN7">
        <f t="shared" si="5"/>
        <v>865800</v>
      </c>
    </row>
    <row r="8" spans="1:144" x14ac:dyDescent="0.3">
      <c r="A8" t="s">
        <v>318</v>
      </c>
      <c r="B8">
        <v>2.2000000000000002</v>
      </c>
      <c r="C8">
        <v>2.2000000000000002</v>
      </c>
      <c r="D8">
        <v>380</v>
      </c>
      <c r="E8">
        <v>500</v>
      </c>
      <c r="F8">
        <v>850</v>
      </c>
      <c r="G8">
        <v>620</v>
      </c>
      <c r="H8">
        <v>850</v>
      </c>
      <c r="I8">
        <f>F8*0.95</f>
        <v>807.5</v>
      </c>
      <c r="J8" t="s">
        <v>147</v>
      </c>
      <c r="K8">
        <v>5</v>
      </c>
      <c r="L8">
        <v>308</v>
      </c>
      <c r="M8">
        <v>446.5</v>
      </c>
      <c r="N8">
        <v>151.37</v>
      </c>
      <c r="O8">
        <v>221</v>
      </c>
      <c r="P8">
        <v>270</v>
      </c>
      <c r="Q8" s="26" t="s">
        <v>127</v>
      </c>
      <c r="V8" t="s">
        <v>24</v>
      </c>
      <c r="Y8">
        <f t="shared" ref="Y8:BD8" si="6">IF(Y7-$Z$9&lt;0,1000000,Y7-$Z$9)</f>
        <v>1000000</v>
      </c>
      <c r="Z8">
        <f t="shared" si="6"/>
        <v>1000000</v>
      </c>
      <c r="AA8">
        <f t="shared" si="6"/>
        <v>1000000</v>
      </c>
      <c r="AB8">
        <f t="shared" si="6"/>
        <v>4860</v>
      </c>
      <c r="AC8">
        <f t="shared" si="6"/>
        <v>12075</v>
      </c>
      <c r="AD8">
        <f t="shared" si="6"/>
        <v>19290</v>
      </c>
      <c r="AE8">
        <f t="shared" si="6"/>
        <v>26505</v>
      </c>
      <c r="AF8">
        <f t="shared" si="6"/>
        <v>33720</v>
      </c>
      <c r="AG8">
        <f t="shared" si="6"/>
        <v>40935</v>
      </c>
      <c r="AH8">
        <f t="shared" si="6"/>
        <v>48150</v>
      </c>
      <c r="AI8">
        <f t="shared" si="6"/>
        <v>55365</v>
      </c>
      <c r="AJ8">
        <f t="shared" si="6"/>
        <v>62580</v>
      </c>
      <c r="AK8">
        <f t="shared" si="6"/>
        <v>69795</v>
      </c>
      <c r="AL8">
        <f t="shared" si="6"/>
        <v>77010</v>
      </c>
      <c r="AM8">
        <f t="shared" si="6"/>
        <v>84225</v>
      </c>
      <c r="AN8">
        <f t="shared" si="6"/>
        <v>91440</v>
      </c>
      <c r="AO8">
        <f t="shared" si="6"/>
        <v>98655</v>
      </c>
      <c r="AP8">
        <f t="shared" si="6"/>
        <v>105870</v>
      </c>
      <c r="AQ8">
        <f t="shared" si="6"/>
        <v>113085</v>
      </c>
      <c r="AR8">
        <f t="shared" si="6"/>
        <v>120300</v>
      </c>
      <c r="AS8">
        <f t="shared" si="6"/>
        <v>127515</v>
      </c>
      <c r="AT8">
        <f t="shared" si="6"/>
        <v>134730</v>
      </c>
      <c r="AU8">
        <f t="shared" si="6"/>
        <v>141945</v>
      </c>
      <c r="AV8">
        <f t="shared" si="6"/>
        <v>149160</v>
      </c>
      <c r="AW8">
        <f t="shared" si="6"/>
        <v>156375</v>
      </c>
      <c r="AX8">
        <f t="shared" si="6"/>
        <v>163590</v>
      </c>
      <c r="AY8">
        <f t="shared" si="6"/>
        <v>170805</v>
      </c>
      <c r="AZ8">
        <f t="shared" si="6"/>
        <v>178020</v>
      </c>
      <c r="BA8">
        <f t="shared" si="6"/>
        <v>185235</v>
      </c>
      <c r="BB8">
        <f t="shared" si="6"/>
        <v>192450</v>
      </c>
      <c r="BC8">
        <f t="shared" si="6"/>
        <v>199665</v>
      </c>
      <c r="BD8">
        <f t="shared" si="6"/>
        <v>206880</v>
      </c>
      <c r="BE8">
        <f t="shared" ref="BE8:CJ8" si="7">IF(BE7-$Z$9&lt;0,1000000,BE7-$Z$9)</f>
        <v>214095</v>
      </c>
      <c r="BF8">
        <f t="shared" si="7"/>
        <v>221310</v>
      </c>
      <c r="BG8">
        <f t="shared" si="7"/>
        <v>228525</v>
      </c>
      <c r="BH8">
        <f t="shared" si="7"/>
        <v>235740</v>
      </c>
      <c r="BI8">
        <f t="shared" si="7"/>
        <v>242955</v>
      </c>
      <c r="BJ8">
        <f t="shared" si="7"/>
        <v>250170</v>
      </c>
      <c r="BK8">
        <f t="shared" si="7"/>
        <v>257385</v>
      </c>
      <c r="BL8">
        <f t="shared" si="7"/>
        <v>264600</v>
      </c>
      <c r="BM8">
        <f t="shared" si="7"/>
        <v>271815</v>
      </c>
      <c r="BN8">
        <f t="shared" si="7"/>
        <v>279030</v>
      </c>
      <c r="BO8">
        <f t="shared" si="7"/>
        <v>286245</v>
      </c>
      <c r="BP8">
        <f t="shared" si="7"/>
        <v>293460</v>
      </c>
      <c r="BQ8">
        <f t="shared" si="7"/>
        <v>300675</v>
      </c>
      <c r="BR8">
        <f t="shared" si="7"/>
        <v>307890</v>
      </c>
      <c r="BS8">
        <f t="shared" si="7"/>
        <v>315105</v>
      </c>
      <c r="BT8">
        <f t="shared" si="7"/>
        <v>322320</v>
      </c>
      <c r="BU8">
        <f t="shared" si="7"/>
        <v>329535</v>
      </c>
      <c r="BV8">
        <f t="shared" si="7"/>
        <v>336750</v>
      </c>
      <c r="BW8">
        <f t="shared" si="7"/>
        <v>343965</v>
      </c>
      <c r="BX8">
        <f t="shared" si="7"/>
        <v>351180</v>
      </c>
      <c r="BY8">
        <f t="shared" si="7"/>
        <v>358395</v>
      </c>
      <c r="BZ8">
        <f t="shared" si="7"/>
        <v>365610</v>
      </c>
      <c r="CA8">
        <f t="shared" si="7"/>
        <v>372825</v>
      </c>
      <c r="CB8">
        <f t="shared" si="7"/>
        <v>380040</v>
      </c>
      <c r="CC8">
        <f t="shared" si="7"/>
        <v>387255</v>
      </c>
      <c r="CD8">
        <f t="shared" si="7"/>
        <v>394470</v>
      </c>
      <c r="CE8">
        <f t="shared" si="7"/>
        <v>401685</v>
      </c>
      <c r="CF8">
        <f t="shared" si="7"/>
        <v>408900</v>
      </c>
      <c r="CG8">
        <f t="shared" si="7"/>
        <v>416115</v>
      </c>
      <c r="CH8">
        <f t="shared" si="7"/>
        <v>423330</v>
      </c>
      <c r="CI8">
        <f t="shared" si="7"/>
        <v>430545</v>
      </c>
      <c r="CJ8">
        <f t="shared" si="7"/>
        <v>437760</v>
      </c>
      <c r="CK8">
        <f t="shared" ref="CK8:DP8" si="8">IF(CK7-$Z$9&lt;0,1000000,CK7-$Z$9)</f>
        <v>444975</v>
      </c>
      <c r="CL8">
        <f t="shared" si="8"/>
        <v>452190</v>
      </c>
      <c r="CM8">
        <f t="shared" si="8"/>
        <v>459405</v>
      </c>
      <c r="CN8">
        <f t="shared" si="8"/>
        <v>466620</v>
      </c>
      <c r="CO8">
        <f t="shared" si="8"/>
        <v>473835</v>
      </c>
      <c r="CP8">
        <f t="shared" si="8"/>
        <v>481050</v>
      </c>
      <c r="CQ8">
        <f t="shared" si="8"/>
        <v>488265</v>
      </c>
      <c r="CR8">
        <f t="shared" si="8"/>
        <v>495480</v>
      </c>
      <c r="CS8">
        <f t="shared" si="8"/>
        <v>502695</v>
      </c>
      <c r="CT8">
        <f t="shared" si="8"/>
        <v>509910</v>
      </c>
      <c r="CU8">
        <f t="shared" si="8"/>
        <v>517125</v>
      </c>
      <c r="CV8">
        <f t="shared" si="8"/>
        <v>524340</v>
      </c>
      <c r="CW8">
        <f t="shared" si="8"/>
        <v>531555</v>
      </c>
      <c r="CX8">
        <f t="shared" si="8"/>
        <v>538770</v>
      </c>
      <c r="CY8">
        <f t="shared" si="8"/>
        <v>545985</v>
      </c>
      <c r="CZ8">
        <f t="shared" si="8"/>
        <v>553200</v>
      </c>
      <c r="DA8">
        <f t="shared" si="8"/>
        <v>560415</v>
      </c>
      <c r="DB8">
        <f t="shared" si="8"/>
        <v>567630</v>
      </c>
      <c r="DC8">
        <f t="shared" si="8"/>
        <v>574845</v>
      </c>
      <c r="DD8">
        <f t="shared" si="8"/>
        <v>582060</v>
      </c>
      <c r="DE8">
        <f t="shared" si="8"/>
        <v>589275</v>
      </c>
      <c r="DF8">
        <f t="shared" si="8"/>
        <v>596490</v>
      </c>
      <c r="DG8">
        <f t="shared" si="8"/>
        <v>603705</v>
      </c>
      <c r="DH8">
        <f t="shared" si="8"/>
        <v>610920</v>
      </c>
      <c r="DI8">
        <f t="shared" si="8"/>
        <v>618135</v>
      </c>
      <c r="DJ8">
        <f t="shared" si="8"/>
        <v>625350</v>
      </c>
      <c r="DK8">
        <f t="shared" si="8"/>
        <v>632565</v>
      </c>
      <c r="DL8">
        <f t="shared" si="8"/>
        <v>639780</v>
      </c>
      <c r="DM8">
        <f t="shared" si="8"/>
        <v>646995</v>
      </c>
      <c r="DN8">
        <f t="shared" si="8"/>
        <v>654210</v>
      </c>
      <c r="DO8">
        <f t="shared" si="8"/>
        <v>661425</v>
      </c>
      <c r="DP8">
        <f t="shared" si="8"/>
        <v>668640</v>
      </c>
      <c r="DQ8">
        <f t="shared" ref="DQ8:EN8" si="9">IF(DQ7-$Z$9&lt;0,1000000,DQ7-$Z$9)</f>
        <v>675855</v>
      </c>
      <c r="DR8">
        <f t="shared" si="9"/>
        <v>683070</v>
      </c>
      <c r="DS8">
        <f t="shared" si="9"/>
        <v>690285</v>
      </c>
      <c r="DT8">
        <f t="shared" si="9"/>
        <v>697500</v>
      </c>
      <c r="DU8">
        <f t="shared" si="9"/>
        <v>704715</v>
      </c>
      <c r="DV8">
        <f t="shared" si="9"/>
        <v>711930</v>
      </c>
      <c r="DW8">
        <f t="shared" si="9"/>
        <v>719145</v>
      </c>
      <c r="DX8">
        <f t="shared" si="9"/>
        <v>726360</v>
      </c>
      <c r="DY8">
        <f t="shared" si="9"/>
        <v>733575</v>
      </c>
      <c r="DZ8">
        <f t="shared" si="9"/>
        <v>740790</v>
      </c>
      <c r="EA8">
        <f t="shared" si="9"/>
        <v>748005</v>
      </c>
      <c r="EB8">
        <f t="shared" si="9"/>
        <v>755220</v>
      </c>
      <c r="EC8">
        <f t="shared" si="9"/>
        <v>762435</v>
      </c>
      <c r="ED8">
        <f t="shared" si="9"/>
        <v>769650</v>
      </c>
      <c r="EE8">
        <f t="shared" si="9"/>
        <v>776865</v>
      </c>
      <c r="EF8">
        <f t="shared" si="9"/>
        <v>784080</v>
      </c>
      <c r="EG8">
        <f t="shared" si="9"/>
        <v>791295</v>
      </c>
      <c r="EH8">
        <f t="shared" si="9"/>
        <v>798510</v>
      </c>
      <c r="EI8">
        <f t="shared" si="9"/>
        <v>805725</v>
      </c>
      <c r="EJ8">
        <f t="shared" si="9"/>
        <v>812940</v>
      </c>
      <c r="EK8">
        <f t="shared" si="9"/>
        <v>820155</v>
      </c>
      <c r="EL8">
        <f t="shared" si="9"/>
        <v>827370</v>
      </c>
      <c r="EM8">
        <f t="shared" si="9"/>
        <v>834585</v>
      </c>
      <c r="EN8">
        <f t="shared" si="9"/>
        <v>841800</v>
      </c>
    </row>
    <row r="9" spans="1:144" x14ac:dyDescent="0.3">
      <c r="A9" t="s">
        <v>319</v>
      </c>
      <c r="B9">
        <v>4</v>
      </c>
      <c r="C9">
        <v>4</v>
      </c>
      <c r="D9">
        <v>380</v>
      </c>
      <c r="E9">
        <v>500</v>
      </c>
      <c r="F9">
        <v>850</v>
      </c>
      <c r="G9">
        <v>620</v>
      </c>
      <c r="H9">
        <v>850</v>
      </c>
      <c r="I9">
        <f t="shared" ref="I9:I26" si="10">F9*0.95</f>
        <v>807.5</v>
      </c>
      <c r="J9" t="s">
        <v>147</v>
      </c>
      <c r="K9">
        <v>10</v>
      </c>
      <c r="L9">
        <v>308</v>
      </c>
      <c r="M9">
        <v>446.5</v>
      </c>
      <c r="N9">
        <v>151.37</v>
      </c>
      <c r="O9">
        <v>221</v>
      </c>
      <c r="P9">
        <v>270</v>
      </c>
      <c r="Q9" s="26" t="s">
        <v>128</v>
      </c>
      <c r="V9" t="s">
        <v>26</v>
      </c>
      <c r="Y9" t="s">
        <v>142</v>
      </c>
      <c r="Z9">
        <f>M35*1000*1.6</f>
        <v>24000</v>
      </c>
      <c r="AA9">
        <f>HLOOKUP(Z9,Y6:EN7,1,1)</f>
        <v>120</v>
      </c>
    </row>
    <row r="10" spans="1:144" x14ac:dyDescent="0.3">
      <c r="A10" t="s">
        <v>320</v>
      </c>
      <c r="B10">
        <v>5.5</v>
      </c>
      <c r="C10">
        <v>5.5</v>
      </c>
      <c r="D10">
        <v>380</v>
      </c>
      <c r="E10">
        <v>500</v>
      </c>
      <c r="F10">
        <v>850</v>
      </c>
      <c r="G10">
        <v>620</v>
      </c>
      <c r="H10">
        <v>850</v>
      </c>
      <c r="I10">
        <f t="shared" si="10"/>
        <v>807.5</v>
      </c>
      <c r="J10" t="s">
        <v>147</v>
      </c>
      <c r="K10">
        <v>13</v>
      </c>
      <c r="L10">
        <v>308</v>
      </c>
      <c r="M10">
        <v>446.5</v>
      </c>
      <c r="N10">
        <v>195.87</v>
      </c>
      <c r="O10">
        <v>221</v>
      </c>
      <c r="P10">
        <v>270</v>
      </c>
      <c r="Q10" s="26" t="s">
        <v>129</v>
      </c>
      <c r="V10" t="s">
        <v>27</v>
      </c>
    </row>
    <row r="11" spans="1:144" x14ac:dyDescent="0.3">
      <c r="A11" t="s">
        <v>321</v>
      </c>
      <c r="B11">
        <v>7.5</v>
      </c>
      <c r="C11">
        <v>7.5</v>
      </c>
      <c r="D11">
        <v>380</v>
      </c>
      <c r="E11">
        <v>500</v>
      </c>
      <c r="F11">
        <v>850</v>
      </c>
      <c r="G11">
        <v>620</v>
      </c>
      <c r="H11">
        <v>850</v>
      </c>
      <c r="I11">
        <f t="shared" si="10"/>
        <v>807.5</v>
      </c>
      <c r="J11" t="s">
        <v>147</v>
      </c>
      <c r="K11">
        <v>17</v>
      </c>
      <c r="L11">
        <v>308</v>
      </c>
      <c r="M11">
        <v>446.5</v>
      </c>
      <c r="N11">
        <v>195.87</v>
      </c>
      <c r="O11">
        <v>221</v>
      </c>
      <c r="P11">
        <v>270</v>
      </c>
      <c r="Q11" s="26" t="s">
        <v>130</v>
      </c>
      <c r="V11" t="s">
        <v>28</v>
      </c>
    </row>
    <row r="12" spans="1:144" x14ac:dyDescent="0.3">
      <c r="A12" t="s">
        <v>322</v>
      </c>
      <c r="B12">
        <v>11</v>
      </c>
      <c r="C12">
        <v>11</v>
      </c>
      <c r="D12">
        <v>380</v>
      </c>
      <c r="E12">
        <v>500</v>
      </c>
      <c r="F12">
        <v>850</v>
      </c>
      <c r="G12">
        <v>620</v>
      </c>
      <c r="H12">
        <v>850</v>
      </c>
      <c r="I12">
        <f t="shared" si="10"/>
        <v>807.5</v>
      </c>
      <c r="J12" t="s">
        <v>147</v>
      </c>
      <c r="K12">
        <v>25</v>
      </c>
      <c r="L12">
        <v>462</v>
      </c>
      <c r="M12">
        <v>669</v>
      </c>
      <c r="N12">
        <v>293</v>
      </c>
      <c r="O12">
        <v>331</v>
      </c>
      <c r="P12">
        <v>405</v>
      </c>
      <c r="Q12" s="26" t="s">
        <v>131</v>
      </c>
      <c r="V12" t="s">
        <v>29</v>
      </c>
    </row>
    <row r="13" spans="1:144" x14ac:dyDescent="0.3">
      <c r="A13" t="s">
        <v>323</v>
      </c>
      <c r="B13">
        <v>15</v>
      </c>
      <c r="C13">
        <v>2.2000000000000002</v>
      </c>
      <c r="D13">
        <v>380</v>
      </c>
      <c r="E13">
        <v>500</v>
      </c>
      <c r="F13">
        <v>850</v>
      </c>
      <c r="G13">
        <v>620</v>
      </c>
      <c r="H13">
        <v>850</v>
      </c>
      <c r="I13">
        <f t="shared" si="10"/>
        <v>807.5</v>
      </c>
      <c r="J13" t="s">
        <v>147</v>
      </c>
      <c r="K13">
        <v>32</v>
      </c>
      <c r="L13">
        <v>462</v>
      </c>
      <c r="M13">
        <v>669</v>
      </c>
      <c r="N13">
        <v>293</v>
      </c>
      <c r="O13">
        <v>331</v>
      </c>
      <c r="P13">
        <v>405</v>
      </c>
      <c r="Q13" s="26" t="s">
        <v>132</v>
      </c>
      <c r="V13" t="s">
        <v>120</v>
      </c>
    </row>
    <row r="14" spans="1:144" x14ac:dyDescent="0.3">
      <c r="A14" t="s">
        <v>324</v>
      </c>
      <c r="B14" s="25">
        <v>18.5</v>
      </c>
      <c r="C14" s="25">
        <v>18.5</v>
      </c>
      <c r="D14">
        <v>380</v>
      </c>
      <c r="E14">
        <v>500</v>
      </c>
      <c r="F14">
        <v>850</v>
      </c>
      <c r="G14">
        <v>620</v>
      </c>
      <c r="H14">
        <v>850</v>
      </c>
      <c r="I14">
        <f t="shared" si="10"/>
        <v>807.5</v>
      </c>
      <c r="J14" t="s">
        <v>148</v>
      </c>
      <c r="K14">
        <v>38</v>
      </c>
      <c r="L14" s="25">
        <v>142</v>
      </c>
      <c r="M14" s="25">
        <v>383</v>
      </c>
      <c r="N14" s="25">
        <v>225</v>
      </c>
      <c r="O14" s="25">
        <v>125</v>
      </c>
      <c r="P14" s="25">
        <v>372</v>
      </c>
      <c r="Q14" s="26" t="s">
        <v>123</v>
      </c>
      <c r="V14" t="s">
        <v>121</v>
      </c>
    </row>
    <row r="15" spans="1:144" x14ac:dyDescent="0.3">
      <c r="A15" t="s">
        <v>325</v>
      </c>
      <c r="B15" s="25">
        <v>22</v>
      </c>
      <c r="C15" s="25">
        <v>22</v>
      </c>
      <c r="D15">
        <v>380</v>
      </c>
      <c r="E15">
        <v>500</v>
      </c>
      <c r="F15">
        <v>850</v>
      </c>
      <c r="G15">
        <v>620</v>
      </c>
      <c r="H15">
        <v>850</v>
      </c>
      <c r="I15">
        <f t="shared" si="10"/>
        <v>807.5</v>
      </c>
      <c r="J15" t="s">
        <v>148</v>
      </c>
      <c r="K15">
        <v>45</v>
      </c>
      <c r="L15" s="25">
        <v>142</v>
      </c>
      <c r="M15" s="25">
        <v>383</v>
      </c>
      <c r="N15" s="25">
        <v>225</v>
      </c>
      <c r="O15" s="25">
        <v>125</v>
      </c>
      <c r="P15" s="25">
        <v>372</v>
      </c>
      <c r="Q15" s="26" t="s">
        <v>123</v>
      </c>
      <c r="V15" t="s">
        <v>122</v>
      </c>
    </row>
    <row r="16" spans="1:144" x14ac:dyDescent="0.3">
      <c r="A16" t="s">
        <v>326</v>
      </c>
      <c r="B16" s="25">
        <v>30</v>
      </c>
      <c r="C16" s="25">
        <v>30</v>
      </c>
      <c r="D16">
        <v>380</v>
      </c>
      <c r="E16">
        <v>500</v>
      </c>
      <c r="F16">
        <v>850</v>
      </c>
      <c r="G16">
        <v>620</v>
      </c>
      <c r="H16">
        <v>850</v>
      </c>
      <c r="I16">
        <f t="shared" si="10"/>
        <v>807.5</v>
      </c>
      <c r="J16" t="s">
        <v>148</v>
      </c>
      <c r="K16">
        <v>60</v>
      </c>
      <c r="L16" s="25">
        <v>172</v>
      </c>
      <c r="M16" s="25">
        <v>430</v>
      </c>
      <c r="N16" s="25">
        <v>225</v>
      </c>
      <c r="O16" s="25">
        <v>150</v>
      </c>
      <c r="P16" s="25">
        <v>416.5</v>
      </c>
      <c r="Q16" s="26" t="s">
        <v>123</v>
      </c>
      <c r="V16" t="s">
        <v>110</v>
      </c>
    </row>
    <row r="17" spans="1:22" x14ac:dyDescent="0.3">
      <c r="A17" t="s">
        <v>327</v>
      </c>
      <c r="B17" s="25">
        <v>37</v>
      </c>
      <c r="C17" s="25">
        <v>37</v>
      </c>
      <c r="D17">
        <v>380</v>
      </c>
      <c r="E17">
        <v>500</v>
      </c>
      <c r="F17">
        <v>850</v>
      </c>
      <c r="G17">
        <v>620</v>
      </c>
      <c r="H17">
        <v>850</v>
      </c>
      <c r="I17">
        <f t="shared" si="10"/>
        <v>807.5</v>
      </c>
      <c r="J17" t="s">
        <v>148</v>
      </c>
      <c r="K17">
        <v>75</v>
      </c>
      <c r="L17" s="25">
        <v>172</v>
      </c>
      <c r="M17" s="25">
        <v>430</v>
      </c>
      <c r="N17" s="25">
        <v>225</v>
      </c>
      <c r="O17" s="25">
        <v>150</v>
      </c>
      <c r="P17" s="25">
        <v>416.5</v>
      </c>
      <c r="Q17" s="26" t="s">
        <v>124</v>
      </c>
      <c r="V17" t="s">
        <v>111</v>
      </c>
    </row>
    <row r="18" spans="1:22" x14ac:dyDescent="0.3">
      <c r="A18" t="s">
        <v>328</v>
      </c>
      <c r="B18">
        <v>45</v>
      </c>
      <c r="C18">
        <v>45</v>
      </c>
      <c r="D18">
        <v>380</v>
      </c>
      <c r="E18">
        <v>500</v>
      </c>
      <c r="F18">
        <v>850</v>
      </c>
      <c r="G18">
        <v>620</v>
      </c>
      <c r="H18">
        <v>850</v>
      </c>
      <c r="I18">
        <f t="shared" si="10"/>
        <v>807.5</v>
      </c>
      <c r="J18" t="s">
        <v>148</v>
      </c>
      <c r="K18">
        <v>90</v>
      </c>
      <c r="L18" s="25">
        <v>240</v>
      </c>
      <c r="M18" s="25">
        <v>560</v>
      </c>
      <c r="N18" s="25">
        <v>310</v>
      </c>
      <c r="O18" s="25">
        <v>176</v>
      </c>
      <c r="P18" s="25">
        <v>544</v>
      </c>
      <c r="Q18" s="26" t="s">
        <v>124</v>
      </c>
      <c r="V18" t="s">
        <v>112</v>
      </c>
    </row>
    <row r="19" spans="1:22" x14ac:dyDescent="0.3">
      <c r="A19" t="s">
        <v>329</v>
      </c>
      <c r="B19">
        <v>55</v>
      </c>
      <c r="C19">
        <v>55</v>
      </c>
      <c r="D19">
        <v>380</v>
      </c>
      <c r="E19">
        <v>500</v>
      </c>
      <c r="F19">
        <v>850</v>
      </c>
      <c r="G19">
        <v>620</v>
      </c>
      <c r="H19">
        <v>850</v>
      </c>
      <c r="I19">
        <f t="shared" si="10"/>
        <v>807.5</v>
      </c>
      <c r="J19" t="s">
        <v>148</v>
      </c>
      <c r="K19">
        <v>110</v>
      </c>
      <c r="L19" s="25">
        <v>240</v>
      </c>
      <c r="M19" s="25">
        <v>560</v>
      </c>
      <c r="N19" s="25">
        <v>310</v>
      </c>
      <c r="O19" s="25">
        <v>176</v>
      </c>
      <c r="P19" s="25">
        <v>544</v>
      </c>
      <c r="Q19" s="26" t="s">
        <v>125</v>
      </c>
      <c r="V19" t="s">
        <v>113</v>
      </c>
    </row>
    <row r="20" spans="1:22" x14ac:dyDescent="0.3">
      <c r="A20" t="s">
        <v>330</v>
      </c>
      <c r="B20">
        <v>75</v>
      </c>
      <c r="C20">
        <v>75</v>
      </c>
      <c r="D20">
        <v>380</v>
      </c>
      <c r="E20">
        <v>500</v>
      </c>
      <c r="F20">
        <v>850</v>
      </c>
      <c r="G20">
        <v>620</v>
      </c>
      <c r="H20">
        <v>850</v>
      </c>
      <c r="I20">
        <f t="shared" si="10"/>
        <v>807.5</v>
      </c>
      <c r="J20" t="s">
        <v>148</v>
      </c>
      <c r="K20">
        <v>150</v>
      </c>
      <c r="L20" s="25">
        <v>240</v>
      </c>
      <c r="M20" s="25">
        <v>560</v>
      </c>
      <c r="N20" s="25">
        <v>310</v>
      </c>
      <c r="O20" s="25">
        <v>176</v>
      </c>
      <c r="P20" s="25">
        <v>544</v>
      </c>
      <c r="Q20" s="26" t="s">
        <v>126</v>
      </c>
      <c r="V20" t="s">
        <v>114</v>
      </c>
    </row>
    <row r="21" spans="1:22" x14ac:dyDescent="0.3">
      <c r="A21" t="s">
        <v>331</v>
      </c>
      <c r="B21">
        <v>93</v>
      </c>
      <c r="C21">
        <v>93</v>
      </c>
      <c r="D21">
        <v>380</v>
      </c>
      <c r="E21">
        <v>500</v>
      </c>
      <c r="F21">
        <v>850</v>
      </c>
      <c r="G21">
        <v>620</v>
      </c>
      <c r="H21">
        <v>850</v>
      </c>
      <c r="I21">
        <f t="shared" si="10"/>
        <v>807.5</v>
      </c>
      <c r="J21" t="s">
        <v>148</v>
      </c>
      <c r="K21">
        <v>180</v>
      </c>
      <c r="L21" t="s">
        <v>30</v>
      </c>
      <c r="M21" t="s">
        <v>30</v>
      </c>
      <c r="N21" t="s">
        <v>30</v>
      </c>
      <c r="O21" t="s">
        <v>30</v>
      </c>
      <c r="P21" t="s">
        <v>30</v>
      </c>
      <c r="Q21" t="s">
        <v>30</v>
      </c>
      <c r="V21" t="s">
        <v>115</v>
      </c>
    </row>
    <row r="22" spans="1:22" x14ac:dyDescent="0.3">
      <c r="A22" t="s">
        <v>332</v>
      </c>
      <c r="B22">
        <v>110</v>
      </c>
      <c r="C22">
        <v>110</v>
      </c>
      <c r="D22">
        <v>380</v>
      </c>
      <c r="E22">
        <v>500</v>
      </c>
      <c r="F22">
        <v>850</v>
      </c>
      <c r="G22">
        <v>620</v>
      </c>
      <c r="H22">
        <v>850</v>
      </c>
      <c r="I22">
        <f t="shared" si="10"/>
        <v>807.5</v>
      </c>
      <c r="J22" t="s">
        <v>148</v>
      </c>
      <c r="K22">
        <v>210</v>
      </c>
      <c r="L22" t="s">
        <v>30</v>
      </c>
      <c r="M22" t="s">
        <v>30</v>
      </c>
      <c r="N22" t="s">
        <v>30</v>
      </c>
      <c r="O22" t="s">
        <v>30</v>
      </c>
      <c r="P22" t="s">
        <v>30</v>
      </c>
      <c r="Q22" t="s">
        <v>30</v>
      </c>
      <c r="V22" t="s">
        <v>116</v>
      </c>
    </row>
    <row r="23" spans="1:22" x14ac:dyDescent="0.3">
      <c r="A23" t="s">
        <v>333</v>
      </c>
      <c r="B23">
        <v>132</v>
      </c>
      <c r="C23">
        <v>132</v>
      </c>
      <c r="D23">
        <v>380</v>
      </c>
      <c r="E23">
        <v>500</v>
      </c>
      <c r="F23">
        <v>850</v>
      </c>
      <c r="G23">
        <v>620</v>
      </c>
      <c r="H23">
        <v>850</v>
      </c>
      <c r="I23">
        <f t="shared" si="10"/>
        <v>807.5</v>
      </c>
      <c r="J23" t="s">
        <v>148</v>
      </c>
      <c r="K23">
        <v>250</v>
      </c>
      <c r="L23" t="s">
        <v>30</v>
      </c>
      <c r="M23" t="s">
        <v>30</v>
      </c>
      <c r="N23" t="s">
        <v>30</v>
      </c>
      <c r="O23" t="s">
        <v>30</v>
      </c>
      <c r="P23" t="s">
        <v>30</v>
      </c>
      <c r="Q23" t="s">
        <v>30</v>
      </c>
      <c r="V23" t="s">
        <v>117</v>
      </c>
    </row>
    <row r="24" spans="1:22" x14ac:dyDescent="0.3">
      <c r="A24" t="s">
        <v>334</v>
      </c>
      <c r="B24">
        <v>160</v>
      </c>
      <c r="C24">
        <v>160</v>
      </c>
      <c r="D24">
        <v>380</v>
      </c>
      <c r="E24">
        <v>500</v>
      </c>
      <c r="F24">
        <v>850</v>
      </c>
      <c r="G24">
        <v>620</v>
      </c>
      <c r="H24">
        <v>850</v>
      </c>
      <c r="I24">
        <f t="shared" si="10"/>
        <v>807.5</v>
      </c>
      <c r="J24" t="s">
        <v>148</v>
      </c>
      <c r="K24">
        <v>310</v>
      </c>
      <c r="L24" t="s">
        <v>30</v>
      </c>
      <c r="M24" t="s">
        <v>30</v>
      </c>
      <c r="N24" t="s">
        <v>30</v>
      </c>
      <c r="O24" t="s">
        <v>30</v>
      </c>
      <c r="P24" t="s">
        <v>30</v>
      </c>
      <c r="Q24" t="s">
        <v>30</v>
      </c>
      <c r="V24" t="s">
        <v>118</v>
      </c>
    </row>
    <row r="25" spans="1:22" x14ac:dyDescent="0.3">
      <c r="A25" t="s">
        <v>335</v>
      </c>
      <c r="B25">
        <v>185</v>
      </c>
      <c r="C25">
        <v>185</v>
      </c>
      <c r="D25">
        <v>380</v>
      </c>
      <c r="E25">
        <v>500</v>
      </c>
      <c r="F25">
        <v>850</v>
      </c>
      <c r="G25">
        <v>620</v>
      </c>
      <c r="H25">
        <v>850</v>
      </c>
      <c r="I25">
        <f t="shared" si="10"/>
        <v>807.5</v>
      </c>
      <c r="J25" t="s">
        <v>148</v>
      </c>
      <c r="K25">
        <v>340</v>
      </c>
      <c r="L25" t="s">
        <v>30</v>
      </c>
      <c r="M25" t="s">
        <v>30</v>
      </c>
      <c r="N25" t="s">
        <v>30</v>
      </c>
      <c r="O25" t="s">
        <v>30</v>
      </c>
      <c r="P25" t="s">
        <v>30</v>
      </c>
      <c r="Q25" t="s">
        <v>30</v>
      </c>
      <c r="V25" t="s">
        <v>119</v>
      </c>
    </row>
    <row r="26" spans="1:22" x14ac:dyDescent="0.3">
      <c r="A26" t="s">
        <v>336</v>
      </c>
      <c r="B26">
        <v>200</v>
      </c>
      <c r="C26">
        <v>200</v>
      </c>
      <c r="D26">
        <v>380</v>
      </c>
      <c r="E26">
        <v>500</v>
      </c>
      <c r="F26">
        <v>850</v>
      </c>
      <c r="G26">
        <v>620</v>
      </c>
      <c r="H26">
        <v>850</v>
      </c>
      <c r="I26">
        <f t="shared" si="10"/>
        <v>807.5</v>
      </c>
      <c r="J26" t="s">
        <v>148</v>
      </c>
      <c r="K26">
        <v>380</v>
      </c>
      <c r="L26" t="s">
        <v>30</v>
      </c>
      <c r="M26" t="s">
        <v>30</v>
      </c>
      <c r="N26" t="s">
        <v>30</v>
      </c>
      <c r="O26" t="s">
        <v>30</v>
      </c>
      <c r="P26" t="s">
        <v>30</v>
      </c>
      <c r="Q26" t="s">
        <v>30</v>
      </c>
      <c r="V26" t="s">
        <v>222</v>
      </c>
    </row>
    <row r="27" spans="1:22" x14ac:dyDescent="0.3">
      <c r="A27" t="s">
        <v>337</v>
      </c>
      <c r="B27">
        <v>280</v>
      </c>
      <c r="C27">
        <v>280</v>
      </c>
      <c r="D27">
        <v>380</v>
      </c>
      <c r="E27">
        <v>500</v>
      </c>
      <c r="F27">
        <v>850</v>
      </c>
      <c r="G27">
        <v>620</v>
      </c>
      <c r="H27">
        <v>850</v>
      </c>
      <c r="I27">
        <f t="shared" ref="I27" si="11">F27*0.95</f>
        <v>807.5</v>
      </c>
      <c r="J27" t="s">
        <v>148</v>
      </c>
      <c r="K27">
        <v>510</v>
      </c>
      <c r="L27" t="s">
        <v>30</v>
      </c>
      <c r="M27" t="s">
        <v>30</v>
      </c>
      <c r="N27" t="s">
        <v>30</v>
      </c>
      <c r="O27" t="s">
        <v>30</v>
      </c>
      <c r="P27" t="s">
        <v>30</v>
      </c>
      <c r="Q27" t="s">
        <v>30</v>
      </c>
    </row>
    <row r="28" spans="1:22" x14ac:dyDescent="0.3">
      <c r="G28" t="e">
        <f>INDEX($A$4:$C$27,MATCH(TRUE,$C$4:$C$27&gt;M35,0),1)</f>
        <v>#VALUE!</v>
      </c>
      <c r="K28" s="9" t="s">
        <v>34</v>
      </c>
      <c r="L28" s="9"/>
      <c r="M28" s="9" t="s">
        <v>35</v>
      </c>
    </row>
    <row r="29" spans="1:22" x14ac:dyDescent="0.3">
      <c r="K29" s="27" t="str">
        <f>Input!E16</f>
        <v>Other</v>
      </c>
      <c r="L29" s="9"/>
      <c r="M29" s="27" t="str">
        <f>Input!G16</f>
        <v xml:space="preserve">Potchefstroom </v>
      </c>
    </row>
    <row r="31" spans="1:22" ht="15" thickBot="1" x14ac:dyDescent="0.35"/>
    <row r="32" spans="1:22" ht="15" thickBot="1" x14ac:dyDescent="0.35">
      <c r="A32" s="1" t="s">
        <v>6</v>
      </c>
      <c r="C32" s="2" t="s">
        <v>7</v>
      </c>
      <c r="D32" s="10" t="s">
        <v>145</v>
      </c>
      <c r="E32" s="10" t="s">
        <v>8</v>
      </c>
      <c r="F32" s="11" t="s">
        <v>9</v>
      </c>
      <c r="G32" s="167" t="s">
        <v>39</v>
      </c>
      <c r="H32" s="167"/>
      <c r="I32" s="167"/>
      <c r="J32" s="167"/>
      <c r="K32" s="167"/>
      <c r="L32" s="167"/>
      <c r="M32" s="167"/>
    </row>
    <row r="33" spans="1:28" ht="15" thickBot="1" x14ac:dyDescent="0.35">
      <c r="A33" s="5">
        <v>0.25</v>
      </c>
      <c r="B33" s="4">
        <v>0</v>
      </c>
      <c r="C33" s="4">
        <f>IF($J$52="Recommended",B33,IF($M$58*$I$62&gt;$I$84,0,IF($M$58*$I$62&lt;$K$84,0,B33)))</f>
        <v>0</v>
      </c>
      <c r="D33" s="12">
        <f>IF($J$52="recommended",$I$68/($M$35*1000)*C33,IF($M$58*$I$62&gt;$I$84,"0",IF($M$58*$I$62&lt;$K$84,"0",(($I$68/($M$35*1000))*C33))))</f>
        <v>0</v>
      </c>
      <c r="E33" s="13">
        <f>IF($J$52="Recommended",IF(D33&gt;1,1,D33),IF($M$58*$I$62&gt;$I$84,0,IF($M$58*$I$62&lt;$K$84,0,IF(D33&gt;1,1,D33))))</f>
        <v>0</v>
      </c>
      <c r="F33" s="14">
        <f>$M$37*E33</f>
        <v>0</v>
      </c>
      <c r="G33" s="167"/>
      <c r="H33" s="167"/>
      <c r="I33" s="167"/>
      <c r="J33" s="167"/>
      <c r="K33" s="167"/>
      <c r="L33" s="167"/>
      <c r="M33" s="167"/>
    </row>
    <row r="34" spans="1:28" ht="15" thickBot="1" x14ac:dyDescent="0.35">
      <c r="A34" s="6">
        <v>0.29166666666666669</v>
      </c>
      <c r="B34" s="3">
        <v>0.03</v>
      </c>
      <c r="C34" s="4">
        <f t="shared" ref="C34:C45" si="12">IF($J$52="Recommended",B34,IF($M$58*$I$62&gt;$I$84,0,IF($M$58*$I$62&lt;$K$84,0,B34)))</f>
        <v>0.03</v>
      </c>
      <c r="D34" s="12">
        <f t="shared" ref="D34:D45" si="13">IF($J$52="recommended",$I$68/($M$35*1000)*C34,IF($M$58*$I$62&gt;$I$84,"0",IF($M$58*$I$62&lt;$K$84,"0",(($I$68/($M$35*1000))*C34))))</f>
        <v>3.108E-2</v>
      </c>
      <c r="E34" s="13">
        <f t="shared" ref="E34:E45" si="14">IF($J$52="Recommended",IF(D34&gt;1,1,D34),IF($M$58*$I$62&gt;$I$84,0,IF($M$58*$I$62&lt;$K$84,0,IF(D34&gt;1,1,D34))))</f>
        <v>3.108E-2</v>
      </c>
      <c r="F34" s="14">
        <f>$M$37*E34</f>
        <v>0</v>
      </c>
      <c r="G34" s="17"/>
      <c r="H34" s="9"/>
      <c r="I34" s="9"/>
      <c r="J34" s="9"/>
      <c r="K34" s="9"/>
      <c r="L34" s="9"/>
      <c r="M34" s="9"/>
      <c r="R34" t="s">
        <v>157</v>
      </c>
      <c r="T34" t="str">
        <f>'Panel Selection '!C4</f>
        <v xml:space="preserve">Option 1 </v>
      </c>
      <c r="U34" t="str">
        <f>'Panel Selection '!D4</f>
        <v>Option 2</v>
      </c>
      <c r="V34" t="str">
        <f>'Panel Selection '!E4</f>
        <v>Option 3</v>
      </c>
      <c r="W34" t="str">
        <f>'Panel Selection '!F4</f>
        <v>Option 4</v>
      </c>
      <c r="X34" t="str">
        <f>'Panel Selection '!G4</f>
        <v>Option 5</v>
      </c>
      <c r="Y34" t="str">
        <f>'Panel Selection '!H4</f>
        <v>Option 6</v>
      </c>
      <c r="Z34" t="str">
        <f>'Panel Selection '!I4</f>
        <v>Option 7</v>
      </c>
      <c r="AA34" t="str">
        <f>'Panel Selection '!J4</f>
        <v>Option 8</v>
      </c>
      <c r="AB34" t="str">
        <f>'Panel Selection '!K4</f>
        <v>Option 9</v>
      </c>
    </row>
    <row r="35" spans="1:28" ht="15" thickBot="1" x14ac:dyDescent="0.35">
      <c r="A35" s="6">
        <v>0.33333333333333331</v>
      </c>
      <c r="B35" s="3">
        <v>0.32</v>
      </c>
      <c r="C35" s="4">
        <f t="shared" si="12"/>
        <v>0.32</v>
      </c>
      <c r="D35" s="12">
        <f t="shared" si="13"/>
        <v>0.33152000000000004</v>
      </c>
      <c r="E35" s="13">
        <f>IF($J$52="Recommended",IF(D35&gt;1,1,D35),IF($M$58*$I$62&gt;$I$84,0,IF($M$58*$I$62&lt;$K$84,0,IF(D35&gt;1,1,D35))))</f>
        <v>0.33152000000000004</v>
      </c>
      <c r="F35" s="14">
        <f t="shared" ref="F35:F45" si="15">$M$37*E35</f>
        <v>0</v>
      </c>
      <c r="G35" s="161" t="s">
        <v>40</v>
      </c>
      <c r="H35" s="162"/>
      <c r="I35" s="27">
        <f>Input!C21</f>
        <v>380</v>
      </c>
      <c r="J35" s="9"/>
      <c r="K35" s="160" t="s">
        <v>42</v>
      </c>
      <c r="L35" s="160"/>
      <c r="M35" s="27">
        <f>Input!G21</f>
        <v>15</v>
      </c>
      <c r="R35" t="s">
        <v>151</v>
      </c>
      <c r="T35">
        <v>260</v>
      </c>
      <c r="U35">
        <v>265</v>
      </c>
      <c r="V35">
        <v>270</v>
      </c>
      <c r="W35">
        <v>275</v>
      </c>
      <c r="X35">
        <v>315</v>
      </c>
      <c r="Y35">
        <v>320</v>
      </c>
      <c r="Z35">
        <v>325</v>
      </c>
      <c r="AA35">
        <v>330</v>
      </c>
      <c r="AB35">
        <v>335</v>
      </c>
    </row>
    <row r="36" spans="1:28" ht="15" thickBot="1" x14ac:dyDescent="0.35">
      <c r="A36" s="6">
        <v>0.375</v>
      </c>
      <c r="B36" s="3">
        <v>0.5</v>
      </c>
      <c r="C36" s="4">
        <f t="shared" si="12"/>
        <v>0.5</v>
      </c>
      <c r="D36" s="12">
        <f t="shared" si="13"/>
        <v>0.51800000000000002</v>
      </c>
      <c r="E36" s="13">
        <f t="shared" si="14"/>
        <v>0.51800000000000002</v>
      </c>
      <c r="F36" s="14">
        <f t="shared" si="15"/>
        <v>0</v>
      </c>
      <c r="G36" s="9"/>
      <c r="H36" s="9"/>
      <c r="I36" s="9"/>
      <c r="J36" s="9"/>
      <c r="K36" s="9"/>
      <c r="L36" s="9"/>
      <c r="M36" s="9"/>
      <c r="R36" t="s">
        <v>152</v>
      </c>
      <c r="T36">
        <v>30.72</v>
      </c>
      <c r="U36">
        <v>30.77</v>
      </c>
      <c r="V36">
        <v>30.95</v>
      </c>
      <c r="W36">
        <v>31.16</v>
      </c>
      <c r="X36">
        <v>36.92</v>
      </c>
      <c r="Y36">
        <v>37.200000000000003</v>
      </c>
      <c r="Z36">
        <v>37.409999999999997</v>
      </c>
      <c r="AA36">
        <v>37.67</v>
      </c>
      <c r="AB36">
        <v>37.9</v>
      </c>
    </row>
    <row r="37" spans="1:28" ht="15" thickBot="1" x14ac:dyDescent="0.35">
      <c r="A37" s="6">
        <v>0.41666666666666669</v>
      </c>
      <c r="B37" s="3">
        <v>0.75</v>
      </c>
      <c r="C37" s="4">
        <f t="shared" si="12"/>
        <v>0.75</v>
      </c>
      <c r="D37" s="12">
        <f t="shared" si="13"/>
        <v>0.77700000000000002</v>
      </c>
      <c r="E37" s="13">
        <f t="shared" si="14"/>
        <v>0.77700000000000002</v>
      </c>
      <c r="F37" s="14">
        <f t="shared" si="15"/>
        <v>0</v>
      </c>
      <c r="G37" s="197" t="s">
        <v>41</v>
      </c>
      <c r="H37" s="197"/>
      <c r="I37" s="27" t="str">
        <f>Input!C23</f>
        <v>Three</v>
      </c>
      <c r="J37" s="9"/>
      <c r="K37" s="160" t="s">
        <v>43</v>
      </c>
      <c r="L37" s="160"/>
      <c r="M37" s="27">
        <f>Input!G23</f>
        <v>0</v>
      </c>
      <c r="R37" t="s">
        <v>154</v>
      </c>
      <c r="T37">
        <v>38.4</v>
      </c>
      <c r="U37">
        <v>38.46</v>
      </c>
      <c r="V37">
        <v>38.700000000000003</v>
      </c>
      <c r="W37">
        <v>38.97</v>
      </c>
      <c r="X37">
        <v>46.15</v>
      </c>
      <c r="Y37">
        <v>46.18</v>
      </c>
      <c r="Z37">
        <v>46.21</v>
      </c>
      <c r="AA37">
        <v>46.24</v>
      </c>
      <c r="AB37">
        <v>46.27</v>
      </c>
    </row>
    <row r="38" spans="1:28" ht="15" thickBot="1" x14ac:dyDescent="0.35">
      <c r="A38" s="6">
        <v>0.45833333333333331</v>
      </c>
      <c r="B38" s="3">
        <v>0.9</v>
      </c>
      <c r="C38" s="4">
        <f t="shared" si="12"/>
        <v>0.9</v>
      </c>
      <c r="D38" s="12">
        <f t="shared" si="13"/>
        <v>0.93240000000000001</v>
      </c>
      <c r="E38" s="13">
        <f t="shared" si="14"/>
        <v>0.93240000000000001</v>
      </c>
      <c r="F38" s="14">
        <f t="shared" si="15"/>
        <v>0</v>
      </c>
      <c r="G38" s="9"/>
      <c r="H38" s="9"/>
      <c r="I38" s="9"/>
      <c r="J38" s="9"/>
      <c r="K38" s="9"/>
      <c r="L38" s="9"/>
      <c r="M38" s="9"/>
      <c r="R38" t="s">
        <v>153</v>
      </c>
      <c r="T38">
        <v>8.48</v>
      </c>
      <c r="U38">
        <v>8.64</v>
      </c>
      <c r="V38">
        <v>8.74</v>
      </c>
      <c r="W38">
        <v>8.84</v>
      </c>
      <c r="X38">
        <v>8.56</v>
      </c>
      <c r="Y38">
        <v>8.6199999999999992</v>
      </c>
      <c r="Z38">
        <v>8.6999999999999993</v>
      </c>
      <c r="AA38">
        <v>8.7899999999999991</v>
      </c>
      <c r="AB38">
        <v>8.85</v>
      </c>
    </row>
    <row r="39" spans="1:28" ht="15" thickBot="1" x14ac:dyDescent="0.35">
      <c r="A39" s="6">
        <v>0.5</v>
      </c>
      <c r="B39" s="3">
        <v>1</v>
      </c>
      <c r="C39" s="4">
        <f t="shared" si="12"/>
        <v>1</v>
      </c>
      <c r="D39" s="12">
        <f t="shared" si="13"/>
        <v>1.036</v>
      </c>
      <c r="E39" s="13">
        <f t="shared" si="14"/>
        <v>1</v>
      </c>
      <c r="F39" s="14">
        <f t="shared" si="15"/>
        <v>0</v>
      </c>
      <c r="G39" s="167" t="s">
        <v>44</v>
      </c>
      <c r="H39" s="167"/>
      <c r="I39" s="167"/>
      <c r="J39" s="167"/>
      <c r="K39" s="167"/>
      <c r="L39" s="167"/>
      <c r="M39" s="167"/>
      <c r="R39" t="s">
        <v>155</v>
      </c>
      <c r="T39">
        <v>8.83</v>
      </c>
      <c r="U39">
        <v>9</v>
      </c>
      <c r="V39">
        <v>9.1300000000000008</v>
      </c>
      <c r="W39">
        <v>9.14</v>
      </c>
      <c r="X39">
        <v>8.92</v>
      </c>
      <c r="Y39">
        <v>9.07</v>
      </c>
      <c r="Z39">
        <v>9.19</v>
      </c>
      <c r="AA39">
        <v>9.31</v>
      </c>
      <c r="AB39">
        <v>9.41</v>
      </c>
    </row>
    <row r="40" spans="1:28" ht="15" thickBot="1" x14ac:dyDescent="0.35">
      <c r="A40" s="6">
        <v>0.54166666666666663</v>
      </c>
      <c r="B40" s="3">
        <v>0.99</v>
      </c>
      <c r="C40" s="4">
        <f t="shared" si="12"/>
        <v>0.99</v>
      </c>
      <c r="D40" s="12">
        <f t="shared" si="13"/>
        <v>1.0256400000000001</v>
      </c>
      <c r="E40" s="13">
        <f t="shared" si="14"/>
        <v>1</v>
      </c>
      <c r="F40" s="14">
        <f t="shared" si="15"/>
        <v>0</v>
      </c>
      <c r="G40" s="167"/>
      <c r="H40" s="167"/>
      <c r="I40" s="167"/>
      <c r="J40" s="167"/>
      <c r="K40" s="167"/>
      <c r="L40" s="167"/>
      <c r="M40" s="167"/>
      <c r="R40" t="s">
        <v>156</v>
      </c>
      <c r="T40">
        <v>16</v>
      </c>
      <c r="U40">
        <v>16.3</v>
      </c>
      <c r="V40">
        <v>16.61</v>
      </c>
      <c r="W40">
        <v>16.920000000000002</v>
      </c>
      <c r="X40">
        <v>16.25</v>
      </c>
      <c r="Y40">
        <v>16.5</v>
      </c>
      <c r="Z40">
        <v>16.760000000000002</v>
      </c>
      <c r="AA40">
        <v>17.02</v>
      </c>
      <c r="AB40">
        <v>17.28</v>
      </c>
    </row>
    <row r="41" spans="1:28" ht="15" thickBot="1" x14ac:dyDescent="0.35">
      <c r="A41" s="6">
        <v>0.58333333333333337</v>
      </c>
      <c r="B41" s="3">
        <v>0.85</v>
      </c>
      <c r="C41" s="4">
        <f t="shared" si="12"/>
        <v>0.85</v>
      </c>
      <c r="D41" s="12">
        <f t="shared" si="13"/>
        <v>0.88060000000000005</v>
      </c>
      <c r="E41" s="13">
        <f t="shared" si="14"/>
        <v>0.88060000000000005</v>
      </c>
      <c r="F41" s="14">
        <f t="shared" si="15"/>
        <v>0</v>
      </c>
      <c r="G41" s="9"/>
      <c r="H41" s="9"/>
      <c r="I41" s="9"/>
      <c r="J41" s="9"/>
      <c r="K41" s="9"/>
      <c r="L41" s="9"/>
      <c r="M41" s="9"/>
    </row>
    <row r="42" spans="1:28" ht="15" thickBot="1" x14ac:dyDescent="0.35">
      <c r="A42" s="6">
        <v>0.625</v>
      </c>
      <c r="B42" s="3">
        <v>0.65</v>
      </c>
      <c r="C42" s="4">
        <f t="shared" si="12"/>
        <v>0.65</v>
      </c>
      <c r="D42" s="12">
        <f t="shared" si="13"/>
        <v>0.6734</v>
      </c>
      <c r="E42" s="13">
        <f t="shared" si="14"/>
        <v>0.6734</v>
      </c>
      <c r="F42" s="14">
        <f t="shared" si="15"/>
        <v>0</v>
      </c>
      <c r="G42" s="161" t="s">
        <v>45</v>
      </c>
      <c r="H42" s="162"/>
      <c r="I42" s="27">
        <f>Input!C44</f>
        <v>555</v>
      </c>
      <c r="J42" s="9"/>
      <c r="K42" s="160" t="s">
        <v>3</v>
      </c>
      <c r="L42" s="160"/>
      <c r="M42" s="27">
        <f>Input!G44</f>
        <v>40.33</v>
      </c>
      <c r="R42" t="s">
        <v>160</v>
      </c>
      <c r="T42">
        <f t="shared" ref="T42:AB42" si="16">ROUNDUP($N$50/T37,0)</f>
        <v>17</v>
      </c>
      <c r="U42">
        <f t="shared" si="16"/>
        <v>17</v>
      </c>
      <c r="V42">
        <f t="shared" si="16"/>
        <v>17</v>
      </c>
      <c r="W42">
        <f t="shared" si="16"/>
        <v>16</v>
      </c>
      <c r="X42">
        <f t="shared" si="16"/>
        <v>14</v>
      </c>
      <c r="Y42">
        <f t="shared" si="16"/>
        <v>14</v>
      </c>
      <c r="Z42">
        <f t="shared" si="16"/>
        <v>14</v>
      </c>
      <c r="AA42">
        <f t="shared" si="16"/>
        <v>14</v>
      </c>
      <c r="AB42">
        <f t="shared" si="16"/>
        <v>14</v>
      </c>
    </row>
    <row r="43" spans="1:28" ht="15" thickBot="1" x14ac:dyDescent="0.35">
      <c r="A43" s="6">
        <v>0.66666666666666663</v>
      </c>
      <c r="B43" s="3">
        <v>0.3</v>
      </c>
      <c r="C43" s="4">
        <f t="shared" si="12"/>
        <v>0.3</v>
      </c>
      <c r="D43" s="12">
        <f t="shared" si="13"/>
        <v>0.31080000000000002</v>
      </c>
      <c r="E43" s="13">
        <f t="shared" si="14"/>
        <v>0.31080000000000002</v>
      </c>
      <c r="F43" s="14">
        <f t="shared" si="15"/>
        <v>0</v>
      </c>
      <c r="G43" s="9"/>
      <c r="H43" s="9"/>
      <c r="I43" s="9"/>
      <c r="J43" s="9"/>
      <c r="K43" s="9"/>
      <c r="L43" s="9"/>
      <c r="M43" s="9"/>
      <c r="R43" t="s">
        <v>161</v>
      </c>
      <c r="S43">
        <f>M35*1000*1.6</f>
        <v>24000</v>
      </c>
      <c r="T43">
        <f>ROUNDUP($S$43/(T42*T35),0)</f>
        <v>6</v>
      </c>
      <c r="U43">
        <f t="shared" ref="U43:AB43" si="17">ROUNDUP($S$43/(U42*U35),0)</f>
        <v>6</v>
      </c>
      <c r="V43">
        <f t="shared" si="17"/>
        <v>6</v>
      </c>
      <c r="W43">
        <f t="shared" si="17"/>
        <v>6</v>
      </c>
      <c r="X43">
        <f t="shared" si="17"/>
        <v>6</v>
      </c>
      <c r="Y43">
        <f t="shared" si="17"/>
        <v>6</v>
      </c>
      <c r="Z43">
        <f t="shared" si="17"/>
        <v>6</v>
      </c>
      <c r="AA43">
        <f t="shared" si="17"/>
        <v>6</v>
      </c>
      <c r="AB43">
        <f t="shared" si="17"/>
        <v>6</v>
      </c>
    </row>
    <row r="44" spans="1:28" ht="15" thickBot="1" x14ac:dyDescent="0.35">
      <c r="A44" s="6">
        <v>0.70833333333333337</v>
      </c>
      <c r="B44" s="3">
        <v>0.01</v>
      </c>
      <c r="C44" s="4">
        <f t="shared" si="12"/>
        <v>0.01</v>
      </c>
      <c r="D44" s="12">
        <f t="shared" si="13"/>
        <v>1.0360000000000001E-2</v>
      </c>
      <c r="E44" s="13">
        <f t="shared" si="14"/>
        <v>1.0360000000000001E-2</v>
      </c>
      <c r="F44" s="14">
        <f t="shared" si="15"/>
        <v>0</v>
      </c>
      <c r="G44" s="197" t="s">
        <v>4</v>
      </c>
      <c r="H44" s="197"/>
      <c r="I44" s="27">
        <f>Input!C46</f>
        <v>49.72</v>
      </c>
      <c r="J44" s="9"/>
      <c r="K44" s="160" t="s">
        <v>46</v>
      </c>
      <c r="L44" s="160"/>
      <c r="M44" s="27" t="str">
        <f>Input!G46</f>
        <v>Jinko</v>
      </c>
      <c r="T44">
        <f>T35*T42*T43</f>
        <v>26520</v>
      </c>
      <c r="U44">
        <f t="shared" ref="U44:AB44" si="18">U35*U42*U43</f>
        <v>27030</v>
      </c>
      <c r="V44">
        <f t="shared" si="18"/>
        <v>27540</v>
      </c>
      <c r="W44">
        <f t="shared" si="18"/>
        <v>26400</v>
      </c>
      <c r="X44">
        <f t="shared" si="18"/>
        <v>26460</v>
      </c>
      <c r="Y44">
        <f t="shared" si="18"/>
        <v>26880</v>
      </c>
      <c r="Z44">
        <f t="shared" si="18"/>
        <v>27300</v>
      </c>
      <c r="AA44">
        <f t="shared" si="18"/>
        <v>27720</v>
      </c>
      <c r="AB44">
        <f t="shared" si="18"/>
        <v>28140</v>
      </c>
    </row>
    <row r="45" spans="1:28" ht="15" thickBot="1" x14ac:dyDescent="0.35">
      <c r="A45" s="7">
        <v>0.75</v>
      </c>
      <c r="B45" s="8">
        <v>0</v>
      </c>
      <c r="C45" s="4">
        <f t="shared" si="12"/>
        <v>0</v>
      </c>
      <c r="D45" s="12">
        <f t="shared" si="13"/>
        <v>0</v>
      </c>
      <c r="E45" s="13">
        <f t="shared" si="14"/>
        <v>0</v>
      </c>
      <c r="F45" s="14">
        <f t="shared" si="15"/>
        <v>0</v>
      </c>
    </row>
    <row r="46" spans="1:28" x14ac:dyDescent="0.3">
      <c r="G46" s="167" t="s">
        <v>48</v>
      </c>
      <c r="H46" s="167"/>
      <c r="I46" s="167"/>
      <c r="J46" s="167"/>
      <c r="K46" s="167"/>
      <c r="L46" s="167"/>
      <c r="M46" s="167"/>
    </row>
    <row r="47" spans="1:28" x14ac:dyDescent="0.3">
      <c r="G47" s="167"/>
      <c r="H47" s="167"/>
      <c r="I47" s="167"/>
      <c r="J47" s="167"/>
      <c r="K47" s="167"/>
      <c r="L47" s="167"/>
      <c r="M47" s="167"/>
      <c r="T47" t="s">
        <v>168</v>
      </c>
      <c r="U47" t="s">
        <v>169</v>
      </c>
    </row>
    <row r="48" spans="1:28" x14ac:dyDescent="0.3">
      <c r="G48" s="161" t="s">
        <v>49</v>
      </c>
      <c r="H48" s="162"/>
      <c r="I48" t="str">
        <f>IF(I35=240,INDEX(A4:C7,MATCH(SMALL(C4:C7,COUNTIF(C4:C7,"&lt;"&amp;M35)+1),C4:C7,1),1),IF(I35=380,INDEX(A8:C27,MATCH(SMALL($C$4:$C$27,COUNTIF($C$4:$C$27,"&lt;"&amp;M35)+1),C8:C27,1),1)))</f>
        <v>Cedar SI23 D5-018G-H</v>
      </c>
      <c r="J48" s="9"/>
      <c r="K48" s="160" t="s">
        <v>51</v>
      </c>
      <c r="L48" s="160"/>
      <c r="M48">
        <f>INDEX(Y6:EN7,1,MATCH(MIN(Y8:EN8),Y8:EN8,-1))</f>
        <v>4</v>
      </c>
      <c r="R48" t="s">
        <v>51</v>
      </c>
      <c r="S48">
        <f>INDEX($T$35:$AB$44,9,MATCH(MIN($T$44:$AB$44),$T$44:$AB$44,0))</f>
        <v>6</v>
      </c>
    </row>
    <row r="49" spans="7:21" x14ac:dyDescent="0.3">
      <c r="G49" s="9"/>
      <c r="H49" s="9"/>
      <c r="I49" s="9"/>
      <c r="J49" s="9"/>
      <c r="K49" s="9"/>
      <c r="L49" s="9"/>
      <c r="M49" s="9"/>
      <c r="N49" s="32" t="s">
        <v>158</v>
      </c>
      <c r="O49" s="32" t="s">
        <v>159</v>
      </c>
      <c r="R49" t="s">
        <v>166</v>
      </c>
      <c r="S49">
        <f>INDEX($T$35:$AB$44,8,MATCH(MIN($T$44:$AB$44),$T$44:$AB$44,0))</f>
        <v>16</v>
      </c>
    </row>
    <row r="50" spans="7:21" x14ac:dyDescent="0.3">
      <c r="G50" s="197" t="s">
        <v>144</v>
      </c>
      <c r="H50" s="197"/>
      <c r="I50" s="16">
        <f>M50*M48</f>
        <v>52</v>
      </c>
      <c r="J50" s="9"/>
      <c r="K50" s="160" t="s">
        <v>52</v>
      </c>
      <c r="L50" s="160"/>
      <c r="M50" s="33">
        <f>ROUNDUP(O50,0)</f>
        <v>13</v>
      </c>
      <c r="N50" s="32">
        <f>INDEX(A4:G27,MATCH(I48,A4:A27,0),7)</f>
        <v>620</v>
      </c>
      <c r="O50" s="32">
        <f>N50/I44</f>
        <v>12.469831053901851</v>
      </c>
      <c r="R50" t="s">
        <v>162</v>
      </c>
      <c r="S50">
        <f>INDEX($T$35:$AB$44,10,MATCH(MIN($T$44:$AB$44),$T$44:$AB$44,0))</f>
        <v>26400</v>
      </c>
    </row>
    <row r="51" spans="7:21" x14ac:dyDescent="0.3">
      <c r="G51" s="9"/>
      <c r="H51" s="9"/>
      <c r="I51" s="9"/>
      <c r="J51" s="9"/>
      <c r="K51" s="9"/>
      <c r="L51" s="9"/>
      <c r="M51" s="9"/>
      <c r="R51" t="s">
        <v>151</v>
      </c>
      <c r="S51">
        <f>INDEX($T$35:$AB$44,1,MATCH($S$50,$T$44:$AB$44,0))</f>
        <v>275</v>
      </c>
    </row>
    <row r="52" spans="7:21" x14ac:dyDescent="0.3">
      <c r="G52" s="198" t="s">
        <v>135</v>
      </c>
      <c r="H52" s="198"/>
      <c r="I52" s="198"/>
      <c r="J52" s="27" t="str">
        <f>Input!E25</f>
        <v xml:space="preserve">Manual </v>
      </c>
      <c r="K52" s="9"/>
      <c r="L52" s="9"/>
      <c r="M52" s="9"/>
      <c r="R52" t="s">
        <v>163</v>
      </c>
      <c r="S52">
        <f>INDEX($T$35:$AB$44,4,MATCH($S$50,$T$44:$AB$44,0))</f>
        <v>8.84</v>
      </c>
      <c r="T52">
        <f>S52*S49</f>
        <v>141.44</v>
      </c>
      <c r="U52">
        <f>INDEX($A$4:$I$26,MATCH($I$48,$A$4:$A$26,0),9)</f>
        <v>807.5</v>
      </c>
    </row>
    <row r="53" spans="7:21" x14ac:dyDescent="0.3">
      <c r="G53" s="9"/>
      <c r="H53" s="9"/>
      <c r="I53" s="9"/>
      <c r="J53" s="9"/>
      <c r="K53" s="9"/>
      <c r="L53" s="9"/>
      <c r="M53" s="9"/>
      <c r="R53" t="s">
        <v>164</v>
      </c>
      <c r="S53">
        <f>INDEX($T$35:$AB$44,2,MATCH($S$50,$T$44:$AB$44,0))</f>
        <v>31.16</v>
      </c>
      <c r="T53">
        <f>S49*S53</f>
        <v>498.56</v>
      </c>
    </row>
    <row r="54" spans="7:21" x14ac:dyDescent="0.3">
      <c r="G54" s="9"/>
      <c r="H54" s="9"/>
      <c r="I54" s="9"/>
      <c r="J54" s="9"/>
      <c r="K54" s="9"/>
      <c r="L54" s="9"/>
      <c r="M54" s="9"/>
      <c r="R54" t="s">
        <v>153</v>
      </c>
      <c r="S54">
        <f>INDEX($T$35:$AB$44,3,MATCH($S$50,$T$44:$AB$44,0))</f>
        <v>38.97</v>
      </c>
    </row>
    <row r="55" spans="7:21" ht="31.2" x14ac:dyDescent="0.6">
      <c r="G55" s="167" t="s">
        <v>53</v>
      </c>
      <c r="H55" s="167"/>
      <c r="I55" s="167"/>
      <c r="J55" s="167"/>
      <c r="K55" s="167"/>
      <c r="L55" s="167"/>
      <c r="M55" s="167"/>
      <c r="R55" t="s">
        <v>219</v>
      </c>
      <c r="S55" t="str">
        <f>INDEX($T$34:$AB$44,1,MATCH($S$50,$T$44:$AB$44,0))</f>
        <v>Option 4</v>
      </c>
    </row>
    <row r="56" spans="7:21" x14ac:dyDescent="0.3">
      <c r="G56" s="161" t="s">
        <v>47</v>
      </c>
      <c r="H56" s="162"/>
      <c r="I56" s="27" t="str">
        <f>Input!C40</f>
        <v>Cedar SI30 D5 015G-H</v>
      </c>
      <c r="J56" s="9"/>
      <c r="K56" s="160" t="s">
        <v>51</v>
      </c>
      <c r="L56" s="160"/>
      <c r="M56" s="27">
        <f>Input!G40</f>
        <v>2</v>
      </c>
    </row>
    <row r="57" spans="7:21" x14ac:dyDescent="0.3">
      <c r="G57" s="9"/>
      <c r="H57" s="9"/>
      <c r="I57" s="9"/>
      <c r="J57" s="9"/>
      <c r="K57" s="9"/>
      <c r="L57" s="9"/>
      <c r="M57" s="9"/>
      <c r="R57" t="s">
        <v>155</v>
      </c>
      <c r="S57">
        <f>INDEX($T$35:$AB$44,5,MATCH($S$50,$T$44:$AB$44,0))</f>
        <v>9.14</v>
      </c>
    </row>
    <row r="58" spans="7:21" x14ac:dyDescent="0.3">
      <c r="G58" s="20" t="s">
        <v>144</v>
      </c>
      <c r="H58" s="20"/>
      <c r="I58" s="18">
        <f>M56*M58</f>
        <v>28</v>
      </c>
      <c r="J58" s="9"/>
      <c r="K58" s="19" t="s">
        <v>52</v>
      </c>
      <c r="L58" s="19"/>
      <c r="M58" s="27">
        <f>Input!G42</f>
        <v>14</v>
      </c>
      <c r="R58" t="s">
        <v>46</v>
      </c>
      <c r="S58" s="18" t="s">
        <v>165</v>
      </c>
    </row>
    <row r="59" spans="7:21" x14ac:dyDescent="0.3">
      <c r="R59" t="s">
        <v>5</v>
      </c>
      <c r="S59">
        <f>S50/(M35*1000)</f>
        <v>1.76</v>
      </c>
    </row>
    <row r="60" spans="7:21" x14ac:dyDescent="0.3">
      <c r="G60" s="28" t="s">
        <v>45</v>
      </c>
      <c r="H60" s="29"/>
      <c r="I60" s="27">
        <f>Input!C44</f>
        <v>555</v>
      </c>
      <c r="J60" s="9"/>
      <c r="K60" s="28" t="s">
        <v>3</v>
      </c>
      <c r="L60" s="29"/>
      <c r="M60" s="27">
        <f>Input!G44</f>
        <v>40.33</v>
      </c>
      <c r="R60" t="s">
        <v>172</v>
      </c>
      <c r="S60">
        <f>S48*S49</f>
        <v>96</v>
      </c>
    </row>
    <row r="61" spans="7:21" x14ac:dyDescent="0.3">
      <c r="G61" s="9"/>
      <c r="H61" s="9"/>
      <c r="I61" s="9"/>
      <c r="J61" s="9"/>
      <c r="K61" s="9"/>
      <c r="L61" s="9"/>
      <c r="M61" s="9"/>
    </row>
    <row r="62" spans="7:21" x14ac:dyDescent="0.3">
      <c r="G62" s="35" t="s">
        <v>4</v>
      </c>
      <c r="H62" s="36"/>
      <c r="I62" s="27">
        <f>Input!C46</f>
        <v>49.72</v>
      </c>
      <c r="J62" s="9"/>
      <c r="K62" s="28" t="s">
        <v>46</v>
      </c>
      <c r="L62" s="29"/>
      <c r="M62" s="27" t="str">
        <f>Input!G46</f>
        <v>Jinko</v>
      </c>
    </row>
    <row r="66" spans="7:14" ht="31.2" x14ac:dyDescent="0.6">
      <c r="G66" s="167" t="s">
        <v>133</v>
      </c>
      <c r="H66" s="167"/>
      <c r="I66" s="167"/>
      <c r="J66" s="167"/>
      <c r="K66" s="167"/>
      <c r="L66" s="167"/>
      <c r="M66" s="167"/>
    </row>
    <row r="67" spans="7:14" x14ac:dyDescent="0.3">
      <c r="G67" s="160" t="s">
        <v>150</v>
      </c>
      <c r="H67" s="160"/>
      <c r="I67" s="18" t="str">
        <f>IFERROR(IF($J$52="Recommended",I48,I56),"")</f>
        <v>Cedar SI30 D5 015G-H</v>
      </c>
      <c r="J67" s="18" t="s">
        <v>170</v>
      </c>
      <c r="K67" s="18">
        <f>IFERROR(IF($J$52="Recommended",S48,K80),"")</f>
        <v>2</v>
      </c>
      <c r="L67" s="9"/>
      <c r="M67" s="9"/>
    </row>
    <row r="68" spans="7:14" x14ac:dyDescent="0.3">
      <c r="G68" s="160" t="s">
        <v>143</v>
      </c>
      <c r="H68" s="160"/>
      <c r="I68" s="18">
        <f>IFERROR(IF(J52="Recommended",S50,I80),"")</f>
        <v>15540</v>
      </c>
      <c r="J68" t="s">
        <v>171</v>
      </c>
      <c r="K68" s="18">
        <f>IFERROR(IF($J$52="Recommended",S49,K81),"")</f>
        <v>14</v>
      </c>
    </row>
    <row r="69" spans="7:14" x14ac:dyDescent="0.3">
      <c r="G69" s="161" t="s">
        <v>145</v>
      </c>
      <c r="H69" s="162"/>
      <c r="I69" s="30">
        <f>IFERROR(IF($J$52="Recommended",S59,I81),"")</f>
        <v>1.036</v>
      </c>
      <c r="J69" t="s">
        <v>50</v>
      </c>
      <c r="K69" s="18">
        <f>IFERROR(IF($J$52="Recommended",S60,K82),"")</f>
        <v>28</v>
      </c>
    </row>
    <row r="70" spans="7:14" x14ac:dyDescent="0.3">
      <c r="G70" s="28" t="s">
        <v>167</v>
      </c>
      <c r="H70" s="29"/>
      <c r="I70" s="18">
        <f>IFERROR(IF($J$52="Recommended",INDEX($A$4:$K$27,MATCH($I$48,$A$4:$A$27,0),11),I82),"")</f>
        <v>32</v>
      </c>
      <c r="J70" t="s">
        <v>176</v>
      </c>
      <c r="K70" s="18">
        <f>IFERROR(IF($J$52="Recommended",T52,K83),"")</f>
        <v>696.07999999999993</v>
      </c>
    </row>
    <row r="71" spans="7:14" x14ac:dyDescent="0.3">
      <c r="G71" s="161" t="s">
        <v>146</v>
      </c>
      <c r="H71" s="162"/>
      <c r="I71" s="37" t="str">
        <f>IFERROR(IF($J$52="Recommended",INDEX($A$4:$K$27,MATCH($I$48,$A$4:$A$27,0),10),I83),"")</f>
        <v>IP65</v>
      </c>
      <c r="K71" s="18"/>
    </row>
    <row r="72" spans="7:14" x14ac:dyDescent="0.3">
      <c r="G72" s="161" t="s">
        <v>173</v>
      </c>
      <c r="H72" s="162"/>
      <c r="I72" s="37">
        <f>IFERROR(IF($J$52="Recommended",INDEX($A$4:$K$27,MATCH($I$48,$A$4:$A$27,0),6),I84),"")</f>
        <v>850</v>
      </c>
    </row>
    <row r="73" spans="7:14" x14ac:dyDescent="0.3">
      <c r="G73" s="161" t="s">
        <v>177</v>
      </c>
      <c r="H73" s="162"/>
      <c r="I73" s="37">
        <f>IFERROR(IF($J$52="Recommended",INDEX($A$4:$K$27,MATCH($I$48,$A$4:$A$27,0),4),I85),"")</f>
        <v>380</v>
      </c>
    </row>
    <row r="74" spans="7:14" x14ac:dyDescent="0.3">
      <c r="G74" s="40"/>
      <c r="H74" s="9"/>
      <c r="I74" t="s">
        <v>0</v>
      </c>
      <c r="J74" t="s">
        <v>104</v>
      </c>
      <c r="K74" t="s">
        <v>105</v>
      </c>
      <c r="L74" t="s">
        <v>107</v>
      </c>
      <c r="M74" t="s">
        <v>108</v>
      </c>
      <c r="N74" t="s">
        <v>109</v>
      </c>
    </row>
    <row r="75" spans="7:14" x14ac:dyDescent="0.3">
      <c r="G75" s="161" t="s">
        <v>174</v>
      </c>
      <c r="H75" s="162"/>
      <c r="I75" s="37">
        <f>IFERROR(IF($J$52="Recommended",INDEX($A$4:$Q$26,MATCH($I$48,$A$4:$A$26,0),12),INDEX($A$4:$Q$26,MATCH(I56,$A$4:$A$26,0),12)),"")</f>
        <v>462</v>
      </c>
      <c r="J75" s="37">
        <f>IFERROR(IF($J$52="Recommended",INDEX($A$4:$Q$26,MATCH($I$48,$A$4:$A$26,0),13),INDEX($A$4:$Q$26,MATCH(I56,$A$4:$A$26,0),13)),"")</f>
        <v>669</v>
      </c>
      <c r="K75" s="37">
        <f>IFERROR(IF($J$52="Recommended",INDEX($A$4:$Q$26,MATCH($I$48,$A$4:$A$26,0),14),INDEX($A$4:$Q$26,MATCH(I56,$A$4:$A$26,0),14)),"")</f>
        <v>293</v>
      </c>
      <c r="L75" s="37">
        <f>IFERROR(IF($J$52="Recommended",INDEX($A$4:$Q$26,MATCH($I$48,$A$4:$A$26,0),15),INDEX($A$4:$Q$26,MATCH(I56,$A$4:$A$26,0),15)),"")</f>
        <v>331</v>
      </c>
      <c r="M75" s="37">
        <f>IFERROR(IF($J$52="Recommended",INDEX($A$4:$Q$26,MATCH($I$48,$A$4:$A$26,0),16),INDEX($A$4:$Q$26,MATCH(I56,$A$4:$A$26,0),16)),"")</f>
        <v>405</v>
      </c>
      <c r="N75" s="37" t="str">
        <f>IFERROR(IF($J$52="Recommended",INDEX($A$4:$Q$26,MATCH($I$48,$A$4:$A$26,0),17),INDEX($A$4:$Q$26,MATCH(N62,$A$4:$A$26,0),17)),"")</f>
        <v/>
      </c>
    </row>
    <row r="78" spans="7:14" ht="31.2" x14ac:dyDescent="0.6">
      <c r="G78" s="167" t="s">
        <v>178</v>
      </c>
      <c r="H78" s="167"/>
      <c r="I78" s="167"/>
      <c r="J78" s="167"/>
      <c r="K78" s="167"/>
      <c r="L78" s="167"/>
      <c r="M78" s="167"/>
    </row>
    <row r="80" spans="7:14" x14ac:dyDescent="0.3">
      <c r="G80" s="160" t="s">
        <v>143</v>
      </c>
      <c r="H80" s="160"/>
      <c r="I80">
        <f>I58*I60</f>
        <v>15540</v>
      </c>
      <c r="J80" s="18" t="s">
        <v>170</v>
      </c>
      <c r="K80" s="18">
        <f>M56</f>
        <v>2</v>
      </c>
    </row>
    <row r="81" spans="1:40" x14ac:dyDescent="0.3">
      <c r="G81" s="161" t="s">
        <v>145</v>
      </c>
      <c r="H81" s="162"/>
      <c r="I81" s="41">
        <f>I80/(M35*1000)</f>
        <v>1.036</v>
      </c>
      <c r="J81" t="s">
        <v>171</v>
      </c>
      <c r="K81" s="18">
        <f>M58</f>
        <v>14</v>
      </c>
    </row>
    <row r="82" spans="1:40" x14ac:dyDescent="0.3">
      <c r="G82" s="28" t="s">
        <v>167</v>
      </c>
      <c r="H82" s="29"/>
      <c r="I82">
        <f>INDEX($A$4:$K$27,MATCH(I56,$A$4:$A$27,0),11)</f>
        <v>32</v>
      </c>
      <c r="J82" t="s">
        <v>50</v>
      </c>
      <c r="K82" s="18">
        <f>I58</f>
        <v>28</v>
      </c>
    </row>
    <row r="83" spans="1:40" x14ac:dyDescent="0.3">
      <c r="G83" s="161" t="s">
        <v>146</v>
      </c>
      <c r="H83" s="162"/>
      <c r="I83" s="26" t="str">
        <f>INDEX($A$4:$K$27,MATCH(I56,$A$4:$A$27,0),10)</f>
        <v>IP65</v>
      </c>
      <c r="J83" t="s">
        <v>176</v>
      </c>
      <c r="K83" s="18">
        <f>IF(M58*I62&gt;I84,"Voc exceeds Maximum",IF(M58*I62&lt;K84,"Voc exceeds Minimum",M58*I62))</f>
        <v>696.07999999999993</v>
      </c>
    </row>
    <row r="84" spans="1:40" x14ac:dyDescent="0.3">
      <c r="G84" s="161" t="s">
        <v>173</v>
      </c>
      <c r="H84" s="162"/>
      <c r="I84">
        <f>INDEX($A$4:$K$27,MATCH(I56,$A$4:$A$27,0),6)</f>
        <v>850</v>
      </c>
      <c r="J84" t="s">
        <v>179</v>
      </c>
      <c r="K84">
        <f>INDEX($A$4:$K$27,MATCH(I56,$A$4:$A$27,0),7)</f>
        <v>620</v>
      </c>
    </row>
    <row r="85" spans="1:40" x14ac:dyDescent="0.3">
      <c r="G85" s="161" t="s">
        <v>177</v>
      </c>
      <c r="H85" s="162"/>
      <c r="I85">
        <f>INDEX($A$4:$K$27,MATCH(I56,$A$4:$A$27,0),4)</f>
        <v>380</v>
      </c>
    </row>
    <row r="86" spans="1:40" x14ac:dyDescent="0.3">
      <c r="A86" s="53" t="s">
        <v>221</v>
      </c>
    </row>
    <row r="88" spans="1:40" x14ac:dyDescent="0.3">
      <c r="B88" s="9" t="s">
        <v>54</v>
      </c>
      <c r="C88" s="21" t="s">
        <v>55</v>
      </c>
      <c r="D88" s="9" t="s">
        <v>56</v>
      </c>
      <c r="E88" s="9" t="s">
        <v>57</v>
      </c>
      <c r="F88" s="9" t="s">
        <v>220</v>
      </c>
      <c r="G88" s="9" t="s">
        <v>58</v>
      </c>
      <c r="H88" s="9" t="s">
        <v>59</v>
      </c>
      <c r="I88" s="22" t="s">
        <v>60</v>
      </c>
      <c r="J88" s="9" t="s">
        <v>61</v>
      </c>
      <c r="K88" s="9" t="s">
        <v>62</v>
      </c>
      <c r="L88" s="9" t="s">
        <v>63</v>
      </c>
      <c r="M88" s="9" t="s">
        <v>64</v>
      </c>
      <c r="N88" s="9" t="s">
        <v>65</v>
      </c>
      <c r="O88" s="9" t="s">
        <v>66</v>
      </c>
      <c r="P88" s="9" t="s">
        <v>67</v>
      </c>
      <c r="Q88" s="9" t="s">
        <v>68</v>
      </c>
      <c r="R88" s="9" t="s">
        <v>69</v>
      </c>
      <c r="S88" s="9" t="s">
        <v>70</v>
      </c>
      <c r="T88" s="9" t="s">
        <v>71</v>
      </c>
      <c r="U88" s="23" t="s">
        <v>37</v>
      </c>
      <c r="V88" s="9" t="s">
        <v>72</v>
      </c>
      <c r="W88" s="9" t="s">
        <v>73</v>
      </c>
      <c r="X88" s="9" t="s">
        <v>74</v>
      </c>
      <c r="Y88" s="9" t="s">
        <v>75</v>
      </c>
      <c r="Z88" s="9" t="s">
        <v>76</v>
      </c>
      <c r="AA88" s="9" t="s">
        <v>77</v>
      </c>
      <c r="AB88" s="9" t="s">
        <v>78</v>
      </c>
      <c r="AC88" s="9" t="s">
        <v>79</v>
      </c>
      <c r="AD88" s="9" t="s">
        <v>80</v>
      </c>
      <c r="AE88" s="9" t="s">
        <v>81</v>
      </c>
      <c r="AF88" s="9" t="s">
        <v>82</v>
      </c>
      <c r="AG88" s="9" t="s">
        <v>83</v>
      </c>
      <c r="AH88" s="9" t="s">
        <v>84</v>
      </c>
      <c r="AI88" s="9" t="s">
        <v>85</v>
      </c>
      <c r="AJ88" s="9" t="s">
        <v>86</v>
      </c>
      <c r="AK88" s="9" t="s">
        <v>87</v>
      </c>
      <c r="AL88" s="9" t="s">
        <v>88</v>
      </c>
      <c r="AM88" s="9" t="s">
        <v>89</v>
      </c>
      <c r="AN88" s="9" t="s">
        <v>90</v>
      </c>
    </row>
    <row r="89" spans="1:40" x14ac:dyDescent="0.3">
      <c r="A89" t="s">
        <v>180</v>
      </c>
      <c r="B89" s="24">
        <v>1.1656249999999999</v>
      </c>
      <c r="C89" s="24">
        <v>1.0911764705882354</v>
      </c>
      <c r="D89" s="24">
        <v>1.1955882352941178</v>
      </c>
      <c r="E89" s="24">
        <v>1.0838235294117649</v>
      </c>
      <c r="F89" s="24">
        <v>0.92327413127413149</v>
      </c>
      <c r="G89" s="24">
        <v>1.1514705882352942</v>
      </c>
      <c r="H89" s="24">
        <v>1.1529411764705881</v>
      </c>
      <c r="I89" s="24">
        <v>1.0176470588235293</v>
      </c>
      <c r="J89" s="24">
        <v>0.96911764705882353</v>
      </c>
      <c r="K89" s="24">
        <v>1.0705882352941176</v>
      </c>
      <c r="L89" s="24">
        <v>1.1000000000000001</v>
      </c>
      <c r="M89" s="24">
        <v>1.0029411764705882</v>
      </c>
      <c r="N89" s="24">
        <v>0.99411764705882355</v>
      </c>
      <c r="O89" s="24">
        <v>0.99117647058823533</v>
      </c>
      <c r="P89" s="24">
        <v>1.0441176470588236</v>
      </c>
      <c r="Q89" s="24">
        <v>1.1558823529411766</v>
      </c>
      <c r="R89" s="24">
        <v>1</v>
      </c>
      <c r="S89" s="24">
        <v>0.96176470588235297</v>
      </c>
      <c r="T89" s="24">
        <v>1.1602941176470587</v>
      </c>
      <c r="U89" s="24">
        <v>1.0073529411764706</v>
      </c>
      <c r="V89" s="24">
        <v>0.99852941176470589</v>
      </c>
      <c r="W89" s="24">
        <v>1.0117647058823529</v>
      </c>
      <c r="X89" s="24">
        <v>1.1205882352941177</v>
      </c>
      <c r="Y89" s="24">
        <v>1.0779411764705882</v>
      </c>
      <c r="Z89" s="24">
        <v>0.92403534609720173</v>
      </c>
      <c r="AA89" s="24">
        <v>1.0970588235294119</v>
      </c>
      <c r="AB89" s="24">
        <v>1.2308823529411763</v>
      </c>
      <c r="AC89" s="24">
        <v>0.82058823529411773</v>
      </c>
      <c r="AD89" s="24">
        <v>0.99705882352941178</v>
      </c>
      <c r="AE89" s="24">
        <v>0.99411764705882355</v>
      </c>
      <c r="AF89" s="24">
        <v>0.95882352941176463</v>
      </c>
      <c r="AG89" s="24">
        <v>0.86029411764705876</v>
      </c>
      <c r="AH89" s="24">
        <v>0.94558823529411762</v>
      </c>
      <c r="AI89" s="24">
        <v>0.99705882352941178</v>
      </c>
      <c r="AJ89" s="24">
        <v>1.0249999999999999</v>
      </c>
      <c r="AK89" s="24">
        <v>0.98529411764705888</v>
      </c>
      <c r="AL89" s="24">
        <v>0.95882352941176463</v>
      </c>
      <c r="AM89" s="24">
        <v>0.85147058823529409</v>
      </c>
      <c r="AN89" s="24">
        <v>0.97058823529411764</v>
      </c>
    </row>
    <row r="90" spans="1:40" x14ac:dyDescent="0.3">
      <c r="A90" t="s">
        <v>181</v>
      </c>
      <c r="B90" s="24">
        <v>1.0421874999999998</v>
      </c>
      <c r="C90" s="24">
        <v>0.97352941176470598</v>
      </c>
      <c r="D90" s="24">
        <v>1.0941176470588236</v>
      </c>
      <c r="E90" s="24">
        <v>0.97499999999999998</v>
      </c>
      <c r="F90" s="24">
        <v>0.91573745173745169</v>
      </c>
      <c r="G90" s="24">
        <v>1.0426470588235295</v>
      </c>
      <c r="H90" s="24">
        <v>1.013235294117647</v>
      </c>
      <c r="I90" s="24">
        <v>0.93823529411764706</v>
      </c>
      <c r="J90" s="24">
        <v>0.89117647058823524</v>
      </c>
      <c r="K90" s="24">
        <v>0.96029411764705885</v>
      </c>
      <c r="L90" s="24">
        <v>1.0014705882352941</v>
      </c>
      <c r="M90" s="24">
        <v>0.94705882352941184</v>
      </c>
      <c r="N90" s="24">
        <v>0.91617647058823537</v>
      </c>
      <c r="O90" s="24">
        <v>0.89852941176470591</v>
      </c>
      <c r="P90" s="24">
        <v>0.94411764705882351</v>
      </c>
      <c r="Q90" s="24">
        <v>1.0544117647058824</v>
      </c>
      <c r="R90" s="24">
        <v>0.91911764705882359</v>
      </c>
      <c r="S90" s="24">
        <v>0.9088235294117647</v>
      </c>
      <c r="T90" s="24">
        <v>1.0264705882352942</v>
      </c>
      <c r="U90" s="24">
        <v>0.93970588235294117</v>
      </c>
      <c r="V90" s="24">
        <v>0.9205882352941176</v>
      </c>
      <c r="W90" s="24">
        <v>0.92647058823529416</v>
      </c>
      <c r="X90" s="24">
        <v>1.0088235294117647</v>
      </c>
      <c r="Y90" s="24">
        <v>0.94117647058823539</v>
      </c>
      <c r="Z90" s="24">
        <v>0.92989690721649487</v>
      </c>
      <c r="AA90" s="24">
        <v>0.98088235294117654</v>
      </c>
      <c r="AB90" s="24">
        <v>1.0808823529411764</v>
      </c>
      <c r="AC90" s="24">
        <v>0.83382352941176474</v>
      </c>
      <c r="AD90" s="24">
        <v>0.95000000000000007</v>
      </c>
      <c r="AE90" s="24">
        <v>0.92941176470588238</v>
      </c>
      <c r="AF90" s="24">
        <v>0.91764705882352948</v>
      </c>
      <c r="AG90" s="24">
        <v>0.82794117647058829</v>
      </c>
      <c r="AH90" s="24">
        <v>0.86911764705882355</v>
      </c>
      <c r="AI90" s="24">
        <v>0.97205882352941186</v>
      </c>
      <c r="AJ90" s="24">
        <v>0.99264705882352944</v>
      </c>
      <c r="AK90" s="24">
        <v>0.94117647058823539</v>
      </c>
      <c r="AL90" s="24">
        <v>0.91176470588235303</v>
      </c>
      <c r="AM90" s="24">
        <v>0.82500000000000007</v>
      </c>
      <c r="AN90" s="24">
        <v>0.90294117647058825</v>
      </c>
    </row>
    <row r="91" spans="1:40" x14ac:dyDescent="0.3">
      <c r="A91" t="s">
        <v>182</v>
      </c>
      <c r="B91" s="24">
        <v>0.8984375</v>
      </c>
      <c r="C91" s="24">
        <v>0.88382352941176467</v>
      </c>
      <c r="D91" s="24">
        <v>0.96029411764705885</v>
      </c>
      <c r="E91" s="24">
        <v>0.86470588235294121</v>
      </c>
      <c r="F91" s="24">
        <v>0.88098841698841679</v>
      </c>
      <c r="G91" s="24">
        <v>0.98529411764705888</v>
      </c>
      <c r="H91" s="24">
        <v>0.92500000000000004</v>
      </c>
      <c r="I91" s="24">
        <v>0.91617647058823537</v>
      </c>
      <c r="J91" s="24">
        <v>0.84852941176470587</v>
      </c>
      <c r="K91" s="24">
        <v>0.89264705882352946</v>
      </c>
      <c r="L91" s="24">
        <v>0.97794117647058831</v>
      </c>
      <c r="M91" s="24">
        <v>0.93235294117647061</v>
      </c>
      <c r="N91" s="24">
        <v>0.87794117647058822</v>
      </c>
      <c r="O91" s="24">
        <v>0.86764705882352944</v>
      </c>
      <c r="P91" s="24">
        <v>0.873529411764706</v>
      </c>
      <c r="Q91" s="24">
        <v>0.92794117647058816</v>
      </c>
      <c r="R91" s="24">
        <v>0.88088235294117656</v>
      </c>
      <c r="S91" s="24">
        <v>0.89117647058823524</v>
      </c>
      <c r="T91" s="24">
        <v>0.92500000000000004</v>
      </c>
      <c r="U91" s="24">
        <v>0.93382352941176472</v>
      </c>
      <c r="V91" s="24">
        <v>0.875</v>
      </c>
      <c r="W91" s="24">
        <v>0.82647058823529418</v>
      </c>
      <c r="X91" s="24">
        <v>0.85735294117647065</v>
      </c>
      <c r="Y91" s="24">
        <v>0.7720588235294118</v>
      </c>
      <c r="Z91" s="24">
        <v>0.90250368188512531</v>
      </c>
      <c r="AA91" s="24">
        <v>0.84558823529411764</v>
      </c>
      <c r="AB91" s="24">
        <v>0.87058823529411766</v>
      </c>
      <c r="AC91" s="24">
        <v>0.82058823529411773</v>
      </c>
      <c r="AD91" s="24">
        <v>0.84558823529411764</v>
      </c>
      <c r="AE91" s="24">
        <v>0.85441176470588232</v>
      </c>
      <c r="AF91" s="24">
        <v>0.875</v>
      </c>
      <c r="AG91" s="24">
        <v>0.81764705882352939</v>
      </c>
      <c r="AH91" s="24">
        <v>0.9</v>
      </c>
      <c r="AI91" s="24">
        <v>0.90294117647058825</v>
      </c>
      <c r="AJ91" s="24">
        <v>0.86617647058823521</v>
      </c>
      <c r="AK91" s="24">
        <v>0.87647058823529411</v>
      </c>
      <c r="AL91" s="24">
        <v>0.875</v>
      </c>
      <c r="AM91" s="24">
        <v>0.75735294117647067</v>
      </c>
      <c r="AN91" s="24">
        <v>0.82352941176470584</v>
      </c>
    </row>
    <row r="92" spans="1:40" x14ac:dyDescent="0.3">
      <c r="A92" t="s">
        <v>183</v>
      </c>
      <c r="B92" s="24">
        <v>0.734375</v>
      </c>
      <c r="C92" s="24">
        <v>0.86470588235294121</v>
      </c>
      <c r="D92" s="24">
        <v>0.83088235294117652</v>
      </c>
      <c r="E92" s="24">
        <v>0.80147058823529416</v>
      </c>
      <c r="F92" s="24">
        <v>0.81204633204633192</v>
      </c>
      <c r="G92" s="24">
        <v>0.97205882352941186</v>
      </c>
      <c r="H92" s="24">
        <v>0.88235294117647056</v>
      </c>
      <c r="I92" s="24">
        <v>0.93088235294117649</v>
      </c>
      <c r="J92" s="24">
        <v>0.85441176470588232</v>
      </c>
      <c r="K92" s="24">
        <v>0.89411764705882357</v>
      </c>
      <c r="L92" s="24">
        <v>0.97794117647058831</v>
      </c>
      <c r="M92" s="24">
        <v>0.9426470588235295</v>
      </c>
      <c r="N92" s="24">
        <v>0.87941176470588245</v>
      </c>
      <c r="O92" s="24">
        <v>0.86470588235294121</v>
      </c>
      <c r="P92" s="24">
        <v>0.86470588235294121</v>
      </c>
      <c r="Q92" s="24">
        <v>0.86176470588235299</v>
      </c>
      <c r="R92" s="24">
        <v>0.87647058823529411</v>
      </c>
      <c r="S92" s="24">
        <v>0.93529411764705894</v>
      </c>
      <c r="T92" s="24">
        <v>0.86764705882352944</v>
      </c>
      <c r="U92" s="24">
        <v>0.95000000000000007</v>
      </c>
      <c r="V92" s="24">
        <v>0.88088235294117656</v>
      </c>
      <c r="W92" s="24">
        <v>0.71176470588235297</v>
      </c>
      <c r="X92" s="24">
        <v>0.74558823529411766</v>
      </c>
      <c r="Y92" s="24">
        <v>0.59117647058823519</v>
      </c>
      <c r="Z92" s="24">
        <v>0.85596465390279841</v>
      </c>
      <c r="AA92" s="24">
        <v>0.69117647058823539</v>
      </c>
      <c r="AB92" s="24">
        <v>0.6705882352941176</v>
      </c>
      <c r="AC92" s="24">
        <v>0.66176470588235292</v>
      </c>
      <c r="AD92" s="24">
        <v>0.71029411764705885</v>
      </c>
      <c r="AE92" s="24">
        <v>0.73676470588235288</v>
      </c>
      <c r="AF92" s="24">
        <v>0.81176470588235294</v>
      </c>
      <c r="AG92" s="24">
        <v>0.79117647058823526</v>
      </c>
      <c r="AH92" s="24">
        <v>0.82647058823529418</v>
      </c>
      <c r="AI92" s="24">
        <v>0.80441176470588238</v>
      </c>
      <c r="AJ92" s="24">
        <v>0.75588235294117645</v>
      </c>
      <c r="AK92" s="24">
        <v>0.83970588235294119</v>
      </c>
      <c r="AL92" s="24">
        <v>0.83235294117647063</v>
      </c>
      <c r="AM92" s="24">
        <v>0.69411764705882351</v>
      </c>
      <c r="AN92" s="24">
        <v>0.73088235294117643</v>
      </c>
    </row>
    <row r="93" spans="1:40" x14ac:dyDescent="0.3">
      <c r="A93" t="s">
        <v>184</v>
      </c>
      <c r="B93" s="24">
        <v>0.6171875</v>
      </c>
      <c r="C93" s="24">
        <v>0.88235294117647056</v>
      </c>
      <c r="D93" s="24">
        <v>0.69558823529411773</v>
      </c>
      <c r="E93" s="24">
        <v>0.78676470588235292</v>
      </c>
      <c r="F93" s="24">
        <v>0.73908880308880298</v>
      </c>
      <c r="G93" s="24">
        <v>0.95735294117647063</v>
      </c>
      <c r="H93" s="24">
        <v>0.86911764705882355</v>
      </c>
      <c r="I93" s="24">
        <v>1.0529411764705883</v>
      </c>
      <c r="J93" s="24">
        <v>0.9088235294117647</v>
      </c>
      <c r="K93" s="24">
        <v>0.9088235294117647</v>
      </c>
      <c r="L93" s="24">
        <v>0.97941176470588243</v>
      </c>
      <c r="M93" s="24">
        <v>1.0838235294117649</v>
      </c>
      <c r="N93" s="24">
        <v>0.93088235294117649</v>
      </c>
      <c r="O93" s="24">
        <v>0.92794117647058816</v>
      </c>
      <c r="P93" s="24">
        <v>0.89411764705882357</v>
      </c>
      <c r="Q93" s="24">
        <v>0.78676470588235292</v>
      </c>
      <c r="R93" s="24">
        <v>0.93382352941176472</v>
      </c>
      <c r="S93" s="24">
        <v>1.0852941176470587</v>
      </c>
      <c r="T93" s="24">
        <v>0.84705882352941175</v>
      </c>
      <c r="U93" s="24">
        <v>1.0720588235294117</v>
      </c>
      <c r="V93" s="24">
        <v>0.92794117647058816</v>
      </c>
      <c r="W93" s="24">
        <v>0.64558823529411757</v>
      </c>
      <c r="X93" s="24">
        <v>0.59852941176470598</v>
      </c>
      <c r="Y93" s="24">
        <v>0.44264705882352939</v>
      </c>
      <c r="Z93" s="24">
        <v>0.81407952871870404</v>
      </c>
      <c r="AA93" s="24">
        <v>0.58088235294117652</v>
      </c>
      <c r="AB93" s="24">
        <v>0.52941176470588236</v>
      </c>
      <c r="AC93" s="24">
        <v>0.6132352941176471</v>
      </c>
      <c r="AD93" s="24">
        <v>0.60588235294117654</v>
      </c>
      <c r="AE93" s="24">
        <v>0.6147058823529411</v>
      </c>
      <c r="AF93" s="24">
        <v>0.73235294117647065</v>
      </c>
      <c r="AG93" s="24">
        <v>0.7264705882352942</v>
      </c>
      <c r="AH93" s="24">
        <v>0.77499999999999991</v>
      </c>
      <c r="AI93" s="24">
        <v>0.74411764705882344</v>
      </c>
      <c r="AJ93" s="24">
        <v>0.67352941176470593</v>
      </c>
      <c r="AK93" s="24">
        <v>0.81764705882352939</v>
      </c>
      <c r="AL93" s="24">
        <v>0.80735294117647061</v>
      </c>
      <c r="AM93" s="24">
        <v>0.6029411764705882</v>
      </c>
      <c r="AN93" s="24">
        <v>0.67794117647058827</v>
      </c>
    </row>
    <row r="94" spans="1:40" x14ac:dyDescent="0.3">
      <c r="A94" t="s">
        <v>185</v>
      </c>
      <c r="B94" s="24">
        <v>0.54374999999999996</v>
      </c>
      <c r="C94" s="24">
        <v>0.88676470588235301</v>
      </c>
      <c r="D94" s="24">
        <v>0.67500000000000004</v>
      </c>
      <c r="E94" s="24">
        <v>0.77499999999999991</v>
      </c>
      <c r="F94" s="24">
        <v>0.68095752895752892</v>
      </c>
      <c r="G94" s="24">
        <v>0.97352941176470598</v>
      </c>
      <c r="H94" s="24">
        <v>0.86176470588235299</v>
      </c>
      <c r="I94" s="24">
        <v>1.0264705882352942</v>
      </c>
      <c r="J94" s="24">
        <v>0.93235294117647061</v>
      </c>
      <c r="K94" s="24">
        <v>0.92941176470588238</v>
      </c>
      <c r="L94" s="24">
        <v>0.9882352941176471</v>
      </c>
      <c r="M94" s="24">
        <v>1.0470588235294118</v>
      </c>
      <c r="N94" s="24">
        <v>0.94411764705882351</v>
      </c>
      <c r="O94" s="24">
        <v>0.94117647058823539</v>
      </c>
      <c r="P94" s="24">
        <v>0.9088235294117647</v>
      </c>
      <c r="Q94" s="24">
        <v>0.76323529411764712</v>
      </c>
      <c r="R94" s="24">
        <v>0.94411764705882351</v>
      </c>
      <c r="S94" s="24">
        <v>1.0485294117647059</v>
      </c>
      <c r="T94" s="24">
        <v>0.86176470588235299</v>
      </c>
      <c r="U94" s="24">
        <v>1.05</v>
      </c>
      <c r="V94" s="24">
        <v>0.9426470588235295</v>
      </c>
      <c r="W94" s="24">
        <v>0.58970588235294119</v>
      </c>
      <c r="X94" s="24">
        <v>0.53823529411764715</v>
      </c>
      <c r="Y94" s="24">
        <v>0.38382352941176467</v>
      </c>
      <c r="Z94" s="24">
        <v>0.77145802650957307</v>
      </c>
      <c r="AA94" s="24">
        <v>0.5117647058823529</v>
      </c>
      <c r="AB94" s="24">
        <v>0.45</v>
      </c>
      <c r="AC94" s="24">
        <v>0.57205882352941184</v>
      </c>
      <c r="AD94" s="24">
        <v>0.55294117647058827</v>
      </c>
      <c r="AE94" s="24">
        <v>0.55735294117647061</v>
      </c>
      <c r="AF94" s="24">
        <v>0.67205882352941182</v>
      </c>
      <c r="AG94" s="24">
        <v>0.67352941176470593</v>
      </c>
      <c r="AH94" s="24">
        <v>0.71323529411764708</v>
      </c>
      <c r="AI94" s="24">
        <v>0.65</v>
      </c>
      <c r="AJ94" s="24">
        <v>0.59705882352941175</v>
      </c>
      <c r="AK94" s="24">
        <v>0.75588235294117645</v>
      </c>
      <c r="AL94" s="24">
        <v>0.75735294117647067</v>
      </c>
      <c r="AM94" s="24">
        <v>0.57352941176470584</v>
      </c>
      <c r="AN94" s="24">
        <v>0.62205882352941189</v>
      </c>
    </row>
    <row r="95" spans="1:40" x14ac:dyDescent="0.3">
      <c r="A95" t="s">
        <v>186</v>
      </c>
      <c r="B95" s="24">
        <v>0.58906249999999993</v>
      </c>
      <c r="C95" s="24">
        <v>0.91911764705882359</v>
      </c>
      <c r="D95" s="24">
        <v>0.68823529411764706</v>
      </c>
      <c r="E95" s="24">
        <v>0.80294117647058827</v>
      </c>
      <c r="F95" s="24">
        <v>0.68064864864864882</v>
      </c>
      <c r="G95" s="24">
        <v>0.97058823529411764</v>
      </c>
      <c r="H95" s="24">
        <v>0.9</v>
      </c>
      <c r="I95" s="24">
        <v>1.0161764705882352</v>
      </c>
      <c r="J95" s="24">
        <v>0.97205882352941186</v>
      </c>
      <c r="K95" s="24">
        <v>0.95000000000000007</v>
      </c>
      <c r="L95" s="24">
        <v>0.99705882352941178</v>
      </c>
      <c r="M95" s="24">
        <v>1.1000000000000001</v>
      </c>
      <c r="N95" s="24">
        <v>0.9882352941176471</v>
      </c>
      <c r="O95" s="24">
        <v>0.98970588235294121</v>
      </c>
      <c r="P95" s="24">
        <v>0.93676470588235294</v>
      </c>
      <c r="Q95" s="24">
        <v>0.77794117647058825</v>
      </c>
      <c r="R95" s="24">
        <v>0.98529411764705888</v>
      </c>
      <c r="S95" s="24">
        <v>1.1044117647058824</v>
      </c>
      <c r="T95" s="24">
        <v>0.87941176470588245</v>
      </c>
      <c r="U95" s="24">
        <v>1.0382352941176469</v>
      </c>
      <c r="V95" s="24">
        <v>0.97941176470588243</v>
      </c>
      <c r="W95" s="24">
        <v>0.63823529411764701</v>
      </c>
      <c r="X95" s="24">
        <v>0.57794117647058829</v>
      </c>
      <c r="Y95" s="24">
        <v>0.41764705882352943</v>
      </c>
      <c r="Z95" s="24">
        <v>0.76338733431516947</v>
      </c>
      <c r="AA95" s="24">
        <v>0.55441176470588238</v>
      </c>
      <c r="AB95" s="24">
        <v>0.49705882352941178</v>
      </c>
      <c r="AC95" s="24">
        <v>0.60441176470588243</v>
      </c>
      <c r="AD95" s="24">
        <v>0.57352941176470584</v>
      </c>
      <c r="AE95" s="24">
        <v>0.59264705882352942</v>
      </c>
      <c r="AF95" s="24">
        <v>0.70294117647058829</v>
      </c>
      <c r="AG95" s="24">
        <v>0.69558823529411773</v>
      </c>
      <c r="AH95" s="24">
        <v>0.7264705882352942</v>
      </c>
      <c r="AI95" s="24">
        <v>0.71029411764705885</v>
      </c>
      <c r="AJ95" s="24">
        <v>0.65294117647058836</v>
      </c>
      <c r="AK95" s="24">
        <v>0.75735294117647067</v>
      </c>
      <c r="AL95" s="24">
        <v>0.7838235294117647</v>
      </c>
      <c r="AM95" s="24">
        <v>0.58529411764705885</v>
      </c>
      <c r="AN95" s="24">
        <v>0.67500000000000004</v>
      </c>
    </row>
    <row r="96" spans="1:40" x14ac:dyDescent="0.3">
      <c r="A96" t="s">
        <v>187</v>
      </c>
      <c r="B96" s="24">
        <v>0.73281249999999998</v>
      </c>
      <c r="C96" s="24">
        <v>0.97941176470588243</v>
      </c>
      <c r="D96" s="24">
        <v>0.72499999999999998</v>
      </c>
      <c r="E96" s="24">
        <v>0.83088235294117652</v>
      </c>
      <c r="F96" s="24">
        <v>0.72148262548262554</v>
      </c>
      <c r="G96" s="24">
        <v>1.0720588235294117</v>
      </c>
      <c r="H96" s="24">
        <v>0.95147058823529407</v>
      </c>
      <c r="I96" s="24">
        <v>1.0779411764705882</v>
      </c>
      <c r="J96" s="24">
        <v>0.9882352941176471</v>
      </c>
      <c r="K96" s="24">
        <v>1.0294117647058825</v>
      </c>
      <c r="L96" s="24">
        <v>1.0735294117647058</v>
      </c>
      <c r="M96" s="24">
        <v>1.0617647058823529</v>
      </c>
      <c r="N96" s="24">
        <v>0.98676470588235299</v>
      </c>
      <c r="O96" s="24">
        <v>0.99558823529411766</v>
      </c>
      <c r="P96" s="24">
        <v>0.97647058823529409</v>
      </c>
      <c r="Q96" s="24">
        <v>0.85000000000000009</v>
      </c>
      <c r="R96" s="24">
        <v>0.99705882352941178</v>
      </c>
      <c r="S96" s="24">
        <v>1.0941176470588236</v>
      </c>
      <c r="T96" s="24">
        <v>0.96470588235294119</v>
      </c>
      <c r="U96" s="24">
        <v>1.0926470588235293</v>
      </c>
      <c r="V96" s="24">
        <v>0.98382352941176476</v>
      </c>
      <c r="W96" s="24">
        <v>0.73970588235294121</v>
      </c>
      <c r="X96" s="24">
        <v>0.73529411764705888</v>
      </c>
      <c r="Y96" s="24">
        <v>0.53235294117647058</v>
      </c>
      <c r="Z96" s="24">
        <v>0.78294550810014718</v>
      </c>
      <c r="AA96" s="24">
        <v>0.68970588235294128</v>
      </c>
      <c r="AB96" s="24">
        <v>0.63676470588235301</v>
      </c>
      <c r="AC96" s="24">
        <v>0.69411764705882351</v>
      </c>
      <c r="AD96" s="24">
        <v>0.65588235294117647</v>
      </c>
      <c r="AE96" s="24">
        <v>0.68970588235294128</v>
      </c>
      <c r="AF96" s="24">
        <v>0.81176470588235294</v>
      </c>
      <c r="AG96" s="24">
        <v>0.80882352941176472</v>
      </c>
      <c r="AH96" s="24">
        <v>0.85588235294117654</v>
      </c>
      <c r="AI96" s="24">
        <v>0.83382352941176474</v>
      </c>
      <c r="AJ96" s="24">
        <v>0.78088235294117647</v>
      </c>
      <c r="AK96" s="24">
        <v>0.82794117647058829</v>
      </c>
      <c r="AL96" s="24">
        <v>0.9</v>
      </c>
      <c r="AM96" s="24">
        <v>0.65735294117647058</v>
      </c>
      <c r="AN96" s="24">
        <v>0.76323529411764712</v>
      </c>
    </row>
    <row r="97" spans="1:40" x14ac:dyDescent="0.3">
      <c r="A97" t="s">
        <v>188</v>
      </c>
      <c r="B97" s="24">
        <v>0.88749999999999996</v>
      </c>
      <c r="C97" s="24">
        <v>0.95294117647058829</v>
      </c>
      <c r="D97" s="24">
        <v>0.83823529411764708</v>
      </c>
      <c r="E97" s="24">
        <v>0.86911764705882355</v>
      </c>
      <c r="F97" s="24">
        <v>0.78721235521235522</v>
      </c>
      <c r="G97" s="24">
        <v>1.0529411764705883</v>
      </c>
      <c r="H97" s="24">
        <v>0.9544117647058824</v>
      </c>
      <c r="I97" s="24">
        <v>1.0249999999999999</v>
      </c>
      <c r="J97" s="24">
        <v>0.96176470588235297</v>
      </c>
      <c r="K97" s="24">
        <v>0.98970588235294121</v>
      </c>
      <c r="L97" s="24">
        <v>1.0647058823529412</v>
      </c>
      <c r="M97" s="24">
        <v>1.0382352941176469</v>
      </c>
      <c r="N97" s="24">
        <v>0.97499999999999998</v>
      </c>
      <c r="O97" s="24">
        <v>0.98235294117647054</v>
      </c>
      <c r="P97" s="24">
        <v>0.9544117647058824</v>
      </c>
      <c r="Q97" s="24">
        <v>0.87205882352941178</v>
      </c>
      <c r="R97" s="24">
        <v>0.98382352941176476</v>
      </c>
      <c r="S97" s="24">
        <v>1.0470588235294118</v>
      </c>
      <c r="T97" s="24">
        <v>0.95147058823529407</v>
      </c>
      <c r="U97" s="24">
        <v>1.0558823529411765</v>
      </c>
      <c r="V97" s="24">
        <v>0.9426470588235295</v>
      </c>
      <c r="W97" s="24">
        <v>0.88235294117647056</v>
      </c>
      <c r="X97" s="24">
        <v>0.89264705882352946</v>
      </c>
      <c r="Y97" s="24">
        <v>0.69705882352941184</v>
      </c>
      <c r="Z97" s="24">
        <v>0.81075110456553789</v>
      </c>
      <c r="AA97" s="24">
        <v>0.83529411764705885</v>
      </c>
      <c r="AB97" s="24">
        <v>0.81176470588235294</v>
      </c>
      <c r="AC97" s="24">
        <v>0.75588235294117645</v>
      </c>
      <c r="AD97" s="24">
        <v>0.73970588235294121</v>
      </c>
      <c r="AE97" s="24">
        <v>0.80588235294117661</v>
      </c>
      <c r="AF97" s="24">
        <v>0.9088235294117647</v>
      </c>
      <c r="AG97" s="24">
        <v>0.91323529411764703</v>
      </c>
      <c r="AH97" s="24">
        <v>0.95588235294117652</v>
      </c>
      <c r="AI97" s="24">
        <v>0.94705882352941184</v>
      </c>
      <c r="AJ97" s="24">
        <v>0.90294117647058825</v>
      </c>
      <c r="AK97" s="24">
        <v>0.93676470588235294</v>
      </c>
      <c r="AL97" s="24">
        <v>0.9882352941176471</v>
      </c>
      <c r="AM97" s="24">
        <v>0.73382352941176476</v>
      </c>
      <c r="AN97" s="24">
        <v>0.89705882352941169</v>
      </c>
    </row>
    <row r="98" spans="1:40" x14ac:dyDescent="0.3">
      <c r="A98" t="s">
        <v>189</v>
      </c>
      <c r="B98" s="24">
        <v>1.0265625</v>
      </c>
      <c r="C98" s="24">
        <v>0.96029411764705885</v>
      </c>
      <c r="D98" s="24">
        <v>0.97352941176470598</v>
      </c>
      <c r="E98" s="24">
        <v>0.91323529411764703</v>
      </c>
      <c r="F98" s="24">
        <v>0.85306563706563721</v>
      </c>
      <c r="G98" s="24">
        <v>1.0676470588235294</v>
      </c>
      <c r="H98" s="24">
        <v>1.0029411764705882</v>
      </c>
      <c r="I98" s="24">
        <v>0.98382352941176476</v>
      </c>
      <c r="J98" s="24">
        <v>0.89117647058823524</v>
      </c>
      <c r="K98" s="24">
        <v>0.98970588235294121</v>
      </c>
      <c r="L98" s="24">
        <v>1.0573529411764706</v>
      </c>
      <c r="M98" s="24">
        <v>0.98529411764705888</v>
      </c>
      <c r="N98" s="24">
        <v>0.91176470588235303</v>
      </c>
      <c r="O98" s="24">
        <v>0.91617647058823537</v>
      </c>
      <c r="P98" s="24">
        <v>0.90735294117647058</v>
      </c>
      <c r="Q98" s="24">
        <v>0.95000000000000007</v>
      </c>
      <c r="R98" s="24">
        <v>0.94117647058823539</v>
      </c>
      <c r="S98" s="24">
        <v>0.97794117647058831</v>
      </c>
      <c r="T98" s="24">
        <v>1.0029411764705882</v>
      </c>
      <c r="U98" s="24">
        <v>1.0044117647058823</v>
      </c>
      <c r="V98" s="24">
        <v>0.90441176470588247</v>
      </c>
      <c r="W98" s="24">
        <v>0.91029411764705892</v>
      </c>
      <c r="X98" s="24">
        <v>1.0235294117647058</v>
      </c>
      <c r="Y98" s="24">
        <v>0.86617647058823521</v>
      </c>
      <c r="Z98" s="24">
        <v>0.85213549337260719</v>
      </c>
      <c r="AA98" s="24">
        <v>0.96617647058823541</v>
      </c>
      <c r="AB98" s="24">
        <v>0.98676470588235299</v>
      </c>
      <c r="AC98" s="24">
        <v>0.80441176470588238</v>
      </c>
      <c r="AD98" s="24">
        <v>0.80735294117647061</v>
      </c>
      <c r="AE98" s="24">
        <v>0.88529411764705879</v>
      </c>
      <c r="AF98" s="24">
        <v>0.95294117647058829</v>
      </c>
      <c r="AG98" s="24">
        <v>0.94705882352941184</v>
      </c>
      <c r="AH98" s="24">
        <v>0.98970588235294121</v>
      </c>
      <c r="AI98" s="24">
        <v>1.0176470588235293</v>
      </c>
      <c r="AJ98" s="24">
        <v>0.9882352941176471</v>
      </c>
      <c r="AK98" s="24">
        <v>1.0029411764705882</v>
      </c>
      <c r="AL98" s="24">
        <v>0.98235294117647054</v>
      </c>
      <c r="AM98" s="24">
        <v>0.76911764705882357</v>
      </c>
      <c r="AN98" s="24">
        <v>0.92205882352941171</v>
      </c>
    </row>
    <row r="99" spans="1:40" x14ac:dyDescent="0.3">
      <c r="A99" t="s">
        <v>190</v>
      </c>
      <c r="B99" s="24">
        <v>1.1359374999999998</v>
      </c>
      <c r="C99" s="24">
        <v>1.0485294117647059</v>
      </c>
      <c r="D99" s="24">
        <v>1.1279411764705882</v>
      </c>
      <c r="E99" s="24">
        <v>1.0161764705882352</v>
      </c>
      <c r="F99" s="24">
        <v>0.88191505791505798</v>
      </c>
      <c r="G99" s="24">
        <v>1.1279411764705882</v>
      </c>
      <c r="H99" s="24">
        <v>1.1014705882352942</v>
      </c>
      <c r="I99" s="24">
        <v>1.0352941176470589</v>
      </c>
      <c r="J99" s="24">
        <v>0.94852941176470595</v>
      </c>
      <c r="K99" s="24">
        <v>1.0794117647058823</v>
      </c>
      <c r="L99" s="24">
        <v>1.1191176470588236</v>
      </c>
      <c r="M99" s="24">
        <v>1.0161764705882352</v>
      </c>
      <c r="N99" s="24">
        <v>0.94705882352941184</v>
      </c>
      <c r="O99" s="24">
        <v>0.96029411764705885</v>
      </c>
      <c r="P99" s="24">
        <v>1.0147058823529413</v>
      </c>
      <c r="Q99" s="24">
        <v>1.0808823529411764</v>
      </c>
      <c r="R99" s="24">
        <v>0.96617647058823541</v>
      </c>
      <c r="S99" s="24">
        <v>0.95882352941176463</v>
      </c>
      <c r="T99" s="24">
        <v>1.1220588235294118</v>
      </c>
      <c r="U99" s="24">
        <v>1.0485294117647059</v>
      </c>
      <c r="V99" s="24">
        <v>0.93676470588235294</v>
      </c>
      <c r="W99" s="24">
        <v>0.99852941176470589</v>
      </c>
      <c r="X99" s="24">
        <v>1.1352941176470588</v>
      </c>
      <c r="Y99" s="24">
        <v>1.0161764705882352</v>
      </c>
      <c r="Z99" s="24">
        <v>0.87284241531664208</v>
      </c>
      <c r="AA99" s="24">
        <v>1.0691176470588235</v>
      </c>
      <c r="AB99" s="24">
        <v>1.1455882352941176</v>
      </c>
      <c r="AC99" s="24">
        <v>0.77647058823529413</v>
      </c>
      <c r="AD99" s="24">
        <v>0.87941176470588245</v>
      </c>
      <c r="AE99" s="24">
        <v>0.96176470588235297</v>
      </c>
      <c r="AF99" s="24">
        <v>0.94117647058823539</v>
      </c>
      <c r="AG99" s="24">
        <v>0.9205882352941176</v>
      </c>
      <c r="AH99" s="24">
        <v>0.96617647058823541</v>
      </c>
      <c r="AI99" s="24">
        <v>1.0176470588235293</v>
      </c>
      <c r="AJ99" s="24">
        <v>1.0176470588235293</v>
      </c>
      <c r="AK99" s="24">
        <v>1.0147058823529413</v>
      </c>
      <c r="AL99" s="24">
        <v>0.96764705882352942</v>
      </c>
      <c r="AM99" s="24">
        <v>0.8632352941176471</v>
      </c>
      <c r="AN99" s="24">
        <v>0.94117647058823539</v>
      </c>
    </row>
    <row r="100" spans="1:40" x14ac:dyDescent="0.3">
      <c r="A100" t="s">
        <v>191</v>
      </c>
      <c r="B100" s="24">
        <v>1.2140624999999998</v>
      </c>
      <c r="C100" s="24">
        <v>1.1220588235294118</v>
      </c>
      <c r="D100" s="24">
        <v>1.1955882352941178</v>
      </c>
      <c r="E100" s="24">
        <v>1.1132352941176471</v>
      </c>
      <c r="F100" s="24">
        <v>0.91150579150579158</v>
      </c>
      <c r="G100" s="24">
        <v>1.210294117647059</v>
      </c>
      <c r="H100" s="24">
        <v>1.1838235294117649</v>
      </c>
      <c r="I100" s="24">
        <v>1.0823529411764707</v>
      </c>
      <c r="J100" s="24">
        <v>0.98088235294117654</v>
      </c>
      <c r="K100" s="24">
        <v>1.1161764705882353</v>
      </c>
      <c r="L100" s="24">
        <v>1.1647058823529413</v>
      </c>
      <c r="M100" s="24">
        <v>1.0838235294117649</v>
      </c>
      <c r="N100" s="24">
        <v>0.99264705882352944</v>
      </c>
      <c r="O100" s="24">
        <v>0.99411764705882355</v>
      </c>
      <c r="P100" s="24">
        <v>1.0617647058823529</v>
      </c>
      <c r="Q100" s="24">
        <v>1.1588235294117648</v>
      </c>
      <c r="R100" s="24">
        <v>0.99705882352941178</v>
      </c>
      <c r="S100" s="24">
        <v>1.0249999999999999</v>
      </c>
      <c r="T100" s="24">
        <v>1.2014705882352941</v>
      </c>
      <c r="U100" s="24">
        <v>1.1014705882352942</v>
      </c>
      <c r="V100" s="24">
        <v>0.98529411764705888</v>
      </c>
      <c r="W100" s="24">
        <v>1.0220588235294119</v>
      </c>
      <c r="X100" s="24">
        <v>1.1544117647058822</v>
      </c>
      <c r="Y100" s="24">
        <v>1.0955882352941178</v>
      </c>
      <c r="Z100" s="24">
        <v>0.89958762886597987</v>
      </c>
      <c r="AA100" s="24">
        <v>1.1426470588235293</v>
      </c>
      <c r="AB100" s="24">
        <v>1.2426470588235294</v>
      </c>
      <c r="AC100" s="24">
        <v>0.85000000000000009</v>
      </c>
      <c r="AD100" s="24">
        <v>0.98529411764705888</v>
      </c>
      <c r="AE100" s="24">
        <v>0.98235294117647054</v>
      </c>
      <c r="AF100" s="24">
        <v>0.92205882352941171</v>
      </c>
      <c r="AG100" s="24">
        <v>0.85000000000000009</v>
      </c>
      <c r="AH100" s="24">
        <v>0.9426470588235295</v>
      </c>
      <c r="AI100" s="24">
        <v>1.0661764705882353</v>
      </c>
      <c r="AJ100" s="24">
        <v>1.0705882352941176</v>
      </c>
      <c r="AK100" s="24">
        <v>1.0529411764705883</v>
      </c>
      <c r="AL100" s="24">
        <v>0.99705882352941178</v>
      </c>
      <c r="AM100" s="24">
        <v>0.87941176470588245</v>
      </c>
      <c r="AN100" s="24">
        <v>0.95588235294117652</v>
      </c>
    </row>
    <row r="101" spans="1:40" x14ac:dyDescent="0.3">
      <c r="A101" t="s">
        <v>192</v>
      </c>
      <c r="B101" s="43">
        <f>AVERAGE(B89:B100)</f>
        <v>0.88229166666666659</v>
      </c>
      <c r="C101" s="43">
        <f t="shared" ref="C101:AN101" si="19">AVERAGE(C89:C100)</f>
        <v>0.96372549019607856</v>
      </c>
      <c r="D101" s="43">
        <f t="shared" si="19"/>
        <v>0.91666666666666663</v>
      </c>
      <c r="E101" s="43">
        <f t="shared" si="19"/>
        <v>0.90269607843137256</v>
      </c>
      <c r="F101" s="43">
        <v>0.81516602316602305</v>
      </c>
      <c r="G101" s="43">
        <f t="shared" si="19"/>
        <v>1.0486519607843139</v>
      </c>
      <c r="H101" s="43">
        <f t="shared" si="19"/>
        <v>0.98321078431372533</v>
      </c>
      <c r="I101" s="43">
        <f t="shared" si="19"/>
        <v>1.008578431372549</v>
      </c>
      <c r="J101" s="43">
        <f t="shared" si="19"/>
        <v>0.9289215686274509</v>
      </c>
      <c r="K101" s="43">
        <f t="shared" si="19"/>
        <v>0.9841911764705884</v>
      </c>
      <c r="L101" s="43">
        <f t="shared" si="19"/>
        <v>1.0417892156862745</v>
      </c>
      <c r="M101" s="43">
        <f t="shared" si="19"/>
        <v>1.0200980392156862</v>
      </c>
      <c r="N101" s="43">
        <f t="shared" si="19"/>
        <v>0.94534313725490193</v>
      </c>
      <c r="O101" s="43">
        <f t="shared" si="19"/>
        <v>0.94411764705882362</v>
      </c>
      <c r="P101" s="43">
        <f t="shared" si="19"/>
        <v>0.94840686274509833</v>
      </c>
      <c r="Q101" s="43">
        <f t="shared" si="19"/>
        <v>0.93664215686274499</v>
      </c>
      <c r="R101" s="43">
        <f t="shared" si="19"/>
        <v>0.95208333333333339</v>
      </c>
      <c r="S101" s="43">
        <f t="shared" si="19"/>
        <v>1.0031862745098039</v>
      </c>
      <c r="T101" s="43">
        <f t="shared" si="19"/>
        <v>0.98419117647058829</v>
      </c>
      <c r="U101" s="43">
        <f t="shared" si="19"/>
        <v>1.0245098039215688</v>
      </c>
      <c r="V101" s="43">
        <f t="shared" si="19"/>
        <v>0.93982843137254901</v>
      </c>
      <c r="W101" s="43">
        <f t="shared" si="19"/>
        <v>0.82524509803921564</v>
      </c>
      <c r="X101" s="43">
        <f t="shared" si="19"/>
        <v>0.86568627450980384</v>
      </c>
      <c r="Y101" s="43">
        <f t="shared" si="19"/>
        <v>0.73615196078431377</v>
      </c>
      <c r="Z101" s="43">
        <v>0.84792341678939642</v>
      </c>
      <c r="AA101" s="43">
        <f t="shared" si="19"/>
        <v>0.83039215686274515</v>
      </c>
      <c r="AB101" s="43">
        <f t="shared" si="19"/>
        <v>0.84607843137254901</v>
      </c>
      <c r="AC101" s="43">
        <f t="shared" si="19"/>
        <v>0.73394607843137261</v>
      </c>
      <c r="AD101" s="43">
        <f t="shared" si="19"/>
        <v>0.77524509803921582</v>
      </c>
      <c r="AE101" s="43">
        <f t="shared" si="19"/>
        <v>0.80036764705882346</v>
      </c>
      <c r="AF101" s="43">
        <f t="shared" si="19"/>
        <v>0.85061274509803919</v>
      </c>
      <c r="AG101" s="43">
        <f t="shared" si="19"/>
        <v>0.81936274509803908</v>
      </c>
      <c r="AH101" s="43">
        <f t="shared" si="19"/>
        <v>0.87218137254901962</v>
      </c>
      <c r="AI101" s="43">
        <f t="shared" si="19"/>
        <v>0.88860294117647065</v>
      </c>
      <c r="AJ101" s="43">
        <f t="shared" si="19"/>
        <v>0.86029411764705888</v>
      </c>
      <c r="AK101" s="43">
        <f t="shared" si="19"/>
        <v>0.90073529411764719</v>
      </c>
      <c r="AL101" s="43">
        <f t="shared" si="19"/>
        <v>0.89681372549019611</v>
      </c>
      <c r="AM101" s="43">
        <f t="shared" si="19"/>
        <v>0.73272058823529418</v>
      </c>
      <c r="AN101" s="43">
        <f t="shared" si="19"/>
        <v>0.82352941176470595</v>
      </c>
    </row>
    <row r="103" spans="1:40" x14ac:dyDescent="0.3">
      <c r="A103" t="s">
        <v>196</v>
      </c>
      <c r="B103">
        <f>INDEX($B$88:$AN$100,C103,MATCH($M$29,$B$88:$AN$88,0))</f>
        <v>1.0117647058823529</v>
      </c>
      <c r="C103" s="52">
        <v>2</v>
      </c>
      <c r="D103" s="15">
        <f>IF($E$133=0,0,B103*$C$133)</f>
        <v>0</v>
      </c>
    </row>
    <row r="104" spans="1:40" x14ac:dyDescent="0.3">
      <c r="A104" t="s">
        <v>197</v>
      </c>
      <c r="B104">
        <f t="shared" ref="B104:B114" si="20">INDEX($B$88:$AN$100,C104,MATCH($M$29,$B$88:$AN$88,0))</f>
        <v>0.92647058823529416</v>
      </c>
      <c r="C104" s="52">
        <v>3</v>
      </c>
      <c r="D104" s="15">
        <f t="shared" ref="D104:D114" si="21">IF($E$133=0,0,B104*$C$133)</f>
        <v>0</v>
      </c>
    </row>
    <row r="105" spans="1:40" x14ac:dyDescent="0.3">
      <c r="A105" t="s">
        <v>198</v>
      </c>
      <c r="B105">
        <f t="shared" si="20"/>
        <v>0.82647058823529418</v>
      </c>
      <c r="C105" s="52">
        <v>4</v>
      </c>
      <c r="D105" s="15">
        <f t="shared" si="21"/>
        <v>0</v>
      </c>
    </row>
    <row r="106" spans="1:40" x14ac:dyDescent="0.3">
      <c r="A106" t="s">
        <v>199</v>
      </c>
      <c r="B106">
        <f t="shared" si="20"/>
        <v>0.71176470588235297</v>
      </c>
      <c r="C106" s="52">
        <v>5</v>
      </c>
      <c r="D106" s="15">
        <f t="shared" si="21"/>
        <v>0</v>
      </c>
    </row>
    <row r="107" spans="1:40" x14ac:dyDescent="0.3">
      <c r="A107" t="s">
        <v>184</v>
      </c>
      <c r="B107">
        <f t="shared" si="20"/>
        <v>0.64558823529411757</v>
      </c>
      <c r="C107" s="52">
        <v>6</v>
      </c>
      <c r="D107" s="15">
        <f t="shared" si="21"/>
        <v>0</v>
      </c>
    </row>
    <row r="108" spans="1:40" x14ac:dyDescent="0.3">
      <c r="A108" t="s">
        <v>200</v>
      </c>
      <c r="B108">
        <f t="shared" si="20"/>
        <v>0.58970588235294119</v>
      </c>
      <c r="C108" s="52">
        <v>7</v>
      </c>
      <c r="D108" s="15">
        <f t="shared" si="21"/>
        <v>0</v>
      </c>
    </row>
    <row r="109" spans="1:40" x14ac:dyDescent="0.3">
      <c r="A109" t="s">
        <v>201</v>
      </c>
      <c r="B109">
        <f t="shared" si="20"/>
        <v>0.63823529411764701</v>
      </c>
      <c r="C109" s="52">
        <v>8</v>
      </c>
      <c r="D109" s="15">
        <f t="shared" si="21"/>
        <v>0</v>
      </c>
    </row>
    <row r="110" spans="1:40" x14ac:dyDescent="0.3">
      <c r="A110" t="s">
        <v>202</v>
      </c>
      <c r="B110">
        <f t="shared" si="20"/>
        <v>0.73970588235294121</v>
      </c>
      <c r="C110" s="52">
        <v>9</v>
      </c>
      <c r="D110" s="15">
        <f t="shared" si="21"/>
        <v>0</v>
      </c>
    </row>
    <row r="111" spans="1:40" x14ac:dyDescent="0.3">
      <c r="A111" t="s">
        <v>203</v>
      </c>
      <c r="B111">
        <f t="shared" si="20"/>
        <v>0.88235294117647056</v>
      </c>
      <c r="C111" s="52">
        <v>10</v>
      </c>
      <c r="D111" s="15">
        <f t="shared" si="21"/>
        <v>0</v>
      </c>
    </row>
    <row r="112" spans="1:40" x14ac:dyDescent="0.3">
      <c r="A112" t="s">
        <v>204</v>
      </c>
      <c r="B112">
        <f t="shared" si="20"/>
        <v>0.91029411764705892</v>
      </c>
      <c r="C112" s="52">
        <v>11</v>
      </c>
      <c r="D112" s="15">
        <f t="shared" si="21"/>
        <v>0</v>
      </c>
    </row>
    <row r="113" spans="1:4" x14ac:dyDescent="0.3">
      <c r="A113" t="s">
        <v>205</v>
      </c>
      <c r="B113">
        <f t="shared" si="20"/>
        <v>0.99852941176470589</v>
      </c>
      <c r="C113" s="52">
        <v>12</v>
      </c>
      <c r="D113" s="15">
        <f t="shared" si="21"/>
        <v>0</v>
      </c>
    </row>
    <row r="114" spans="1:4" x14ac:dyDescent="0.3">
      <c r="A114" t="s">
        <v>206</v>
      </c>
      <c r="B114">
        <f t="shared" si="20"/>
        <v>1.0220588235294119</v>
      </c>
      <c r="C114" s="52">
        <v>13</v>
      </c>
      <c r="D114" s="15">
        <f t="shared" si="21"/>
        <v>0</v>
      </c>
    </row>
    <row r="117" spans="1:4" x14ac:dyDescent="0.3">
      <c r="A117" s="32" t="s">
        <v>193</v>
      </c>
    </row>
    <row r="118" spans="1:4" x14ac:dyDescent="0.3">
      <c r="A118" s="51">
        <v>0.29166666666666669</v>
      </c>
      <c r="B118" s="3">
        <f>E33</f>
        <v>0</v>
      </c>
      <c r="C118" s="44">
        <f>F33</f>
        <v>0</v>
      </c>
    </row>
    <row r="119" spans="1:4" x14ac:dyDescent="0.3">
      <c r="A119" s="51">
        <v>0.33333333333333298</v>
      </c>
      <c r="B119" s="3">
        <f t="shared" ref="B119:B130" si="22">E34</f>
        <v>3.108E-2</v>
      </c>
      <c r="C119" s="44">
        <f>F34</f>
        <v>0</v>
      </c>
    </row>
    <row r="120" spans="1:4" x14ac:dyDescent="0.3">
      <c r="A120" s="51">
        <v>0.375</v>
      </c>
      <c r="B120" s="3">
        <f>E35</f>
        <v>0.33152000000000004</v>
      </c>
      <c r="C120" s="44">
        <f t="shared" ref="C120:C130" si="23">F35</f>
        <v>0</v>
      </c>
    </row>
    <row r="121" spans="1:4" x14ac:dyDescent="0.3">
      <c r="A121" s="51">
        <v>0.41666666666666702</v>
      </c>
      <c r="B121" s="3">
        <f t="shared" si="22"/>
        <v>0.51800000000000002</v>
      </c>
      <c r="C121" s="44">
        <f t="shared" si="23"/>
        <v>0</v>
      </c>
    </row>
    <row r="122" spans="1:4" x14ac:dyDescent="0.3">
      <c r="A122" s="51">
        <v>0.45833333333333298</v>
      </c>
      <c r="B122" s="3">
        <f t="shared" si="22"/>
        <v>0.77700000000000002</v>
      </c>
      <c r="C122" s="44">
        <f t="shared" si="23"/>
        <v>0</v>
      </c>
    </row>
    <row r="123" spans="1:4" x14ac:dyDescent="0.3">
      <c r="A123" s="51">
        <v>0.5</v>
      </c>
      <c r="B123" s="3">
        <f t="shared" si="22"/>
        <v>0.93240000000000001</v>
      </c>
      <c r="C123" s="44">
        <f t="shared" si="23"/>
        <v>0</v>
      </c>
    </row>
    <row r="124" spans="1:4" x14ac:dyDescent="0.3">
      <c r="A124" s="51">
        <v>0.54166666666666696</v>
      </c>
      <c r="B124" s="3">
        <f t="shared" si="22"/>
        <v>1</v>
      </c>
      <c r="C124" s="44">
        <f t="shared" si="23"/>
        <v>0</v>
      </c>
    </row>
    <row r="125" spans="1:4" x14ac:dyDescent="0.3">
      <c r="A125" s="51">
        <v>0.58333333333333304</v>
      </c>
      <c r="B125" s="3">
        <f t="shared" si="22"/>
        <v>1</v>
      </c>
      <c r="C125" s="44">
        <f t="shared" si="23"/>
        <v>0</v>
      </c>
    </row>
    <row r="126" spans="1:4" x14ac:dyDescent="0.3">
      <c r="A126" s="51">
        <v>0.625</v>
      </c>
      <c r="B126" s="3">
        <f t="shared" si="22"/>
        <v>0.88060000000000005</v>
      </c>
      <c r="C126" s="44">
        <f t="shared" si="23"/>
        <v>0</v>
      </c>
    </row>
    <row r="127" spans="1:4" x14ac:dyDescent="0.3">
      <c r="A127" s="51">
        <v>0.66666666666666696</v>
      </c>
      <c r="B127" s="3">
        <f t="shared" si="22"/>
        <v>0.6734</v>
      </c>
      <c r="C127" s="44">
        <f t="shared" si="23"/>
        <v>0</v>
      </c>
    </row>
    <row r="128" spans="1:4" x14ac:dyDescent="0.3">
      <c r="A128" s="51">
        <v>0.70833333333333304</v>
      </c>
      <c r="B128" s="3">
        <f t="shared" si="22"/>
        <v>0.31080000000000002</v>
      </c>
      <c r="C128" s="44">
        <f t="shared" si="23"/>
        <v>0</v>
      </c>
    </row>
    <row r="129" spans="1:5" x14ac:dyDescent="0.3">
      <c r="A129" s="51">
        <v>0.75</v>
      </c>
      <c r="B129" s="3">
        <f t="shared" si="22"/>
        <v>1.0360000000000001E-2</v>
      </c>
      <c r="C129" s="44">
        <f t="shared" si="23"/>
        <v>0</v>
      </c>
    </row>
    <row r="130" spans="1:5" x14ac:dyDescent="0.3">
      <c r="A130" s="51">
        <v>0.79166666666666696</v>
      </c>
      <c r="B130" s="3">
        <f t="shared" si="22"/>
        <v>0</v>
      </c>
      <c r="C130" s="44">
        <f t="shared" si="23"/>
        <v>0</v>
      </c>
    </row>
    <row r="131" spans="1:5" ht="15" thickBot="1" x14ac:dyDescent="0.35">
      <c r="A131" s="43"/>
      <c r="B131" s="43"/>
    </row>
    <row r="132" spans="1:5" x14ac:dyDescent="0.3">
      <c r="A132" s="43"/>
      <c r="C132" s="45" t="s">
        <v>194</v>
      </c>
      <c r="D132" s="46" t="s">
        <v>195</v>
      </c>
      <c r="E132" s="47"/>
    </row>
    <row r="133" spans="1:5" ht="15" thickBot="1" x14ac:dyDescent="0.35">
      <c r="C133" s="48">
        <f>SUM(C118:C130)</f>
        <v>0</v>
      </c>
      <c r="D133" s="49">
        <f>INDEX(B88:AN101,14,MATCH(M29,B88:AN88,0))</f>
        <v>0.82524509803921564</v>
      </c>
      <c r="E133" s="50">
        <f>C133*D133</f>
        <v>0</v>
      </c>
    </row>
  </sheetData>
  <mergeCells count="33">
    <mergeCell ref="G83:H83"/>
    <mergeCell ref="G84:H84"/>
    <mergeCell ref="G85:H85"/>
    <mergeCell ref="G75:H75"/>
    <mergeCell ref="G78:M78"/>
    <mergeCell ref="G80:H80"/>
    <mergeCell ref="G81:H81"/>
    <mergeCell ref="G71:H71"/>
    <mergeCell ref="G72:H72"/>
    <mergeCell ref="G73:H73"/>
    <mergeCell ref="G46:M47"/>
    <mergeCell ref="G66:M66"/>
    <mergeCell ref="G68:H68"/>
    <mergeCell ref="G50:H50"/>
    <mergeCell ref="K50:L50"/>
    <mergeCell ref="G52:I52"/>
    <mergeCell ref="G55:M55"/>
    <mergeCell ref="G56:H56"/>
    <mergeCell ref="K56:L56"/>
    <mergeCell ref="G69:H69"/>
    <mergeCell ref="G67:H67"/>
    <mergeCell ref="G48:H48"/>
    <mergeCell ref="K48:L48"/>
    <mergeCell ref="G39:M40"/>
    <mergeCell ref="G42:H42"/>
    <mergeCell ref="K42:L42"/>
    <mergeCell ref="G44:H44"/>
    <mergeCell ref="K44:L44"/>
    <mergeCell ref="G32:M33"/>
    <mergeCell ref="G35:H35"/>
    <mergeCell ref="K35:L35"/>
    <mergeCell ref="G37:H37"/>
    <mergeCell ref="K37:L37"/>
  </mergeCells>
  <phoneticPr fontId="5"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N42"/>
  <sheetViews>
    <sheetView topLeftCell="A13" workbookViewId="0">
      <selection activeCell="P24" sqref="P24"/>
    </sheetView>
  </sheetViews>
  <sheetFormatPr defaultColWidth="10.6640625" defaultRowHeight="14.4" x14ac:dyDescent="0.3"/>
  <sheetData>
    <row r="3" spans="1:40" x14ac:dyDescent="0.3">
      <c r="B3" s="9" t="s">
        <v>54</v>
      </c>
      <c r="C3" s="21" t="s">
        <v>55</v>
      </c>
      <c r="D3" s="9" t="s">
        <v>56</v>
      </c>
      <c r="E3" s="9" t="s">
        <v>57</v>
      </c>
      <c r="F3" s="9"/>
      <c r="G3" s="9" t="s">
        <v>58</v>
      </c>
      <c r="H3" s="9" t="s">
        <v>59</v>
      </c>
      <c r="I3" s="22" t="s">
        <v>60</v>
      </c>
      <c r="J3" s="9" t="s">
        <v>61</v>
      </c>
      <c r="K3" s="9" t="s">
        <v>62</v>
      </c>
      <c r="L3" s="9" t="s">
        <v>63</v>
      </c>
      <c r="M3" s="9" t="s">
        <v>64</v>
      </c>
      <c r="N3" s="9" t="s">
        <v>65</v>
      </c>
      <c r="O3" s="9" t="s">
        <v>66</v>
      </c>
      <c r="P3" s="9" t="s">
        <v>67</v>
      </c>
      <c r="Q3" s="9" t="s">
        <v>68</v>
      </c>
      <c r="R3" s="9" t="s">
        <v>69</v>
      </c>
      <c r="S3" s="9" t="s">
        <v>70</v>
      </c>
      <c r="T3" s="9" t="s">
        <v>71</v>
      </c>
      <c r="U3" s="23" t="s">
        <v>37</v>
      </c>
      <c r="V3" s="9" t="s">
        <v>72</v>
      </c>
      <c r="W3" s="9" t="s">
        <v>73</v>
      </c>
      <c r="X3" s="9" t="s">
        <v>74</v>
      </c>
      <c r="Y3" s="9" t="s">
        <v>75</v>
      </c>
      <c r="Z3" s="9" t="s">
        <v>76</v>
      </c>
      <c r="AA3" s="9" t="s">
        <v>77</v>
      </c>
      <c r="AB3" s="9" t="s">
        <v>78</v>
      </c>
      <c r="AC3" s="9" t="s">
        <v>79</v>
      </c>
      <c r="AD3" s="9" t="s">
        <v>80</v>
      </c>
      <c r="AE3" s="9" t="s">
        <v>81</v>
      </c>
      <c r="AF3" s="9" t="s">
        <v>82</v>
      </c>
      <c r="AG3" s="9" t="s">
        <v>83</v>
      </c>
      <c r="AH3" s="9" t="s">
        <v>84</v>
      </c>
      <c r="AI3" s="9" t="s">
        <v>85</v>
      </c>
      <c r="AJ3" s="9" t="s">
        <v>86</v>
      </c>
      <c r="AK3" s="9" t="s">
        <v>87</v>
      </c>
      <c r="AL3" s="9" t="s">
        <v>88</v>
      </c>
      <c r="AM3" s="9" t="s">
        <v>89</v>
      </c>
      <c r="AN3" s="9" t="s">
        <v>90</v>
      </c>
    </row>
    <row r="4" spans="1:40" x14ac:dyDescent="0.3">
      <c r="A4" t="s">
        <v>180</v>
      </c>
      <c r="B4" s="24">
        <v>1.1656249999999999</v>
      </c>
      <c r="C4" s="24">
        <v>1.0911764705882354</v>
      </c>
      <c r="D4" s="24">
        <v>1.1955882352941178</v>
      </c>
      <c r="E4" s="24">
        <v>1.0838235294117649</v>
      </c>
      <c r="F4" s="24"/>
      <c r="G4" s="24">
        <v>1.1514705882352942</v>
      </c>
      <c r="H4" s="24">
        <v>1.1529411764705881</v>
      </c>
      <c r="I4" s="24">
        <v>1.0176470588235293</v>
      </c>
      <c r="J4" s="24">
        <v>0.96911764705882353</v>
      </c>
      <c r="K4" s="24">
        <v>1.0705882352941176</v>
      </c>
      <c r="L4" s="24">
        <v>1.1000000000000001</v>
      </c>
      <c r="M4" s="24">
        <v>1.0029411764705882</v>
      </c>
      <c r="N4" s="24">
        <v>0.99411764705882355</v>
      </c>
      <c r="O4" s="24">
        <v>0.99117647058823533</v>
      </c>
      <c r="P4" s="24">
        <v>1.0441176470588236</v>
      </c>
      <c r="Q4" s="24">
        <v>1.1558823529411766</v>
      </c>
      <c r="R4" s="24">
        <v>1</v>
      </c>
      <c r="S4" s="24">
        <v>0.96176470588235297</v>
      </c>
      <c r="T4" s="24">
        <v>1.1602941176470587</v>
      </c>
      <c r="U4" s="24">
        <v>1.0073529411764706</v>
      </c>
      <c r="V4" s="24">
        <v>0.99852941176470589</v>
      </c>
      <c r="W4" s="24">
        <v>1.0117647058823529</v>
      </c>
      <c r="X4" s="24">
        <v>1.1205882352941177</v>
      </c>
      <c r="Y4" s="24">
        <v>1.0779411764705882</v>
      </c>
      <c r="Z4" s="24">
        <v>1.0191176470588235</v>
      </c>
      <c r="AA4" s="24">
        <v>1.0970588235294119</v>
      </c>
      <c r="AB4" s="24">
        <v>1.2308823529411763</v>
      </c>
      <c r="AC4" s="24">
        <v>0.82058823529411773</v>
      </c>
      <c r="AD4" s="24">
        <v>0.99705882352941178</v>
      </c>
      <c r="AE4" s="24">
        <v>0.99411764705882355</v>
      </c>
      <c r="AF4" s="24">
        <v>0.95882352941176463</v>
      </c>
      <c r="AG4" s="24">
        <v>0.86029411764705876</v>
      </c>
      <c r="AH4" s="24">
        <v>0.94558823529411762</v>
      </c>
      <c r="AI4" s="24">
        <v>0.99705882352941178</v>
      </c>
      <c r="AJ4" s="24">
        <v>1.0249999999999999</v>
      </c>
      <c r="AK4" s="24">
        <v>0.98529411764705888</v>
      </c>
      <c r="AL4" s="24">
        <v>0.95882352941176463</v>
      </c>
      <c r="AM4" s="24">
        <v>0.85147058823529409</v>
      </c>
      <c r="AN4" s="24">
        <v>0.97058823529411764</v>
      </c>
    </row>
    <row r="5" spans="1:40" x14ac:dyDescent="0.3">
      <c r="A5" t="s">
        <v>181</v>
      </c>
      <c r="B5" s="24">
        <v>1.0421874999999998</v>
      </c>
      <c r="C5" s="24">
        <v>0.97352941176470598</v>
      </c>
      <c r="D5" s="24">
        <v>1.0941176470588236</v>
      </c>
      <c r="E5" s="24">
        <v>0.97499999999999998</v>
      </c>
      <c r="F5" s="24"/>
      <c r="G5" s="24">
        <v>1.0426470588235295</v>
      </c>
      <c r="H5" s="24">
        <v>1.013235294117647</v>
      </c>
      <c r="I5" s="24">
        <v>0.93823529411764706</v>
      </c>
      <c r="J5" s="24">
        <v>0.89117647058823524</v>
      </c>
      <c r="K5" s="24">
        <v>0.96029411764705885</v>
      </c>
      <c r="L5" s="24">
        <v>1.0014705882352941</v>
      </c>
      <c r="M5" s="24">
        <v>0.94705882352941184</v>
      </c>
      <c r="N5" s="24">
        <v>0.91617647058823537</v>
      </c>
      <c r="O5" s="24">
        <v>0.89852941176470591</v>
      </c>
      <c r="P5" s="24">
        <v>0.94411764705882351</v>
      </c>
      <c r="Q5" s="24">
        <v>1.0544117647058824</v>
      </c>
      <c r="R5" s="24">
        <v>0.91911764705882359</v>
      </c>
      <c r="S5" s="24">
        <v>0.9088235294117647</v>
      </c>
      <c r="T5" s="24">
        <v>1.0264705882352942</v>
      </c>
      <c r="U5" s="24">
        <v>0.93970588235294117</v>
      </c>
      <c r="V5" s="24">
        <v>0.9205882352941176</v>
      </c>
      <c r="W5" s="24">
        <v>0.92647058823529416</v>
      </c>
      <c r="X5" s="24">
        <v>1.0088235294117647</v>
      </c>
      <c r="Y5" s="24">
        <v>0.94117647058823539</v>
      </c>
      <c r="Z5" s="24">
        <v>0.90735294117647058</v>
      </c>
      <c r="AA5" s="24">
        <v>0.98088235294117654</v>
      </c>
      <c r="AB5" s="24">
        <v>1.0808823529411764</v>
      </c>
      <c r="AC5" s="24">
        <v>0.83382352941176474</v>
      </c>
      <c r="AD5" s="24">
        <v>0.95000000000000007</v>
      </c>
      <c r="AE5" s="24">
        <v>0.92941176470588238</v>
      </c>
      <c r="AF5" s="24">
        <v>0.91764705882352948</v>
      </c>
      <c r="AG5" s="24">
        <v>0.82794117647058829</v>
      </c>
      <c r="AH5" s="24">
        <v>0.86911764705882355</v>
      </c>
      <c r="AI5" s="24">
        <v>0.97205882352941186</v>
      </c>
      <c r="AJ5" s="24">
        <v>0.99264705882352944</v>
      </c>
      <c r="AK5" s="24">
        <v>0.94117647058823539</v>
      </c>
      <c r="AL5" s="24">
        <v>0.91176470588235303</v>
      </c>
      <c r="AM5" s="24">
        <v>0.82500000000000007</v>
      </c>
      <c r="AN5" s="24">
        <v>0.90294117647058825</v>
      </c>
    </row>
    <row r="6" spans="1:40" x14ac:dyDescent="0.3">
      <c r="A6" t="s">
        <v>182</v>
      </c>
      <c r="B6" s="24">
        <v>0.8984375</v>
      </c>
      <c r="C6" s="24">
        <v>0.88382352941176467</v>
      </c>
      <c r="D6" s="24">
        <v>0.96029411764705885</v>
      </c>
      <c r="E6" s="24">
        <v>0.86470588235294121</v>
      </c>
      <c r="F6" s="24"/>
      <c r="G6" s="24">
        <v>0.98529411764705888</v>
      </c>
      <c r="H6" s="24">
        <v>0.92500000000000004</v>
      </c>
      <c r="I6" s="24">
        <v>0.91617647058823537</v>
      </c>
      <c r="J6" s="24">
        <v>0.84852941176470587</v>
      </c>
      <c r="K6" s="24">
        <v>0.89264705882352946</v>
      </c>
      <c r="L6" s="24">
        <v>0.97794117647058831</v>
      </c>
      <c r="M6" s="24">
        <v>0.93235294117647061</v>
      </c>
      <c r="N6" s="24">
        <v>0.87794117647058822</v>
      </c>
      <c r="O6" s="24">
        <v>0.86764705882352944</v>
      </c>
      <c r="P6" s="24">
        <v>0.873529411764706</v>
      </c>
      <c r="Q6" s="24">
        <v>0.92794117647058816</v>
      </c>
      <c r="R6" s="24">
        <v>0.88088235294117656</v>
      </c>
      <c r="S6" s="24">
        <v>0.89117647058823524</v>
      </c>
      <c r="T6" s="24">
        <v>0.92500000000000004</v>
      </c>
      <c r="U6" s="24">
        <v>0.93382352941176472</v>
      </c>
      <c r="V6" s="24">
        <v>0.875</v>
      </c>
      <c r="W6" s="24">
        <v>0.82647058823529418</v>
      </c>
      <c r="X6" s="24">
        <v>0.85735294117647065</v>
      </c>
      <c r="Y6" s="24">
        <v>0.7720588235294118</v>
      </c>
      <c r="Z6" s="24">
        <v>0.75147058823529422</v>
      </c>
      <c r="AA6" s="24">
        <v>0.84558823529411764</v>
      </c>
      <c r="AB6" s="24">
        <v>0.87058823529411766</v>
      </c>
      <c r="AC6" s="24">
        <v>0.82058823529411773</v>
      </c>
      <c r="AD6" s="24">
        <v>0.84558823529411764</v>
      </c>
      <c r="AE6" s="24">
        <v>0.85441176470588232</v>
      </c>
      <c r="AF6" s="24">
        <v>0.875</v>
      </c>
      <c r="AG6" s="24">
        <v>0.81764705882352939</v>
      </c>
      <c r="AH6" s="24">
        <v>0.9</v>
      </c>
      <c r="AI6" s="24">
        <v>0.90294117647058825</v>
      </c>
      <c r="AJ6" s="24">
        <v>0.86617647058823521</v>
      </c>
      <c r="AK6" s="24">
        <v>0.87647058823529411</v>
      </c>
      <c r="AL6" s="24">
        <v>0.875</v>
      </c>
      <c r="AM6" s="24">
        <v>0.75735294117647067</v>
      </c>
      <c r="AN6" s="24">
        <v>0.82352941176470584</v>
      </c>
    </row>
    <row r="7" spans="1:40" x14ac:dyDescent="0.3">
      <c r="A7" t="s">
        <v>183</v>
      </c>
      <c r="B7" s="24">
        <v>0.734375</v>
      </c>
      <c r="C7" s="24">
        <v>0.86470588235294121</v>
      </c>
      <c r="D7" s="24">
        <v>0.83088235294117652</v>
      </c>
      <c r="E7" s="24">
        <v>0.80147058823529416</v>
      </c>
      <c r="F7" s="24"/>
      <c r="G7" s="24">
        <v>0.97205882352941186</v>
      </c>
      <c r="H7" s="24">
        <v>0.88235294117647056</v>
      </c>
      <c r="I7" s="24">
        <v>0.93088235294117649</v>
      </c>
      <c r="J7" s="24">
        <v>0.85441176470588232</v>
      </c>
      <c r="K7" s="24">
        <v>0.89411764705882357</v>
      </c>
      <c r="L7" s="24">
        <v>0.97794117647058831</v>
      </c>
      <c r="M7" s="24">
        <v>0.9426470588235295</v>
      </c>
      <c r="N7" s="24">
        <v>0.87941176470588245</v>
      </c>
      <c r="O7" s="24">
        <v>0.86470588235294121</v>
      </c>
      <c r="P7" s="24">
        <v>0.86470588235294121</v>
      </c>
      <c r="Q7" s="24">
        <v>0.86176470588235299</v>
      </c>
      <c r="R7" s="24">
        <v>0.87647058823529411</v>
      </c>
      <c r="S7" s="24">
        <v>0.93529411764705894</v>
      </c>
      <c r="T7" s="24">
        <v>0.86764705882352944</v>
      </c>
      <c r="U7" s="24">
        <v>0.95000000000000007</v>
      </c>
      <c r="V7" s="24">
        <v>0.88088235294117656</v>
      </c>
      <c r="W7" s="24">
        <v>0.71176470588235297</v>
      </c>
      <c r="X7" s="24">
        <v>0.74558823529411766</v>
      </c>
      <c r="Y7" s="24">
        <v>0.59117647058823519</v>
      </c>
      <c r="Z7" s="24">
        <v>0.59117647058823519</v>
      </c>
      <c r="AA7" s="24">
        <v>0.69117647058823539</v>
      </c>
      <c r="AB7" s="24">
        <v>0.6705882352941176</v>
      </c>
      <c r="AC7" s="24">
        <v>0.66176470588235292</v>
      </c>
      <c r="AD7" s="24">
        <v>0.71029411764705885</v>
      </c>
      <c r="AE7" s="24">
        <v>0.73676470588235288</v>
      </c>
      <c r="AF7" s="24">
        <v>0.81176470588235294</v>
      </c>
      <c r="AG7" s="24">
        <v>0.79117647058823526</v>
      </c>
      <c r="AH7" s="24">
        <v>0.82647058823529418</v>
      </c>
      <c r="AI7" s="24">
        <v>0.80441176470588238</v>
      </c>
      <c r="AJ7" s="24">
        <v>0.75588235294117645</v>
      </c>
      <c r="AK7" s="24">
        <v>0.83970588235294119</v>
      </c>
      <c r="AL7" s="24">
        <v>0.83235294117647063</v>
      </c>
      <c r="AM7" s="24">
        <v>0.69411764705882351</v>
      </c>
      <c r="AN7" s="24">
        <v>0.73088235294117643</v>
      </c>
    </row>
    <row r="8" spans="1:40" x14ac:dyDescent="0.3">
      <c r="A8" t="s">
        <v>184</v>
      </c>
      <c r="B8" s="24">
        <v>0.6171875</v>
      </c>
      <c r="C8" s="24">
        <v>0.88235294117647056</v>
      </c>
      <c r="D8" s="24">
        <v>0.69558823529411773</v>
      </c>
      <c r="E8" s="24">
        <v>0.78676470588235292</v>
      </c>
      <c r="F8" s="24"/>
      <c r="G8" s="24">
        <v>0.95735294117647063</v>
      </c>
      <c r="H8" s="24">
        <v>0.86911764705882355</v>
      </c>
      <c r="I8" s="24">
        <v>1.0529411764705883</v>
      </c>
      <c r="J8" s="24">
        <v>0.9088235294117647</v>
      </c>
      <c r="K8" s="24">
        <v>0.9088235294117647</v>
      </c>
      <c r="L8" s="24">
        <v>0.97941176470588243</v>
      </c>
      <c r="M8" s="24">
        <v>1.0838235294117649</v>
      </c>
      <c r="N8" s="24">
        <v>0.93088235294117649</v>
      </c>
      <c r="O8" s="24">
        <v>0.92794117647058816</v>
      </c>
      <c r="P8" s="24">
        <v>0.89411764705882357</v>
      </c>
      <c r="Q8" s="24">
        <v>0.78676470588235292</v>
      </c>
      <c r="R8" s="24">
        <v>0.93382352941176472</v>
      </c>
      <c r="S8" s="24">
        <v>1.0852941176470587</v>
      </c>
      <c r="T8" s="24">
        <v>0.84705882352941175</v>
      </c>
      <c r="U8" s="24">
        <v>1.0720588235294117</v>
      </c>
      <c r="V8" s="24">
        <v>0.92794117647058816</v>
      </c>
      <c r="W8" s="24">
        <v>0.64558823529411757</v>
      </c>
      <c r="X8" s="24">
        <v>0.59852941176470598</v>
      </c>
      <c r="Y8" s="24">
        <v>0.44264705882352939</v>
      </c>
      <c r="Z8" s="24">
        <v>0.45588235294117652</v>
      </c>
      <c r="AA8" s="24">
        <v>0.58088235294117652</v>
      </c>
      <c r="AB8" s="24">
        <v>0.52941176470588236</v>
      </c>
      <c r="AC8" s="24">
        <v>0.6132352941176471</v>
      </c>
      <c r="AD8" s="24">
        <v>0.60588235294117654</v>
      </c>
      <c r="AE8" s="24">
        <v>0.6147058823529411</v>
      </c>
      <c r="AF8" s="24">
        <v>0.73235294117647065</v>
      </c>
      <c r="AG8" s="24">
        <v>0.7264705882352942</v>
      </c>
      <c r="AH8" s="24">
        <v>0.77499999999999991</v>
      </c>
      <c r="AI8" s="24">
        <v>0.74411764705882344</v>
      </c>
      <c r="AJ8" s="24">
        <v>0.67352941176470593</v>
      </c>
      <c r="AK8" s="24">
        <v>0.81764705882352939</v>
      </c>
      <c r="AL8" s="24">
        <v>0.80735294117647061</v>
      </c>
      <c r="AM8" s="24">
        <v>0.6029411764705882</v>
      </c>
      <c r="AN8" s="24">
        <v>0.67794117647058827</v>
      </c>
    </row>
    <row r="9" spans="1:40" x14ac:dyDescent="0.3">
      <c r="A9" t="s">
        <v>185</v>
      </c>
      <c r="B9" s="24">
        <v>0.54374999999999996</v>
      </c>
      <c r="C9" s="24">
        <v>0.88676470588235301</v>
      </c>
      <c r="D9" s="24">
        <v>0.67500000000000004</v>
      </c>
      <c r="E9" s="24">
        <v>0.77499999999999991</v>
      </c>
      <c r="F9" s="24"/>
      <c r="G9" s="24">
        <v>0.97352941176470598</v>
      </c>
      <c r="H9" s="24">
        <v>0.86176470588235299</v>
      </c>
      <c r="I9" s="24">
        <v>1.0264705882352942</v>
      </c>
      <c r="J9" s="24">
        <v>0.93235294117647061</v>
      </c>
      <c r="K9" s="24">
        <v>0.92941176470588238</v>
      </c>
      <c r="L9" s="24">
        <v>0.9882352941176471</v>
      </c>
      <c r="M9" s="24">
        <v>1.0470588235294118</v>
      </c>
      <c r="N9" s="24">
        <v>0.94411764705882351</v>
      </c>
      <c r="O9" s="24">
        <v>0.94117647058823539</v>
      </c>
      <c r="P9" s="24">
        <v>0.9088235294117647</v>
      </c>
      <c r="Q9" s="24">
        <v>0.76323529411764712</v>
      </c>
      <c r="R9" s="24">
        <v>0.94411764705882351</v>
      </c>
      <c r="S9" s="24">
        <v>1.0485294117647059</v>
      </c>
      <c r="T9" s="24">
        <v>0.86176470588235299</v>
      </c>
      <c r="U9" s="24">
        <v>1.05</v>
      </c>
      <c r="V9" s="24">
        <v>0.9426470588235295</v>
      </c>
      <c r="W9" s="24">
        <v>0.58970588235294119</v>
      </c>
      <c r="X9" s="24">
        <v>0.53823529411764715</v>
      </c>
      <c r="Y9" s="24">
        <v>0.38382352941176467</v>
      </c>
      <c r="Z9" s="24">
        <v>0.38970588235294118</v>
      </c>
      <c r="AA9" s="24">
        <v>0.5117647058823529</v>
      </c>
      <c r="AB9" s="24">
        <v>0.45</v>
      </c>
      <c r="AC9" s="24">
        <v>0.57205882352941184</v>
      </c>
      <c r="AD9" s="24">
        <v>0.55294117647058827</v>
      </c>
      <c r="AE9" s="24">
        <v>0.55735294117647061</v>
      </c>
      <c r="AF9" s="24">
        <v>0.67205882352941182</v>
      </c>
      <c r="AG9" s="24">
        <v>0.67352941176470593</v>
      </c>
      <c r="AH9" s="24">
        <v>0.71323529411764708</v>
      </c>
      <c r="AI9" s="24">
        <v>0.65</v>
      </c>
      <c r="AJ9" s="24">
        <v>0.59705882352941175</v>
      </c>
      <c r="AK9" s="24">
        <v>0.75588235294117645</v>
      </c>
      <c r="AL9" s="24">
        <v>0.75735294117647067</v>
      </c>
      <c r="AM9" s="24">
        <v>0.57352941176470584</v>
      </c>
      <c r="AN9" s="24">
        <v>0.62205882352941189</v>
      </c>
    </row>
    <row r="10" spans="1:40" x14ac:dyDescent="0.3">
      <c r="A10" t="s">
        <v>186</v>
      </c>
      <c r="B10" s="24">
        <v>0.58906249999999993</v>
      </c>
      <c r="C10" s="24">
        <v>0.91911764705882359</v>
      </c>
      <c r="D10" s="24">
        <v>0.68823529411764706</v>
      </c>
      <c r="E10" s="24">
        <v>0.80294117647058827</v>
      </c>
      <c r="F10" s="24"/>
      <c r="G10" s="24">
        <v>0.97058823529411764</v>
      </c>
      <c r="H10" s="24">
        <v>0.9</v>
      </c>
      <c r="I10" s="24">
        <v>1.0161764705882352</v>
      </c>
      <c r="J10" s="24">
        <v>0.97205882352941186</v>
      </c>
      <c r="K10" s="24">
        <v>0.95000000000000007</v>
      </c>
      <c r="L10" s="24">
        <v>0.99705882352941178</v>
      </c>
      <c r="M10" s="24">
        <v>1.1000000000000001</v>
      </c>
      <c r="N10" s="24">
        <v>0.9882352941176471</v>
      </c>
      <c r="O10" s="24">
        <v>0.98970588235294121</v>
      </c>
      <c r="P10" s="24">
        <v>0.93676470588235294</v>
      </c>
      <c r="Q10" s="24">
        <v>0.77794117647058825</v>
      </c>
      <c r="R10" s="24">
        <v>0.98529411764705888</v>
      </c>
      <c r="S10" s="24">
        <v>1.1044117647058824</v>
      </c>
      <c r="T10" s="24">
        <v>0.87941176470588245</v>
      </c>
      <c r="U10" s="24">
        <v>1.0382352941176469</v>
      </c>
      <c r="V10" s="24">
        <v>0.97941176470588243</v>
      </c>
      <c r="W10" s="24">
        <v>0.63823529411764701</v>
      </c>
      <c r="X10" s="24">
        <v>0.57794117647058829</v>
      </c>
      <c r="Y10" s="24">
        <v>0.41764705882352943</v>
      </c>
      <c r="Z10" s="24">
        <v>0.42500000000000004</v>
      </c>
      <c r="AA10" s="24">
        <v>0.55441176470588238</v>
      </c>
      <c r="AB10" s="24">
        <v>0.49705882352941178</v>
      </c>
      <c r="AC10" s="24">
        <v>0.60441176470588243</v>
      </c>
      <c r="AD10" s="24">
        <v>0.57352941176470584</v>
      </c>
      <c r="AE10" s="24">
        <v>0.59264705882352942</v>
      </c>
      <c r="AF10" s="24">
        <v>0.70294117647058829</v>
      </c>
      <c r="AG10" s="24">
        <v>0.69558823529411773</v>
      </c>
      <c r="AH10" s="24">
        <v>0.7264705882352942</v>
      </c>
      <c r="AI10" s="24">
        <v>0.71029411764705885</v>
      </c>
      <c r="AJ10" s="24">
        <v>0.65294117647058836</v>
      </c>
      <c r="AK10" s="24">
        <v>0.75735294117647067</v>
      </c>
      <c r="AL10" s="24">
        <v>0.7838235294117647</v>
      </c>
      <c r="AM10" s="24">
        <v>0.58529411764705885</v>
      </c>
      <c r="AN10" s="24">
        <v>0.67500000000000004</v>
      </c>
    </row>
    <row r="11" spans="1:40" x14ac:dyDescent="0.3">
      <c r="A11" t="s">
        <v>187</v>
      </c>
      <c r="B11" s="24">
        <v>0.73281249999999998</v>
      </c>
      <c r="C11" s="24">
        <v>0.97941176470588243</v>
      </c>
      <c r="D11" s="24">
        <v>0.72499999999999998</v>
      </c>
      <c r="E11" s="24">
        <v>0.83088235294117652</v>
      </c>
      <c r="F11" s="24"/>
      <c r="G11" s="24">
        <v>1.0720588235294117</v>
      </c>
      <c r="H11" s="24">
        <v>0.95147058823529407</v>
      </c>
      <c r="I11" s="24">
        <v>1.0779411764705882</v>
      </c>
      <c r="J11" s="24">
        <v>0.9882352941176471</v>
      </c>
      <c r="K11" s="24">
        <v>1.0294117647058825</v>
      </c>
      <c r="L11" s="24">
        <v>1.0735294117647058</v>
      </c>
      <c r="M11" s="24">
        <v>1.0617647058823529</v>
      </c>
      <c r="N11" s="24">
        <v>0.98676470588235299</v>
      </c>
      <c r="O11" s="24">
        <v>0.99558823529411766</v>
      </c>
      <c r="P11" s="24">
        <v>0.97647058823529409</v>
      </c>
      <c r="Q11" s="24">
        <v>0.85000000000000009</v>
      </c>
      <c r="R11" s="24">
        <v>0.99705882352941178</v>
      </c>
      <c r="S11" s="24">
        <v>1.0941176470588236</v>
      </c>
      <c r="T11" s="24">
        <v>0.96470588235294119</v>
      </c>
      <c r="U11" s="24">
        <v>1.0926470588235293</v>
      </c>
      <c r="V11" s="24">
        <v>0.98382352941176476</v>
      </c>
      <c r="W11" s="24">
        <v>0.73970588235294121</v>
      </c>
      <c r="X11" s="24">
        <v>0.73529411764705888</v>
      </c>
      <c r="Y11" s="24">
        <v>0.53235294117647058</v>
      </c>
      <c r="Z11" s="24">
        <v>0.5338235294117647</v>
      </c>
      <c r="AA11" s="24">
        <v>0.68970588235294128</v>
      </c>
      <c r="AB11" s="24">
        <v>0.63676470588235301</v>
      </c>
      <c r="AC11" s="24">
        <v>0.69411764705882351</v>
      </c>
      <c r="AD11" s="24">
        <v>0.65588235294117647</v>
      </c>
      <c r="AE11" s="24">
        <v>0.68970588235294128</v>
      </c>
      <c r="AF11" s="24">
        <v>0.81176470588235294</v>
      </c>
      <c r="AG11" s="24">
        <v>0.80882352941176472</v>
      </c>
      <c r="AH11" s="24">
        <v>0.85588235294117654</v>
      </c>
      <c r="AI11" s="24">
        <v>0.83382352941176474</v>
      </c>
      <c r="AJ11" s="24">
        <v>0.78088235294117647</v>
      </c>
      <c r="AK11" s="24">
        <v>0.82794117647058829</v>
      </c>
      <c r="AL11" s="24">
        <v>0.9</v>
      </c>
      <c r="AM11" s="24">
        <v>0.65735294117647058</v>
      </c>
      <c r="AN11" s="24">
        <v>0.76323529411764712</v>
      </c>
    </row>
    <row r="12" spans="1:40" x14ac:dyDescent="0.3">
      <c r="A12" t="s">
        <v>188</v>
      </c>
      <c r="B12" s="24">
        <v>0.88749999999999996</v>
      </c>
      <c r="C12" s="24">
        <v>0.95294117647058829</v>
      </c>
      <c r="D12" s="24">
        <v>0.83823529411764708</v>
      </c>
      <c r="E12" s="24">
        <v>0.86911764705882355</v>
      </c>
      <c r="F12" s="24"/>
      <c r="G12" s="24">
        <v>1.0529411764705883</v>
      </c>
      <c r="H12" s="24">
        <v>0.9544117647058824</v>
      </c>
      <c r="I12" s="24">
        <v>1.0249999999999999</v>
      </c>
      <c r="J12" s="24">
        <v>0.96176470588235297</v>
      </c>
      <c r="K12" s="24">
        <v>0.98970588235294121</v>
      </c>
      <c r="L12" s="24">
        <v>1.0647058823529412</v>
      </c>
      <c r="M12" s="24">
        <v>1.0382352941176469</v>
      </c>
      <c r="N12" s="24">
        <v>0.97499999999999998</v>
      </c>
      <c r="O12" s="24">
        <v>0.98235294117647054</v>
      </c>
      <c r="P12" s="24">
        <v>0.9544117647058824</v>
      </c>
      <c r="Q12" s="24">
        <v>0.87205882352941178</v>
      </c>
      <c r="R12" s="24">
        <v>0.98382352941176476</v>
      </c>
      <c r="S12" s="24">
        <v>1.0470588235294118</v>
      </c>
      <c r="T12" s="24">
        <v>0.95147058823529407</v>
      </c>
      <c r="U12" s="24">
        <v>1.0558823529411765</v>
      </c>
      <c r="V12" s="24">
        <v>0.9426470588235295</v>
      </c>
      <c r="W12" s="24">
        <v>0.88235294117647056</v>
      </c>
      <c r="X12" s="24">
        <v>0.89264705882352946</v>
      </c>
      <c r="Y12" s="24">
        <v>0.69705882352941184</v>
      </c>
      <c r="Z12" s="24">
        <v>0.67941176470588238</v>
      </c>
      <c r="AA12" s="24">
        <v>0.83529411764705885</v>
      </c>
      <c r="AB12" s="24">
        <v>0.81176470588235294</v>
      </c>
      <c r="AC12" s="24">
        <v>0.75588235294117645</v>
      </c>
      <c r="AD12" s="24">
        <v>0.73970588235294121</v>
      </c>
      <c r="AE12" s="24">
        <v>0.80588235294117661</v>
      </c>
      <c r="AF12" s="24">
        <v>0.9088235294117647</v>
      </c>
      <c r="AG12" s="24">
        <v>0.91323529411764703</v>
      </c>
      <c r="AH12" s="24">
        <v>0.95588235294117652</v>
      </c>
      <c r="AI12" s="24">
        <v>0.94705882352941184</v>
      </c>
      <c r="AJ12" s="24">
        <v>0.90294117647058825</v>
      </c>
      <c r="AK12" s="24">
        <v>0.93676470588235294</v>
      </c>
      <c r="AL12" s="24">
        <v>0.9882352941176471</v>
      </c>
      <c r="AM12" s="24">
        <v>0.73382352941176476</v>
      </c>
      <c r="AN12" s="24">
        <v>0.89705882352941169</v>
      </c>
    </row>
    <row r="13" spans="1:40" x14ac:dyDescent="0.3">
      <c r="A13" t="s">
        <v>189</v>
      </c>
      <c r="B13" s="24">
        <v>1.0265625</v>
      </c>
      <c r="C13" s="24">
        <v>0.96029411764705885</v>
      </c>
      <c r="D13" s="24">
        <v>0.97352941176470598</v>
      </c>
      <c r="E13" s="24">
        <v>0.91323529411764703</v>
      </c>
      <c r="F13" s="24"/>
      <c r="G13" s="24">
        <v>1.0676470588235294</v>
      </c>
      <c r="H13" s="24">
        <v>1.0029411764705882</v>
      </c>
      <c r="I13" s="24">
        <v>0.98382352941176476</v>
      </c>
      <c r="J13" s="24">
        <v>0.89117647058823524</v>
      </c>
      <c r="K13" s="24">
        <v>0.98970588235294121</v>
      </c>
      <c r="L13" s="24">
        <v>1.0573529411764706</v>
      </c>
      <c r="M13" s="24">
        <v>0.98529411764705888</v>
      </c>
      <c r="N13" s="24">
        <v>0.91176470588235303</v>
      </c>
      <c r="O13" s="24">
        <v>0.91617647058823537</v>
      </c>
      <c r="P13" s="24">
        <v>0.90735294117647058</v>
      </c>
      <c r="Q13" s="24">
        <v>0.95000000000000007</v>
      </c>
      <c r="R13" s="24">
        <v>0.94117647058823539</v>
      </c>
      <c r="S13" s="24">
        <v>0.97794117647058831</v>
      </c>
      <c r="T13" s="24">
        <v>1.0029411764705882</v>
      </c>
      <c r="U13" s="24">
        <v>1.0044117647058823</v>
      </c>
      <c r="V13" s="24">
        <v>0.90441176470588247</v>
      </c>
      <c r="W13" s="24">
        <v>0.91029411764705892</v>
      </c>
      <c r="X13" s="24">
        <v>1.0235294117647058</v>
      </c>
      <c r="Y13" s="24">
        <v>0.86617647058823521</v>
      </c>
      <c r="Z13" s="24">
        <v>0.85441176470588232</v>
      </c>
      <c r="AA13" s="24">
        <v>0.96617647058823541</v>
      </c>
      <c r="AB13" s="24">
        <v>0.98676470588235299</v>
      </c>
      <c r="AC13" s="24">
        <v>0.80441176470588238</v>
      </c>
      <c r="AD13" s="24">
        <v>0.80735294117647061</v>
      </c>
      <c r="AE13" s="24">
        <v>0.88529411764705879</v>
      </c>
      <c r="AF13" s="24">
        <v>0.95294117647058829</v>
      </c>
      <c r="AG13" s="24">
        <v>0.94705882352941184</v>
      </c>
      <c r="AH13" s="24">
        <v>0.98970588235294121</v>
      </c>
      <c r="AI13" s="24">
        <v>1.0176470588235293</v>
      </c>
      <c r="AJ13" s="24">
        <v>0.9882352941176471</v>
      </c>
      <c r="AK13" s="24">
        <v>1.0029411764705882</v>
      </c>
      <c r="AL13" s="24">
        <v>0.98235294117647054</v>
      </c>
      <c r="AM13" s="24">
        <v>0.76911764705882357</v>
      </c>
      <c r="AN13" s="24">
        <v>0.92205882352941171</v>
      </c>
    </row>
    <row r="14" spans="1:40" x14ac:dyDescent="0.3">
      <c r="A14" t="s">
        <v>190</v>
      </c>
      <c r="B14" s="24">
        <v>1.1359374999999998</v>
      </c>
      <c r="C14" s="24">
        <v>1.0485294117647059</v>
      </c>
      <c r="D14" s="24">
        <v>1.1279411764705882</v>
      </c>
      <c r="E14" s="24">
        <v>1.0161764705882352</v>
      </c>
      <c r="F14" s="24"/>
      <c r="G14" s="24">
        <v>1.1279411764705882</v>
      </c>
      <c r="H14" s="24">
        <v>1.1014705882352942</v>
      </c>
      <c r="I14" s="24">
        <v>1.0352941176470589</v>
      </c>
      <c r="J14" s="24">
        <v>0.94852941176470595</v>
      </c>
      <c r="K14" s="24">
        <v>1.0794117647058823</v>
      </c>
      <c r="L14" s="24">
        <v>1.1191176470588236</v>
      </c>
      <c r="M14" s="24">
        <v>1.0161764705882352</v>
      </c>
      <c r="N14" s="24">
        <v>0.94705882352941184</v>
      </c>
      <c r="O14" s="24">
        <v>0.96029411764705885</v>
      </c>
      <c r="P14" s="24">
        <v>1.0147058823529413</v>
      </c>
      <c r="Q14" s="24">
        <v>1.0808823529411764</v>
      </c>
      <c r="R14" s="24">
        <v>0.96617647058823541</v>
      </c>
      <c r="S14" s="24">
        <v>0.95882352941176463</v>
      </c>
      <c r="T14" s="24">
        <v>1.1220588235294118</v>
      </c>
      <c r="U14" s="24">
        <v>1.0485294117647059</v>
      </c>
      <c r="V14" s="24">
        <v>0.93676470588235294</v>
      </c>
      <c r="W14" s="24">
        <v>0.99852941176470589</v>
      </c>
      <c r="X14" s="24">
        <v>1.1352941176470588</v>
      </c>
      <c r="Y14" s="24">
        <v>1.0161764705882352</v>
      </c>
      <c r="Z14" s="24">
        <v>0.99411764705882355</v>
      </c>
      <c r="AA14" s="24">
        <v>1.0691176470588235</v>
      </c>
      <c r="AB14" s="24">
        <v>1.1455882352941176</v>
      </c>
      <c r="AC14" s="24">
        <v>0.77647058823529413</v>
      </c>
      <c r="AD14" s="24">
        <v>0.87941176470588245</v>
      </c>
      <c r="AE14" s="24">
        <v>0.96176470588235297</v>
      </c>
      <c r="AF14" s="24">
        <v>0.94117647058823539</v>
      </c>
      <c r="AG14" s="24">
        <v>0.9205882352941176</v>
      </c>
      <c r="AH14" s="24">
        <v>0.96617647058823541</v>
      </c>
      <c r="AI14" s="24">
        <v>1.0176470588235293</v>
      </c>
      <c r="AJ14" s="24">
        <v>1.0176470588235293</v>
      </c>
      <c r="AK14" s="24">
        <v>1.0147058823529413</v>
      </c>
      <c r="AL14" s="24">
        <v>0.96764705882352942</v>
      </c>
      <c r="AM14" s="24">
        <v>0.8632352941176471</v>
      </c>
      <c r="AN14" s="24">
        <v>0.94117647058823539</v>
      </c>
    </row>
    <row r="15" spans="1:40" x14ac:dyDescent="0.3">
      <c r="A15" t="s">
        <v>191</v>
      </c>
      <c r="B15" s="24">
        <v>1.2140624999999998</v>
      </c>
      <c r="C15" s="24">
        <v>1.1220588235294118</v>
      </c>
      <c r="D15" s="24">
        <v>1.1955882352941178</v>
      </c>
      <c r="E15" s="24">
        <v>1.1132352941176471</v>
      </c>
      <c r="F15" s="24"/>
      <c r="G15" s="24">
        <v>1.210294117647059</v>
      </c>
      <c r="H15" s="24">
        <v>1.1838235294117649</v>
      </c>
      <c r="I15" s="24">
        <v>1.0823529411764707</v>
      </c>
      <c r="J15" s="24">
        <v>0.98088235294117654</v>
      </c>
      <c r="K15" s="24">
        <v>1.1161764705882353</v>
      </c>
      <c r="L15" s="24">
        <v>1.1647058823529413</v>
      </c>
      <c r="M15" s="24">
        <v>1.0838235294117649</v>
      </c>
      <c r="N15" s="24">
        <v>0.99264705882352944</v>
      </c>
      <c r="O15" s="24">
        <v>0.99411764705882355</v>
      </c>
      <c r="P15" s="24">
        <v>1.0617647058823529</v>
      </c>
      <c r="Q15" s="24">
        <v>1.1588235294117648</v>
      </c>
      <c r="R15" s="24">
        <v>0.99705882352941178</v>
      </c>
      <c r="S15" s="24">
        <v>1.0249999999999999</v>
      </c>
      <c r="T15" s="24">
        <v>1.2014705882352941</v>
      </c>
      <c r="U15" s="24">
        <v>1.1014705882352942</v>
      </c>
      <c r="V15" s="24">
        <v>0.98529411764705888</v>
      </c>
      <c r="W15" s="24">
        <v>1.0220588235294119</v>
      </c>
      <c r="X15" s="24">
        <v>1.1544117647058822</v>
      </c>
      <c r="Y15" s="24">
        <v>1.0955882352941178</v>
      </c>
      <c r="Z15" s="24">
        <v>1.0647058823529412</v>
      </c>
      <c r="AA15" s="24">
        <v>1.1426470588235293</v>
      </c>
      <c r="AB15" s="24">
        <v>1.2426470588235294</v>
      </c>
      <c r="AC15" s="24">
        <v>0.85000000000000009</v>
      </c>
      <c r="AD15" s="24">
        <v>0.98529411764705888</v>
      </c>
      <c r="AE15" s="24">
        <v>0.98235294117647054</v>
      </c>
      <c r="AF15" s="24">
        <v>0.92205882352941171</v>
      </c>
      <c r="AG15" s="24">
        <v>0.85000000000000009</v>
      </c>
      <c r="AH15" s="24">
        <v>0.9426470588235295</v>
      </c>
      <c r="AI15" s="24">
        <v>1.0661764705882353</v>
      </c>
      <c r="AJ15" s="24">
        <v>1.0705882352941176</v>
      </c>
      <c r="AK15" s="24">
        <v>1.0529411764705883</v>
      </c>
      <c r="AL15" s="24">
        <v>0.99705882352941178</v>
      </c>
      <c r="AM15" s="24">
        <v>0.87941176470588245</v>
      </c>
      <c r="AN15" s="24">
        <v>0.95588235294117652</v>
      </c>
    </row>
    <row r="16" spans="1:40" x14ac:dyDescent="0.3">
      <c r="A16" t="s">
        <v>192</v>
      </c>
      <c r="B16" s="43">
        <f>AVERAGE(B4:B15)</f>
        <v>0.88229166666666659</v>
      </c>
      <c r="C16" s="43">
        <f t="shared" ref="C16:J16" si="0">AVERAGE(C4:C15)</f>
        <v>0.96372549019607856</v>
      </c>
      <c r="D16" s="43">
        <f t="shared" si="0"/>
        <v>0.91666666666666663</v>
      </c>
      <c r="E16" s="43">
        <f t="shared" si="0"/>
        <v>0.90269607843137256</v>
      </c>
      <c r="F16" s="43" t="e">
        <f t="shared" si="0"/>
        <v>#DIV/0!</v>
      </c>
      <c r="G16" s="43">
        <f t="shared" si="0"/>
        <v>1.0486519607843139</v>
      </c>
      <c r="H16" s="43">
        <f t="shared" si="0"/>
        <v>0.98321078431372533</v>
      </c>
      <c r="I16" s="43">
        <f t="shared" si="0"/>
        <v>1.008578431372549</v>
      </c>
      <c r="J16" s="43">
        <f t="shared" si="0"/>
        <v>0.9289215686274509</v>
      </c>
      <c r="K16" s="43">
        <f t="shared" ref="K16" si="1">AVERAGE(K4:K15)</f>
        <v>0.9841911764705884</v>
      </c>
      <c r="L16" s="43">
        <f t="shared" ref="L16" si="2">AVERAGE(L4:L15)</f>
        <v>1.0417892156862745</v>
      </c>
      <c r="M16" s="43">
        <f t="shared" ref="M16" si="3">AVERAGE(M4:M15)</f>
        <v>1.0200980392156862</v>
      </c>
      <c r="N16" s="43">
        <f t="shared" ref="N16" si="4">AVERAGE(N4:N15)</f>
        <v>0.94534313725490193</v>
      </c>
      <c r="O16" s="43">
        <f t="shared" ref="O16" si="5">AVERAGE(O4:O15)</f>
        <v>0.94411764705882362</v>
      </c>
      <c r="P16" s="43">
        <f t="shared" ref="P16" si="6">AVERAGE(P4:P15)</f>
        <v>0.94840686274509833</v>
      </c>
      <c r="Q16" s="43">
        <f t="shared" ref="Q16:R16" si="7">AVERAGE(Q4:Q15)</f>
        <v>0.93664215686274499</v>
      </c>
      <c r="R16" s="43">
        <f t="shared" si="7"/>
        <v>0.95208333333333339</v>
      </c>
      <c r="S16" s="43">
        <f t="shared" ref="S16" si="8">AVERAGE(S4:S15)</f>
        <v>1.0031862745098039</v>
      </c>
      <c r="T16" s="43">
        <f t="shared" ref="T16" si="9">AVERAGE(T4:T15)</f>
        <v>0.98419117647058829</v>
      </c>
      <c r="U16" s="43">
        <f t="shared" ref="U16" si="10">AVERAGE(U4:U15)</f>
        <v>1.0245098039215688</v>
      </c>
      <c r="V16" s="43">
        <f t="shared" ref="V16" si="11">AVERAGE(V4:V15)</f>
        <v>0.93982843137254901</v>
      </c>
      <c r="W16" s="43">
        <f t="shared" ref="W16" si="12">AVERAGE(W4:W15)</f>
        <v>0.82524509803921564</v>
      </c>
      <c r="X16" s="43">
        <f t="shared" ref="X16" si="13">AVERAGE(X4:X15)</f>
        <v>0.86568627450980384</v>
      </c>
      <c r="Y16" s="43">
        <f t="shared" ref="Y16:Z16" si="14">AVERAGE(Y4:Y15)</f>
        <v>0.73615196078431377</v>
      </c>
      <c r="Z16" s="43">
        <f t="shared" si="14"/>
        <v>0.7221813725490196</v>
      </c>
      <c r="AA16" s="43">
        <f t="shared" ref="AA16" si="15">AVERAGE(AA4:AA15)</f>
        <v>0.83039215686274515</v>
      </c>
      <c r="AB16" s="43">
        <f t="shared" ref="AB16" si="16">AVERAGE(AB4:AB15)</f>
        <v>0.84607843137254901</v>
      </c>
      <c r="AC16" s="43">
        <f t="shared" ref="AC16" si="17">AVERAGE(AC4:AC15)</f>
        <v>0.73394607843137261</v>
      </c>
      <c r="AD16" s="43">
        <f t="shared" ref="AD16" si="18">AVERAGE(AD4:AD15)</f>
        <v>0.77524509803921582</v>
      </c>
      <c r="AE16" s="43">
        <f t="shared" ref="AE16" si="19">AVERAGE(AE4:AE15)</f>
        <v>0.80036764705882346</v>
      </c>
      <c r="AF16" s="43">
        <f t="shared" ref="AF16" si="20">AVERAGE(AF4:AF15)</f>
        <v>0.85061274509803919</v>
      </c>
      <c r="AG16" s="43">
        <f t="shared" ref="AG16:AH16" si="21">AVERAGE(AG4:AG15)</f>
        <v>0.81936274509803908</v>
      </c>
      <c r="AH16" s="43">
        <f t="shared" si="21"/>
        <v>0.87218137254901962</v>
      </c>
      <c r="AI16" s="43">
        <f t="shared" ref="AI16" si="22">AVERAGE(AI4:AI15)</f>
        <v>0.88860294117647065</v>
      </c>
      <c r="AJ16" s="43">
        <f t="shared" ref="AJ16" si="23">AVERAGE(AJ4:AJ15)</f>
        <v>0.86029411764705888</v>
      </c>
      <c r="AK16" s="43">
        <f t="shared" ref="AK16" si="24">AVERAGE(AK4:AK15)</f>
        <v>0.90073529411764719</v>
      </c>
      <c r="AL16" s="43">
        <f t="shared" ref="AL16" si="25">AVERAGE(AL4:AL15)</f>
        <v>0.89681372549019611</v>
      </c>
      <c r="AM16" s="43">
        <f t="shared" ref="AM16" si="26">AVERAGE(AM4:AM15)</f>
        <v>0.73272058823529418</v>
      </c>
      <c r="AN16" s="43">
        <f t="shared" ref="AN16" si="27">AVERAGE(AN4:AN15)</f>
        <v>0.82352941176470595</v>
      </c>
    </row>
    <row r="18" spans="2:13" x14ac:dyDescent="0.3">
      <c r="D18" s="18" t="s">
        <v>36</v>
      </c>
      <c r="E18" s="18" t="s">
        <v>91</v>
      </c>
      <c r="F18" s="18" t="s">
        <v>92</v>
      </c>
      <c r="G18" s="18" t="s">
        <v>93</v>
      </c>
      <c r="H18" s="18" t="s">
        <v>94</v>
      </c>
      <c r="I18" s="18" t="s">
        <v>95</v>
      </c>
      <c r="J18" s="18" t="s">
        <v>96</v>
      </c>
      <c r="K18" s="18" t="s">
        <v>10</v>
      </c>
      <c r="L18" s="18" t="s">
        <v>97</v>
      </c>
      <c r="M18" s="18" t="s">
        <v>98</v>
      </c>
    </row>
    <row r="19" spans="2:13" x14ac:dyDescent="0.3">
      <c r="D19" s="9" t="s">
        <v>60</v>
      </c>
      <c r="E19" s="9" t="s">
        <v>99</v>
      </c>
      <c r="F19" s="9" t="s">
        <v>82</v>
      </c>
      <c r="G19" s="9"/>
      <c r="H19" s="9"/>
      <c r="I19" s="9"/>
      <c r="J19" s="9"/>
      <c r="K19" s="9"/>
      <c r="L19" s="9"/>
      <c r="M19" s="9"/>
    </row>
    <row r="20" spans="2:13" x14ac:dyDescent="0.3">
      <c r="D20" s="9"/>
      <c r="E20" s="9"/>
      <c r="F20" s="9"/>
      <c r="G20" s="9"/>
      <c r="H20" s="9"/>
      <c r="I20" s="9"/>
      <c r="J20" s="9"/>
      <c r="K20" s="9"/>
      <c r="L20" s="9"/>
      <c r="M20" s="9"/>
    </row>
    <row r="21" spans="2:13" x14ac:dyDescent="0.3">
      <c r="B21" s="18" t="s">
        <v>91</v>
      </c>
      <c r="D21" s="18" t="s">
        <v>58</v>
      </c>
      <c r="E21" s="18" t="s">
        <v>86</v>
      </c>
      <c r="F21" s="18" t="s">
        <v>82</v>
      </c>
      <c r="G21" s="18" t="s">
        <v>81</v>
      </c>
      <c r="H21" s="18" t="s">
        <v>56</v>
      </c>
      <c r="I21" s="18" t="s">
        <v>54</v>
      </c>
      <c r="J21" s="18" t="s">
        <v>59</v>
      </c>
      <c r="K21" s="18" t="s">
        <v>55</v>
      </c>
      <c r="L21" s="18" t="s">
        <v>61</v>
      </c>
      <c r="M21" s="18" t="s">
        <v>79</v>
      </c>
    </row>
    <row r="22" spans="2:13" x14ac:dyDescent="0.3">
      <c r="B22" s="18" t="s">
        <v>95</v>
      </c>
      <c r="D22" s="18" t="s">
        <v>88</v>
      </c>
      <c r="E22" s="18" t="s">
        <v>85</v>
      </c>
      <c r="F22" s="18" t="s">
        <v>83</v>
      </c>
      <c r="G22" s="18" t="s">
        <v>80</v>
      </c>
      <c r="H22" s="18" t="s">
        <v>78</v>
      </c>
      <c r="I22" s="18" t="s">
        <v>57</v>
      </c>
      <c r="J22" s="18" t="s">
        <v>74</v>
      </c>
      <c r="K22" s="18" t="s">
        <v>67</v>
      </c>
      <c r="L22" s="18" t="s">
        <v>65</v>
      </c>
      <c r="M22" s="18" t="s">
        <v>90</v>
      </c>
    </row>
    <row r="23" spans="2:13" x14ac:dyDescent="0.3">
      <c r="B23" s="18" t="s">
        <v>97</v>
      </c>
      <c r="D23" s="18" t="s">
        <v>60</v>
      </c>
      <c r="E23" s="18" t="s">
        <v>84</v>
      </c>
      <c r="F23" s="18"/>
      <c r="G23" s="18"/>
      <c r="H23" s="18" t="s">
        <v>100</v>
      </c>
      <c r="I23" s="18" t="s">
        <v>76</v>
      </c>
      <c r="J23" s="18" t="s">
        <v>68</v>
      </c>
      <c r="K23" s="18" t="s">
        <v>69</v>
      </c>
      <c r="L23" s="18" t="s">
        <v>66</v>
      </c>
    </row>
    <row r="24" spans="2:13" x14ac:dyDescent="0.3">
      <c r="B24" s="18" t="s">
        <v>93</v>
      </c>
      <c r="D24" s="18" t="s">
        <v>63</v>
      </c>
      <c r="E24" s="18"/>
      <c r="F24" s="18"/>
      <c r="G24" s="18"/>
      <c r="H24" s="18"/>
      <c r="I24" s="18"/>
      <c r="J24" s="18" t="s">
        <v>71</v>
      </c>
      <c r="K24" s="18" t="s">
        <v>220</v>
      </c>
      <c r="M24" s="18"/>
    </row>
    <row r="25" spans="2:13" x14ac:dyDescent="0.3">
      <c r="B25" s="18" t="s">
        <v>98</v>
      </c>
      <c r="D25" s="18" t="s">
        <v>87</v>
      </c>
      <c r="E25" s="18"/>
      <c r="F25" s="18"/>
      <c r="G25" s="18"/>
      <c r="H25" s="18"/>
      <c r="I25" s="18"/>
      <c r="J25" s="18"/>
      <c r="K25" s="18" t="s">
        <v>73</v>
      </c>
      <c r="L25" s="18"/>
      <c r="M25" s="18"/>
    </row>
    <row r="26" spans="2:13" x14ac:dyDescent="0.3">
      <c r="B26" s="18" t="s">
        <v>36</v>
      </c>
      <c r="D26" s="18" t="s">
        <v>64</v>
      </c>
      <c r="E26" s="18"/>
      <c r="F26" s="18"/>
      <c r="G26" s="18"/>
      <c r="H26" s="18"/>
      <c r="I26" s="18"/>
      <c r="J26" s="18"/>
      <c r="K26" s="18"/>
      <c r="L26" s="18"/>
      <c r="M26" s="18"/>
    </row>
    <row r="27" spans="2:13" x14ac:dyDescent="0.3">
      <c r="B27" s="18" t="s">
        <v>96</v>
      </c>
      <c r="D27" s="18" t="s">
        <v>89</v>
      </c>
      <c r="E27" s="18"/>
      <c r="F27" s="18"/>
      <c r="G27" s="18"/>
      <c r="H27" s="18"/>
      <c r="I27" s="18"/>
      <c r="J27" s="18"/>
      <c r="K27" s="18"/>
      <c r="L27" s="18"/>
      <c r="M27" s="18"/>
    </row>
    <row r="28" spans="2:13" x14ac:dyDescent="0.3">
      <c r="B28" s="18" t="s">
        <v>94</v>
      </c>
      <c r="D28" s="18" t="s">
        <v>70</v>
      </c>
      <c r="E28" s="18"/>
      <c r="F28" s="18"/>
      <c r="G28" s="18"/>
      <c r="H28" s="18"/>
      <c r="I28" s="18"/>
      <c r="J28" s="18"/>
      <c r="K28" s="18"/>
      <c r="L28" s="18"/>
      <c r="M28" s="18"/>
    </row>
    <row r="29" spans="2:13" x14ac:dyDescent="0.3">
      <c r="B29" s="18" t="s">
        <v>92</v>
      </c>
      <c r="D29" s="18" t="s">
        <v>37</v>
      </c>
      <c r="E29" s="18"/>
      <c r="F29" s="18"/>
      <c r="G29" s="18"/>
      <c r="H29" s="18"/>
      <c r="I29" s="18"/>
      <c r="J29" s="18"/>
      <c r="K29" s="18"/>
      <c r="L29" s="18"/>
      <c r="M29" s="18"/>
    </row>
    <row r="30" spans="2:13" x14ac:dyDescent="0.3">
      <c r="B30" s="18" t="s">
        <v>10</v>
      </c>
      <c r="D30" s="18"/>
      <c r="E30" s="18"/>
      <c r="F30" s="18"/>
      <c r="G30" s="18"/>
      <c r="H30" s="18"/>
      <c r="I30" s="18"/>
      <c r="J30" s="18"/>
      <c r="K30" s="18"/>
      <c r="L30" s="18"/>
      <c r="M30" s="18"/>
    </row>
    <row r="34" spans="2:6" x14ac:dyDescent="0.3">
      <c r="B34" t="s">
        <v>134</v>
      </c>
    </row>
    <row r="36" spans="2:6" x14ac:dyDescent="0.3">
      <c r="B36" t="s">
        <v>40</v>
      </c>
      <c r="C36">
        <v>240</v>
      </c>
      <c r="E36" t="s">
        <v>41</v>
      </c>
      <c r="F36" t="s">
        <v>1</v>
      </c>
    </row>
    <row r="37" spans="2:6" x14ac:dyDescent="0.3">
      <c r="C37">
        <v>380</v>
      </c>
      <c r="F37" t="s">
        <v>2</v>
      </c>
    </row>
    <row r="40" spans="2:6" x14ac:dyDescent="0.3">
      <c r="B40" t="s">
        <v>136</v>
      </c>
    </row>
    <row r="41" spans="2:6" x14ac:dyDescent="0.3">
      <c r="C41" t="s">
        <v>137</v>
      </c>
    </row>
    <row r="42" spans="2:6" x14ac:dyDescent="0.3">
      <c r="C42" t="s">
        <v>138</v>
      </c>
    </row>
  </sheetData>
  <dataConsolidate/>
  <dataValidations count="3">
    <dataValidation type="list" allowBlank="1" showInputMessage="1" showErrorMessage="1" sqref="E19" xr:uid="{00000000-0002-0000-0300-000000000000}">
      <formula1>$AJ$20:$AJ$22</formula1>
    </dataValidation>
    <dataValidation type="list" allowBlank="1" showInputMessage="1" showErrorMessage="1" sqref="F19" xr:uid="{00000000-0002-0000-0300-000001000000}">
      <formula1>$AK$20:$AK$21</formula1>
    </dataValidation>
    <dataValidation type="list" allowBlank="1" showInputMessage="1" showErrorMessage="1" sqref="D19" xr:uid="{00000000-0002-0000-0300-000002000000}">
      <formula1>$AI$20:$AI$28</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ED2E-AF07-490C-83B4-4AEA3D14F0AC}">
  <dimension ref="A1:EN133"/>
  <sheetViews>
    <sheetView topLeftCell="A9" zoomScale="97" zoomScaleNormal="97" zoomScalePageLayoutView="97" workbookViewId="0">
      <selection activeCell="T70" sqref="T70"/>
    </sheetView>
  </sheetViews>
  <sheetFormatPr defaultColWidth="11.44140625" defaultRowHeight="14.4" x14ac:dyDescent="0.3"/>
  <cols>
    <col min="1" max="1" width="20.44140625" bestFit="1" customWidth="1"/>
    <col min="3" max="3" width="13.33203125" customWidth="1"/>
    <col min="5" max="5" width="12.33203125" customWidth="1"/>
    <col min="6" max="6" width="17.44140625" customWidth="1"/>
    <col min="7" max="7" width="12" bestFit="1" customWidth="1"/>
    <col min="9" max="9" width="13" customWidth="1"/>
    <col min="18" max="18" width="23.5546875" bestFit="1" customWidth="1"/>
  </cols>
  <sheetData>
    <row r="1" spans="1:144" x14ac:dyDescent="0.3">
      <c r="A1">
        <v>1</v>
      </c>
      <c r="B1">
        <v>2</v>
      </c>
      <c r="C1">
        <v>3</v>
      </c>
      <c r="D1">
        <v>4</v>
      </c>
      <c r="E1">
        <v>5</v>
      </c>
      <c r="F1">
        <v>6</v>
      </c>
      <c r="G1">
        <v>7</v>
      </c>
      <c r="H1">
        <v>8</v>
      </c>
      <c r="I1">
        <v>9</v>
      </c>
      <c r="J1">
        <v>10</v>
      </c>
      <c r="K1">
        <v>11</v>
      </c>
      <c r="L1">
        <v>12</v>
      </c>
      <c r="M1">
        <v>13</v>
      </c>
      <c r="N1">
        <v>14</v>
      </c>
      <c r="O1">
        <v>15</v>
      </c>
      <c r="P1">
        <v>16</v>
      </c>
      <c r="Q1">
        <v>17</v>
      </c>
    </row>
    <row r="2" spans="1:144" x14ac:dyDescent="0.3">
      <c r="A2" t="s">
        <v>11</v>
      </c>
      <c r="J2" t="s">
        <v>146</v>
      </c>
      <c r="K2" t="s">
        <v>103</v>
      </c>
      <c r="N2" t="s">
        <v>106</v>
      </c>
    </row>
    <row r="3" spans="1:144" x14ac:dyDescent="0.3">
      <c r="B3" t="s">
        <v>12</v>
      </c>
      <c r="C3" t="s">
        <v>20</v>
      </c>
      <c r="D3" t="s">
        <v>139</v>
      </c>
      <c r="E3" t="s">
        <v>13</v>
      </c>
      <c r="F3" t="s">
        <v>14</v>
      </c>
      <c r="G3" t="s">
        <v>101</v>
      </c>
      <c r="H3" t="s">
        <v>15</v>
      </c>
      <c r="I3" t="s">
        <v>140</v>
      </c>
      <c r="K3" t="s">
        <v>102</v>
      </c>
      <c r="L3" t="s">
        <v>0</v>
      </c>
      <c r="M3" t="s">
        <v>104</v>
      </c>
      <c r="N3" t="s">
        <v>105</v>
      </c>
      <c r="O3" t="s">
        <v>107</v>
      </c>
      <c r="P3" t="s">
        <v>108</v>
      </c>
      <c r="Q3" t="s">
        <v>109</v>
      </c>
      <c r="R3" t="s">
        <v>16</v>
      </c>
    </row>
    <row r="4" spans="1:144" x14ac:dyDescent="0.3">
      <c r="A4" t="s">
        <v>21</v>
      </c>
      <c r="B4">
        <v>0.75</v>
      </c>
      <c r="C4">
        <v>0.37</v>
      </c>
      <c r="D4">
        <v>240</v>
      </c>
      <c r="E4">
        <v>300</v>
      </c>
      <c r="F4">
        <v>450</v>
      </c>
      <c r="G4">
        <v>360</v>
      </c>
      <c r="H4">
        <v>430</v>
      </c>
      <c r="I4">
        <f>F4*0.95</f>
        <v>427.5</v>
      </c>
      <c r="J4" t="s">
        <v>147</v>
      </c>
      <c r="K4">
        <v>4</v>
      </c>
      <c r="L4">
        <v>308</v>
      </c>
      <c r="M4">
        <v>446.5</v>
      </c>
      <c r="N4">
        <v>151.37</v>
      </c>
      <c r="O4">
        <v>221</v>
      </c>
      <c r="P4">
        <v>270</v>
      </c>
      <c r="Q4" s="26" t="s">
        <v>124</v>
      </c>
      <c r="S4" t="s">
        <v>17</v>
      </c>
      <c r="T4" t="e">
        <f>VLOOKUP(#REF!,A4:H25,4,FALSE)</f>
        <v>#REF!</v>
      </c>
      <c r="U4" s="15" t="e">
        <f>#REF!*#REF!</f>
        <v>#REF!</v>
      </c>
      <c r="V4" t="s">
        <v>21</v>
      </c>
    </row>
    <row r="5" spans="1:144" ht="23.4" x14ac:dyDescent="0.45">
      <c r="A5" t="s">
        <v>22</v>
      </c>
      <c r="B5">
        <v>1.5</v>
      </c>
      <c r="C5">
        <v>1.1000000000000001</v>
      </c>
      <c r="D5">
        <v>240</v>
      </c>
      <c r="E5">
        <v>300</v>
      </c>
      <c r="F5">
        <v>450</v>
      </c>
      <c r="G5">
        <v>360</v>
      </c>
      <c r="H5">
        <v>430</v>
      </c>
      <c r="I5">
        <f t="shared" ref="I5:I6" si="0">H5*0.95</f>
        <v>408.5</v>
      </c>
      <c r="J5" t="s">
        <v>147</v>
      </c>
      <c r="K5">
        <v>7</v>
      </c>
      <c r="L5">
        <v>308</v>
      </c>
      <c r="M5">
        <v>446.5</v>
      </c>
      <c r="N5">
        <v>151.37</v>
      </c>
      <c r="O5">
        <v>221</v>
      </c>
      <c r="P5">
        <v>270</v>
      </c>
      <c r="Q5" s="26" t="s">
        <v>125</v>
      </c>
      <c r="S5" t="s">
        <v>18</v>
      </c>
      <c r="T5" t="e">
        <f>VLOOKUP(#REF!,A4:L25,5,FALSE)</f>
        <v>#REF!</v>
      </c>
      <c r="U5" s="15" t="e">
        <f>#REF!*#REF!</f>
        <v>#REF!</v>
      </c>
      <c r="V5" t="s">
        <v>22</v>
      </c>
      <c r="Y5" s="31" t="s">
        <v>141</v>
      </c>
    </row>
    <row r="6" spans="1:144" x14ac:dyDescent="0.3">
      <c r="A6" t="s">
        <v>23</v>
      </c>
      <c r="B6">
        <v>2.2000000000000002</v>
      </c>
      <c r="C6">
        <v>1.5</v>
      </c>
      <c r="D6">
        <v>240</v>
      </c>
      <c r="E6">
        <v>300</v>
      </c>
      <c r="F6">
        <v>450</v>
      </c>
      <c r="G6">
        <v>360</v>
      </c>
      <c r="H6">
        <v>430</v>
      </c>
      <c r="I6">
        <f t="shared" si="0"/>
        <v>408.5</v>
      </c>
      <c r="J6" t="s">
        <v>147</v>
      </c>
      <c r="K6">
        <v>10</v>
      </c>
      <c r="L6">
        <v>308</v>
      </c>
      <c r="M6">
        <v>446.5</v>
      </c>
      <c r="N6">
        <v>151.37</v>
      </c>
      <c r="O6">
        <v>221</v>
      </c>
      <c r="P6">
        <v>270</v>
      </c>
      <c r="Q6" s="26" t="s">
        <v>126</v>
      </c>
      <c r="S6" t="s">
        <v>19</v>
      </c>
      <c r="T6" t="e">
        <f>MOD((#REF!/#REF!),1)=0</f>
        <v>#REF!</v>
      </c>
      <c r="V6" t="s">
        <v>23</v>
      </c>
      <c r="Y6">
        <v>1</v>
      </c>
      <c r="Z6">
        <v>2</v>
      </c>
      <c r="AA6">
        <v>3</v>
      </c>
      <c r="AB6">
        <v>4</v>
      </c>
      <c r="AC6">
        <v>5</v>
      </c>
      <c r="AD6">
        <v>6</v>
      </c>
      <c r="AE6">
        <v>7</v>
      </c>
      <c r="AF6">
        <v>8</v>
      </c>
      <c r="AG6">
        <v>9</v>
      </c>
      <c r="AH6">
        <v>10</v>
      </c>
      <c r="AI6">
        <v>11</v>
      </c>
      <c r="AJ6">
        <v>12</v>
      </c>
      <c r="AK6">
        <v>13</v>
      </c>
      <c r="AL6">
        <v>14</v>
      </c>
      <c r="AM6">
        <v>15</v>
      </c>
      <c r="AN6">
        <v>16</v>
      </c>
      <c r="AO6">
        <v>17</v>
      </c>
      <c r="AP6">
        <v>18</v>
      </c>
      <c r="AQ6">
        <v>19</v>
      </c>
      <c r="AR6">
        <v>20</v>
      </c>
      <c r="AS6">
        <v>21</v>
      </c>
      <c r="AT6">
        <v>22</v>
      </c>
      <c r="AU6">
        <v>23</v>
      </c>
      <c r="AV6">
        <v>24</v>
      </c>
      <c r="AW6">
        <v>25</v>
      </c>
      <c r="AX6">
        <v>26</v>
      </c>
      <c r="AY6">
        <v>27</v>
      </c>
      <c r="AZ6">
        <v>28</v>
      </c>
      <c r="BA6">
        <v>29</v>
      </c>
      <c r="BB6">
        <v>30</v>
      </c>
      <c r="BC6">
        <v>31</v>
      </c>
      <c r="BD6">
        <v>32</v>
      </c>
      <c r="BE6">
        <v>33</v>
      </c>
      <c r="BF6">
        <v>34</v>
      </c>
      <c r="BG6">
        <v>35</v>
      </c>
      <c r="BH6">
        <v>36</v>
      </c>
      <c r="BI6">
        <v>37</v>
      </c>
      <c r="BJ6">
        <v>38</v>
      </c>
      <c r="BK6">
        <v>39</v>
      </c>
      <c r="BL6">
        <v>40</v>
      </c>
      <c r="BM6">
        <v>41</v>
      </c>
      <c r="BN6">
        <v>42</v>
      </c>
      <c r="BO6">
        <v>43</v>
      </c>
      <c r="BP6">
        <v>44</v>
      </c>
      <c r="BQ6">
        <v>45</v>
      </c>
      <c r="BR6">
        <v>46</v>
      </c>
      <c r="BS6">
        <v>47</v>
      </c>
      <c r="BT6">
        <v>48</v>
      </c>
      <c r="BU6">
        <v>49</v>
      </c>
      <c r="BV6">
        <v>50</v>
      </c>
      <c r="BW6">
        <v>51</v>
      </c>
      <c r="BX6">
        <v>52</v>
      </c>
      <c r="BY6">
        <v>53</v>
      </c>
      <c r="BZ6">
        <v>54</v>
      </c>
      <c r="CA6">
        <v>55</v>
      </c>
      <c r="CB6">
        <v>56</v>
      </c>
      <c r="CC6">
        <v>57</v>
      </c>
      <c r="CD6">
        <v>58</v>
      </c>
      <c r="CE6">
        <v>59</v>
      </c>
      <c r="CF6">
        <v>60</v>
      </c>
      <c r="CG6">
        <v>61</v>
      </c>
      <c r="CH6">
        <v>62</v>
      </c>
      <c r="CI6">
        <v>63</v>
      </c>
      <c r="CJ6">
        <v>64</v>
      </c>
      <c r="CK6">
        <v>65</v>
      </c>
      <c r="CL6">
        <v>66</v>
      </c>
      <c r="CM6">
        <v>67</v>
      </c>
      <c r="CN6">
        <v>68</v>
      </c>
      <c r="CO6">
        <v>69</v>
      </c>
      <c r="CP6">
        <v>70</v>
      </c>
      <c r="CQ6">
        <v>71</v>
      </c>
      <c r="CR6">
        <v>72</v>
      </c>
      <c r="CS6">
        <v>73</v>
      </c>
      <c r="CT6">
        <v>74</v>
      </c>
      <c r="CU6">
        <v>75</v>
      </c>
      <c r="CV6">
        <v>76</v>
      </c>
      <c r="CW6">
        <v>77</v>
      </c>
      <c r="CX6">
        <v>78</v>
      </c>
      <c r="CY6">
        <v>79</v>
      </c>
      <c r="CZ6">
        <v>80</v>
      </c>
      <c r="DA6">
        <v>81</v>
      </c>
      <c r="DB6">
        <v>82</v>
      </c>
      <c r="DC6">
        <v>83</v>
      </c>
      <c r="DD6">
        <v>84</v>
      </c>
      <c r="DE6">
        <v>85</v>
      </c>
      <c r="DF6">
        <v>86</v>
      </c>
      <c r="DG6">
        <v>87</v>
      </c>
      <c r="DH6">
        <v>88</v>
      </c>
      <c r="DI6">
        <v>89</v>
      </c>
      <c r="DJ6">
        <v>90</v>
      </c>
      <c r="DK6">
        <v>91</v>
      </c>
      <c r="DL6">
        <v>92</v>
      </c>
      <c r="DM6">
        <v>93</v>
      </c>
      <c r="DN6">
        <v>94</v>
      </c>
      <c r="DO6">
        <v>95</v>
      </c>
      <c r="DP6">
        <v>96</v>
      </c>
      <c r="DQ6">
        <v>97</v>
      </c>
      <c r="DR6">
        <v>98</v>
      </c>
      <c r="DS6">
        <v>99</v>
      </c>
      <c r="DT6">
        <v>100</v>
      </c>
      <c r="DU6">
        <v>101</v>
      </c>
      <c r="DV6">
        <v>102</v>
      </c>
      <c r="DW6">
        <v>103</v>
      </c>
      <c r="DX6">
        <v>104</v>
      </c>
      <c r="DY6">
        <v>105</v>
      </c>
      <c r="DZ6">
        <v>106</v>
      </c>
      <c r="EA6">
        <v>107</v>
      </c>
      <c r="EB6">
        <v>108</v>
      </c>
      <c r="EC6">
        <v>109</v>
      </c>
      <c r="ED6">
        <v>110</v>
      </c>
      <c r="EE6">
        <v>111</v>
      </c>
      <c r="EF6">
        <v>112</v>
      </c>
      <c r="EG6">
        <v>113</v>
      </c>
      <c r="EH6">
        <v>114</v>
      </c>
      <c r="EI6">
        <v>115</v>
      </c>
      <c r="EJ6">
        <v>116</v>
      </c>
      <c r="EK6">
        <v>117</v>
      </c>
      <c r="EL6">
        <v>118</v>
      </c>
      <c r="EM6">
        <v>119</v>
      </c>
      <c r="EN6">
        <v>120</v>
      </c>
    </row>
    <row r="7" spans="1:144" x14ac:dyDescent="0.3">
      <c r="A7" t="s">
        <v>25</v>
      </c>
      <c r="B7">
        <v>2.2000000000000002</v>
      </c>
      <c r="C7">
        <v>2.2000000000000002</v>
      </c>
      <c r="D7">
        <v>380</v>
      </c>
      <c r="E7">
        <v>500</v>
      </c>
      <c r="F7">
        <v>780</v>
      </c>
      <c r="G7">
        <v>620</v>
      </c>
      <c r="H7">
        <v>750</v>
      </c>
      <c r="I7">
        <f>F7*0.95</f>
        <v>741</v>
      </c>
      <c r="J7" t="s">
        <v>147</v>
      </c>
      <c r="K7">
        <v>5</v>
      </c>
      <c r="L7">
        <v>308</v>
      </c>
      <c r="M7">
        <v>446.5</v>
      </c>
      <c r="N7">
        <v>151.37</v>
      </c>
      <c r="O7">
        <v>221</v>
      </c>
      <c r="P7">
        <v>270</v>
      </c>
      <c r="Q7" s="26" t="s">
        <v>127</v>
      </c>
      <c r="V7" t="s">
        <v>25</v>
      </c>
      <c r="Y7">
        <f t="shared" ref="Y7:BD7" si="1">$V$50*$R$42*Y6</f>
        <v>7215</v>
      </c>
      <c r="Z7">
        <f t="shared" si="1"/>
        <v>14430</v>
      </c>
      <c r="AA7">
        <f t="shared" si="1"/>
        <v>21645</v>
      </c>
      <c r="AB7">
        <f t="shared" si="1"/>
        <v>28860</v>
      </c>
      <c r="AC7">
        <f t="shared" si="1"/>
        <v>36075</v>
      </c>
      <c r="AD7">
        <f t="shared" si="1"/>
        <v>43290</v>
      </c>
      <c r="AE7">
        <f t="shared" si="1"/>
        <v>50505</v>
      </c>
      <c r="AF7">
        <f t="shared" si="1"/>
        <v>57720</v>
      </c>
      <c r="AG7">
        <f t="shared" si="1"/>
        <v>64935</v>
      </c>
      <c r="AH7">
        <f t="shared" si="1"/>
        <v>72150</v>
      </c>
      <c r="AI7">
        <f t="shared" si="1"/>
        <v>79365</v>
      </c>
      <c r="AJ7">
        <f t="shared" si="1"/>
        <v>86580</v>
      </c>
      <c r="AK7">
        <f t="shared" si="1"/>
        <v>93795</v>
      </c>
      <c r="AL7">
        <f t="shared" si="1"/>
        <v>101010</v>
      </c>
      <c r="AM7">
        <f t="shared" si="1"/>
        <v>108225</v>
      </c>
      <c r="AN7">
        <f t="shared" si="1"/>
        <v>115440</v>
      </c>
      <c r="AO7">
        <f t="shared" si="1"/>
        <v>122655</v>
      </c>
      <c r="AP7">
        <f t="shared" si="1"/>
        <v>129870</v>
      </c>
      <c r="AQ7">
        <f t="shared" si="1"/>
        <v>137085</v>
      </c>
      <c r="AR7">
        <f t="shared" si="1"/>
        <v>144300</v>
      </c>
      <c r="AS7">
        <f t="shared" si="1"/>
        <v>151515</v>
      </c>
      <c r="AT7">
        <f t="shared" si="1"/>
        <v>158730</v>
      </c>
      <c r="AU7">
        <f t="shared" si="1"/>
        <v>165945</v>
      </c>
      <c r="AV7">
        <f t="shared" si="1"/>
        <v>173160</v>
      </c>
      <c r="AW7">
        <f t="shared" si="1"/>
        <v>180375</v>
      </c>
      <c r="AX7">
        <f t="shared" si="1"/>
        <v>187590</v>
      </c>
      <c r="AY7">
        <f t="shared" si="1"/>
        <v>194805</v>
      </c>
      <c r="AZ7">
        <f t="shared" si="1"/>
        <v>202020</v>
      </c>
      <c r="BA7">
        <f t="shared" si="1"/>
        <v>209235</v>
      </c>
      <c r="BB7">
        <f t="shared" si="1"/>
        <v>216450</v>
      </c>
      <c r="BC7">
        <f t="shared" si="1"/>
        <v>223665</v>
      </c>
      <c r="BD7">
        <f t="shared" si="1"/>
        <v>230880</v>
      </c>
      <c r="BE7">
        <f t="shared" ref="BE7:CJ7" si="2">$V$50*$R$42*BE6</f>
        <v>238095</v>
      </c>
      <c r="BF7">
        <f t="shared" si="2"/>
        <v>245310</v>
      </c>
      <c r="BG7">
        <f t="shared" si="2"/>
        <v>252525</v>
      </c>
      <c r="BH7">
        <f t="shared" si="2"/>
        <v>259740</v>
      </c>
      <c r="BI7">
        <f t="shared" si="2"/>
        <v>266955</v>
      </c>
      <c r="BJ7">
        <f t="shared" si="2"/>
        <v>274170</v>
      </c>
      <c r="BK7">
        <f t="shared" si="2"/>
        <v>281385</v>
      </c>
      <c r="BL7">
        <f t="shared" si="2"/>
        <v>288600</v>
      </c>
      <c r="BM7">
        <f t="shared" si="2"/>
        <v>295815</v>
      </c>
      <c r="BN7">
        <f t="shared" si="2"/>
        <v>303030</v>
      </c>
      <c r="BO7">
        <f t="shared" si="2"/>
        <v>310245</v>
      </c>
      <c r="BP7">
        <f t="shared" si="2"/>
        <v>317460</v>
      </c>
      <c r="BQ7">
        <f t="shared" si="2"/>
        <v>324675</v>
      </c>
      <c r="BR7">
        <f t="shared" si="2"/>
        <v>331890</v>
      </c>
      <c r="BS7">
        <f t="shared" si="2"/>
        <v>339105</v>
      </c>
      <c r="BT7">
        <f t="shared" si="2"/>
        <v>346320</v>
      </c>
      <c r="BU7">
        <f t="shared" si="2"/>
        <v>353535</v>
      </c>
      <c r="BV7">
        <f t="shared" si="2"/>
        <v>360750</v>
      </c>
      <c r="BW7">
        <f t="shared" si="2"/>
        <v>367965</v>
      </c>
      <c r="BX7">
        <f t="shared" si="2"/>
        <v>375180</v>
      </c>
      <c r="BY7">
        <f t="shared" si="2"/>
        <v>382395</v>
      </c>
      <c r="BZ7">
        <f t="shared" si="2"/>
        <v>389610</v>
      </c>
      <c r="CA7">
        <f t="shared" si="2"/>
        <v>396825</v>
      </c>
      <c r="CB7">
        <f t="shared" si="2"/>
        <v>404040</v>
      </c>
      <c r="CC7">
        <f t="shared" si="2"/>
        <v>411255</v>
      </c>
      <c r="CD7">
        <f t="shared" si="2"/>
        <v>418470</v>
      </c>
      <c r="CE7">
        <f t="shared" si="2"/>
        <v>425685</v>
      </c>
      <c r="CF7">
        <f t="shared" si="2"/>
        <v>432900</v>
      </c>
      <c r="CG7">
        <f t="shared" si="2"/>
        <v>440115</v>
      </c>
      <c r="CH7">
        <f t="shared" si="2"/>
        <v>447330</v>
      </c>
      <c r="CI7">
        <f t="shared" si="2"/>
        <v>454545</v>
      </c>
      <c r="CJ7">
        <f t="shared" si="2"/>
        <v>461760</v>
      </c>
      <c r="CK7">
        <f t="shared" ref="CK7:DP7" si="3">$V$50*$R$42*CK6</f>
        <v>468975</v>
      </c>
      <c r="CL7">
        <f t="shared" si="3"/>
        <v>476190</v>
      </c>
      <c r="CM7">
        <f t="shared" si="3"/>
        <v>483405</v>
      </c>
      <c r="CN7">
        <f t="shared" si="3"/>
        <v>490620</v>
      </c>
      <c r="CO7">
        <f t="shared" si="3"/>
        <v>497835</v>
      </c>
      <c r="CP7">
        <f t="shared" si="3"/>
        <v>505050</v>
      </c>
      <c r="CQ7">
        <f t="shared" si="3"/>
        <v>512265</v>
      </c>
      <c r="CR7">
        <f t="shared" si="3"/>
        <v>519480</v>
      </c>
      <c r="CS7">
        <f t="shared" si="3"/>
        <v>526695</v>
      </c>
      <c r="CT7">
        <f t="shared" si="3"/>
        <v>533910</v>
      </c>
      <c r="CU7">
        <f t="shared" si="3"/>
        <v>541125</v>
      </c>
      <c r="CV7">
        <f t="shared" si="3"/>
        <v>548340</v>
      </c>
      <c r="CW7">
        <f t="shared" si="3"/>
        <v>555555</v>
      </c>
      <c r="CX7">
        <f t="shared" si="3"/>
        <v>562770</v>
      </c>
      <c r="CY7">
        <f t="shared" si="3"/>
        <v>569985</v>
      </c>
      <c r="CZ7">
        <f t="shared" si="3"/>
        <v>577200</v>
      </c>
      <c r="DA7">
        <f t="shared" si="3"/>
        <v>584415</v>
      </c>
      <c r="DB7">
        <f t="shared" si="3"/>
        <v>591630</v>
      </c>
      <c r="DC7">
        <f t="shared" si="3"/>
        <v>598845</v>
      </c>
      <c r="DD7">
        <f t="shared" si="3"/>
        <v>606060</v>
      </c>
      <c r="DE7">
        <f t="shared" si="3"/>
        <v>613275</v>
      </c>
      <c r="DF7">
        <f t="shared" si="3"/>
        <v>620490</v>
      </c>
      <c r="DG7">
        <f t="shared" si="3"/>
        <v>627705</v>
      </c>
      <c r="DH7">
        <f t="shared" si="3"/>
        <v>634920</v>
      </c>
      <c r="DI7">
        <f t="shared" si="3"/>
        <v>642135</v>
      </c>
      <c r="DJ7">
        <f t="shared" si="3"/>
        <v>649350</v>
      </c>
      <c r="DK7">
        <f t="shared" si="3"/>
        <v>656565</v>
      </c>
      <c r="DL7">
        <f t="shared" si="3"/>
        <v>663780</v>
      </c>
      <c r="DM7">
        <f t="shared" si="3"/>
        <v>670995</v>
      </c>
      <c r="DN7">
        <f t="shared" si="3"/>
        <v>678210</v>
      </c>
      <c r="DO7">
        <f t="shared" si="3"/>
        <v>685425</v>
      </c>
      <c r="DP7">
        <f t="shared" si="3"/>
        <v>692640</v>
      </c>
      <c r="DQ7">
        <f t="shared" ref="DQ7:EN7" si="4">$V$50*$R$42*DQ6</f>
        <v>699855</v>
      </c>
      <c r="DR7">
        <f t="shared" si="4"/>
        <v>707070</v>
      </c>
      <c r="DS7">
        <f t="shared" si="4"/>
        <v>714285</v>
      </c>
      <c r="DT7">
        <f t="shared" si="4"/>
        <v>721500</v>
      </c>
      <c r="DU7">
        <f t="shared" si="4"/>
        <v>728715</v>
      </c>
      <c r="DV7">
        <f t="shared" si="4"/>
        <v>735930</v>
      </c>
      <c r="DW7">
        <f t="shared" si="4"/>
        <v>743145</v>
      </c>
      <c r="DX7">
        <f t="shared" si="4"/>
        <v>750360</v>
      </c>
      <c r="DY7">
        <f t="shared" si="4"/>
        <v>757575</v>
      </c>
      <c r="DZ7">
        <f t="shared" si="4"/>
        <v>764790</v>
      </c>
      <c r="EA7">
        <f t="shared" si="4"/>
        <v>772005</v>
      </c>
      <c r="EB7">
        <f t="shared" si="4"/>
        <v>779220</v>
      </c>
      <c r="EC7">
        <f t="shared" si="4"/>
        <v>786435</v>
      </c>
      <c r="ED7">
        <f t="shared" si="4"/>
        <v>793650</v>
      </c>
      <c r="EE7">
        <f t="shared" si="4"/>
        <v>800865</v>
      </c>
      <c r="EF7">
        <f t="shared" si="4"/>
        <v>808080</v>
      </c>
      <c r="EG7">
        <f t="shared" si="4"/>
        <v>815295</v>
      </c>
      <c r="EH7">
        <f t="shared" si="4"/>
        <v>822510</v>
      </c>
      <c r="EI7">
        <f t="shared" si="4"/>
        <v>829725</v>
      </c>
      <c r="EJ7">
        <f t="shared" si="4"/>
        <v>836940</v>
      </c>
      <c r="EK7">
        <f t="shared" si="4"/>
        <v>844155</v>
      </c>
      <c r="EL7">
        <f t="shared" si="4"/>
        <v>851370</v>
      </c>
      <c r="EM7">
        <f t="shared" si="4"/>
        <v>858585</v>
      </c>
      <c r="EN7">
        <f t="shared" si="4"/>
        <v>865800</v>
      </c>
    </row>
    <row r="8" spans="1:144" x14ac:dyDescent="0.3">
      <c r="A8" t="s">
        <v>24</v>
      </c>
      <c r="B8">
        <v>4</v>
      </c>
      <c r="C8">
        <v>4</v>
      </c>
      <c r="D8">
        <v>380</v>
      </c>
      <c r="E8">
        <v>500</v>
      </c>
      <c r="F8">
        <v>780</v>
      </c>
      <c r="G8">
        <v>620</v>
      </c>
      <c r="H8">
        <v>750</v>
      </c>
      <c r="I8">
        <f t="shared" ref="I8:I26" si="5">F8*0.95</f>
        <v>741</v>
      </c>
      <c r="J8" t="s">
        <v>147</v>
      </c>
      <c r="K8">
        <v>10</v>
      </c>
      <c r="L8">
        <v>308</v>
      </c>
      <c r="M8">
        <v>446.5</v>
      </c>
      <c r="N8">
        <v>151.37</v>
      </c>
      <c r="O8">
        <v>221</v>
      </c>
      <c r="P8">
        <v>270</v>
      </c>
      <c r="Q8" s="26" t="s">
        <v>128</v>
      </c>
      <c r="V8" t="s">
        <v>24</v>
      </c>
      <c r="Y8">
        <f t="shared" ref="Y8:CJ8" si="6">IF(Y7-$Z$9&lt;0,1000000,Y7-$Z$9)</f>
        <v>1000000</v>
      </c>
      <c r="Z8">
        <f t="shared" si="6"/>
        <v>1000000</v>
      </c>
      <c r="AA8">
        <f t="shared" si="6"/>
        <v>1000000</v>
      </c>
      <c r="AB8">
        <f t="shared" si="6"/>
        <v>4860</v>
      </c>
      <c r="AC8">
        <f t="shared" si="6"/>
        <v>12075</v>
      </c>
      <c r="AD8">
        <f t="shared" si="6"/>
        <v>19290</v>
      </c>
      <c r="AE8">
        <f t="shared" si="6"/>
        <v>26505</v>
      </c>
      <c r="AF8">
        <f t="shared" si="6"/>
        <v>33720</v>
      </c>
      <c r="AG8">
        <f t="shared" si="6"/>
        <v>40935</v>
      </c>
      <c r="AH8">
        <f t="shared" si="6"/>
        <v>48150</v>
      </c>
      <c r="AI8">
        <f t="shared" si="6"/>
        <v>55365</v>
      </c>
      <c r="AJ8">
        <f t="shared" si="6"/>
        <v>62580</v>
      </c>
      <c r="AK8">
        <f t="shared" si="6"/>
        <v>69795</v>
      </c>
      <c r="AL8">
        <f t="shared" si="6"/>
        <v>77010</v>
      </c>
      <c r="AM8">
        <f t="shared" si="6"/>
        <v>84225</v>
      </c>
      <c r="AN8">
        <f t="shared" si="6"/>
        <v>91440</v>
      </c>
      <c r="AO8">
        <f t="shared" si="6"/>
        <v>98655</v>
      </c>
      <c r="AP8">
        <f t="shared" si="6"/>
        <v>105870</v>
      </c>
      <c r="AQ8">
        <f t="shared" si="6"/>
        <v>113085</v>
      </c>
      <c r="AR8">
        <f t="shared" si="6"/>
        <v>120300</v>
      </c>
      <c r="AS8">
        <f t="shared" si="6"/>
        <v>127515</v>
      </c>
      <c r="AT8">
        <f t="shared" si="6"/>
        <v>134730</v>
      </c>
      <c r="AU8">
        <f t="shared" si="6"/>
        <v>141945</v>
      </c>
      <c r="AV8">
        <f t="shared" si="6"/>
        <v>149160</v>
      </c>
      <c r="AW8">
        <f t="shared" si="6"/>
        <v>156375</v>
      </c>
      <c r="AX8">
        <f t="shared" si="6"/>
        <v>163590</v>
      </c>
      <c r="AY8">
        <f t="shared" si="6"/>
        <v>170805</v>
      </c>
      <c r="AZ8">
        <f t="shared" si="6"/>
        <v>178020</v>
      </c>
      <c r="BA8">
        <f t="shared" si="6"/>
        <v>185235</v>
      </c>
      <c r="BB8">
        <f t="shared" si="6"/>
        <v>192450</v>
      </c>
      <c r="BC8">
        <f t="shared" si="6"/>
        <v>199665</v>
      </c>
      <c r="BD8">
        <f t="shared" si="6"/>
        <v>206880</v>
      </c>
      <c r="BE8">
        <f t="shared" si="6"/>
        <v>214095</v>
      </c>
      <c r="BF8">
        <f t="shared" si="6"/>
        <v>221310</v>
      </c>
      <c r="BG8">
        <f t="shared" si="6"/>
        <v>228525</v>
      </c>
      <c r="BH8">
        <f t="shared" si="6"/>
        <v>235740</v>
      </c>
      <c r="BI8">
        <f t="shared" si="6"/>
        <v>242955</v>
      </c>
      <c r="BJ8">
        <f t="shared" si="6"/>
        <v>250170</v>
      </c>
      <c r="BK8">
        <f t="shared" si="6"/>
        <v>257385</v>
      </c>
      <c r="BL8">
        <f t="shared" si="6"/>
        <v>264600</v>
      </c>
      <c r="BM8">
        <f t="shared" si="6"/>
        <v>271815</v>
      </c>
      <c r="BN8">
        <f t="shared" si="6"/>
        <v>279030</v>
      </c>
      <c r="BO8">
        <f t="shared" si="6"/>
        <v>286245</v>
      </c>
      <c r="BP8">
        <f t="shared" si="6"/>
        <v>293460</v>
      </c>
      <c r="BQ8">
        <f t="shared" si="6"/>
        <v>300675</v>
      </c>
      <c r="BR8">
        <f t="shared" si="6"/>
        <v>307890</v>
      </c>
      <c r="BS8">
        <f t="shared" si="6"/>
        <v>315105</v>
      </c>
      <c r="BT8">
        <f t="shared" si="6"/>
        <v>322320</v>
      </c>
      <c r="BU8">
        <f t="shared" si="6"/>
        <v>329535</v>
      </c>
      <c r="BV8">
        <f t="shared" si="6"/>
        <v>336750</v>
      </c>
      <c r="BW8">
        <f t="shared" si="6"/>
        <v>343965</v>
      </c>
      <c r="BX8">
        <f t="shared" si="6"/>
        <v>351180</v>
      </c>
      <c r="BY8">
        <f t="shared" si="6"/>
        <v>358395</v>
      </c>
      <c r="BZ8">
        <f t="shared" si="6"/>
        <v>365610</v>
      </c>
      <c r="CA8">
        <f t="shared" si="6"/>
        <v>372825</v>
      </c>
      <c r="CB8">
        <f t="shared" si="6"/>
        <v>380040</v>
      </c>
      <c r="CC8">
        <f t="shared" si="6"/>
        <v>387255</v>
      </c>
      <c r="CD8">
        <f t="shared" si="6"/>
        <v>394470</v>
      </c>
      <c r="CE8">
        <f t="shared" si="6"/>
        <v>401685</v>
      </c>
      <c r="CF8">
        <f t="shared" si="6"/>
        <v>408900</v>
      </c>
      <c r="CG8">
        <f t="shared" si="6"/>
        <v>416115</v>
      </c>
      <c r="CH8">
        <f t="shared" si="6"/>
        <v>423330</v>
      </c>
      <c r="CI8">
        <f t="shared" si="6"/>
        <v>430545</v>
      </c>
      <c r="CJ8">
        <f t="shared" si="6"/>
        <v>437760</v>
      </c>
      <c r="CK8">
        <f t="shared" ref="CK8:EN8" si="7">IF(CK7-$Z$9&lt;0,1000000,CK7-$Z$9)</f>
        <v>444975</v>
      </c>
      <c r="CL8">
        <f t="shared" si="7"/>
        <v>452190</v>
      </c>
      <c r="CM8">
        <f t="shared" si="7"/>
        <v>459405</v>
      </c>
      <c r="CN8">
        <f t="shared" si="7"/>
        <v>466620</v>
      </c>
      <c r="CO8">
        <f t="shared" si="7"/>
        <v>473835</v>
      </c>
      <c r="CP8">
        <f t="shared" si="7"/>
        <v>481050</v>
      </c>
      <c r="CQ8">
        <f t="shared" si="7"/>
        <v>488265</v>
      </c>
      <c r="CR8">
        <f t="shared" si="7"/>
        <v>495480</v>
      </c>
      <c r="CS8">
        <f t="shared" si="7"/>
        <v>502695</v>
      </c>
      <c r="CT8">
        <f t="shared" si="7"/>
        <v>509910</v>
      </c>
      <c r="CU8">
        <f t="shared" si="7"/>
        <v>517125</v>
      </c>
      <c r="CV8">
        <f t="shared" si="7"/>
        <v>524340</v>
      </c>
      <c r="CW8">
        <f t="shared" si="7"/>
        <v>531555</v>
      </c>
      <c r="CX8">
        <f t="shared" si="7"/>
        <v>538770</v>
      </c>
      <c r="CY8">
        <f t="shared" si="7"/>
        <v>545985</v>
      </c>
      <c r="CZ8">
        <f t="shared" si="7"/>
        <v>553200</v>
      </c>
      <c r="DA8">
        <f t="shared" si="7"/>
        <v>560415</v>
      </c>
      <c r="DB8">
        <f t="shared" si="7"/>
        <v>567630</v>
      </c>
      <c r="DC8">
        <f t="shared" si="7"/>
        <v>574845</v>
      </c>
      <c r="DD8">
        <f t="shared" si="7"/>
        <v>582060</v>
      </c>
      <c r="DE8">
        <f t="shared" si="7"/>
        <v>589275</v>
      </c>
      <c r="DF8">
        <f t="shared" si="7"/>
        <v>596490</v>
      </c>
      <c r="DG8">
        <f t="shared" si="7"/>
        <v>603705</v>
      </c>
      <c r="DH8">
        <f t="shared" si="7"/>
        <v>610920</v>
      </c>
      <c r="DI8">
        <f t="shared" si="7"/>
        <v>618135</v>
      </c>
      <c r="DJ8">
        <f t="shared" si="7"/>
        <v>625350</v>
      </c>
      <c r="DK8">
        <f t="shared" si="7"/>
        <v>632565</v>
      </c>
      <c r="DL8">
        <f t="shared" si="7"/>
        <v>639780</v>
      </c>
      <c r="DM8">
        <f t="shared" si="7"/>
        <v>646995</v>
      </c>
      <c r="DN8">
        <f t="shared" si="7"/>
        <v>654210</v>
      </c>
      <c r="DO8">
        <f t="shared" si="7"/>
        <v>661425</v>
      </c>
      <c r="DP8">
        <f t="shared" si="7"/>
        <v>668640</v>
      </c>
      <c r="DQ8">
        <f t="shared" si="7"/>
        <v>675855</v>
      </c>
      <c r="DR8">
        <f t="shared" si="7"/>
        <v>683070</v>
      </c>
      <c r="DS8">
        <f t="shared" si="7"/>
        <v>690285</v>
      </c>
      <c r="DT8">
        <f t="shared" si="7"/>
        <v>697500</v>
      </c>
      <c r="DU8">
        <f t="shared" si="7"/>
        <v>704715</v>
      </c>
      <c r="DV8">
        <f t="shared" si="7"/>
        <v>711930</v>
      </c>
      <c r="DW8">
        <f t="shared" si="7"/>
        <v>719145</v>
      </c>
      <c r="DX8">
        <f t="shared" si="7"/>
        <v>726360</v>
      </c>
      <c r="DY8">
        <f t="shared" si="7"/>
        <v>733575</v>
      </c>
      <c r="DZ8">
        <f t="shared" si="7"/>
        <v>740790</v>
      </c>
      <c r="EA8">
        <f t="shared" si="7"/>
        <v>748005</v>
      </c>
      <c r="EB8">
        <f t="shared" si="7"/>
        <v>755220</v>
      </c>
      <c r="EC8">
        <f t="shared" si="7"/>
        <v>762435</v>
      </c>
      <c r="ED8">
        <f t="shared" si="7"/>
        <v>769650</v>
      </c>
      <c r="EE8">
        <f t="shared" si="7"/>
        <v>776865</v>
      </c>
      <c r="EF8">
        <f t="shared" si="7"/>
        <v>784080</v>
      </c>
      <c r="EG8">
        <f t="shared" si="7"/>
        <v>791295</v>
      </c>
      <c r="EH8">
        <f t="shared" si="7"/>
        <v>798510</v>
      </c>
      <c r="EI8">
        <f t="shared" si="7"/>
        <v>805725</v>
      </c>
      <c r="EJ8">
        <f t="shared" si="7"/>
        <v>812940</v>
      </c>
      <c r="EK8">
        <f t="shared" si="7"/>
        <v>820155</v>
      </c>
      <c r="EL8">
        <f t="shared" si="7"/>
        <v>827370</v>
      </c>
      <c r="EM8">
        <f t="shared" si="7"/>
        <v>834585</v>
      </c>
      <c r="EN8">
        <f t="shared" si="7"/>
        <v>841800</v>
      </c>
    </row>
    <row r="9" spans="1:144" x14ac:dyDescent="0.3">
      <c r="A9" t="s">
        <v>26</v>
      </c>
      <c r="B9">
        <v>5.5</v>
      </c>
      <c r="C9">
        <v>5.5</v>
      </c>
      <c r="D9">
        <v>380</v>
      </c>
      <c r="E9">
        <v>500</v>
      </c>
      <c r="F9">
        <v>780</v>
      </c>
      <c r="G9">
        <v>620</v>
      </c>
      <c r="H9">
        <v>750</v>
      </c>
      <c r="I9">
        <f t="shared" si="5"/>
        <v>741</v>
      </c>
      <c r="J9" t="s">
        <v>147</v>
      </c>
      <c r="K9">
        <v>13</v>
      </c>
      <c r="L9">
        <v>308</v>
      </c>
      <c r="M9">
        <v>446.5</v>
      </c>
      <c r="N9">
        <v>195.87</v>
      </c>
      <c r="O9">
        <v>221</v>
      </c>
      <c r="P9">
        <v>270</v>
      </c>
      <c r="Q9" s="26" t="s">
        <v>129</v>
      </c>
      <c r="V9" t="s">
        <v>26</v>
      </c>
      <c r="Y9" t="s">
        <v>142</v>
      </c>
      <c r="Z9">
        <f>V35*1000*1.6</f>
        <v>24000</v>
      </c>
      <c r="AA9">
        <f>HLOOKUP(Z9,Y6:EN7,1,1)</f>
        <v>120</v>
      </c>
    </row>
    <row r="10" spans="1:144" x14ac:dyDescent="0.3">
      <c r="A10" t="s">
        <v>27</v>
      </c>
      <c r="B10">
        <v>7.5</v>
      </c>
      <c r="C10">
        <v>7.5</v>
      </c>
      <c r="D10">
        <v>380</v>
      </c>
      <c r="E10">
        <v>500</v>
      </c>
      <c r="F10">
        <v>780</v>
      </c>
      <c r="G10">
        <v>620</v>
      </c>
      <c r="H10">
        <v>750</v>
      </c>
      <c r="I10">
        <f t="shared" si="5"/>
        <v>741</v>
      </c>
      <c r="J10" t="s">
        <v>147</v>
      </c>
      <c r="K10">
        <v>17</v>
      </c>
      <c r="L10">
        <v>308</v>
      </c>
      <c r="M10">
        <v>446.5</v>
      </c>
      <c r="N10">
        <v>195.87</v>
      </c>
      <c r="O10">
        <v>221</v>
      </c>
      <c r="P10">
        <v>270</v>
      </c>
      <c r="Q10" s="26" t="s">
        <v>130</v>
      </c>
      <c r="V10" t="s">
        <v>27</v>
      </c>
    </row>
    <row r="11" spans="1:144" x14ac:dyDescent="0.3">
      <c r="A11" t="s">
        <v>28</v>
      </c>
      <c r="B11">
        <v>11</v>
      </c>
      <c r="C11">
        <v>11</v>
      </c>
      <c r="D11">
        <v>380</v>
      </c>
      <c r="E11">
        <v>500</v>
      </c>
      <c r="F11">
        <v>780</v>
      </c>
      <c r="G11">
        <v>620</v>
      </c>
      <c r="H11">
        <v>750</v>
      </c>
      <c r="I11">
        <f t="shared" si="5"/>
        <v>741</v>
      </c>
      <c r="J11" t="s">
        <v>147</v>
      </c>
      <c r="K11">
        <v>25</v>
      </c>
      <c r="L11">
        <v>462</v>
      </c>
      <c r="M11">
        <v>669</v>
      </c>
      <c r="N11">
        <v>293</v>
      </c>
      <c r="O11">
        <v>331</v>
      </c>
      <c r="P11">
        <v>405</v>
      </c>
      <c r="Q11" s="26" t="s">
        <v>131</v>
      </c>
      <c r="V11" t="s">
        <v>28</v>
      </c>
    </row>
    <row r="12" spans="1:144" x14ac:dyDescent="0.3">
      <c r="A12" t="s">
        <v>29</v>
      </c>
      <c r="B12">
        <v>15</v>
      </c>
      <c r="C12">
        <v>2.2000000000000002</v>
      </c>
      <c r="D12">
        <v>380</v>
      </c>
      <c r="E12">
        <v>500</v>
      </c>
      <c r="F12">
        <v>780</v>
      </c>
      <c r="G12">
        <v>620</v>
      </c>
      <c r="H12">
        <v>750</v>
      </c>
      <c r="I12">
        <f t="shared" si="5"/>
        <v>741</v>
      </c>
      <c r="J12" t="s">
        <v>147</v>
      </c>
      <c r="K12">
        <v>32</v>
      </c>
      <c r="L12">
        <v>462</v>
      </c>
      <c r="M12">
        <v>669</v>
      </c>
      <c r="N12">
        <v>293</v>
      </c>
      <c r="O12">
        <v>331</v>
      </c>
      <c r="P12">
        <v>405</v>
      </c>
      <c r="Q12" s="26" t="s">
        <v>132</v>
      </c>
      <c r="V12" t="s">
        <v>29</v>
      </c>
    </row>
    <row r="13" spans="1:144" x14ac:dyDescent="0.3">
      <c r="A13" t="s">
        <v>120</v>
      </c>
      <c r="B13" s="25">
        <v>18.5</v>
      </c>
      <c r="C13" s="25">
        <v>18.5</v>
      </c>
      <c r="D13">
        <v>380</v>
      </c>
      <c r="E13">
        <v>500</v>
      </c>
      <c r="F13">
        <v>780</v>
      </c>
      <c r="G13">
        <v>620</v>
      </c>
      <c r="H13">
        <v>750</v>
      </c>
      <c r="I13">
        <f t="shared" si="5"/>
        <v>741</v>
      </c>
      <c r="J13" t="s">
        <v>148</v>
      </c>
      <c r="K13">
        <v>38</v>
      </c>
      <c r="L13" s="25">
        <v>142</v>
      </c>
      <c r="M13" s="25">
        <v>383</v>
      </c>
      <c r="N13" s="25">
        <v>225</v>
      </c>
      <c r="O13" s="25">
        <v>125</v>
      </c>
      <c r="P13" s="25">
        <v>372</v>
      </c>
      <c r="Q13" s="26" t="s">
        <v>123</v>
      </c>
      <c r="V13" t="s">
        <v>120</v>
      </c>
    </row>
    <row r="14" spans="1:144" x14ac:dyDescent="0.3">
      <c r="A14" t="s">
        <v>121</v>
      </c>
      <c r="B14" s="25">
        <v>22</v>
      </c>
      <c r="C14" s="25">
        <v>22</v>
      </c>
      <c r="D14">
        <v>380</v>
      </c>
      <c r="E14">
        <v>500</v>
      </c>
      <c r="F14">
        <v>780</v>
      </c>
      <c r="G14">
        <v>620</v>
      </c>
      <c r="H14">
        <v>750</v>
      </c>
      <c r="I14">
        <f t="shared" si="5"/>
        <v>741</v>
      </c>
      <c r="J14" t="s">
        <v>148</v>
      </c>
      <c r="K14">
        <v>45</v>
      </c>
      <c r="L14" s="25">
        <v>142</v>
      </c>
      <c r="M14" s="25">
        <v>383</v>
      </c>
      <c r="N14" s="25">
        <v>225</v>
      </c>
      <c r="O14" s="25">
        <v>125</v>
      </c>
      <c r="P14" s="25">
        <v>372</v>
      </c>
      <c r="Q14" s="26" t="s">
        <v>123</v>
      </c>
      <c r="V14" t="s">
        <v>121</v>
      </c>
    </row>
    <row r="15" spans="1:144" x14ac:dyDescent="0.3">
      <c r="A15" t="s">
        <v>122</v>
      </c>
      <c r="B15" s="25">
        <v>30</v>
      </c>
      <c r="C15" s="25">
        <v>30</v>
      </c>
      <c r="D15">
        <v>380</v>
      </c>
      <c r="E15">
        <v>500</v>
      </c>
      <c r="F15">
        <v>780</v>
      </c>
      <c r="G15">
        <v>620</v>
      </c>
      <c r="H15">
        <v>750</v>
      </c>
      <c r="I15">
        <f t="shared" si="5"/>
        <v>741</v>
      </c>
      <c r="J15" t="s">
        <v>148</v>
      </c>
      <c r="K15">
        <v>60</v>
      </c>
      <c r="L15" s="25">
        <v>172</v>
      </c>
      <c r="M15" s="25">
        <v>430</v>
      </c>
      <c r="N15" s="25">
        <v>225</v>
      </c>
      <c r="O15" s="25">
        <v>150</v>
      </c>
      <c r="P15" s="25">
        <v>416.5</v>
      </c>
      <c r="Q15" s="26" t="s">
        <v>123</v>
      </c>
      <c r="V15" t="s">
        <v>122</v>
      </c>
    </row>
    <row r="16" spans="1:144" x14ac:dyDescent="0.3">
      <c r="A16" t="s">
        <v>110</v>
      </c>
      <c r="B16" s="25">
        <v>37</v>
      </c>
      <c r="C16" s="25">
        <v>37</v>
      </c>
      <c r="D16">
        <v>380</v>
      </c>
      <c r="E16">
        <v>500</v>
      </c>
      <c r="F16">
        <v>780</v>
      </c>
      <c r="G16">
        <v>620</v>
      </c>
      <c r="H16">
        <v>750</v>
      </c>
      <c r="I16">
        <f t="shared" si="5"/>
        <v>741</v>
      </c>
      <c r="J16" t="s">
        <v>148</v>
      </c>
      <c r="K16">
        <v>75</v>
      </c>
      <c r="L16" s="25">
        <v>172</v>
      </c>
      <c r="M16" s="25">
        <v>430</v>
      </c>
      <c r="N16" s="25">
        <v>225</v>
      </c>
      <c r="O16" s="25">
        <v>150</v>
      </c>
      <c r="P16" s="25">
        <v>416.5</v>
      </c>
      <c r="Q16" s="26" t="s">
        <v>124</v>
      </c>
      <c r="V16" t="s">
        <v>110</v>
      </c>
    </row>
    <row r="17" spans="1:22" x14ac:dyDescent="0.3">
      <c r="A17" t="s">
        <v>111</v>
      </c>
      <c r="B17">
        <v>45</v>
      </c>
      <c r="C17">
        <v>45</v>
      </c>
      <c r="D17">
        <v>380</v>
      </c>
      <c r="E17">
        <v>500</v>
      </c>
      <c r="F17">
        <v>780</v>
      </c>
      <c r="G17">
        <v>620</v>
      </c>
      <c r="H17">
        <v>750</v>
      </c>
      <c r="I17">
        <f t="shared" si="5"/>
        <v>741</v>
      </c>
      <c r="J17" t="s">
        <v>148</v>
      </c>
      <c r="K17">
        <v>90</v>
      </c>
      <c r="L17" s="25">
        <v>240</v>
      </c>
      <c r="M17" s="25">
        <v>560</v>
      </c>
      <c r="N17" s="25">
        <v>310</v>
      </c>
      <c r="O17" s="25">
        <v>176</v>
      </c>
      <c r="P17" s="25">
        <v>544</v>
      </c>
      <c r="Q17" s="26" t="s">
        <v>124</v>
      </c>
      <c r="V17" t="s">
        <v>111</v>
      </c>
    </row>
    <row r="18" spans="1:22" x14ac:dyDescent="0.3">
      <c r="A18" t="s">
        <v>112</v>
      </c>
      <c r="B18">
        <v>55</v>
      </c>
      <c r="C18">
        <v>55</v>
      </c>
      <c r="D18">
        <v>380</v>
      </c>
      <c r="E18">
        <v>500</v>
      </c>
      <c r="F18">
        <v>780</v>
      </c>
      <c r="G18">
        <v>620</v>
      </c>
      <c r="H18">
        <v>750</v>
      </c>
      <c r="I18">
        <f t="shared" si="5"/>
        <v>741</v>
      </c>
      <c r="J18" t="s">
        <v>148</v>
      </c>
      <c r="K18">
        <v>110</v>
      </c>
      <c r="L18" s="25">
        <v>240</v>
      </c>
      <c r="M18" s="25">
        <v>560</v>
      </c>
      <c r="N18" s="25">
        <v>310</v>
      </c>
      <c r="O18" s="25">
        <v>176</v>
      </c>
      <c r="P18" s="25">
        <v>544</v>
      </c>
      <c r="Q18" s="26" t="s">
        <v>125</v>
      </c>
      <c r="V18" t="s">
        <v>112</v>
      </c>
    </row>
    <row r="19" spans="1:22" x14ac:dyDescent="0.3">
      <c r="A19" t="s">
        <v>113</v>
      </c>
      <c r="B19">
        <v>75</v>
      </c>
      <c r="C19">
        <v>75</v>
      </c>
      <c r="D19">
        <v>380</v>
      </c>
      <c r="E19">
        <v>500</v>
      </c>
      <c r="F19">
        <v>780</v>
      </c>
      <c r="G19">
        <v>620</v>
      </c>
      <c r="H19">
        <v>750</v>
      </c>
      <c r="I19">
        <f t="shared" si="5"/>
        <v>741</v>
      </c>
      <c r="J19" t="s">
        <v>148</v>
      </c>
      <c r="K19">
        <v>150</v>
      </c>
      <c r="L19" s="25">
        <v>240</v>
      </c>
      <c r="M19" s="25">
        <v>560</v>
      </c>
      <c r="N19" s="25">
        <v>310</v>
      </c>
      <c r="O19" s="25">
        <v>176</v>
      </c>
      <c r="P19" s="25">
        <v>544</v>
      </c>
      <c r="Q19" s="26" t="s">
        <v>126</v>
      </c>
      <c r="V19" t="s">
        <v>113</v>
      </c>
    </row>
    <row r="20" spans="1:22" x14ac:dyDescent="0.3">
      <c r="A20" t="s">
        <v>114</v>
      </c>
      <c r="B20">
        <v>93</v>
      </c>
      <c r="C20">
        <v>93</v>
      </c>
      <c r="D20">
        <v>380</v>
      </c>
      <c r="E20">
        <v>500</v>
      </c>
      <c r="F20">
        <v>780</v>
      </c>
      <c r="G20">
        <v>620</v>
      </c>
      <c r="H20">
        <v>750</v>
      </c>
      <c r="I20">
        <f t="shared" si="5"/>
        <v>741</v>
      </c>
      <c r="J20" t="s">
        <v>148</v>
      </c>
      <c r="K20">
        <v>180</v>
      </c>
      <c r="L20" t="s">
        <v>30</v>
      </c>
      <c r="M20" t="s">
        <v>30</v>
      </c>
      <c r="N20" t="s">
        <v>30</v>
      </c>
      <c r="O20" t="s">
        <v>30</v>
      </c>
      <c r="P20" t="s">
        <v>30</v>
      </c>
      <c r="Q20" t="s">
        <v>30</v>
      </c>
      <c r="V20" t="s">
        <v>114</v>
      </c>
    </row>
    <row r="21" spans="1:22" x14ac:dyDescent="0.3">
      <c r="A21" t="s">
        <v>115</v>
      </c>
      <c r="B21">
        <v>110</v>
      </c>
      <c r="C21">
        <v>110</v>
      </c>
      <c r="D21">
        <v>380</v>
      </c>
      <c r="E21">
        <v>500</v>
      </c>
      <c r="F21">
        <v>780</v>
      </c>
      <c r="G21">
        <v>620</v>
      </c>
      <c r="H21">
        <v>750</v>
      </c>
      <c r="I21">
        <f t="shared" si="5"/>
        <v>741</v>
      </c>
      <c r="J21" t="s">
        <v>148</v>
      </c>
      <c r="K21">
        <v>210</v>
      </c>
      <c r="L21" t="s">
        <v>30</v>
      </c>
      <c r="M21" t="s">
        <v>30</v>
      </c>
      <c r="N21" t="s">
        <v>30</v>
      </c>
      <c r="O21" t="s">
        <v>30</v>
      </c>
      <c r="P21" t="s">
        <v>30</v>
      </c>
      <c r="Q21" t="s">
        <v>30</v>
      </c>
      <c r="V21" t="s">
        <v>115</v>
      </c>
    </row>
    <row r="22" spans="1:22" x14ac:dyDescent="0.3">
      <c r="A22" t="s">
        <v>116</v>
      </c>
      <c r="B22">
        <v>132</v>
      </c>
      <c r="C22">
        <v>132</v>
      </c>
      <c r="D22">
        <v>380</v>
      </c>
      <c r="E22">
        <v>500</v>
      </c>
      <c r="F22">
        <v>780</v>
      </c>
      <c r="G22">
        <v>620</v>
      </c>
      <c r="H22">
        <v>750</v>
      </c>
      <c r="I22">
        <f t="shared" si="5"/>
        <v>741</v>
      </c>
      <c r="J22" t="s">
        <v>148</v>
      </c>
      <c r="K22">
        <v>250</v>
      </c>
      <c r="L22" t="s">
        <v>30</v>
      </c>
      <c r="M22" t="s">
        <v>30</v>
      </c>
      <c r="N22" t="s">
        <v>30</v>
      </c>
      <c r="O22" t="s">
        <v>30</v>
      </c>
      <c r="P22" t="s">
        <v>30</v>
      </c>
      <c r="Q22" t="s">
        <v>30</v>
      </c>
      <c r="V22" t="s">
        <v>116</v>
      </c>
    </row>
    <row r="23" spans="1:22" x14ac:dyDescent="0.3">
      <c r="A23" t="s">
        <v>117</v>
      </c>
      <c r="B23">
        <v>160</v>
      </c>
      <c r="C23">
        <v>160</v>
      </c>
      <c r="D23">
        <v>380</v>
      </c>
      <c r="E23">
        <v>500</v>
      </c>
      <c r="F23">
        <v>780</v>
      </c>
      <c r="G23">
        <v>620</v>
      </c>
      <c r="H23">
        <v>750</v>
      </c>
      <c r="I23">
        <f t="shared" si="5"/>
        <v>741</v>
      </c>
      <c r="J23" t="s">
        <v>148</v>
      </c>
      <c r="K23">
        <v>310</v>
      </c>
      <c r="L23" t="s">
        <v>30</v>
      </c>
      <c r="M23" t="s">
        <v>30</v>
      </c>
      <c r="N23" t="s">
        <v>30</v>
      </c>
      <c r="O23" t="s">
        <v>30</v>
      </c>
      <c r="P23" t="s">
        <v>30</v>
      </c>
      <c r="Q23" t="s">
        <v>30</v>
      </c>
      <c r="V23" t="s">
        <v>117</v>
      </c>
    </row>
    <row r="24" spans="1:22" x14ac:dyDescent="0.3">
      <c r="A24" t="s">
        <v>118</v>
      </c>
      <c r="B24">
        <v>185</v>
      </c>
      <c r="C24">
        <v>185</v>
      </c>
      <c r="D24">
        <v>380</v>
      </c>
      <c r="E24">
        <v>500</v>
      </c>
      <c r="F24">
        <v>780</v>
      </c>
      <c r="G24">
        <v>620</v>
      </c>
      <c r="H24">
        <v>750</v>
      </c>
      <c r="I24">
        <f t="shared" si="5"/>
        <v>741</v>
      </c>
      <c r="J24" t="s">
        <v>148</v>
      </c>
      <c r="K24">
        <v>340</v>
      </c>
      <c r="L24" t="s">
        <v>30</v>
      </c>
      <c r="M24" t="s">
        <v>30</v>
      </c>
      <c r="N24" t="s">
        <v>30</v>
      </c>
      <c r="O24" t="s">
        <v>30</v>
      </c>
      <c r="P24" t="s">
        <v>30</v>
      </c>
      <c r="Q24" t="s">
        <v>30</v>
      </c>
      <c r="V24" t="s">
        <v>118</v>
      </c>
    </row>
    <row r="25" spans="1:22" x14ac:dyDescent="0.3">
      <c r="A25" t="s">
        <v>119</v>
      </c>
      <c r="B25">
        <v>200</v>
      </c>
      <c r="C25">
        <v>200</v>
      </c>
      <c r="D25">
        <v>380</v>
      </c>
      <c r="E25">
        <v>500</v>
      </c>
      <c r="F25">
        <v>780</v>
      </c>
      <c r="G25">
        <v>620</v>
      </c>
      <c r="H25">
        <v>750</v>
      </c>
      <c r="I25">
        <f t="shared" si="5"/>
        <v>741</v>
      </c>
      <c r="J25" t="s">
        <v>148</v>
      </c>
      <c r="K25">
        <v>380</v>
      </c>
      <c r="L25" t="s">
        <v>30</v>
      </c>
      <c r="M25" t="s">
        <v>30</v>
      </c>
      <c r="N25" t="s">
        <v>30</v>
      </c>
      <c r="O25" t="s">
        <v>30</v>
      </c>
      <c r="P25" t="s">
        <v>30</v>
      </c>
      <c r="Q25" t="s">
        <v>30</v>
      </c>
      <c r="V25" t="s">
        <v>119</v>
      </c>
    </row>
    <row r="26" spans="1:22" x14ac:dyDescent="0.3">
      <c r="A26" t="s">
        <v>222</v>
      </c>
      <c r="B26">
        <v>280</v>
      </c>
      <c r="C26">
        <v>280</v>
      </c>
      <c r="D26">
        <v>380</v>
      </c>
      <c r="E26">
        <v>500</v>
      </c>
      <c r="F26">
        <v>780</v>
      </c>
      <c r="G26">
        <v>620</v>
      </c>
      <c r="H26">
        <v>750</v>
      </c>
      <c r="I26">
        <f t="shared" si="5"/>
        <v>741</v>
      </c>
      <c r="J26" t="s">
        <v>148</v>
      </c>
      <c r="K26">
        <v>510</v>
      </c>
      <c r="L26" t="s">
        <v>30</v>
      </c>
      <c r="M26" t="s">
        <v>30</v>
      </c>
      <c r="N26" t="s">
        <v>30</v>
      </c>
      <c r="O26" t="s">
        <v>30</v>
      </c>
      <c r="P26" t="s">
        <v>30</v>
      </c>
      <c r="Q26" t="s">
        <v>30</v>
      </c>
      <c r="V26" t="s">
        <v>222</v>
      </c>
    </row>
    <row r="28" spans="1:22" x14ac:dyDescent="0.3">
      <c r="P28" t="e">
        <f>INDEX($A$4:$C$25,MATCH(TRUE,$C$4:$C$25&gt;V35,0),1)</f>
        <v>#VALUE!</v>
      </c>
      <c r="T28" s="9" t="s">
        <v>34</v>
      </c>
      <c r="U28" s="9"/>
      <c r="V28" s="9" t="s">
        <v>35</v>
      </c>
    </row>
    <row r="29" spans="1:22" x14ac:dyDescent="0.3">
      <c r="T29" s="27" t="str">
        <f>Input!E16</f>
        <v>Other</v>
      </c>
      <c r="U29" s="9"/>
      <c r="V29" s="27" t="str">
        <f>Input!G16</f>
        <v xml:space="preserve">Potchefstroom </v>
      </c>
    </row>
    <row r="31" spans="1:22" ht="15" thickBot="1" x14ac:dyDescent="0.35">
      <c r="G31" s="43">
        <v>0.08</v>
      </c>
      <c r="H31" s="54">
        <v>1.4999999999999999E-2</v>
      </c>
    </row>
    <row r="32" spans="1:22" ht="15" customHeight="1" thickBot="1" x14ac:dyDescent="0.65">
      <c r="A32" s="1" t="s">
        <v>6</v>
      </c>
      <c r="C32" s="2" t="s">
        <v>7</v>
      </c>
      <c r="D32" s="10" t="s">
        <v>145</v>
      </c>
      <c r="E32" s="10" t="s">
        <v>227</v>
      </c>
      <c r="F32" t="s">
        <v>226</v>
      </c>
      <c r="G32" t="s">
        <v>223</v>
      </c>
      <c r="H32" t="s">
        <v>224</v>
      </c>
      <c r="I32" t="s">
        <v>225</v>
      </c>
      <c r="J32" s="11" t="s">
        <v>9</v>
      </c>
      <c r="P32" s="42" t="s">
        <v>39</v>
      </c>
      <c r="Q32" s="42"/>
      <c r="R32" s="42"/>
      <c r="S32" s="42"/>
      <c r="T32" s="42"/>
      <c r="U32" s="42"/>
      <c r="V32" s="42"/>
    </row>
    <row r="33" spans="1:37" ht="15" customHeight="1" thickBot="1" x14ac:dyDescent="0.65">
      <c r="A33" s="5">
        <v>0.25</v>
      </c>
      <c r="B33" s="4">
        <v>0</v>
      </c>
      <c r="C33" s="4" t="e">
        <f>IF($S$52="Recommended",B33,IF($V$58*$R$62&gt;$R$84,0,IF($V$58*$R$62&lt;$T$84,0,B33)))</f>
        <v>#N/A</v>
      </c>
      <c r="D33" s="12" t="e">
        <f t="shared" ref="D33:D45" si="8">IF($S$52="recommended",$R$68/($V$35*1000)*C33,IF($V$58*$R$62&gt;$R$84,"0",IF($V$58*$R$62&lt;$T$84,"0",(($R$68/($V$35*1000))*C33))))</f>
        <v>#N/A</v>
      </c>
      <c r="E33" s="13" t="e">
        <f>IF($S$52="Recommended",IF(D33&gt;1,1,D33),IF($V$58*$R$62&gt;$R$84,0,IF($V$58*$R$62&lt;$T$84,0,IF(D33&gt;1,1,D33))))</f>
        <v>#N/A</v>
      </c>
      <c r="F33">
        <f>$V$35*1000</f>
        <v>15000</v>
      </c>
      <c r="G33" t="e">
        <f>IF(E33&lt;=$G$31,0,E33)</f>
        <v>#N/A</v>
      </c>
      <c r="H33">
        <f>F33*$H$31</f>
        <v>225</v>
      </c>
      <c r="I33" t="e">
        <f>IF(F33*G33-H33&lt;0,0,F33*G33-H33)</f>
        <v>#N/A</v>
      </c>
      <c r="J33" s="14" t="e">
        <f t="shared" ref="J33:J45" si="9">$V$37*E33</f>
        <v>#N/A</v>
      </c>
      <c r="P33" s="42"/>
      <c r="Q33" s="42"/>
      <c r="R33" s="42"/>
      <c r="S33" s="42"/>
      <c r="T33" s="42"/>
      <c r="U33" s="42"/>
      <c r="V33" s="42"/>
    </row>
    <row r="34" spans="1:37" ht="15" thickBot="1" x14ac:dyDescent="0.35">
      <c r="A34" s="6">
        <v>0.29166666666666669</v>
      </c>
      <c r="B34" s="3">
        <v>0.03</v>
      </c>
      <c r="C34" s="4" t="e">
        <f t="shared" ref="C34:C45" si="10">IF($S$52="Recommended",B34,IF($V$58*$R$62&gt;$R$84,0,IF($V$58*$R$62&lt;$T$84,0,B34)))</f>
        <v>#N/A</v>
      </c>
      <c r="D34" s="12" t="e">
        <f t="shared" si="8"/>
        <v>#N/A</v>
      </c>
      <c r="E34" s="13" t="e">
        <f t="shared" ref="E34:E45" si="11">IF($S$52="Recommended",IF(D34&gt;1,1,D34),IF($V$58*$R$62&gt;$R$84,0,IF($V$58*$R$62&lt;$T$84,0,IF(D34&gt;1,1,D34))))</f>
        <v>#N/A</v>
      </c>
      <c r="F34">
        <f t="shared" ref="F34:F45" si="12">$V$35*1000</f>
        <v>15000</v>
      </c>
      <c r="G34" t="e">
        <f>IF(E34&lt;=$G$31,0,E34)</f>
        <v>#N/A</v>
      </c>
      <c r="H34">
        <f t="shared" ref="H34:H45" si="13">F34*$H$31</f>
        <v>225</v>
      </c>
      <c r="I34" t="e">
        <f>IF(F34*G34-H34&lt;0,0,F34*G34-H34)</f>
        <v>#N/A</v>
      </c>
      <c r="J34" s="14" t="e">
        <f t="shared" si="9"/>
        <v>#N/A</v>
      </c>
      <c r="P34" s="17"/>
      <c r="Q34" s="9"/>
      <c r="R34" s="9"/>
      <c r="S34" s="9"/>
      <c r="T34" s="9"/>
      <c r="U34" s="9"/>
      <c r="V34" s="9"/>
      <c r="AA34" t="s">
        <v>157</v>
      </c>
      <c r="AC34" t="str">
        <f>'Panel Selection '!C4</f>
        <v xml:space="preserve">Option 1 </v>
      </c>
      <c r="AD34" t="str">
        <f>'Panel Selection '!D4</f>
        <v>Option 2</v>
      </c>
      <c r="AE34" t="str">
        <f>'Panel Selection '!E4</f>
        <v>Option 3</v>
      </c>
      <c r="AF34" t="str">
        <f>'Panel Selection '!F4</f>
        <v>Option 4</v>
      </c>
      <c r="AG34" t="str">
        <f>'Panel Selection '!G4</f>
        <v>Option 5</v>
      </c>
      <c r="AH34" t="str">
        <f>'Panel Selection '!H4</f>
        <v>Option 6</v>
      </c>
      <c r="AI34" t="str">
        <f>'Panel Selection '!I4</f>
        <v>Option 7</v>
      </c>
      <c r="AJ34" t="str">
        <f>'Panel Selection '!J4</f>
        <v>Option 8</v>
      </c>
      <c r="AK34" t="str">
        <f>'Panel Selection '!K4</f>
        <v>Option 9</v>
      </c>
    </row>
    <row r="35" spans="1:37" ht="15" thickBot="1" x14ac:dyDescent="0.35">
      <c r="A35" s="6">
        <v>0.33333333333333331</v>
      </c>
      <c r="B35" s="3">
        <v>0.32</v>
      </c>
      <c r="C35" s="4" t="e">
        <f t="shared" si="10"/>
        <v>#N/A</v>
      </c>
      <c r="D35" s="12" t="e">
        <f t="shared" si="8"/>
        <v>#N/A</v>
      </c>
      <c r="E35" s="13" t="e">
        <f>IF($S$52="Recommended",IF(D35&gt;1,1,D35),IF($V$58*$R$62&gt;$R$84,0,IF($V$58*$R$62&lt;$T$84,0,IF(D35&gt;1,1,D35))))</f>
        <v>#N/A</v>
      </c>
      <c r="F35">
        <f t="shared" si="12"/>
        <v>15000</v>
      </c>
      <c r="G35" t="e">
        <f>IF(E35&lt;=$G$31,0,E35)</f>
        <v>#N/A</v>
      </c>
      <c r="H35">
        <f t="shared" si="13"/>
        <v>225</v>
      </c>
      <c r="I35" t="e">
        <f>IF(F35*G35-H35&lt;0,0,F35*G35-H35)</f>
        <v>#N/A</v>
      </c>
      <c r="J35" s="14" t="e">
        <f t="shared" si="9"/>
        <v>#N/A</v>
      </c>
      <c r="P35" s="38" t="s">
        <v>40</v>
      </c>
      <c r="Q35" s="39"/>
      <c r="R35" s="27">
        <f>Input!C21</f>
        <v>380</v>
      </c>
      <c r="S35" s="9"/>
      <c r="T35" s="18" t="s">
        <v>42</v>
      </c>
      <c r="U35" s="18"/>
      <c r="V35" s="27">
        <f>Input!G21</f>
        <v>15</v>
      </c>
      <c r="AA35" t="s">
        <v>151</v>
      </c>
      <c r="AC35">
        <v>260</v>
      </c>
      <c r="AD35">
        <v>265</v>
      </c>
      <c r="AE35">
        <v>270</v>
      </c>
      <c r="AF35">
        <v>275</v>
      </c>
      <c r="AG35">
        <v>315</v>
      </c>
      <c r="AH35">
        <v>320</v>
      </c>
      <c r="AI35">
        <v>325</v>
      </c>
      <c r="AJ35">
        <v>330</v>
      </c>
      <c r="AK35">
        <v>335</v>
      </c>
    </row>
    <row r="36" spans="1:37" ht="15" thickBot="1" x14ac:dyDescent="0.35">
      <c r="A36" s="6">
        <v>0.375</v>
      </c>
      <c r="B36" s="3">
        <v>0.5</v>
      </c>
      <c r="C36" s="4" t="e">
        <f t="shared" si="10"/>
        <v>#N/A</v>
      </c>
      <c r="D36" s="12" t="e">
        <f>IF($S$52="recommended",$R$68/($V$35*1000)*C36,IF($V$58*$R$62&gt;$R$84,"0",IF($V$58*$R$62&lt;$T$84,"0",(($R$68/($V$35*1000))*C36))))</f>
        <v>#N/A</v>
      </c>
      <c r="E36" s="13" t="e">
        <f t="shared" si="11"/>
        <v>#N/A</v>
      </c>
      <c r="F36">
        <f t="shared" si="12"/>
        <v>15000</v>
      </c>
      <c r="G36" t="e">
        <f t="shared" ref="G36:G45" si="14">IF(E36&lt;=$G$31,0,E36)</f>
        <v>#N/A</v>
      </c>
      <c r="H36">
        <f t="shared" si="13"/>
        <v>225</v>
      </c>
      <c r="I36" t="e">
        <f t="shared" ref="I36:I45" si="15">IF(F36*G36-H36&lt;0,0,F36*G36-H36)</f>
        <v>#N/A</v>
      </c>
      <c r="J36" s="14" t="e">
        <f t="shared" si="9"/>
        <v>#N/A</v>
      </c>
      <c r="P36" s="9"/>
      <c r="Q36" s="9"/>
      <c r="R36" s="9"/>
      <c r="S36" s="9"/>
      <c r="T36" s="9"/>
      <c r="U36" s="9"/>
      <c r="V36" s="9"/>
      <c r="AA36" t="s">
        <v>152</v>
      </c>
      <c r="AC36">
        <v>30.72</v>
      </c>
      <c r="AD36">
        <v>30.77</v>
      </c>
      <c r="AE36">
        <v>30.95</v>
      </c>
      <c r="AF36">
        <v>31.16</v>
      </c>
      <c r="AG36">
        <v>36.92</v>
      </c>
      <c r="AH36">
        <v>37.200000000000003</v>
      </c>
      <c r="AI36">
        <v>37.409999999999997</v>
      </c>
      <c r="AJ36">
        <v>37.67</v>
      </c>
      <c r="AK36">
        <v>37.9</v>
      </c>
    </row>
    <row r="37" spans="1:37" ht="15" thickBot="1" x14ac:dyDescent="0.35">
      <c r="A37" s="6">
        <v>0.41666666666666669</v>
      </c>
      <c r="B37" s="3">
        <v>0.75</v>
      </c>
      <c r="C37" s="4" t="e">
        <f t="shared" si="10"/>
        <v>#N/A</v>
      </c>
      <c r="D37" s="12" t="e">
        <f>IF($S$52="recommended",$R$68/($V$35*1000)*C37,IF($V$58*$R$62&gt;$R$84,"0",IF($V$58*$R$62&lt;$T$84,"0",(($R$68/($V$35*1000))*C37))))</f>
        <v>#N/A</v>
      </c>
      <c r="E37" s="13" t="e">
        <f t="shared" si="11"/>
        <v>#N/A</v>
      </c>
      <c r="F37">
        <f t="shared" si="12"/>
        <v>15000</v>
      </c>
      <c r="G37" t="e">
        <f t="shared" si="14"/>
        <v>#N/A</v>
      </c>
      <c r="H37">
        <f t="shared" si="13"/>
        <v>225</v>
      </c>
      <c r="I37" t="e">
        <f t="shared" si="15"/>
        <v>#N/A</v>
      </c>
      <c r="J37" s="14" t="e">
        <f t="shared" si="9"/>
        <v>#N/A</v>
      </c>
      <c r="P37" s="16" t="s">
        <v>41</v>
      </c>
      <c r="Q37" s="16"/>
      <c r="R37" s="27" t="str">
        <f>Input!C23</f>
        <v>Three</v>
      </c>
      <c r="S37" s="9"/>
      <c r="T37" s="18" t="s">
        <v>43</v>
      </c>
      <c r="U37" s="18"/>
      <c r="V37" s="27">
        <f>Input!G23</f>
        <v>0</v>
      </c>
      <c r="AA37" t="s">
        <v>154</v>
      </c>
      <c r="AC37">
        <v>38.4</v>
      </c>
      <c r="AD37">
        <v>38.46</v>
      </c>
      <c r="AE37">
        <v>38.700000000000003</v>
      </c>
      <c r="AF37">
        <v>38.97</v>
      </c>
      <c r="AG37">
        <v>46.15</v>
      </c>
      <c r="AH37">
        <v>46.18</v>
      </c>
      <c r="AI37">
        <v>46.21</v>
      </c>
      <c r="AJ37">
        <v>46.24</v>
      </c>
      <c r="AK37">
        <v>46.27</v>
      </c>
    </row>
    <row r="38" spans="1:37" ht="15" thickBot="1" x14ac:dyDescent="0.35">
      <c r="A38" s="6">
        <v>0.45833333333333331</v>
      </c>
      <c r="B38" s="3">
        <v>0.9</v>
      </c>
      <c r="C38" s="4" t="e">
        <f t="shared" si="10"/>
        <v>#N/A</v>
      </c>
      <c r="D38" s="12" t="e">
        <f t="shared" si="8"/>
        <v>#N/A</v>
      </c>
      <c r="E38" s="13" t="e">
        <f t="shared" si="11"/>
        <v>#N/A</v>
      </c>
      <c r="F38">
        <f t="shared" si="12"/>
        <v>15000</v>
      </c>
      <c r="G38" t="e">
        <f t="shared" si="14"/>
        <v>#N/A</v>
      </c>
      <c r="H38">
        <f t="shared" si="13"/>
        <v>225</v>
      </c>
      <c r="I38" t="e">
        <f t="shared" si="15"/>
        <v>#N/A</v>
      </c>
      <c r="J38" s="14" t="e">
        <f t="shared" si="9"/>
        <v>#N/A</v>
      </c>
      <c r="P38" s="9"/>
      <c r="Q38" s="9"/>
      <c r="R38" s="9"/>
      <c r="S38" s="9"/>
      <c r="T38" s="9"/>
      <c r="U38" s="9"/>
      <c r="V38" s="9"/>
      <c r="AA38" t="s">
        <v>153</v>
      </c>
      <c r="AC38">
        <v>8.48</v>
      </c>
      <c r="AD38">
        <v>8.64</v>
      </c>
      <c r="AE38">
        <v>8.74</v>
      </c>
      <c r="AF38">
        <v>8.84</v>
      </c>
      <c r="AG38">
        <v>8.56</v>
      </c>
      <c r="AH38">
        <v>8.6199999999999992</v>
      </c>
      <c r="AI38">
        <v>8.6999999999999993</v>
      </c>
      <c r="AJ38">
        <v>8.7899999999999991</v>
      </c>
      <c r="AK38">
        <v>8.85</v>
      </c>
    </row>
    <row r="39" spans="1:37" ht="15" customHeight="1" thickBot="1" x14ac:dyDescent="0.65">
      <c r="A39" s="6">
        <v>0.5</v>
      </c>
      <c r="B39" s="3">
        <v>1</v>
      </c>
      <c r="C39" s="4" t="e">
        <f t="shared" si="10"/>
        <v>#N/A</v>
      </c>
      <c r="D39" s="12" t="e">
        <f t="shared" si="8"/>
        <v>#N/A</v>
      </c>
      <c r="E39" s="13" t="e">
        <f t="shared" si="11"/>
        <v>#N/A</v>
      </c>
      <c r="F39">
        <f t="shared" si="12"/>
        <v>15000</v>
      </c>
      <c r="G39" t="e">
        <f t="shared" si="14"/>
        <v>#N/A</v>
      </c>
      <c r="H39">
        <f t="shared" si="13"/>
        <v>225</v>
      </c>
      <c r="I39" t="e">
        <f t="shared" si="15"/>
        <v>#N/A</v>
      </c>
      <c r="J39" s="14" t="e">
        <f t="shared" si="9"/>
        <v>#N/A</v>
      </c>
      <c r="P39" s="42" t="s">
        <v>44</v>
      </c>
      <c r="Q39" s="42"/>
      <c r="R39" s="42"/>
      <c r="S39" s="42"/>
      <c r="T39" s="42"/>
      <c r="U39" s="42"/>
      <c r="V39" s="42"/>
      <c r="AA39" t="s">
        <v>155</v>
      </c>
      <c r="AC39">
        <v>8.83</v>
      </c>
      <c r="AD39">
        <v>9</v>
      </c>
      <c r="AE39">
        <v>9.1300000000000008</v>
      </c>
      <c r="AF39">
        <v>9.14</v>
      </c>
      <c r="AG39">
        <v>8.92</v>
      </c>
      <c r="AH39">
        <v>9.07</v>
      </c>
      <c r="AI39">
        <v>9.19</v>
      </c>
      <c r="AJ39">
        <v>9.31</v>
      </c>
      <c r="AK39">
        <v>9.41</v>
      </c>
    </row>
    <row r="40" spans="1:37" ht="15" customHeight="1" thickBot="1" x14ac:dyDescent="0.65">
      <c r="A40" s="6">
        <v>0.54166666666666663</v>
      </c>
      <c r="B40" s="3">
        <v>0.99</v>
      </c>
      <c r="C40" s="4" t="e">
        <f t="shared" si="10"/>
        <v>#N/A</v>
      </c>
      <c r="D40" s="12" t="e">
        <f t="shared" si="8"/>
        <v>#N/A</v>
      </c>
      <c r="E40" s="13" t="e">
        <f t="shared" si="11"/>
        <v>#N/A</v>
      </c>
      <c r="F40">
        <f t="shared" si="12"/>
        <v>15000</v>
      </c>
      <c r="G40" t="e">
        <f t="shared" si="14"/>
        <v>#N/A</v>
      </c>
      <c r="H40">
        <f t="shared" si="13"/>
        <v>225</v>
      </c>
      <c r="I40" t="e">
        <f t="shared" si="15"/>
        <v>#N/A</v>
      </c>
      <c r="J40" s="14" t="e">
        <f t="shared" si="9"/>
        <v>#N/A</v>
      </c>
      <c r="P40" s="42"/>
      <c r="Q40" s="42"/>
      <c r="R40" s="42"/>
      <c r="S40" s="42"/>
      <c r="T40" s="42"/>
      <c r="U40" s="42"/>
      <c r="V40" s="42"/>
      <c r="AA40" t="s">
        <v>156</v>
      </c>
      <c r="AC40">
        <v>16</v>
      </c>
      <c r="AD40">
        <v>16.3</v>
      </c>
      <c r="AE40">
        <v>16.61</v>
      </c>
      <c r="AF40">
        <v>16.920000000000002</v>
      </c>
      <c r="AG40">
        <v>16.25</v>
      </c>
      <c r="AH40">
        <v>16.5</v>
      </c>
      <c r="AI40">
        <v>16.760000000000002</v>
      </c>
      <c r="AJ40">
        <v>17.02</v>
      </c>
      <c r="AK40">
        <v>17.28</v>
      </c>
    </row>
    <row r="41" spans="1:37" ht="15" thickBot="1" x14ac:dyDescent="0.35">
      <c r="A41" s="6">
        <v>0.58333333333333337</v>
      </c>
      <c r="B41" s="3">
        <v>0.85</v>
      </c>
      <c r="C41" s="4" t="e">
        <f t="shared" si="10"/>
        <v>#N/A</v>
      </c>
      <c r="D41" s="12" t="e">
        <f t="shared" si="8"/>
        <v>#N/A</v>
      </c>
      <c r="E41" s="13" t="e">
        <f t="shared" si="11"/>
        <v>#N/A</v>
      </c>
      <c r="F41">
        <f t="shared" si="12"/>
        <v>15000</v>
      </c>
      <c r="G41" t="e">
        <f t="shared" si="14"/>
        <v>#N/A</v>
      </c>
      <c r="H41">
        <f t="shared" si="13"/>
        <v>225</v>
      </c>
      <c r="I41" t="e">
        <f t="shared" si="15"/>
        <v>#N/A</v>
      </c>
      <c r="J41" s="14" t="e">
        <f t="shared" si="9"/>
        <v>#N/A</v>
      </c>
      <c r="P41" s="9"/>
      <c r="Q41" s="9"/>
      <c r="R41" s="9"/>
      <c r="S41" s="9"/>
      <c r="T41" s="9"/>
      <c r="U41" s="9"/>
      <c r="V41" s="9"/>
    </row>
    <row r="42" spans="1:37" ht="15" thickBot="1" x14ac:dyDescent="0.35">
      <c r="A42" s="6">
        <v>0.625</v>
      </c>
      <c r="B42" s="3">
        <v>0.65</v>
      </c>
      <c r="C42" s="4" t="e">
        <f t="shared" si="10"/>
        <v>#N/A</v>
      </c>
      <c r="D42" s="12" t="e">
        <f t="shared" si="8"/>
        <v>#N/A</v>
      </c>
      <c r="E42" s="13" t="e">
        <f t="shared" si="11"/>
        <v>#N/A</v>
      </c>
      <c r="F42">
        <f t="shared" si="12"/>
        <v>15000</v>
      </c>
      <c r="G42" t="e">
        <f t="shared" si="14"/>
        <v>#N/A</v>
      </c>
      <c r="H42">
        <f t="shared" si="13"/>
        <v>225</v>
      </c>
      <c r="I42" t="e">
        <f t="shared" si="15"/>
        <v>#N/A</v>
      </c>
      <c r="J42" s="14" t="e">
        <f t="shared" si="9"/>
        <v>#N/A</v>
      </c>
      <c r="P42" s="38" t="s">
        <v>45</v>
      </c>
      <c r="Q42" s="39"/>
      <c r="R42" s="27">
        <f>Input!C44</f>
        <v>555</v>
      </c>
      <c r="S42" s="9"/>
      <c r="T42" s="18" t="s">
        <v>3</v>
      </c>
      <c r="U42" s="18"/>
      <c r="V42" s="27">
        <f>Input!G44</f>
        <v>40.33</v>
      </c>
      <c r="AA42" t="s">
        <v>160</v>
      </c>
      <c r="AC42">
        <f t="shared" ref="AC42:AK42" si="16">ROUNDUP($W$50/AC37,0)</f>
        <v>17</v>
      </c>
      <c r="AD42">
        <f t="shared" si="16"/>
        <v>17</v>
      </c>
      <c r="AE42">
        <f t="shared" si="16"/>
        <v>17</v>
      </c>
      <c r="AF42">
        <f t="shared" si="16"/>
        <v>16</v>
      </c>
      <c r="AG42">
        <f t="shared" si="16"/>
        <v>14</v>
      </c>
      <c r="AH42">
        <f t="shared" si="16"/>
        <v>14</v>
      </c>
      <c r="AI42">
        <f t="shared" si="16"/>
        <v>14</v>
      </c>
      <c r="AJ42">
        <f t="shared" si="16"/>
        <v>14</v>
      </c>
      <c r="AK42">
        <f t="shared" si="16"/>
        <v>14</v>
      </c>
    </row>
    <row r="43" spans="1:37" ht="15" thickBot="1" x14ac:dyDescent="0.35">
      <c r="A43" s="6">
        <v>0.66666666666666663</v>
      </c>
      <c r="B43" s="3">
        <v>0.3</v>
      </c>
      <c r="C43" s="4" t="e">
        <f t="shared" si="10"/>
        <v>#N/A</v>
      </c>
      <c r="D43" s="12" t="e">
        <f t="shared" si="8"/>
        <v>#N/A</v>
      </c>
      <c r="E43" s="13" t="e">
        <f t="shared" si="11"/>
        <v>#N/A</v>
      </c>
      <c r="F43">
        <f t="shared" si="12"/>
        <v>15000</v>
      </c>
      <c r="G43" t="e">
        <f t="shared" si="14"/>
        <v>#N/A</v>
      </c>
      <c r="H43">
        <f t="shared" si="13"/>
        <v>225</v>
      </c>
      <c r="I43" t="e">
        <f t="shared" si="15"/>
        <v>#N/A</v>
      </c>
      <c r="J43" s="14" t="e">
        <f t="shared" si="9"/>
        <v>#N/A</v>
      </c>
      <c r="P43" s="9"/>
      <c r="Q43" s="9"/>
      <c r="R43" s="9"/>
      <c r="S43" s="9"/>
      <c r="T43" s="9"/>
      <c r="U43" s="9"/>
      <c r="V43" s="9"/>
      <c r="AA43" t="s">
        <v>161</v>
      </c>
      <c r="AB43">
        <f>V35*1000*1.6</f>
        <v>24000</v>
      </c>
      <c r="AC43">
        <f t="shared" ref="AC43:AK43" si="17">ROUNDUP($AB$43/(AC42*AC35),0)</f>
        <v>6</v>
      </c>
      <c r="AD43">
        <f t="shared" si="17"/>
        <v>6</v>
      </c>
      <c r="AE43">
        <f t="shared" si="17"/>
        <v>6</v>
      </c>
      <c r="AF43">
        <f t="shared" si="17"/>
        <v>6</v>
      </c>
      <c r="AG43">
        <f t="shared" si="17"/>
        <v>6</v>
      </c>
      <c r="AH43">
        <f t="shared" si="17"/>
        <v>6</v>
      </c>
      <c r="AI43">
        <f t="shared" si="17"/>
        <v>6</v>
      </c>
      <c r="AJ43">
        <f t="shared" si="17"/>
        <v>6</v>
      </c>
      <c r="AK43">
        <f t="shared" si="17"/>
        <v>6</v>
      </c>
    </row>
    <row r="44" spans="1:37" ht="15" thickBot="1" x14ac:dyDescent="0.35">
      <c r="A44" s="6">
        <v>0.70833333333333337</v>
      </c>
      <c r="B44" s="3">
        <v>0.01</v>
      </c>
      <c r="C44" s="4" t="e">
        <f t="shared" si="10"/>
        <v>#N/A</v>
      </c>
      <c r="D44" s="12" t="e">
        <f t="shared" si="8"/>
        <v>#N/A</v>
      </c>
      <c r="E44" s="13" t="e">
        <f t="shared" si="11"/>
        <v>#N/A</v>
      </c>
      <c r="F44">
        <f t="shared" si="12"/>
        <v>15000</v>
      </c>
      <c r="G44" t="e">
        <f t="shared" si="14"/>
        <v>#N/A</v>
      </c>
      <c r="H44">
        <f t="shared" si="13"/>
        <v>225</v>
      </c>
      <c r="I44" t="e">
        <f t="shared" si="15"/>
        <v>#N/A</v>
      </c>
      <c r="J44" s="14" t="e">
        <f t="shared" si="9"/>
        <v>#N/A</v>
      </c>
      <c r="P44" s="16" t="s">
        <v>4</v>
      </c>
      <c r="Q44" s="16"/>
      <c r="R44" s="27">
        <f>Input!C46</f>
        <v>49.72</v>
      </c>
      <c r="S44" s="9"/>
      <c r="T44" s="18" t="s">
        <v>46</v>
      </c>
      <c r="U44" s="18"/>
      <c r="V44" s="27" t="str">
        <f>Input!G46</f>
        <v>Jinko</v>
      </c>
      <c r="AC44">
        <f>AC35*AC42*AC43</f>
        <v>26520</v>
      </c>
      <c r="AD44">
        <f t="shared" ref="AD44:AK44" si="18">AD35*AD42*AD43</f>
        <v>27030</v>
      </c>
      <c r="AE44">
        <f t="shared" si="18"/>
        <v>27540</v>
      </c>
      <c r="AF44">
        <f t="shared" si="18"/>
        <v>26400</v>
      </c>
      <c r="AG44">
        <f t="shared" si="18"/>
        <v>26460</v>
      </c>
      <c r="AH44">
        <f t="shared" si="18"/>
        <v>26880</v>
      </c>
      <c r="AI44">
        <f t="shared" si="18"/>
        <v>27300</v>
      </c>
      <c r="AJ44">
        <f t="shared" si="18"/>
        <v>27720</v>
      </c>
      <c r="AK44">
        <f t="shared" si="18"/>
        <v>28140</v>
      </c>
    </row>
    <row r="45" spans="1:37" ht="15" thickBot="1" x14ac:dyDescent="0.35">
      <c r="A45" s="7">
        <v>0.75</v>
      </c>
      <c r="B45" s="8">
        <v>0</v>
      </c>
      <c r="C45" s="4" t="e">
        <f t="shared" si="10"/>
        <v>#N/A</v>
      </c>
      <c r="D45" s="12" t="e">
        <f t="shared" si="8"/>
        <v>#N/A</v>
      </c>
      <c r="E45" s="13" t="e">
        <f t="shared" si="11"/>
        <v>#N/A</v>
      </c>
      <c r="F45">
        <f t="shared" si="12"/>
        <v>15000</v>
      </c>
      <c r="G45" t="e">
        <f t="shared" si="14"/>
        <v>#N/A</v>
      </c>
      <c r="H45">
        <f t="shared" si="13"/>
        <v>225</v>
      </c>
      <c r="I45" t="e">
        <f t="shared" si="15"/>
        <v>#N/A</v>
      </c>
      <c r="J45" s="14" t="e">
        <f t="shared" si="9"/>
        <v>#N/A</v>
      </c>
    </row>
    <row r="46" spans="1:37" ht="14.4" customHeight="1" x14ac:dyDescent="0.6">
      <c r="P46" s="42" t="s">
        <v>48</v>
      </c>
      <c r="Q46" s="42"/>
      <c r="R46" s="42"/>
      <c r="S46" s="42"/>
      <c r="T46" s="42"/>
      <c r="U46" s="42"/>
      <c r="V46" s="42"/>
    </row>
    <row r="47" spans="1:37" ht="14.4" customHeight="1" x14ac:dyDescent="0.6">
      <c r="P47" s="42"/>
      <c r="Q47" s="42"/>
      <c r="R47" s="42"/>
      <c r="S47" s="42"/>
      <c r="T47" s="42"/>
      <c r="U47" s="42"/>
      <c r="V47" s="42"/>
      <c r="AC47" t="s">
        <v>168</v>
      </c>
      <c r="AD47" t="s">
        <v>169</v>
      </c>
    </row>
    <row r="48" spans="1:37" x14ac:dyDescent="0.3">
      <c r="P48" s="38" t="s">
        <v>49</v>
      </c>
      <c r="Q48" s="39"/>
      <c r="R48" t="str">
        <f>IF(R35=240,INDEX(A4:C6,MATCH(SMALL(C4:C6,COUNTIF(C4:C6,"&lt;"&amp;V35)+1),C4:C6,1),1),IF(R35=380,INDEX(A7:C26,MATCH(SMALL($C$4:$C$26,COUNTIF($C$4:$C$26,"&lt;"&amp;V35)+1),C7:C26,1),1)))</f>
        <v>Cedar SI23 D5-018G</v>
      </c>
      <c r="S48" s="9"/>
      <c r="T48" s="18" t="s">
        <v>51</v>
      </c>
      <c r="U48" s="18"/>
      <c r="V48">
        <f>INDEX(Y6:EN7,1,MATCH(MIN(Y8:EN8),Y8:EN8,-1))</f>
        <v>4</v>
      </c>
      <c r="AA48" t="s">
        <v>51</v>
      </c>
      <c r="AB48">
        <f>INDEX($AC$35:$AK$44,9,MATCH(MIN($AC$44:$AK$44),$AC$44:$AK$44,0))</f>
        <v>6</v>
      </c>
    </row>
    <row r="49" spans="16:30" x14ac:dyDescent="0.3">
      <c r="P49" s="9"/>
      <c r="Q49" s="9"/>
      <c r="R49" s="9"/>
      <c r="S49" s="9"/>
      <c r="T49" s="9"/>
      <c r="U49" s="9"/>
      <c r="V49" s="9"/>
      <c r="W49" s="32" t="s">
        <v>158</v>
      </c>
      <c r="X49" s="32" t="s">
        <v>159</v>
      </c>
      <c r="AA49" t="s">
        <v>166</v>
      </c>
      <c r="AB49">
        <f>INDEX($AC$35:$AK$44,8,MATCH(MIN($AC$44:$AK$44),$AC$44:$AK$44,0))</f>
        <v>16</v>
      </c>
    </row>
    <row r="50" spans="16:30" x14ac:dyDescent="0.3">
      <c r="P50" s="16" t="s">
        <v>144</v>
      </c>
      <c r="Q50" s="16"/>
      <c r="R50" s="16">
        <f>V50*V48</f>
        <v>52</v>
      </c>
      <c r="S50" s="9"/>
      <c r="T50" s="18" t="s">
        <v>52</v>
      </c>
      <c r="U50" s="18"/>
      <c r="V50" s="33">
        <f>ROUNDUP(X50,0)</f>
        <v>13</v>
      </c>
      <c r="W50" s="32">
        <f>INDEX(A4:G26,MATCH(R48,A4:A26,0),7)</f>
        <v>620</v>
      </c>
      <c r="X50" s="32">
        <f>W50/R44</f>
        <v>12.469831053901851</v>
      </c>
      <c r="AA50" t="s">
        <v>162</v>
      </c>
      <c r="AB50">
        <f>INDEX($AC$35:$AK$44,10,MATCH(MIN($AC$44:$AK$44),$AC$44:$AK$44,0))</f>
        <v>26400</v>
      </c>
    </row>
    <row r="51" spans="16:30" x14ac:dyDescent="0.3">
      <c r="P51" s="9"/>
      <c r="Q51" s="9"/>
      <c r="R51" s="9"/>
      <c r="S51" s="9"/>
      <c r="T51" s="9"/>
      <c r="U51" s="9"/>
      <c r="V51" s="9"/>
      <c r="AA51" t="s">
        <v>151</v>
      </c>
      <c r="AB51">
        <f>INDEX($AC$35:$AK$44,1,MATCH($AB$50,$AC$44:$AK$44,0))</f>
        <v>275</v>
      </c>
    </row>
    <row r="52" spans="16:30" x14ac:dyDescent="0.3">
      <c r="P52" s="18" t="s">
        <v>135</v>
      </c>
      <c r="Q52" s="18"/>
      <c r="R52" s="18"/>
      <c r="S52" s="27" t="str">
        <f>Input!E25</f>
        <v xml:space="preserve">Manual </v>
      </c>
      <c r="T52" s="9"/>
      <c r="U52" s="9"/>
      <c r="V52" s="9"/>
      <c r="AA52" t="s">
        <v>163</v>
      </c>
      <c r="AB52">
        <f>INDEX($AC$35:$AK$44,4,MATCH($AB$50,$AC$44:$AK$44,0))</f>
        <v>8.84</v>
      </c>
      <c r="AC52">
        <f>AB52*AB49</f>
        <v>141.44</v>
      </c>
      <c r="AD52">
        <f>INDEX($A$4:$I$25,MATCH($R$48,$A$4:$A$25,0),9)</f>
        <v>741</v>
      </c>
    </row>
    <row r="53" spans="16:30" x14ac:dyDescent="0.3">
      <c r="P53" s="9"/>
      <c r="Q53" s="9"/>
      <c r="R53" s="9"/>
      <c r="S53" s="9"/>
      <c r="T53" s="9"/>
      <c r="U53" s="9"/>
      <c r="V53" s="9"/>
      <c r="AA53" t="s">
        <v>164</v>
      </c>
      <c r="AB53">
        <f>INDEX($AC$35:$AK$44,2,MATCH($AB$50,$AC$44:$AK$44,0))</f>
        <v>31.16</v>
      </c>
      <c r="AC53">
        <f>AB49*AB53</f>
        <v>498.56</v>
      </c>
    </row>
    <row r="54" spans="16:30" x14ac:dyDescent="0.3">
      <c r="P54" s="9"/>
      <c r="Q54" s="9"/>
      <c r="R54" s="9"/>
      <c r="S54" s="9"/>
      <c r="T54" s="9"/>
      <c r="U54" s="9"/>
      <c r="V54" s="9"/>
      <c r="AA54" t="s">
        <v>153</v>
      </c>
      <c r="AB54">
        <f>INDEX($AC$35:$AK$44,3,MATCH($AB$50,$AC$44:$AK$44,0))</f>
        <v>38.97</v>
      </c>
    </row>
    <row r="55" spans="16:30" ht="31.2" x14ac:dyDescent="0.6">
      <c r="P55" s="42" t="s">
        <v>53</v>
      </c>
      <c r="Q55" s="42"/>
      <c r="R55" s="42"/>
      <c r="S55" s="42"/>
      <c r="T55" s="42"/>
      <c r="U55" s="42"/>
      <c r="V55" s="42"/>
      <c r="AA55" t="s">
        <v>219</v>
      </c>
      <c r="AB55" t="str">
        <f>INDEX($AC$34:$AK$44,1,MATCH($AB$50,$AC$44:$AK$44,0))</f>
        <v>Option 4</v>
      </c>
    </row>
    <row r="56" spans="16:30" x14ac:dyDescent="0.3">
      <c r="P56" s="38" t="s">
        <v>47</v>
      </c>
      <c r="Q56" s="39"/>
      <c r="R56" s="27" t="str">
        <f>Input!C40</f>
        <v>Cedar SI30 D5 015G-H</v>
      </c>
      <c r="S56" s="9"/>
      <c r="T56" s="18" t="s">
        <v>51</v>
      </c>
      <c r="U56" s="18"/>
      <c r="V56" s="27">
        <f>Input!G40</f>
        <v>2</v>
      </c>
    </row>
    <row r="57" spans="16:30" x14ac:dyDescent="0.3">
      <c r="P57" s="9"/>
      <c r="Q57" s="9"/>
      <c r="R57" s="9"/>
      <c r="S57" s="9"/>
      <c r="T57" s="9"/>
      <c r="U57" s="9"/>
      <c r="V57" s="9"/>
      <c r="AA57" t="s">
        <v>155</v>
      </c>
      <c r="AB57">
        <f>INDEX($AC$35:$AK$44,5,MATCH($AB$50,$AC$44:$AK$44,0))</f>
        <v>9.14</v>
      </c>
    </row>
    <row r="58" spans="16:30" x14ac:dyDescent="0.3">
      <c r="P58" s="20" t="s">
        <v>144</v>
      </c>
      <c r="Q58" s="20"/>
      <c r="R58" s="18">
        <f>V56*V58</f>
        <v>28</v>
      </c>
      <c r="S58" s="9"/>
      <c r="T58" s="19" t="s">
        <v>52</v>
      </c>
      <c r="U58" s="19"/>
      <c r="V58" s="27">
        <f>Input!G42</f>
        <v>14</v>
      </c>
      <c r="AA58" t="s">
        <v>46</v>
      </c>
      <c r="AB58" s="18" t="s">
        <v>165</v>
      </c>
    </row>
    <row r="59" spans="16:30" x14ac:dyDescent="0.3">
      <c r="AA59" t="s">
        <v>5</v>
      </c>
      <c r="AB59">
        <f>AB50/(V35*1000)</f>
        <v>1.76</v>
      </c>
    </row>
    <row r="60" spans="16:30" x14ac:dyDescent="0.3">
      <c r="P60" s="28" t="s">
        <v>45</v>
      </c>
      <c r="Q60" s="29"/>
      <c r="R60" s="27">
        <f>Input!C44</f>
        <v>555</v>
      </c>
      <c r="S60" s="9"/>
      <c r="T60" s="28" t="s">
        <v>3</v>
      </c>
      <c r="U60" s="29"/>
      <c r="V60" s="27">
        <f>Input!G44</f>
        <v>40.33</v>
      </c>
      <c r="AA60" t="s">
        <v>172</v>
      </c>
      <c r="AB60">
        <f>AB48*AB49</f>
        <v>96</v>
      </c>
    </row>
    <row r="61" spans="16:30" x14ac:dyDescent="0.3">
      <c r="P61" s="9"/>
      <c r="Q61" s="9"/>
      <c r="R61" s="9"/>
      <c r="S61" s="9"/>
      <c r="T61" s="9"/>
      <c r="U61" s="9"/>
      <c r="V61" s="9"/>
    </row>
    <row r="62" spans="16:30" x14ac:dyDescent="0.3">
      <c r="P62" s="35" t="s">
        <v>4</v>
      </c>
      <c r="Q62" s="36"/>
      <c r="R62" s="27">
        <f>Input!C46</f>
        <v>49.72</v>
      </c>
      <c r="S62" s="9"/>
      <c r="T62" s="28" t="s">
        <v>46</v>
      </c>
      <c r="U62" s="29"/>
      <c r="V62" s="27" t="str">
        <f>Input!G46</f>
        <v>Jinko</v>
      </c>
    </row>
    <row r="66" spans="16:23" ht="31.2" x14ac:dyDescent="0.6">
      <c r="P66" s="167" t="s">
        <v>133</v>
      </c>
      <c r="Q66" s="167"/>
      <c r="R66" s="167"/>
      <c r="S66" s="167"/>
      <c r="T66" s="167"/>
      <c r="U66" s="167"/>
      <c r="V66" s="167"/>
    </row>
    <row r="67" spans="16:23" x14ac:dyDescent="0.3">
      <c r="P67" s="160" t="s">
        <v>150</v>
      </c>
      <c r="Q67" s="160"/>
      <c r="R67" s="18" t="str">
        <f>IFERROR(IF($S$52="Recommended",R48,R56),"")</f>
        <v>Cedar SI30 D5 015G-H</v>
      </c>
      <c r="S67" s="18" t="s">
        <v>170</v>
      </c>
      <c r="T67" s="18">
        <f>IFERROR(IF($S$52="Recommended",AB48,T80),"")</f>
        <v>2</v>
      </c>
      <c r="U67" s="9"/>
      <c r="V67" s="9"/>
    </row>
    <row r="68" spans="16:23" x14ac:dyDescent="0.3">
      <c r="P68" s="160" t="s">
        <v>143</v>
      </c>
      <c r="Q68" s="160"/>
      <c r="R68" s="18">
        <f>IFERROR(IF(S52="Recommended",AB50,R80),"")</f>
        <v>15540</v>
      </c>
      <c r="S68" t="s">
        <v>171</v>
      </c>
      <c r="T68" s="18">
        <f>IFERROR(IF($S$52="Recommended",AB49,T81),"")</f>
        <v>14</v>
      </c>
    </row>
    <row r="69" spans="16:23" x14ac:dyDescent="0.3">
      <c r="P69" s="161" t="s">
        <v>145</v>
      </c>
      <c r="Q69" s="162"/>
      <c r="R69" s="30">
        <f>IFERROR(IF($S$52="Recommended",AB59,R81),"")</f>
        <v>1.036</v>
      </c>
      <c r="S69" t="s">
        <v>50</v>
      </c>
      <c r="T69" s="18">
        <f>IFERROR(IF($S$52="Recommended",AB60,T82),"")</f>
        <v>28</v>
      </c>
    </row>
    <row r="70" spans="16:23" x14ac:dyDescent="0.3">
      <c r="P70" s="28" t="s">
        <v>167</v>
      </c>
      <c r="Q70" s="29"/>
      <c r="R70" s="18" t="str">
        <f>IFERROR(IF($S$52="Recommended",INDEX($A$4:$K$26,MATCH($R$48,$A$4:$A$26,0),11),R82),"")</f>
        <v/>
      </c>
      <c r="S70" t="s">
        <v>176</v>
      </c>
      <c r="T70" s="18" t="str">
        <f>IFERROR(IF($S$52="Recommended",AC52,T83),"")</f>
        <v/>
      </c>
    </row>
    <row r="71" spans="16:23" x14ac:dyDescent="0.3">
      <c r="P71" s="161" t="s">
        <v>146</v>
      </c>
      <c r="Q71" s="162"/>
      <c r="R71" s="37" t="str">
        <f>IFERROR(IF($S$52="Recommended",INDEX($A$4:$K$26,MATCH($R$48,$A$4:$A$26,0),10),R83),"")</f>
        <v/>
      </c>
      <c r="T71" s="18"/>
    </row>
    <row r="72" spans="16:23" x14ac:dyDescent="0.3">
      <c r="P72" s="161" t="s">
        <v>173</v>
      </c>
      <c r="Q72" s="162"/>
      <c r="R72" s="37" t="str">
        <f>IFERROR(IF($S$52="Recommended",INDEX($A$4:$K$26,MATCH($R$48,$A$4:$A$26,0),6),R84),"")</f>
        <v/>
      </c>
    </row>
    <row r="73" spans="16:23" x14ac:dyDescent="0.3">
      <c r="P73" s="161" t="s">
        <v>177</v>
      </c>
      <c r="Q73" s="162"/>
      <c r="R73" s="37" t="str">
        <f>IFERROR(IF($S$52="Recommended",INDEX($A$4:$K$26,MATCH($R$48,$A$4:$A$26,0),4),R85),"")</f>
        <v/>
      </c>
    </row>
    <row r="74" spans="16:23" x14ac:dyDescent="0.3">
      <c r="P74" s="40"/>
      <c r="Q74" s="9"/>
      <c r="R74" t="s">
        <v>0</v>
      </c>
      <c r="S74" t="s">
        <v>104</v>
      </c>
      <c r="T74" t="s">
        <v>105</v>
      </c>
      <c r="U74" t="s">
        <v>107</v>
      </c>
      <c r="V74" t="s">
        <v>108</v>
      </c>
      <c r="W74" t="s">
        <v>109</v>
      </c>
    </row>
    <row r="75" spans="16:23" x14ac:dyDescent="0.3">
      <c r="P75" s="161" t="s">
        <v>174</v>
      </c>
      <c r="Q75" s="162"/>
      <c r="R75" s="37" t="str">
        <f>IFERROR(IF($S$52="Recommended",INDEX($A$4:$Q$25,MATCH($R$48,$A$4:$A$25,0),12),INDEX($A$4:$Q$25,MATCH(R56,$A$4:$A$25,0),12)),"")</f>
        <v/>
      </c>
      <c r="S75" s="37" t="str">
        <f>IFERROR(IF($S$52="Recommended",INDEX($A$4:$Q$25,MATCH($R$48,$A$4:$A$25,0),13),INDEX($A$4:$Q$25,MATCH(R56,$A$4:$A$25,0),13)),"")</f>
        <v/>
      </c>
      <c r="T75" s="37" t="str">
        <f>IFERROR(IF($S$52="Recommended",INDEX($A$4:$Q$25,MATCH($R$48,$A$4:$A$25,0),14),INDEX($A$4:$Q$25,MATCH(R56,$A$4:$A$25,0),14)),"")</f>
        <v/>
      </c>
      <c r="U75" s="37" t="str">
        <f>IFERROR(IF($S$52="Recommended",INDEX($A$4:$Q$25,MATCH($R$48,$A$4:$A$25,0),15),INDEX($A$4:$Q$25,MATCH(R56,$A$4:$A$25,0),15)),"")</f>
        <v/>
      </c>
      <c r="V75" s="37" t="str">
        <f>IFERROR(IF($S$52="Recommended",INDEX($A$4:$Q$25,MATCH($R$48,$A$4:$A$25,0),16),INDEX($A$4:$Q$25,MATCH(R56,$A$4:$A$25,0),16)),"")</f>
        <v/>
      </c>
      <c r="W75" s="37" t="str">
        <f>IFERROR(IF($S$52="Recommended",INDEX($A$4:$Q$25,MATCH($R$48,$A$4:$A$25,0),17),INDEX($A$4:$Q$25,MATCH(W62,$A$4:$A$25,0),17)),"")</f>
        <v/>
      </c>
    </row>
    <row r="78" spans="16:23" ht="31.2" x14ac:dyDescent="0.6">
      <c r="P78" s="167" t="s">
        <v>178</v>
      </c>
      <c r="Q78" s="167"/>
      <c r="R78" s="167"/>
      <c r="S78" s="167"/>
      <c r="T78" s="167"/>
      <c r="U78" s="167"/>
      <c r="V78" s="167"/>
    </row>
    <row r="80" spans="16:23" x14ac:dyDescent="0.3">
      <c r="P80" s="160" t="s">
        <v>143</v>
      </c>
      <c r="Q80" s="160"/>
      <c r="R80">
        <f>R58*R60</f>
        <v>15540</v>
      </c>
      <c r="S80" s="18" t="s">
        <v>170</v>
      </c>
      <c r="T80" s="18">
        <f>V56</f>
        <v>2</v>
      </c>
    </row>
    <row r="81" spans="1:40" x14ac:dyDescent="0.3">
      <c r="P81" s="161" t="s">
        <v>145</v>
      </c>
      <c r="Q81" s="162"/>
      <c r="R81" s="41">
        <f>R80/(V35*1000)</f>
        <v>1.036</v>
      </c>
      <c r="S81" t="s">
        <v>171</v>
      </c>
      <c r="T81" s="18">
        <f>V58</f>
        <v>14</v>
      </c>
    </row>
    <row r="82" spans="1:40" x14ac:dyDescent="0.3">
      <c r="P82" s="28" t="s">
        <v>167</v>
      </c>
      <c r="Q82" s="29"/>
      <c r="R82" t="e">
        <f>INDEX($A$4:$K$26,MATCH(R56,$A$4:$A$26,0),11)</f>
        <v>#N/A</v>
      </c>
      <c r="S82" t="s">
        <v>50</v>
      </c>
      <c r="T82" s="18">
        <f>R58</f>
        <v>28</v>
      </c>
    </row>
    <row r="83" spans="1:40" x14ac:dyDescent="0.3">
      <c r="P83" s="161" t="s">
        <v>146</v>
      </c>
      <c r="Q83" s="162"/>
      <c r="R83" s="26" t="e">
        <f>INDEX($A$4:$K$26,MATCH(R56,$A$4:$A$26,0),10)</f>
        <v>#N/A</v>
      </c>
      <c r="S83" t="s">
        <v>176</v>
      </c>
      <c r="T83" s="18" t="e">
        <f>IF(V58*R62&gt;R84,"Voc exceeds Maximum",IF(V58*R62&lt;T84,"Voc exceeds Minimum",V58*R62))</f>
        <v>#N/A</v>
      </c>
    </row>
    <row r="84" spans="1:40" x14ac:dyDescent="0.3">
      <c r="P84" s="161" t="s">
        <v>173</v>
      </c>
      <c r="Q84" s="162"/>
      <c r="R84" t="e">
        <f>INDEX($A$4:$K$26,MATCH(R56,$A$4:$A$26,0),6)</f>
        <v>#N/A</v>
      </c>
      <c r="S84" t="s">
        <v>179</v>
      </c>
      <c r="T84" t="e">
        <f>INDEX($A$4:$K$26,MATCH(R56,$A$4:$A$26,0),7)</f>
        <v>#N/A</v>
      </c>
    </row>
    <row r="85" spans="1:40" x14ac:dyDescent="0.3">
      <c r="P85" s="161" t="s">
        <v>177</v>
      </c>
      <c r="Q85" s="162"/>
      <c r="R85" t="e">
        <f>INDEX($A$4:$K$26,MATCH(R56,$A$4:$A$26,0),4)</f>
        <v>#N/A</v>
      </c>
    </row>
    <row r="86" spans="1:40" x14ac:dyDescent="0.3">
      <c r="A86" s="53" t="s">
        <v>221</v>
      </c>
    </row>
    <row r="88" spans="1:40" x14ac:dyDescent="0.3">
      <c r="B88" s="9" t="s">
        <v>54</v>
      </c>
      <c r="C88" s="21" t="s">
        <v>55</v>
      </c>
      <c r="D88" s="9" t="s">
        <v>56</v>
      </c>
      <c r="E88" s="9" t="s">
        <v>57</v>
      </c>
      <c r="F88" s="9" t="s">
        <v>220</v>
      </c>
      <c r="G88" s="9" t="s">
        <v>58</v>
      </c>
      <c r="H88" s="9" t="s">
        <v>59</v>
      </c>
      <c r="I88" s="22" t="s">
        <v>60</v>
      </c>
      <c r="J88" s="9" t="s">
        <v>61</v>
      </c>
      <c r="K88" s="9" t="s">
        <v>62</v>
      </c>
      <c r="L88" s="9" t="s">
        <v>63</v>
      </c>
      <c r="M88" s="9" t="s">
        <v>64</v>
      </c>
      <c r="N88" s="9" t="s">
        <v>65</v>
      </c>
      <c r="O88" s="9" t="s">
        <v>66</v>
      </c>
      <c r="P88" s="9" t="s">
        <v>67</v>
      </c>
      <c r="Q88" s="9" t="s">
        <v>68</v>
      </c>
      <c r="R88" s="9" t="s">
        <v>69</v>
      </c>
      <c r="S88" s="9" t="s">
        <v>70</v>
      </c>
      <c r="T88" s="9" t="s">
        <v>71</v>
      </c>
      <c r="U88" s="23" t="s">
        <v>37</v>
      </c>
      <c r="V88" s="9" t="s">
        <v>72</v>
      </c>
      <c r="W88" s="9" t="s">
        <v>73</v>
      </c>
      <c r="X88" s="9" t="s">
        <v>74</v>
      </c>
      <c r="Y88" s="9" t="s">
        <v>75</v>
      </c>
      <c r="Z88" s="9" t="s">
        <v>76</v>
      </c>
      <c r="AA88" s="9" t="s">
        <v>77</v>
      </c>
      <c r="AB88" s="9" t="s">
        <v>78</v>
      </c>
      <c r="AC88" s="9" t="s">
        <v>79</v>
      </c>
      <c r="AD88" s="9" t="s">
        <v>80</v>
      </c>
      <c r="AE88" s="9" t="s">
        <v>81</v>
      </c>
      <c r="AF88" s="9" t="s">
        <v>82</v>
      </c>
      <c r="AG88" s="9" t="s">
        <v>83</v>
      </c>
      <c r="AH88" s="9" t="s">
        <v>84</v>
      </c>
      <c r="AI88" s="9" t="s">
        <v>85</v>
      </c>
      <c r="AJ88" s="9" t="s">
        <v>86</v>
      </c>
      <c r="AK88" s="9" t="s">
        <v>87</v>
      </c>
      <c r="AL88" s="9" t="s">
        <v>88</v>
      </c>
      <c r="AM88" s="9" t="s">
        <v>89</v>
      </c>
      <c r="AN88" s="9" t="s">
        <v>90</v>
      </c>
    </row>
    <row r="89" spans="1:40" x14ac:dyDescent="0.3">
      <c r="A89" t="s">
        <v>180</v>
      </c>
      <c r="B89" s="24">
        <v>1.1656249999999999</v>
      </c>
      <c r="C89" s="24">
        <v>1.0911764705882354</v>
      </c>
      <c r="D89" s="24">
        <v>1.1955882352941178</v>
      </c>
      <c r="E89" s="24">
        <v>1.0838235294117649</v>
      </c>
      <c r="F89" s="24">
        <v>0.92327413127413149</v>
      </c>
      <c r="G89" s="24">
        <v>1.1514705882352942</v>
      </c>
      <c r="H89" s="24">
        <v>1.1529411764705881</v>
      </c>
      <c r="I89" s="24">
        <v>1.0176470588235293</v>
      </c>
      <c r="J89" s="24">
        <v>0.96911764705882353</v>
      </c>
      <c r="K89" s="24">
        <v>1.0705882352941176</v>
      </c>
      <c r="L89" s="24">
        <v>1.1000000000000001</v>
      </c>
      <c r="M89" s="24">
        <v>1.0029411764705882</v>
      </c>
      <c r="N89" s="24">
        <v>0.99411764705882355</v>
      </c>
      <c r="O89" s="24">
        <v>0.99117647058823533</v>
      </c>
      <c r="P89" s="24">
        <v>1.0441176470588236</v>
      </c>
      <c r="Q89" s="24">
        <v>1.1558823529411766</v>
      </c>
      <c r="R89" s="24">
        <v>1</v>
      </c>
      <c r="S89" s="24">
        <v>0.96176470588235297</v>
      </c>
      <c r="T89" s="24">
        <v>1.1602941176470587</v>
      </c>
      <c r="U89" s="24">
        <v>1.0073529411764706</v>
      </c>
      <c r="V89" s="24">
        <v>0.99852941176470589</v>
      </c>
      <c r="W89" s="24">
        <v>1.0117647058823529</v>
      </c>
      <c r="X89" s="24">
        <v>1.1205882352941177</v>
      </c>
      <c r="Y89" s="24">
        <v>1.0779411764705882</v>
      </c>
      <c r="Z89" s="24">
        <v>0.92403534609720173</v>
      </c>
      <c r="AA89" s="24">
        <v>1.0970588235294119</v>
      </c>
      <c r="AB89" s="24">
        <v>1.2308823529411763</v>
      </c>
      <c r="AC89" s="24">
        <v>0.82058823529411773</v>
      </c>
      <c r="AD89" s="24">
        <v>0.99705882352941178</v>
      </c>
      <c r="AE89" s="24">
        <v>0.99411764705882355</v>
      </c>
      <c r="AF89" s="24">
        <v>0.95882352941176463</v>
      </c>
      <c r="AG89" s="24">
        <v>0.86029411764705876</v>
      </c>
      <c r="AH89" s="24">
        <v>0.94558823529411762</v>
      </c>
      <c r="AI89" s="24">
        <v>0.99705882352941178</v>
      </c>
      <c r="AJ89" s="24">
        <v>1.0249999999999999</v>
      </c>
      <c r="AK89" s="24">
        <v>0.98529411764705888</v>
      </c>
      <c r="AL89" s="24">
        <v>0.95882352941176463</v>
      </c>
      <c r="AM89" s="24">
        <v>0.85147058823529409</v>
      </c>
      <c r="AN89" s="24">
        <v>0.97058823529411764</v>
      </c>
    </row>
    <row r="90" spans="1:40" x14ac:dyDescent="0.3">
      <c r="A90" t="s">
        <v>181</v>
      </c>
      <c r="B90" s="24">
        <v>1.0421874999999998</v>
      </c>
      <c r="C90" s="24">
        <v>0.97352941176470598</v>
      </c>
      <c r="D90" s="24">
        <v>1.0941176470588236</v>
      </c>
      <c r="E90" s="24">
        <v>0.97499999999999998</v>
      </c>
      <c r="F90" s="24">
        <v>0.91573745173745169</v>
      </c>
      <c r="G90" s="24">
        <v>1.0426470588235295</v>
      </c>
      <c r="H90" s="24">
        <v>1.013235294117647</v>
      </c>
      <c r="I90" s="24">
        <v>0.93823529411764706</v>
      </c>
      <c r="J90" s="24">
        <v>0.89117647058823524</v>
      </c>
      <c r="K90" s="24">
        <v>0.96029411764705885</v>
      </c>
      <c r="L90" s="24">
        <v>1.0014705882352941</v>
      </c>
      <c r="M90" s="24">
        <v>0.94705882352941184</v>
      </c>
      <c r="N90" s="24">
        <v>0.91617647058823537</v>
      </c>
      <c r="O90" s="24">
        <v>0.89852941176470591</v>
      </c>
      <c r="P90" s="24">
        <v>0.94411764705882351</v>
      </c>
      <c r="Q90" s="24">
        <v>1.0544117647058824</v>
      </c>
      <c r="R90" s="24">
        <v>0.91911764705882359</v>
      </c>
      <c r="S90" s="24">
        <v>0.9088235294117647</v>
      </c>
      <c r="T90" s="24">
        <v>1.0264705882352942</v>
      </c>
      <c r="U90" s="24">
        <v>0.93970588235294117</v>
      </c>
      <c r="V90" s="24">
        <v>0.9205882352941176</v>
      </c>
      <c r="W90" s="24">
        <v>0.92647058823529416</v>
      </c>
      <c r="X90" s="24">
        <v>1.0088235294117647</v>
      </c>
      <c r="Y90" s="24">
        <v>0.94117647058823539</v>
      </c>
      <c r="Z90" s="24">
        <v>0.92989690721649487</v>
      </c>
      <c r="AA90" s="24">
        <v>0.98088235294117654</v>
      </c>
      <c r="AB90" s="24">
        <v>1.0808823529411764</v>
      </c>
      <c r="AC90" s="24">
        <v>0.83382352941176474</v>
      </c>
      <c r="AD90" s="24">
        <v>0.95000000000000007</v>
      </c>
      <c r="AE90" s="24">
        <v>0.92941176470588238</v>
      </c>
      <c r="AF90" s="24">
        <v>0.91764705882352948</v>
      </c>
      <c r="AG90" s="24">
        <v>0.82794117647058829</v>
      </c>
      <c r="AH90" s="24">
        <v>0.86911764705882355</v>
      </c>
      <c r="AI90" s="24">
        <v>0.97205882352941186</v>
      </c>
      <c r="AJ90" s="24">
        <v>0.99264705882352944</v>
      </c>
      <c r="AK90" s="24">
        <v>0.94117647058823539</v>
      </c>
      <c r="AL90" s="24">
        <v>0.91176470588235303</v>
      </c>
      <c r="AM90" s="24">
        <v>0.82500000000000007</v>
      </c>
      <c r="AN90" s="24">
        <v>0.90294117647058825</v>
      </c>
    </row>
    <row r="91" spans="1:40" x14ac:dyDescent="0.3">
      <c r="A91" t="s">
        <v>182</v>
      </c>
      <c r="B91" s="24">
        <v>0.8984375</v>
      </c>
      <c r="C91" s="24">
        <v>0.88382352941176467</v>
      </c>
      <c r="D91" s="24">
        <v>0.96029411764705885</v>
      </c>
      <c r="E91" s="24">
        <v>0.86470588235294121</v>
      </c>
      <c r="F91" s="24">
        <v>0.88098841698841679</v>
      </c>
      <c r="G91" s="24">
        <v>0.98529411764705888</v>
      </c>
      <c r="H91" s="24">
        <v>0.92500000000000004</v>
      </c>
      <c r="I91" s="24">
        <v>0.91617647058823537</v>
      </c>
      <c r="J91" s="24">
        <v>0.84852941176470587</v>
      </c>
      <c r="K91" s="24">
        <v>0.89264705882352946</v>
      </c>
      <c r="L91" s="24">
        <v>0.97794117647058831</v>
      </c>
      <c r="M91" s="24">
        <v>0.93235294117647061</v>
      </c>
      <c r="N91" s="24">
        <v>0.87794117647058822</v>
      </c>
      <c r="O91" s="24">
        <v>0.86764705882352944</v>
      </c>
      <c r="P91" s="24">
        <v>0.873529411764706</v>
      </c>
      <c r="Q91" s="24">
        <v>0.92794117647058816</v>
      </c>
      <c r="R91" s="24">
        <v>0.88088235294117656</v>
      </c>
      <c r="S91" s="24">
        <v>0.89117647058823524</v>
      </c>
      <c r="T91" s="24">
        <v>0.92500000000000004</v>
      </c>
      <c r="U91" s="24">
        <v>0.93382352941176472</v>
      </c>
      <c r="V91" s="24">
        <v>0.875</v>
      </c>
      <c r="W91" s="24">
        <v>0.82647058823529418</v>
      </c>
      <c r="X91" s="24">
        <v>0.85735294117647065</v>
      </c>
      <c r="Y91" s="24">
        <v>0.7720588235294118</v>
      </c>
      <c r="Z91" s="24">
        <v>0.90250368188512531</v>
      </c>
      <c r="AA91" s="24">
        <v>0.84558823529411764</v>
      </c>
      <c r="AB91" s="24">
        <v>0.87058823529411766</v>
      </c>
      <c r="AC91" s="24">
        <v>0.82058823529411773</v>
      </c>
      <c r="AD91" s="24">
        <v>0.84558823529411764</v>
      </c>
      <c r="AE91" s="24">
        <v>0.85441176470588232</v>
      </c>
      <c r="AF91" s="24">
        <v>0.875</v>
      </c>
      <c r="AG91" s="24">
        <v>0.81764705882352939</v>
      </c>
      <c r="AH91" s="24">
        <v>0.9</v>
      </c>
      <c r="AI91" s="24">
        <v>0.90294117647058825</v>
      </c>
      <c r="AJ91" s="24">
        <v>0.86617647058823521</v>
      </c>
      <c r="AK91" s="24">
        <v>0.87647058823529411</v>
      </c>
      <c r="AL91" s="24">
        <v>0.875</v>
      </c>
      <c r="AM91" s="24">
        <v>0.75735294117647067</v>
      </c>
      <c r="AN91" s="24">
        <v>0.82352941176470584</v>
      </c>
    </row>
    <row r="92" spans="1:40" x14ac:dyDescent="0.3">
      <c r="A92" t="s">
        <v>183</v>
      </c>
      <c r="B92" s="24">
        <v>0.734375</v>
      </c>
      <c r="C92" s="24">
        <v>0.86470588235294121</v>
      </c>
      <c r="D92" s="24">
        <v>0.83088235294117652</v>
      </c>
      <c r="E92" s="24">
        <v>0.80147058823529416</v>
      </c>
      <c r="F92" s="24">
        <v>0.81204633204633192</v>
      </c>
      <c r="G92" s="24">
        <v>0.97205882352941186</v>
      </c>
      <c r="H92" s="24">
        <v>0.88235294117647056</v>
      </c>
      <c r="I92" s="24">
        <v>0.93088235294117649</v>
      </c>
      <c r="J92" s="24">
        <v>0.85441176470588232</v>
      </c>
      <c r="K92" s="24">
        <v>0.89411764705882357</v>
      </c>
      <c r="L92" s="24">
        <v>0.97794117647058831</v>
      </c>
      <c r="M92" s="24">
        <v>0.9426470588235295</v>
      </c>
      <c r="N92" s="24">
        <v>0.87941176470588245</v>
      </c>
      <c r="O92" s="24">
        <v>0.86470588235294121</v>
      </c>
      <c r="P92" s="24">
        <v>0.86470588235294121</v>
      </c>
      <c r="Q92" s="24">
        <v>0.86176470588235299</v>
      </c>
      <c r="R92" s="24">
        <v>0.87647058823529411</v>
      </c>
      <c r="S92" s="24">
        <v>0.93529411764705894</v>
      </c>
      <c r="T92" s="24">
        <v>0.86764705882352944</v>
      </c>
      <c r="U92" s="24">
        <v>0.95000000000000007</v>
      </c>
      <c r="V92" s="24">
        <v>0.88088235294117656</v>
      </c>
      <c r="W92" s="24">
        <v>0.71176470588235297</v>
      </c>
      <c r="X92" s="24">
        <v>0.74558823529411766</v>
      </c>
      <c r="Y92" s="24">
        <v>0.59117647058823519</v>
      </c>
      <c r="Z92" s="24">
        <v>0.85596465390279841</v>
      </c>
      <c r="AA92" s="24">
        <v>0.69117647058823539</v>
      </c>
      <c r="AB92" s="24">
        <v>0.6705882352941176</v>
      </c>
      <c r="AC92" s="24">
        <v>0.66176470588235292</v>
      </c>
      <c r="AD92" s="24">
        <v>0.71029411764705885</v>
      </c>
      <c r="AE92" s="24">
        <v>0.73676470588235288</v>
      </c>
      <c r="AF92" s="24">
        <v>0.81176470588235294</v>
      </c>
      <c r="AG92" s="24">
        <v>0.79117647058823526</v>
      </c>
      <c r="AH92" s="24">
        <v>0.82647058823529418</v>
      </c>
      <c r="AI92" s="24">
        <v>0.80441176470588238</v>
      </c>
      <c r="AJ92" s="24">
        <v>0.75588235294117645</v>
      </c>
      <c r="AK92" s="24">
        <v>0.83970588235294119</v>
      </c>
      <c r="AL92" s="24">
        <v>0.83235294117647063</v>
      </c>
      <c r="AM92" s="24">
        <v>0.69411764705882351</v>
      </c>
      <c r="AN92" s="24">
        <v>0.73088235294117643</v>
      </c>
    </row>
    <row r="93" spans="1:40" x14ac:dyDescent="0.3">
      <c r="A93" t="s">
        <v>184</v>
      </c>
      <c r="B93" s="24">
        <v>0.6171875</v>
      </c>
      <c r="C93" s="24">
        <v>0.88235294117647056</v>
      </c>
      <c r="D93" s="24">
        <v>0.69558823529411773</v>
      </c>
      <c r="E93" s="24">
        <v>0.78676470588235292</v>
      </c>
      <c r="F93" s="24">
        <v>0.73908880308880298</v>
      </c>
      <c r="G93" s="24">
        <v>0.95735294117647063</v>
      </c>
      <c r="H93" s="24">
        <v>0.86911764705882355</v>
      </c>
      <c r="I93" s="24">
        <v>1.0529411764705883</v>
      </c>
      <c r="J93" s="24">
        <v>0.9088235294117647</v>
      </c>
      <c r="K93" s="24">
        <v>0.9088235294117647</v>
      </c>
      <c r="L93" s="24">
        <v>0.97941176470588243</v>
      </c>
      <c r="M93" s="24">
        <v>1.0838235294117649</v>
      </c>
      <c r="N93" s="24">
        <v>0.93088235294117649</v>
      </c>
      <c r="O93" s="24">
        <v>0.92794117647058816</v>
      </c>
      <c r="P93" s="24">
        <v>0.89411764705882357</v>
      </c>
      <c r="Q93" s="24">
        <v>0.78676470588235292</v>
      </c>
      <c r="R93" s="24">
        <v>0.93382352941176472</v>
      </c>
      <c r="S93" s="24">
        <v>1.0852941176470587</v>
      </c>
      <c r="T93" s="24">
        <v>0.84705882352941175</v>
      </c>
      <c r="U93" s="24">
        <v>1.0720588235294117</v>
      </c>
      <c r="V93" s="24">
        <v>0.92794117647058816</v>
      </c>
      <c r="W93" s="24">
        <v>0.64558823529411757</v>
      </c>
      <c r="X93" s="24">
        <v>0.59852941176470598</v>
      </c>
      <c r="Y93" s="24">
        <v>0.44264705882352939</v>
      </c>
      <c r="Z93" s="24">
        <v>0.81407952871870404</v>
      </c>
      <c r="AA93" s="24">
        <v>0.58088235294117652</v>
      </c>
      <c r="AB93" s="24">
        <v>0.52941176470588236</v>
      </c>
      <c r="AC93" s="24">
        <v>0.6132352941176471</v>
      </c>
      <c r="AD93" s="24">
        <v>0.60588235294117654</v>
      </c>
      <c r="AE93" s="24">
        <v>0.6147058823529411</v>
      </c>
      <c r="AF93" s="24">
        <v>0.73235294117647065</v>
      </c>
      <c r="AG93" s="24">
        <v>0.7264705882352942</v>
      </c>
      <c r="AH93" s="24">
        <v>0.77499999999999991</v>
      </c>
      <c r="AI93" s="24">
        <v>0.74411764705882344</v>
      </c>
      <c r="AJ93" s="24">
        <v>0.67352941176470593</v>
      </c>
      <c r="AK93" s="24">
        <v>0.81764705882352939</v>
      </c>
      <c r="AL93" s="24">
        <v>0.80735294117647061</v>
      </c>
      <c r="AM93" s="24">
        <v>0.6029411764705882</v>
      </c>
      <c r="AN93" s="24">
        <v>0.67794117647058827</v>
      </c>
    </row>
    <row r="94" spans="1:40" x14ac:dyDescent="0.3">
      <c r="A94" t="s">
        <v>185</v>
      </c>
      <c r="B94" s="24">
        <v>0.54374999999999996</v>
      </c>
      <c r="C94" s="24">
        <v>0.88676470588235301</v>
      </c>
      <c r="D94" s="24">
        <v>0.67500000000000004</v>
      </c>
      <c r="E94" s="24">
        <v>0.77499999999999991</v>
      </c>
      <c r="F94" s="24">
        <v>0.68095752895752892</v>
      </c>
      <c r="G94" s="24">
        <v>0.97352941176470598</v>
      </c>
      <c r="H94" s="24">
        <v>0.86176470588235299</v>
      </c>
      <c r="I94" s="24">
        <v>1.0264705882352942</v>
      </c>
      <c r="J94" s="24">
        <v>0.93235294117647061</v>
      </c>
      <c r="K94" s="24">
        <v>0.92941176470588238</v>
      </c>
      <c r="L94" s="24">
        <v>0.9882352941176471</v>
      </c>
      <c r="M94" s="24">
        <v>1.0470588235294118</v>
      </c>
      <c r="N94" s="24">
        <v>0.94411764705882351</v>
      </c>
      <c r="O94" s="24">
        <v>0.94117647058823539</v>
      </c>
      <c r="P94" s="24">
        <v>0.9088235294117647</v>
      </c>
      <c r="Q94" s="24">
        <v>0.76323529411764712</v>
      </c>
      <c r="R94" s="24">
        <v>0.94411764705882351</v>
      </c>
      <c r="S94" s="24">
        <v>1.0485294117647059</v>
      </c>
      <c r="T94" s="24">
        <v>0.86176470588235299</v>
      </c>
      <c r="U94" s="24">
        <v>1.05</v>
      </c>
      <c r="V94" s="24">
        <v>0.9426470588235295</v>
      </c>
      <c r="W94" s="24">
        <v>0.58970588235294119</v>
      </c>
      <c r="X94" s="24">
        <v>0.53823529411764715</v>
      </c>
      <c r="Y94" s="24">
        <v>0.38382352941176467</v>
      </c>
      <c r="Z94" s="24">
        <v>0.77145802650957307</v>
      </c>
      <c r="AA94" s="24">
        <v>0.5117647058823529</v>
      </c>
      <c r="AB94" s="24">
        <v>0.45</v>
      </c>
      <c r="AC94" s="24">
        <v>0.57205882352941184</v>
      </c>
      <c r="AD94" s="24">
        <v>0.55294117647058827</v>
      </c>
      <c r="AE94" s="24">
        <v>0.55735294117647061</v>
      </c>
      <c r="AF94" s="24">
        <v>0.67205882352941182</v>
      </c>
      <c r="AG94" s="24">
        <v>0.67352941176470593</v>
      </c>
      <c r="AH94" s="24">
        <v>0.71323529411764708</v>
      </c>
      <c r="AI94" s="24">
        <v>0.65</v>
      </c>
      <c r="AJ94" s="24">
        <v>0.59705882352941175</v>
      </c>
      <c r="AK94" s="24">
        <v>0.75588235294117645</v>
      </c>
      <c r="AL94" s="24">
        <v>0.75735294117647067</v>
      </c>
      <c r="AM94" s="24">
        <v>0.57352941176470584</v>
      </c>
      <c r="AN94" s="24">
        <v>0.62205882352941189</v>
      </c>
    </row>
    <row r="95" spans="1:40" x14ac:dyDescent="0.3">
      <c r="A95" t="s">
        <v>186</v>
      </c>
      <c r="B95" s="24">
        <v>0.58906249999999993</v>
      </c>
      <c r="C95" s="24">
        <v>0.91911764705882359</v>
      </c>
      <c r="D95" s="24">
        <v>0.68823529411764706</v>
      </c>
      <c r="E95" s="24">
        <v>0.80294117647058827</v>
      </c>
      <c r="F95" s="24">
        <v>0.68064864864864882</v>
      </c>
      <c r="G95" s="24">
        <v>0.97058823529411764</v>
      </c>
      <c r="H95" s="24">
        <v>0.9</v>
      </c>
      <c r="I95" s="24">
        <v>1.0161764705882352</v>
      </c>
      <c r="J95" s="24">
        <v>0.97205882352941186</v>
      </c>
      <c r="K95" s="24">
        <v>0.95000000000000007</v>
      </c>
      <c r="L95" s="24">
        <v>0.99705882352941178</v>
      </c>
      <c r="M95" s="24">
        <v>1.1000000000000001</v>
      </c>
      <c r="N95" s="24">
        <v>0.9882352941176471</v>
      </c>
      <c r="O95" s="24">
        <v>0.98970588235294121</v>
      </c>
      <c r="P95" s="24">
        <v>0.93676470588235294</v>
      </c>
      <c r="Q95" s="24">
        <v>0.77794117647058825</v>
      </c>
      <c r="R95" s="24">
        <v>0.98529411764705888</v>
      </c>
      <c r="S95" s="24">
        <v>1.1044117647058824</v>
      </c>
      <c r="T95" s="24">
        <v>0.87941176470588245</v>
      </c>
      <c r="U95" s="24">
        <v>1.0382352941176469</v>
      </c>
      <c r="V95" s="24">
        <v>0.97941176470588243</v>
      </c>
      <c r="W95" s="24">
        <v>0.63823529411764701</v>
      </c>
      <c r="X95" s="24">
        <v>0.57794117647058829</v>
      </c>
      <c r="Y95" s="24">
        <v>0.41764705882352943</v>
      </c>
      <c r="Z95" s="24">
        <v>0.76338733431516947</v>
      </c>
      <c r="AA95" s="24">
        <v>0.55441176470588238</v>
      </c>
      <c r="AB95" s="24">
        <v>0.49705882352941178</v>
      </c>
      <c r="AC95" s="24">
        <v>0.60441176470588243</v>
      </c>
      <c r="AD95" s="24">
        <v>0.57352941176470584</v>
      </c>
      <c r="AE95" s="24">
        <v>0.59264705882352942</v>
      </c>
      <c r="AF95" s="24">
        <v>0.70294117647058829</v>
      </c>
      <c r="AG95" s="24">
        <v>0.69558823529411773</v>
      </c>
      <c r="AH95" s="24">
        <v>0.7264705882352942</v>
      </c>
      <c r="AI95" s="24">
        <v>0.71029411764705885</v>
      </c>
      <c r="AJ95" s="24">
        <v>0.65294117647058836</v>
      </c>
      <c r="AK95" s="24">
        <v>0.75735294117647067</v>
      </c>
      <c r="AL95" s="24">
        <v>0.7838235294117647</v>
      </c>
      <c r="AM95" s="24">
        <v>0.58529411764705885</v>
      </c>
      <c r="AN95" s="24">
        <v>0.67500000000000004</v>
      </c>
    </row>
    <row r="96" spans="1:40" x14ac:dyDescent="0.3">
      <c r="A96" t="s">
        <v>187</v>
      </c>
      <c r="B96" s="24">
        <v>0.73281249999999998</v>
      </c>
      <c r="C96" s="24">
        <v>0.97941176470588243</v>
      </c>
      <c r="D96" s="24">
        <v>0.72499999999999998</v>
      </c>
      <c r="E96" s="24">
        <v>0.83088235294117652</v>
      </c>
      <c r="F96" s="24">
        <v>0.72148262548262554</v>
      </c>
      <c r="G96" s="24">
        <v>1.0720588235294117</v>
      </c>
      <c r="H96" s="24">
        <v>0.95147058823529407</v>
      </c>
      <c r="I96" s="24">
        <v>1.0779411764705882</v>
      </c>
      <c r="J96" s="24">
        <v>0.9882352941176471</v>
      </c>
      <c r="K96" s="24">
        <v>1.0294117647058825</v>
      </c>
      <c r="L96" s="24">
        <v>1.0735294117647058</v>
      </c>
      <c r="M96" s="24">
        <v>1.0617647058823529</v>
      </c>
      <c r="N96" s="24">
        <v>0.98676470588235299</v>
      </c>
      <c r="O96" s="24">
        <v>0.99558823529411766</v>
      </c>
      <c r="P96" s="24">
        <v>0.97647058823529409</v>
      </c>
      <c r="Q96" s="24">
        <v>0.85000000000000009</v>
      </c>
      <c r="R96" s="24">
        <v>0.99705882352941178</v>
      </c>
      <c r="S96" s="24">
        <v>1.0941176470588236</v>
      </c>
      <c r="T96" s="24">
        <v>0.96470588235294119</v>
      </c>
      <c r="U96" s="24">
        <v>1.0926470588235293</v>
      </c>
      <c r="V96" s="24">
        <v>0.98382352941176476</v>
      </c>
      <c r="W96" s="24">
        <v>0.73970588235294121</v>
      </c>
      <c r="X96" s="24">
        <v>0.73529411764705888</v>
      </c>
      <c r="Y96" s="24">
        <v>0.53235294117647058</v>
      </c>
      <c r="Z96" s="24">
        <v>0.78294550810014718</v>
      </c>
      <c r="AA96" s="24">
        <v>0.68970588235294128</v>
      </c>
      <c r="AB96" s="24">
        <v>0.63676470588235301</v>
      </c>
      <c r="AC96" s="24">
        <v>0.69411764705882351</v>
      </c>
      <c r="AD96" s="24">
        <v>0.65588235294117647</v>
      </c>
      <c r="AE96" s="24">
        <v>0.68970588235294128</v>
      </c>
      <c r="AF96" s="24">
        <v>0.81176470588235294</v>
      </c>
      <c r="AG96" s="24">
        <v>0.80882352941176472</v>
      </c>
      <c r="AH96" s="24">
        <v>0.85588235294117654</v>
      </c>
      <c r="AI96" s="24">
        <v>0.83382352941176474</v>
      </c>
      <c r="AJ96" s="24">
        <v>0.78088235294117647</v>
      </c>
      <c r="AK96" s="24">
        <v>0.82794117647058829</v>
      </c>
      <c r="AL96" s="24">
        <v>0.9</v>
      </c>
      <c r="AM96" s="24">
        <v>0.65735294117647058</v>
      </c>
      <c r="AN96" s="24">
        <v>0.76323529411764712</v>
      </c>
    </row>
    <row r="97" spans="1:40" x14ac:dyDescent="0.3">
      <c r="A97" t="s">
        <v>188</v>
      </c>
      <c r="B97" s="24">
        <v>0.88749999999999996</v>
      </c>
      <c r="C97" s="24">
        <v>0.95294117647058829</v>
      </c>
      <c r="D97" s="24">
        <v>0.83823529411764708</v>
      </c>
      <c r="E97" s="24">
        <v>0.86911764705882355</v>
      </c>
      <c r="F97" s="24">
        <v>0.78721235521235522</v>
      </c>
      <c r="G97" s="24">
        <v>1.0529411764705883</v>
      </c>
      <c r="H97" s="24">
        <v>0.9544117647058824</v>
      </c>
      <c r="I97" s="24">
        <v>1.0249999999999999</v>
      </c>
      <c r="J97" s="24">
        <v>0.96176470588235297</v>
      </c>
      <c r="K97" s="24">
        <v>0.98970588235294121</v>
      </c>
      <c r="L97" s="24">
        <v>1.0647058823529412</v>
      </c>
      <c r="M97" s="24">
        <v>1.0382352941176469</v>
      </c>
      <c r="N97" s="24">
        <v>0.97499999999999998</v>
      </c>
      <c r="O97" s="24">
        <v>0.98235294117647054</v>
      </c>
      <c r="P97" s="24">
        <v>0.9544117647058824</v>
      </c>
      <c r="Q97" s="24">
        <v>0.87205882352941178</v>
      </c>
      <c r="R97" s="24">
        <v>0.98382352941176476</v>
      </c>
      <c r="S97" s="24">
        <v>1.0470588235294118</v>
      </c>
      <c r="T97" s="24">
        <v>0.95147058823529407</v>
      </c>
      <c r="U97" s="24">
        <v>1.0558823529411765</v>
      </c>
      <c r="V97" s="24">
        <v>0.9426470588235295</v>
      </c>
      <c r="W97" s="24">
        <v>0.88235294117647056</v>
      </c>
      <c r="X97" s="24">
        <v>0.89264705882352946</v>
      </c>
      <c r="Y97" s="24">
        <v>0.69705882352941184</v>
      </c>
      <c r="Z97" s="24">
        <v>0.81075110456553789</v>
      </c>
      <c r="AA97" s="24">
        <v>0.83529411764705885</v>
      </c>
      <c r="AB97" s="24">
        <v>0.81176470588235294</v>
      </c>
      <c r="AC97" s="24">
        <v>0.75588235294117645</v>
      </c>
      <c r="AD97" s="24">
        <v>0.73970588235294121</v>
      </c>
      <c r="AE97" s="24">
        <v>0.80588235294117661</v>
      </c>
      <c r="AF97" s="24">
        <v>0.9088235294117647</v>
      </c>
      <c r="AG97" s="24">
        <v>0.91323529411764703</v>
      </c>
      <c r="AH97" s="24">
        <v>0.95588235294117652</v>
      </c>
      <c r="AI97" s="24">
        <v>0.94705882352941184</v>
      </c>
      <c r="AJ97" s="24">
        <v>0.90294117647058825</v>
      </c>
      <c r="AK97" s="24">
        <v>0.93676470588235294</v>
      </c>
      <c r="AL97" s="24">
        <v>0.9882352941176471</v>
      </c>
      <c r="AM97" s="24">
        <v>0.73382352941176476</v>
      </c>
      <c r="AN97" s="24">
        <v>0.89705882352941169</v>
      </c>
    </row>
    <row r="98" spans="1:40" x14ac:dyDescent="0.3">
      <c r="A98" t="s">
        <v>189</v>
      </c>
      <c r="B98" s="24">
        <v>1.0265625</v>
      </c>
      <c r="C98" s="24">
        <v>0.96029411764705885</v>
      </c>
      <c r="D98" s="24">
        <v>0.97352941176470598</v>
      </c>
      <c r="E98" s="24">
        <v>0.91323529411764703</v>
      </c>
      <c r="F98" s="24">
        <v>0.85306563706563721</v>
      </c>
      <c r="G98" s="24">
        <v>1.0676470588235294</v>
      </c>
      <c r="H98" s="24">
        <v>1.0029411764705882</v>
      </c>
      <c r="I98" s="24">
        <v>0.98382352941176476</v>
      </c>
      <c r="J98" s="24">
        <v>0.89117647058823524</v>
      </c>
      <c r="K98" s="24">
        <v>0.98970588235294121</v>
      </c>
      <c r="L98" s="24">
        <v>1.0573529411764706</v>
      </c>
      <c r="M98" s="24">
        <v>0.98529411764705888</v>
      </c>
      <c r="N98" s="24">
        <v>0.91176470588235303</v>
      </c>
      <c r="O98" s="24">
        <v>0.91617647058823537</v>
      </c>
      <c r="P98" s="24">
        <v>0.90735294117647058</v>
      </c>
      <c r="Q98" s="24">
        <v>0.95000000000000007</v>
      </c>
      <c r="R98" s="24">
        <v>0.94117647058823539</v>
      </c>
      <c r="S98" s="24">
        <v>0.97794117647058831</v>
      </c>
      <c r="T98" s="24">
        <v>1.0029411764705882</v>
      </c>
      <c r="U98" s="24">
        <v>1.0044117647058823</v>
      </c>
      <c r="V98" s="24">
        <v>0.90441176470588247</v>
      </c>
      <c r="W98" s="24">
        <v>0.91029411764705892</v>
      </c>
      <c r="X98" s="24">
        <v>1.0235294117647058</v>
      </c>
      <c r="Y98" s="24">
        <v>0.86617647058823521</v>
      </c>
      <c r="Z98" s="24">
        <v>0.85213549337260719</v>
      </c>
      <c r="AA98" s="24">
        <v>0.96617647058823541</v>
      </c>
      <c r="AB98" s="24">
        <v>0.98676470588235299</v>
      </c>
      <c r="AC98" s="24">
        <v>0.80441176470588238</v>
      </c>
      <c r="AD98" s="24">
        <v>0.80735294117647061</v>
      </c>
      <c r="AE98" s="24">
        <v>0.88529411764705879</v>
      </c>
      <c r="AF98" s="24">
        <v>0.95294117647058829</v>
      </c>
      <c r="AG98" s="24">
        <v>0.94705882352941184</v>
      </c>
      <c r="AH98" s="24">
        <v>0.98970588235294121</v>
      </c>
      <c r="AI98" s="24">
        <v>1.0176470588235293</v>
      </c>
      <c r="AJ98" s="24">
        <v>0.9882352941176471</v>
      </c>
      <c r="AK98" s="24">
        <v>1.0029411764705882</v>
      </c>
      <c r="AL98" s="24">
        <v>0.98235294117647054</v>
      </c>
      <c r="AM98" s="24">
        <v>0.76911764705882357</v>
      </c>
      <c r="AN98" s="24">
        <v>0.92205882352941171</v>
      </c>
    </row>
    <row r="99" spans="1:40" x14ac:dyDescent="0.3">
      <c r="A99" t="s">
        <v>190</v>
      </c>
      <c r="B99" s="24">
        <v>1.1359374999999998</v>
      </c>
      <c r="C99" s="24">
        <v>1.0485294117647059</v>
      </c>
      <c r="D99" s="24">
        <v>1.1279411764705882</v>
      </c>
      <c r="E99" s="24">
        <v>1.0161764705882352</v>
      </c>
      <c r="F99" s="24">
        <v>0.88191505791505798</v>
      </c>
      <c r="G99" s="24">
        <v>1.1279411764705882</v>
      </c>
      <c r="H99" s="24">
        <v>1.1014705882352942</v>
      </c>
      <c r="I99" s="24">
        <v>1.0352941176470589</v>
      </c>
      <c r="J99" s="24">
        <v>0.94852941176470595</v>
      </c>
      <c r="K99" s="24">
        <v>1.0794117647058823</v>
      </c>
      <c r="L99" s="24">
        <v>1.1191176470588236</v>
      </c>
      <c r="M99" s="24">
        <v>1.0161764705882352</v>
      </c>
      <c r="N99" s="24">
        <v>0.94705882352941184</v>
      </c>
      <c r="O99" s="24">
        <v>0.96029411764705885</v>
      </c>
      <c r="P99" s="24">
        <v>1.0147058823529413</v>
      </c>
      <c r="Q99" s="24">
        <v>1.0808823529411764</v>
      </c>
      <c r="R99" s="24">
        <v>0.96617647058823541</v>
      </c>
      <c r="S99" s="24">
        <v>0.95882352941176463</v>
      </c>
      <c r="T99" s="24">
        <v>1.1220588235294118</v>
      </c>
      <c r="U99" s="24">
        <v>1.0485294117647059</v>
      </c>
      <c r="V99" s="24">
        <v>0.93676470588235294</v>
      </c>
      <c r="W99" s="24">
        <v>0.99852941176470589</v>
      </c>
      <c r="X99" s="24">
        <v>1.1352941176470588</v>
      </c>
      <c r="Y99" s="24">
        <v>1.0161764705882352</v>
      </c>
      <c r="Z99" s="24">
        <v>0.87284241531664208</v>
      </c>
      <c r="AA99" s="24">
        <v>1.0691176470588235</v>
      </c>
      <c r="AB99" s="24">
        <v>1.1455882352941176</v>
      </c>
      <c r="AC99" s="24">
        <v>0.77647058823529413</v>
      </c>
      <c r="AD99" s="24">
        <v>0.87941176470588245</v>
      </c>
      <c r="AE99" s="24">
        <v>0.96176470588235297</v>
      </c>
      <c r="AF99" s="24">
        <v>0.94117647058823539</v>
      </c>
      <c r="AG99" s="24">
        <v>0.9205882352941176</v>
      </c>
      <c r="AH99" s="24">
        <v>0.96617647058823541</v>
      </c>
      <c r="AI99" s="24">
        <v>1.0176470588235293</v>
      </c>
      <c r="AJ99" s="24">
        <v>1.0176470588235293</v>
      </c>
      <c r="AK99" s="24">
        <v>1.0147058823529413</v>
      </c>
      <c r="AL99" s="24">
        <v>0.96764705882352942</v>
      </c>
      <c r="AM99" s="24">
        <v>0.8632352941176471</v>
      </c>
      <c r="AN99" s="24">
        <v>0.94117647058823539</v>
      </c>
    </row>
    <row r="100" spans="1:40" x14ac:dyDescent="0.3">
      <c r="A100" t="s">
        <v>191</v>
      </c>
      <c r="B100" s="24">
        <v>1.2140624999999998</v>
      </c>
      <c r="C100" s="24">
        <v>1.1220588235294118</v>
      </c>
      <c r="D100" s="24">
        <v>1.1955882352941178</v>
      </c>
      <c r="E100" s="24">
        <v>1.1132352941176471</v>
      </c>
      <c r="F100" s="24">
        <v>0.91150579150579158</v>
      </c>
      <c r="G100" s="24">
        <v>1.210294117647059</v>
      </c>
      <c r="H100" s="24">
        <v>1.1838235294117649</v>
      </c>
      <c r="I100" s="24">
        <v>1.0823529411764707</v>
      </c>
      <c r="J100" s="24">
        <v>0.98088235294117654</v>
      </c>
      <c r="K100" s="24">
        <v>1.1161764705882353</v>
      </c>
      <c r="L100" s="24">
        <v>1.1647058823529413</v>
      </c>
      <c r="M100" s="24">
        <v>1.0838235294117649</v>
      </c>
      <c r="N100" s="24">
        <v>0.99264705882352944</v>
      </c>
      <c r="O100" s="24">
        <v>0.99411764705882355</v>
      </c>
      <c r="P100" s="24">
        <v>1.0617647058823529</v>
      </c>
      <c r="Q100" s="24">
        <v>1.1588235294117648</v>
      </c>
      <c r="R100" s="24">
        <v>0.99705882352941178</v>
      </c>
      <c r="S100" s="24">
        <v>1.0249999999999999</v>
      </c>
      <c r="T100" s="24">
        <v>1.2014705882352941</v>
      </c>
      <c r="U100" s="24">
        <v>1.1014705882352942</v>
      </c>
      <c r="V100" s="24">
        <v>0.98529411764705888</v>
      </c>
      <c r="W100" s="24">
        <v>1.0220588235294119</v>
      </c>
      <c r="X100" s="24">
        <v>1.1544117647058822</v>
      </c>
      <c r="Y100" s="24">
        <v>1.0955882352941178</v>
      </c>
      <c r="Z100" s="24">
        <v>0.89958762886597987</v>
      </c>
      <c r="AA100" s="24">
        <v>1.1426470588235293</v>
      </c>
      <c r="AB100" s="24">
        <v>1.2426470588235294</v>
      </c>
      <c r="AC100" s="24">
        <v>0.85000000000000009</v>
      </c>
      <c r="AD100" s="24">
        <v>0.98529411764705888</v>
      </c>
      <c r="AE100" s="24">
        <v>0.98235294117647054</v>
      </c>
      <c r="AF100" s="24">
        <v>0.92205882352941171</v>
      </c>
      <c r="AG100" s="24">
        <v>0.85000000000000009</v>
      </c>
      <c r="AH100" s="24">
        <v>0.9426470588235295</v>
      </c>
      <c r="AI100" s="24">
        <v>1.0661764705882353</v>
      </c>
      <c r="AJ100" s="24">
        <v>1.0705882352941176</v>
      </c>
      <c r="AK100" s="24">
        <v>1.0529411764705883</v>
      </c>
      <c r="AL100" s="24">
        <v>0.99705882352941178</v>
      </c>
      <c r="AM100" s="24">
        <v>0.87941176470588245</v>
      </c>
      <c r="AN100" s="24">
        <v>0.95588235294117652</v>
      </c>
    </row>
    <row r="101" spans="1:40" x14ac:dyDescent="0.3">
      <c r="A101" t="s">
        <v>192</v>
      </c>
      <c r="B101" s="43">
        <f>AVERAGE(B89:B100)</f>
        <v>0.88229166666666659</v>
      </c>
      <c r="C101" s="43">
        <f t="shared" ref="C101:AN101" si="19">AVERAGE(C89:C100)</f>
        <v>0.96372549019607856</v>
      </c>
      <c r="D101" s="43">
        <f t="shared" si="19"/>
        <v>0.91666666666666663</v>
      </c>
      <c r="E101" s="43">
        <f t="shared" si="19"/>
        <v>0.90269607843137256</v>
      </c>
      <c r="F101" s="43">
        <v>0.81516602316602305</v>
      </c>
      <c r="G101" s="43">
        <f t="shared" si="19"/>
        <v>1.0486519607843139</v>
      </c>
      <c r="H101" s="43">
        <f t="shared" si="19"/>
        <v>0.98321078431372533</v>
      </c>
      <c r="I101" s="43">
        <f t="shared" si="19"/>
        <v>1.008578431372549</v>
      </c>
      <c r="J101" s="43">
        <f t="shared" si="19"/>
        <v>0.9289215686274509</v>
      </c>
      <c r="K101" s="43">
        <f t="shared" si="19"/>
        <v>0.9841911764705884</v>
      </c>
      <c r="L101" s="43">
        <f t="shared" si="19"/>
        <v>1.0417892156862745</v>
      </c>
      <c r="M101" s="43">
        <f t="shared" si="19"/>
        <v>1.0200980392156862</v>
      </c>
      <c r="N101" s="43">
        <f t="shared" si="19"/>
        <v>0.94534313725490193</v>
      </c>
      <c r="O101" s="43">
        <f t="shared" si="19"/>
        <v>0.94411764705882362</v>
      </c>
      <c r="P101" s="43">
        <f t="shared" si="19"/>
        <v>0.94840686274509833</v>
      </c>
      <c r="Q101" s="43">
        <f t="shared" si="19"/>
        <v>0.93664215686274499</v>
      </c>
      <c r="R101" s="43">
        <f t="shared" si="19"/>
        <v>0.95208333333333339</v>
      </c>
      <c r="S101" s="43">
        <f t="shared" si="19"/>
        <v>1.0031862745098039</v>
      </c>
      <c r="T101" s="43">
        <f t="shared" si="19"/>
        <v>0.98419117647058829</v>
      </c>
      <c r="U101" s="43">
        <f t="shared" si="19"/>
        <v>1.0245098039215688</v>
      </c>
      <c r="V101" s="43">
        <f t="shared" si="19"/>
        <v>0.93982843137254901</v>
      </c>
      <c r="W101" s="43">
        <f t="shared" si="19"/>
        <v>0.82524509803921564</v>
      </c>
      <c r="X101" s="43">
        <f t="shared" si="19"/>
        <v>0.86568627450980384</v>
      </c>
      <c r="Y101" s="43">
        <f t="shared" si="19"/>
        <v>0.73615196078431377</v>
      </c>
      <c r="Z101" s="43">
        <v>0.84792341678939642</v>
      </c>
      <c r="AA101" s="43">
        <f t="shared" si="19"/>
        <v>0.83039215686274515</v>
      </c>
      <c r="AB101" s="43">
        <f t="shared" si="19"/>
        <v>0.84607843137254901</v>
      </c>
      <c r="AC101" s="43">
        <f t="shared" si="19"/>
        <v>0.73394607843137261</v>
      </c>
      <c r="AD101" s="43">
        <f t="shared" si="19"/>
        <v>0.77524509803921582</v>
      </c>
      <c r="AE101" s="43">
        <f t="shared" si="19"/>
        <v>0.80036764705882346</v>
      </c>
      <c r="AF101" s="43">
        <f t="shared" si="19"/>
        <v>0.85061274509803919</v>
      </c>
      <c r="AG101" s="43">
        <f t="shared" si="19"/>
        <v>0.81936274509803908</v>
      </c>
      <c r="AH101" s="43">
        <f t="shared" si="19"/>
        <v>0.87218137254901962</v>
      </c>
      <c r="AI101" s="43">
        <f t="shared" si="19"/>
        <v>0.88860294117647065</v>
      </c>
      <c r="AJ101" s="43">
        <f t="shared" si="19"/>
        <v>0.86029411764705888</v>
      </c>
      <c r="AK101" s="43">
        <f t="shared" si="19"/>
        <v>0.90073529411764719</v>
      </c>
      <c r="AL101" s="43">
        <f t="shared" si="19"/>
        <v>0.89681372549019611</v>
      </c>
      <c r="AM101" s="43">
        <f t="shared" si="19"/>
        <v>0.73272058823529418</v>
      </c>
      <c r="AN101" s="43">
        <f t="shared" si="19"/>
        <v>0.82352941176470595</v>
      </c>
    </row>
    <row r="103" spans="1:40" x14ac:dyDescent="0.3">
      <c r="A103" t="s">
        <v>196</v>
      </c>
      <c r="B103">
        <f t="shared" ref="B103:B114" si="20">INDEX($B$88:$AN$100,C103,MATCH($V$29,$B$88:$AN$88,0))</f>
        <v>1.0117647058823529</v>
      </c>
      <c r="C103" s="52">
        <v>2</v>
      </c>
      <c r="D103" s="15" t="e">
        <f>IF($E$133=0,0,B103*$C$133)</f>
        <v>#N/A</v>
      </c>
    </row>
    <row r="104" spans="1:40" x14ac:dyDescent="0.3">
      <c r="A104" t="s">
        <v>197</v>
      </c>
      <c r="B104">
        <f t="shared" si="20"/>
        <v>0.92647058823529416</v>
      </c>
      <c r="C104" s="52">
        <v>3</v>
      </c>
      <c r="D104" s="15" t="e">
        <f t="shared" ref="D104:D114" si="21">IF($E$133=0,0,B104*$C$133)</f>
        <v>#N/A</v>
      </c>
    </row>
    <row r="105" spans="1:40" x14ac:dyDescent="0.3">
      <c r="A105" t="s">
        <v>198</v>
      </c>
      <c r="B105">
        <f t="shared" si="20"/>
        <v>0.82647058823529418</v>
      </c>
      <c r="C105" s="52">
        <v>4</v>
      </c>
      <c r="D105" s="15" t="e">
        <f t="shared" si="21"/>
        <v>#N/A</v>
      </c>
    </row>
    <row r="106" spans="1:40" x14ac:dyDescent="0.3">
      <c r="A106" t="s">
        <v>199</v>
      </c>
      <c r="B106">
        <f t="shared" si="20"/>
        <v>0.71176470588235297</v>
      </c>
      <c r="C106" s="52">
        <v>5</v>
      </c>
      <c r="D106" s="15" t="e">
        <f t="shared" si="21"/>
        <v>#N/A</v>
      </c>
    </row>
    <row r="107" spans="1:40" x14ac:dyDescent="0.3">
      <c r="A107" t="s">
        <v>184</v>
      </c>
      <c r="B107">
        <f t="shared" si="20"/>
        <v>0.64558823529411757</v>
      </c>
      <c r="C107" s="52">
        <v>6</v>
      </c>
      <c r="D107" s="15" t="e">
        <f t="shared" si="21"/>
        <v>#N/A</v>
      </c>
    </row>
    <row r="108" spans="1:40" x14ac:dyDescent="0.3">
      <c r="A108" t="s">
        <v>200</v>
      </c>
      <c r="B108">
        <f t="shared" si="20"/>
        <v>0.58970588235294119</v>
      </c>
      <c r="C108" s="52">
        <v>7</v>
      </c>
      <c r="D108" s="15" t="e">
        <f t="shared" si="21"/>
        <v>#N/A</v>
      </c>
    </row>
    <row r="109" spans="1:40" x14ac:dyDescent="0.3">
      <c r="A109" t="s">
        <v>201</v>
      </c>
      <c r="B109">
        <f t="shared" si="20"/>
        <v>0.63823529411764701</v>
      </c>
      <c r="C109" s="52">
        <v>8</v>
      </c>
      <c r="D109" s="15" t="e">
        <f t="shared" si="21"/>
        <v>#N/A</v>
      </c>
    </row>
    <row r="110" spans="1:40" x14ac:dyDescent="0.3">
      <c r="A110" t="s">
        <v>202</v>
      </c>
      <c r="B110">
        <f t="shared" si="20"/>
        <v>0.73970588235294121</v>
      </c>
      <c r="C110" s="52">
        <v>9</v>
      </c>
      <c r="D110" s="15" t="e">
        <f t="shared" si="21"/>
        <v>#N/A</v>
      </c>
    </row>
    <row r="111" spans="1:40" x14ac:dyDescent="0.3">
      <c r="A111" t="s">
        <v>203</v>
      </c>
      <c r="B111">
        <f t="shared" si="20"/>
        <v>0.88235294117647056</v>
      </c>
      <c r="C111" s="52">
        <v>10</v>
      </c>
      <c r="D111" s="15" t="e">
        <f t="shared" si="21"/>
        <v>#N/A</v>
      </c>
    </row>
    <row r="112" spans="1:40" x14ac:dyDescent="0.3">
      <c r="A112" t="s">
        <v>204</v>
      </c>
      <c r="B112">
        <f t="shared" si="20"/>
        <v>0.91029411764705892</v>
      </c>
      <c r="C112" s="52">
        <v>11</v>
      </c>
      <c r="D112" s="15" t="e">
        <f t="shared" si="21"/>
        <v>#N/A</v>
      </c>
    </row>
    <row r="113" spans="1:4" x14ac:dyDescent="0.3">
      <c r="A113" t="s">
        <v>205</v>
      </c>
      <c r="B113">
        <f t="shared" si="20"/>
        <v>0.99852941176470589</v>
      </c>
      <c r="C113" s="52">
        <v>12</v>
      </c>
      <c r="D113" s="15" t="e">
        <f t="shared" si="21"/>
        <v>#N/A</v>
      </c>
    </row>
    <row r="114" spans="1:4" x14ac:dyDescent="0.3">
      <c r="A114" t="s">
        <v>206</v>
      </c>
      <c r="B114">
        <f t="shared" si="20"/>
        <v>1.0220588235294119</v>
      </c>
      <c r="C114" s="52">
        <v>13</v>
      </c>
      <c r="D114" s="15" t="e">
        <f t="shared" si="21"/>
        <v>#N/A</v>
      </c>
    </row>
    <row r="117" spans="1:4" x14ac:dyDescent="0.3">
      <c r="A117" s="32" t="s">
        <v>193</v>
      </c>
    </row>
    <row r="118" spans="1:4" x14ac:dyDescent="0.3">
      <c r="A118" s="51">
        <v>0.29166666666666669</v>
      </c>
      <c r="B118" s="3" t="e">
        <f>E33</f>
        <v>#N/A</v>
      </c>
      <c r="C118" s="44" t="e">
        <f t="shared" ref="C118:C130" si="22">J33</f>
        <v>#N/A</v>
      </c>
    </row>
    <row r="119" spans="1:4" x14ac:dyDescent="0.3">
      <c r="A119" s="51">
        <v>0.33333333333333298</v>
      </c>
      <c r="B119" s="3" t="e">
        <f t="shared" ref="B119:B130" si="23">E34</f>
        <v>#N/A</v>
      </c>
      <c r="C119" s="44" t="e">
        <f t="shared" si="22"/>
        <v>#N/A</v>
      </c>
    </row>
    <row r="120" spans="1:4" x14ac:dyDescent="0.3">
      <c r="A120" s="51">
        <v>0.375</v>
      </c>
      <c r="B120" s="3" t="e">
        <f t="shared" si="23"/>
        <v>#N/A</v>
      </c>
      <c r="C120" s="44" t="e">
        <f t="shared" si="22"/>
        <v>#N/A</v>
      </c>
    </row>
    <row r="121" spans="1:4" x14ac:dyDescent="0.3">
      <c r="A121" s="51">
        <v>0.41666666666666702</v>
      </c>
      <c r="B121" s="3" t="e">
        <f t="shared" si="23"/>
        <v>#N/A</v>
      </c>
      <c r="C121" s="44" t="e">
        <f t="shared" si="22"/>
        <v>#N/A</v>
      </c>
    </row>
    <row r="122" spans="1:4" x14ac:dyDescent="0.3">
      <c r="A122" s="51">
        <v>0.45833333333333298</v>
      </c>
      <c r="B122" s="3" t="e">
        <f t="shared" si="23"/>
        <v>#N/A</v>
      </c>
      <c r="C122" s="44" t="e">
        <f t="shared" si="22"/>
        <v>#N/A</v>
      </c>
    </row>
    <row r="123" spans="1:4" x14ac:dyDescent="0.3">
      <c r="A123" s="51">
        <v>0.5</v>
      </c>
      <c r="B123" s="3" t="e">
        <f t="shared" si="23"/>
        <v>#N/A</v>
      </c>
      <c r="C123" s="44" t="e">
        <f t="shared" si="22"/>
        <v>#N/A</v>
      </c>
    </row>
    <row r="124" spans="1:4" x14ac:dyDescent="0.3">
      <c r="A124" s="51">
        <v>0.54166666666666696</v>
      </c>
      <c r="B124" s="3" t="e">
        <f t="shared" si="23"/>
        <v>#N/A</v>
      </c>
      <c r="C124" s="44" t="e">
        <f t="shared" si="22"/>
        <v>#N/A</v>
      </c>
    </row>
    <row r="125" spans="1:4" x14ac:dyDescent="0.3">
      <c r="A125" s="51">
        <v>0.58333333333333304</v>
      </c>
      <c r="B125" s="3" t="e">
        <f t="shared" si="23"/>
        <v>#N/A</v>
      </c>
      <c r="C125" s="44" t="e">
        <f t="shared" si="22"/>
        <v>#N/A</v>
      </c>
    </row>
    <row r="126" spans="1:4" x14ac:dyDescent="0.3">
      <c r="A126" s="51">
        <v>0.625</v>
      </c>
      <c r="B126" s="3" t="e">
        <f t="shared" si="23"/>
        <v>#N/A</v>
      </c>
      <c r="C126" s="44" t="e">
        <f t="shared" si="22"/>
        <v>#N/A</v>
      </c>
    </row>
    <row r="127" spans="1:4" x14ac:dyDescent="0.3">
      <c r="A127" s="51">
        <v>0.66666666666666696</v>
      </c>
      <c r="B127" s="3" t="e">
        <f t="shared" si="23"/>
        <v>#N/A</v>
      </c>
      <c r="C127" s="44" t="e">
        <f t="shared" si="22"/>
        <v>#N/A</v>
      </c>
    </row>
    <row r="128" spans="1:4" x14ac:dyDescent="0.3">
      <c r="A128" s="51">
        <v>0.70833333333333304</v>
      </c>
      <c r="B128" s="3" t="e">
        <f t="shared" si="23"/>
        <v>#N/A</v>
      </c>
      <c r="C128" s="44" t="e">
        <f t="shared" si="22"/>
        <v>#N/A</v>
      </c>
    </row>
    <row r="129" spans="1:5" x14ac:dyDescent="0.3">
      <c r="A129" s="51">
        <v>0.75</v>
      </c>
      <c r="B129" s="3" t="e">
        <f t="shared" si="23"/>
        <v>#N/A</v>
      </c>
      <c r="C129" s="44" t="e">
        <f t="shared" si="22"/>
        <v>#N/A</v>
      </c>
    </row>
    <row r="130" spans="1:5" x14ac:dyDescent="0.3">
      <c r="A130" s="51">
        <v>0.79166666666666696</v>
      </c>
      <c r="B130" s="3" t="e">
        <f t="shared" si="23"/>
        <v>#N/A</v>
      </c>
      <c r="C130" s="44" t="e">
        <f t="shared" si="22"/>
        <v>#N/A</v>
      </c>
    </row>
    <row r="131" spans="1:5" ht="15" thickBot="1" x14ac:dyDescent="0.35">
      <c r="A131" s="43"/>
      <c r="B131" s="43"/>
    </row>
    <row r="132" spans="1:5" x14ac:dyDescent="0.3">
      <c r="A132" s="43"/>
      <c r="C132" s="45" t="s">
        <v>194</v>
      </c>
      <c r="D132" s="46" t="s">
        <v>195</v>
      </c>
      <c r="E132" s="47"/>
    </row>
    <row r="133" spans="1:5" ht="15" thickBot="1" x14ac:dyDescent="0.35">
      <c r="C133" s="48" t="e">
        <f>SUM(C118:C130)</f>
        <v>#N/A</v>
      </c>
      <c r="D133" s="49">
        <f>INDEX(B88:AN101,14,MATCH(V29,B88:AN88,0))</f>
        <v>0.82524509803921564</v>
      </c>
      <c r="E133" s="50" t="e">
        <f>C133*D133</f>
        <v>#N/A</v>
      </c>
    </row>
  </sheetData>
  <mergeCells count="14">
    <mergeCell ref="P72:Q72"/>
    <mergeCell ref="P66:V66"/>
    <mergeCell ref="P67:Q67"/>
    <mergeCell ref="P68:Q68"/>
    <mergeCell ref="P69:Q69"/>
    <mergeCell ref="P71:Q71"/>
    <mergeCell ref="P84:Q84"/>
    <mergeCell ref="P85:Q85"/>
    <mergeCell ref="P73:Q73"/>
    <mergeCell ref="P75:Q75"/>
    <mergeCell ref="P78:V78"/>
    <mergeCell ref="P80:Q80"/>
    <mergeCell ref="P81:Q81"/>
    <mergeCell ref="P83:Q83"/>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BDE1F-F757-4492-B5E5-6353670C4919}">
  <dimension ref="A1:AI65"/>
  <sheetViews>
    <sheetView tabSelected="1" topLeftCell="H26" zoomScale="130" zoomScaleNormal="130" workbookViewId="0">
      <selection activeCell="M26" sqref="M26"/>
    </sheetView>
  </sheetViews>
  <sheetFormatPr defaultRowHeight="14.4" x14ac:dyDescent="0.3"/>
  <cols>
    <col min="1" max="1" width="10.88671875" bestFit="1" customWidth="1"/>
    <col min="2" max="2" width="11" bestFit="1" customWidth="1"/>
    <col min="3" max="4" width="12" bestFit="1" customWidth="1"/>
    <col min="5" max="5" width="10" bestFit="1" customWidth="1"/>
    <col min="6" max="6" width="17.33203125" customWidth="1"/>
    <col min="7" max="7" width="20.88671875" customWidth="1"/>
    <col min="8" max="12" width="12" bestFit="1" customWidth="1"/>
    <col min="13" max="14" width="11" bestFit="1" customWidth="1"/>
    <col min="30" max="30" width="12.5546875" bestFit="1" customWidth="1"/>
    <col min="31" max="31" width="10.109375" bestFit="1" customWidth="1"/>
    <col min="32" max="32" width="11.88671875" bestFit="1" customWidth="1"/>
    <col min="33" max="33" width="10.109375" bestFit="1" customWidth="1"/>
    <col min="34" max="34" width="12.33203125" bestFit="1" customWidth="1"/>
    <col min="35" max="35" width="13.33203125" bestFit="1" customWidth="1"/>
  </cols>
  <sheetData>
    <row r="1" spans="1:35" x14ac:dyDescent="0.3">
      <c r="A1" s="91" t="s">
        <v>236</v>
      </c>
      <c r="B1" s="91"/>
      <c r="C1" s="91"/>
      <c r="D1" s="91"/>
      <c r="E1" s="91"/>
      <c r="F1" s="91"/>
      <c r="G1" s="91"/>
    </row>
    <row r="2" spans="1:35" x14ac:dyDescent="0.3">
      <c r="A2" s="91"/>
      <c r="B2" s="199" t="s">
        <v>316</v>
      </c>
      <c r="C2" s="200"/>
      <c r="D2" s="144" t="s">
        <v>304</v>
      </c>
      <c r="E2" s="91"/>
      <c r="F2" s="91"/>
      <c r="G2" s="91"/>
      <c r="AC2" s="59" t="s">
        <v>245</v>
      </c>
    </row>
    <row r="3" spans="1:35" x14ac:dyDescent="0.3">
      <c r="A3" s="32" t="s">
        <v>228</v>
      </c>
      <c r="B3" s="32" t="s">
        <v>231</v>
      </c>
      <c r="C3" t="s">
        <v>232</v>
      </c>
      <c r="D3" s="143" t="s">
        <v>230</v>
      </c>
      <c r="E3" t="s">
        <v>235</v>
      </c>
      <c r="F3" t="s">
        <v>297</v>
      </c>
      <c r="G3" t="s">
        <v>239</v>
      </c>
      <c r="H3" t="s">
        <v>240</v>
      </c>
      <c r="I3" s="56" t="s">
        <v>6</v>
      </c>
      <c r="J3" t="s">
        <v>241</v>
      </c>
      <c r="K3" s="154" t="s">
        <v>343</v>
      </c>
      <c r="L3" t="s">
        <v>292</v>
      </c>
      <c r="M3" t="s">
        <v>291</v>
      </c>
      <c r="AC3" t="s">
        <v>246</v>
      </c>
    </row>
    <row r="4" spans="1:35" x14ac:dyDescent="0.3">
      <c r="A4" s="32" t="s">
        <v>196</v>
      </c>
      <c r="B4" s="32">
        <f>IF(Input!C60&lt;=0,0,Input!C60)</f>
        <v>3500</v>
      </c>
      <c r="C4" s="55">
        <f>IF(B4&gt;0,0,$B$19)</f>
        <v>0</v>
      </c>
      <c r="D4" s="32">
        <f>IFERROR(C4+B4,B4)*$B$22</f>
        <v>9100</v>
      </c>
      <c r="E4">
        <v>31</v>
      </c>
      <c r="F4">
        <f>D4/E4/$B$22</f>
        <v>112.90322580645162</v>
      </c>
      <c r="G4">
        <f>F4/$B$21</f>
        <v>7.5268817204301079</v>
      </c>
      <c r="H4" s="54">
        <f>'Veichi Tech'!B103</f>
        <v>1.0117647058823529</v>
      </c>
      <c r="I4" s="56">
        <v>0.25</v>
      </c>
      <c r="J4">
        <f>L43</f>
        <v>5.6657719999999987</v>
      </c>
      <c r="K4">
        <f>H4*J4</f>
        <v>5.7324281411764693</v>
      </c>
      <c r="L4">
        <f>IF(K4*$B$22*E4*$B$21&gt;D4,D4,K4*$B$22*E4*$B$21)*(1-$B$24)</f>
        <v>5544.404498145881</v>
      </c>
      <c r="M4">
        <f>H4*$X$43*$B$22*$B$21*E4</f>
        <v>6930.5056226823508</v>
      </c>
      <c r="AC4" t="s">
        <v>283</v>
      </c>
      <c r="AF4" s="54">
        <f>Input!C73</f>
        <v>0.27</v>
      </c>
    </row>
    <row r="5" spans="1:35" x14ac:dyDescent="0.3">
      <c r="A5" s="32" t="s">
        <v>197</v>
      </c>
      <c r="B5" s="32">
        <f>Input!C61</f>
        <v>6000</v>
      </c>
      <c r="C5" s="55">
        <f t="shared" ref="C5:C15" si="0">IF(B5&gt;0,0,$B$19)</f>
        <v>0</v>
      </c>
      <c r="D5" s="32">
        <f t="shared" ref="D5:D14" si="1">IFERROR(C5+B5,B5)*$B$22</f>
        <v>15600</v>
      </c>
      <c r="E5">
        <v>28</v>
      </c>
      <c r="F5">
        <f t="shared" ref="F5:F15" si="2">D5/E5/$B$22</f>
        <v>214.28571428571428</v>
      </c>
      <c r="G5">
        <f t="shared" ref="G5:G15" si="3">F5/$B$21</f>
        <v>14.285714285714285</v>
      </c>
      <c r="H5" s="54">
        <f>'Veichi Tech'!B104</f>
        <v>0.92647058823529416</v>
      </c>
      <c r="I5" s="56">
        <v>0.29166666666666669</v>
      </c>
      <c r="J5">
        <f>M43</f>
        <v>5.6657719999999987</v>
      </c>
      <c r="K5">
        <f t="shared" ref="K5:K15" si="4">H5*J5</f>
        <v>5.2491711176470579</v>
      </c>
      <c r="L5">
        <f t="shared" ref="L5:L14" si="5">IF(K5*$B$22*E5*$B$21&gt;D5,D5,K5*$B$22*E5*$B$21)*(1-$B$24)</f>
        <v>4585.6758883764696</v>
      </c>
      <c r="M5">
        <f t="shared" ref="M5:M15" si="6">H5*$X$43*$B$22*$B$21*E5</f>
        <v>5732.0948604705873</v>
      </c>
      <c r="AC5" t="s">
        <v>247</v>
      </c>
      <c r="AF5">
        <f>Input!C74</f>
        <v>180000</v>
      </c>
    </row>
    <row r="6" spans="1:35" x14ac:dyDescent="0.3">
      <c r="A6" s="32" t="s">
        <v>198</v>
      </c>
      <c r="B6" s="32">
        <f>Input!C62</f>
        <v>2000</v>
      </c>
      <c r="C6" s="55">
        <f t="shared" si="0"/>
        <v>0</v>
      </c>
      <c r="D6" s="32">
        <f t="shared" si="1"/>
        <v>5200</v>
      </c>
      <c r="E6">
        <v>31</v>
      </c>
      <c r="F6">
        <f t="shared" si="2"/>
        <v>64.516129032258064</v>
      </c>
      <c r="G6">
        <f t="shared" si="3"/>
        <v>4.301075268817204</v>
      </c>
      <c r="H6" s="54">
        <f>'Veichi Tech'!B105</f>
        <v>0.82647058823529418</v>
      </c>
      <c r="I6" s="56">
        <v>0.33333333333333331</v>
      </c>
      <c r="J6">
        <f>N43</f>
        <v>3.9305165591397841</v>
      </c>
      <c r="K6">
        <f t="shared" si="4"/>
        <v>3.248456332700822</v>
      </c>
      <c r="L6">
        <f t="shared" si="5"/>
        <v>3141.9069649882354</v>
      </c>
      <c r="M6">
        <f t="shared" si="6"/>
        <v>5661.2560464352928</v>
      </c>
      <c r="AC6" t="s">
        <v>248</v>
      </c>
      <c r="AF6">
        <f>Input!C75</f>
        <v>0.1</v>
      </c>
    </row>
    <row r="7" spans="1:35" x14ac:dyDescent="0.3">
      <c r="A7" s="32" t="s">
        <v>199</v>
      </c>
      <c r="B7" s="32">
        <f>Input!C63</f>
        <v>1000</v>
      </c>
      <c r="C7" s="55">
        <f t="shared" si="0"/>
        <v>0</v>
      </c>
      <c r="D7" s="32">
        <f t="shared" si="1"/>
        <v>2600</v>
      </c>
      <c r="E7">
        <v>30</v>
      </c>
      <c r="F7">
        <f t="shared" si="2"/>
        <v>33.333333333333336</v>
      </c>
      <c r="G7">
        <f t="shared" si="3"/>
        <v>2.2222222222222223</v>
      </c>
      <c r="H7" s="54">
        <f>'Veichi Tech'!B106</f>
        <v>0.71176470588235297</v>
      </c>
      <c r="I7" s="56">
        <v>0.375</v>
      </c>
      <c r="J7">
        <f>O43</f>
        <v>2.1372928888888887</v>
      </c>
      <c r="K7">
        <f t="shared" si="4"/>
        <v>1.5212496444444443</v>
      </c>
      <c r="L7">
        <f t="shared" si="5"/>
        <v>1423.8896672000001</v>
      </c>
      <c r="M7">
        <f t="shared" si="6"/>
        <v>4718.2549531764689</v>
      </c>
      <c r="AC7" t="s">
        <v>249</v>
      </c>
      <c r="AF7">
        <f>Input!C76</f>
        <v>10</v>
      </c>
      <c r="AH7" s="90"/>
    </row>
    <row r="8" spans="1:35" x14ac:dyDescent="0.3">
      <c r="A8" s="32" t="s">
        <v>184</v>
      </c>
      <c r="B8" s="32">
        <f>Input!C64</f>
        <v>0</v>
      </c>
      <c r="C8" s="55">
        <f t="shared" si="0"/>
        <v>3639.090909090909</v>
      </c>
      <c r="D8" s="32">
        <f t="shared" si="1"/>
        <v>9461.636363636364</v>
      </c>
      <c r="E8">
        <v>31</v>
      </c>
      <c r="F8">
        <f t="shared" si="2"/>
        <v>117.39002932551321</v>
      </c>
      <c r="G8">
        <f t="shared" si="3"/>
        <v>7.8260019550342141</v>
      </c>
      <c r="H8" s="54">
        <f>'Veichi Tech'!B107</f>
        <v>0.64558823529411757</v>
      </c>
      <c r="I8" s="56">
        <v>0.41666666666666669</v>
      </c>
      <c r="J8">
        <f>P43</f>
        <v>5.6657719999999987</v>
      </c>
      <c r="K8">
        <f t="shared" si="4"/>
        <v>3.6577557470588222</v>
      </c>
      <c r="L8">
        <f t="shared" si="5"/>
        <v>3537.7813585552926</v>
      </c>
      <c r="M8">
        <f t="shared" si="6"/>
        <v>4422.2266981941166</v>
      </c>
      <c r="AC8" t="s">
        <v>250</v>
      </c>
      <c r="AF8" s="54">
        <f>Input!C77</f>
        <v>0.12</v>
      </c>
    </row>
    <row r="9" spans="1:35" x14ac:dyDescent="0.3">
      <c r="A9" s="32" t="s">
        <v>200</v>
      </c>
      <c r="B9" s="32">
        <f>Input!C65</f>
        <v>100</v>
      </c>
      <c r="C9" s="55">
        <f t="shared" si="0"/>
        <v>0</v>
      </c>
      <c r="D9" s="32">
        <f t="shared" si="1"/>
        <v>260</v>
      </c>
      <c r="E9">
        <v>30</v>
      </c>
      <c r="F9">
        <f t="shared" si="2"/>
        <v>3.333333333333333</v>
      </c>
      <c r="G9">
        <f t="shared" si="3"/>
        <v>0.22222222222222221</v>
      </c>
      <c r="H9" s="54">
        <f>'Veichi Tech'!B108</f>
        <v>0.58970588235294119</v>
      </c>
      <c r="I9" s="56">
        <v>0.45833333333333331</v>
      </c>
      <c r="J9">
        <f>Q43</f>
        <v>0.21777777777777776</v>
      </c>
      <c r="K9">
        <f t="shared" si="4"/>
        <v>0.12842483660130719</v>
      </c>
      <c r="L9">
        <f t="shared" si="5"/>
        <v>120.20564705882353</v>
      </c>
      <c r="M9">
        <f t="shared" si="6"/>
        <v>3909.1327194705873</v>
      </c>
      <c r="AC9" t="s">
        <v>251</v>
      </c>
      <c r="AF9" s="54">
        <f>Input!C78</f>
        <v>0.14000000000000001</v>
      </c>
    </row>
    <row r="10" spans="1:35" x14ac:dyDescent="0.3">
      <c r="A10" s="32" t="s">
        <v>201</v>
      </c>
      <c r="B10" s="32">
        <f>Input!C66</f>
        <v>930</v>
      </c>
      <c r="C10" s="55">
        <f t="shared" si="0"/>
        <v>0</v>
      </c>
      <c r="D10" s="32">
        <f t="shared" si="1"/>
        <v>2418</v>
      </c>
      <c r="E10">
        <v>31</v>
      </c>
      <c r="F10">
        <f t="shared" si="2"/>
        <v>30</v>
      </c>
      <c r="G10">
        <f t="shared" si="3"/>
        <v>2</v>
      </c>
      <c r="H10" s="54">
        <f>'Veichi Tech'!B109</f>
        <v>0.63823529411764701</v>
      </c>
      <c r="I10" s="56">
        <v>0.5</v>
      </c>
      <c r="J10">
        <f>Q43</f>
        <v>0.21777777777777776</v>
      </c>
      <c r="K10">
        <f t="shared" si="4"/>
        <v>0.13899346405228757</v>
      </c>
      <c r="L10">
        <f t="shared" si="5"/>
        <v>134.43447843137255</v>
      </c>
      <c r="M10">
        <f t="shared" si="6"/>
        <v>4371.8596515176459</v>
      </c>
      <c r="AC10" t="s">
        <v>252</v>
      </c>
      <c r="AF10" s="54">
        <f>Input!C79</f>
        <v>0.08</v>
      </c>
      <c r="AH10" s="89"/>
    </row>
    <row r="11" spans="1:35" x14ac:dyDescent="0.3">
      <c r="A11" s="32" t="s">
        <v>202</v>
      </c>
      <c r="B11" s="32">
        <f>Input!C67</f>
        <v>1500</v>
      </c>
      <c r="C11" s="55">
        <f t="shared" si="0"/>
        <v>0</v>
      </c>
      <c r="D11" s="32">
        <f t="shared" si="1"/>
        <v>3900</v>
      </c>
      <c r="E11">
        <v>31</v>
      </c>
      <c r="F11">
        <f t="shared" si="2"/>
        <v>48.387096774193552</v>
      </c>
      <c r="G11">
        <f t="shared" si="3"/>
        <v>3.2258064516129035</v>
      </c>
      <c r="H11" s="54">
        <f>'Veichi Tech'!B110</f>
        <v>0.73970588235294121</v>
      </c>
      <c r="I11" s="56">
        <v>0.54166666666666663</v>
      </c>
      <c r="J11">
        <f>S43</f>
        <v>3.0571574193548385</v>
      </c>
      <c r="K11">
        <f t="shared" si="4"/>
        <v>2.2613973263757114</v>
      </c>
      <c r="L11">
        <f t="shared" si="5"/>
        <v>2187.2234940705885</v>
      </c>
      <c r="M11">
        <f t="shared" si="6"/>
        <v>5066.92489565294</v>
      </c>
    </row>
    <row r="12" spans="1:35" ht="15.6" x14ac:dyDescent="0.3">
      <c r="A12" s="32" t="s">
        <v>203</v>
      </c>
      <c r="B12" s="32">
        <f>Input!C68</f>
        <v>5000</v>
      </c>
      <c r="C12" s="55">
        <f t="shared" si="0"/>
        <v>0</v>
      </c>
      <c r="D12" s="32">
        <f t="shared" si="1"/>
        <v>13000</v>
      </c>
      <c r="E12">
        <v>30</v>
      </c>
      <c r="F12">
        <f t="shared" si="2"/>
        <v>166.66666666666666</v>
      </c>
      <c r="G12">
        <f t="shared" si="3"/>
        <v>11.111111111111111</v>
      </c>
      <c r="H12" s="54">
        <f>'Veichi Tech'!B111</f>
        <v>0.88235294117647056</v>
      </c>
      <c r="I12" s="56">
        <v>0.58333333333333337</v>
      </c>
      <c r="J12">
        <f>T43</f>
        <v>5.6657719999999987</v>
      </c>
      <c r="K12">
        <f t="shared" si="4"/>
        <v>4.9992105882352931</v>
      </c>
      <c r="L12">
        <f t="shared" si="5"/>
        <v>4679.2611105882343</v>
      </c>
      <c r="M12">
        <f t="shared" si="6"/>
        <v>5849.0763882352931</v>
      </c>
      <c r="AC12" s="205" t="s">
        <v>253</v>
      </c>
      <c r="AD12" s="205"/>
      <c r="AE12" s="205"/>
      <c r="AF12" s="205"/>
      <c r="AG12" s="205"/>
      <c r="AH12" s="205"/>
      <c r="AI12" s="205"/>
    </row>
    <row r="13" spans="1:35" x14ac:dyDescent="0.3">
      <c r="A13" s="32" t="s">
        <v>204</v>
      </c>
      <c r="B13" s="32">
        <f>Input!C69</f>
        <v>5500</v>
      </c>
      <c r="C13" s="55">
        <f t="shared" si="0"/>
        <v>0</v>
      </c>
      <c r="D13" s="32">
        <f t="shared" si="1"/>
        <v>14300</v>
      </c>
      <c r="E13">
        <v>31</v>
      </c>
      <c r="F13">
        <f t="shared" si="2"/>
        <v>177.41935483870967</v>
      </c>
      <c r="G13">
        <f t="shared" si="3"/>
        <v>11.82795698924731</v>
      </c>
      <c r="H13" s="54">
        <f>'Veichi Tech'!B112</f>
        <v>0.91029411764705892</v>
      </c>
      <c r="I13" s="56">
        <v>0.625</v>
      </c>
      <c r="J13">
        <f>U43</f>
        <v>5.6657719999999987</v>
      </c>
      <c r="K13">
        <f t="shared" si="4"/>
        <v>5.1575189235294108</v>
      </c>
      <c r="L13">
        <f t="shared" si="5"/>
        <v>4988.3523028376467</v>
      </c>
      <c r="M13">
        <f t="shared" si="6"/>
        <v>6235.4403785470577</v>
      </c>
      <c r="AC13" s="87" t="s">
        <v>254</v>
      </c>
      <c r="AD13" s="87" t="s">
        <v>255</v>
      </c>
      <c r="AE13" s="87" t="s">
        <v>256</v>
      </c>
      <c r="AF13" s="87" t="s">
        <v>257</v>
      </c>
      <c r="AG13" s="87" t="s">
        <v>258</v>
      </c>
      <c r="AH13" s="87" t="s">
        <v>259</v>
      </c>
      <c r="AI13" s="87" t="s">
        <v>293</v>
      </c>
    </row>
    <row r="14" spans="1:35" x14ac:dyDescent="0.3">
      <c r="A14" s="32" t="s">
        <v>205</v>
      </c>
      <c r="B14" s="32">
        <f>Input!C70</f>
        <v>6500</v>
      </c>
      <c r="C14" s="55">
        <f t="shared" si="0"/>
        <v>0</v>
      </c>
      <c r="D14" s="32">
        <f t="shared" si="1"/>
        <v>16900</v>
      </c>
      <c r="E14">
        <v>30</v>
      </c>
      <c r="F14">
        <f t="shared" si="2"/>
        <v>216.66666666666669</v>
      </c>
      <c r="G14">
        <f t="shared" si="3"/>
        <v>14.444444444444446</v>
      </c>
      <c r="H14" s="54">
        <f>'Veichi Tech'!B113</f>
        <v>0.99852941176470589</v>
      </c>
      <c r="I14" s="56">
        <v>0.66666666666666663</v>
      </c>
      <c r="J14">
        <f>V43</f>
        <v>5.6657719999999987</v>
      </c>
      <c r="K14">
        <f t="shared" si="4"/>
        <v>5.6574399823529395</v>
      </c>
      <c r="L14">
        <f t="shared" si="5"/>
        <v>5295.363823482352</v>
      </c>
      <c r="M14">
        <f t="shared" si="6"/>
        <v>6619.2047793529391</v>
      </c>
      <c r="AC14" s="87"/>
      <c r="AD14" s="87" t="s">
        <v>261</v>
      </c>
      <c r="AE14" s="87" t="s">
        <v>262</v>
      </c>
      <c r="AF14" s="87" t="s">
        <v>262</v>
      </c>
      <c r="AG14" s="87" t="s">
        <v>263</v>
      </c>
      <c r="AH14" s="87" t="s">
        <v>264</v>
      </c>
      <c r="AI14" s="87" t="s">
        <v>264</v>
      </c>
    </row>
    <row r="15" spans="1:35" x14ac:dyDescent="0.3">
      <c r="A15" s="32" t="s">
        <v>206</v>
      </c>
      <c r="B15" s="32">
        <f>Input!C71</f>
        <v>8000</v>
      </c>
      <c r="C15" s="55">
        <f t="shared" si="0"/>
        <v>0</v>
      </c>
      <c r="D15" s="32">
        <f>IFERROR(C15+B15,B15)*$B$22</f>
        <v>20800</v>
      </c>
      <c r="E15">
        <v>31</v>
      </c>
      <c r="F15">
        <f t="shared" si="2"/>
        <v>258.06451612903226</v>
      </c>
      <c r="G15">
        <f t="shared" si="3"/>
        <v>17.204301075268816</v>
      </c>
      <c r="H15" s="54">
        <f>'Veichi Tech'!B114</f>
        <v>1.0220588235294119</v>
      </c>
      <c r="I15" s="56">
        <v>0.70833333333333337</v>
      </c>
      <c r="J15">
        <f>W43</f>
        <v>5.6657719999999987</v>
      </c>
      <c r="K15">
        <f t="shared" si="4"/>
        <v>5.7907522647058816</v>
      </c>
      <c r="L15">
        <f>IF(K15*$B$22*E15*$B$21&gt;D15,D15,K15*$B$22*E15*$B$21)*(1-$B$24)</f>
        <v>5600.8155904235291</v>
      </c>
      <c r="M15">
        <f t="shared" si="6"/>
        <v>7001.0194880294102</v>
      </c>
      <c r="AB15">
        <v>1</v>
      </c>
      <c r="AC15" s="88" t="s">
        <v>268</v>
      </c>
      <c r="AD15" s="66">
        <f>IF(AB15&gt;$AF$7,0,(PMT($AF$8/12,($AF$7*12),($AF$5-($AF$5*$AF$6)))*12)-AF5*AF6)</f>
        <v>-45890.752369462985</v>
      </c>
      <c r="AE15" s="66">
        <f>K17</f>
        <v>41239.314824158428</v>
      </c>
      <c r="AF15" s="66">
        <f>AF5*AF4</f>
        <v>48600</v>
      </c>
      <c r="AG15" s="66">
        <f>AE15+AF15</f>
        <v>89839.314824158428</v>
      </c>
      <c r="AH15" s="66">
        <f>IFERROR(AD15+AG15,AG15)</f>
        <v>43948.562454695442</v>
      </c>
      <c r="AI15" s="66">
        <f>AH15</f>
        <v>43948.562454695442</v>
      </c>
    </row>
    <row r="16" spans="1:35" x14ac:dyDescent="0.3">
      <c r="I16" s="56">
        <v>0.75</v>
      </c>
      <c r="AB16">
        <v>2</v>
      </c>
      <c r="AC16" s="88" t="s">
        <v>269</v>
      </c>
      <c r="AD16" s="66">
        <f>IF(AB16&gt;$AF$7," ",PMT($AF$8/12,($AF$7*12),($AF$5-($AF$5*$AF$6))*12))</f>
        <v>-27890.752369462982</v>
      </c>
      <c r="AE16" s="66">
        <f>AE15*(1+$AF$9)</f>
        <v>47012.818899540616</v>
      </c>
      <c r="AF16" s="66">
        <v>0</v>
      </c>
      <c r="AG16" s="66">
        <f t="shared" ref="AG16:AG29" si="7">AE16+AF16</f>
        <v>47012.818899540616</v>
      </c>
      <c r="AH16" s="66">
        <f t="shared" ref="AH16:AH29" si="8">IFERROR(AD16+AG16,AG16)</f>
        <v>19122.066530077635</v>
      </c>
      <c r="AI16" s="66">
        <f>AI15+AH16</f>
        <v>63070.62898477308</v>
      </c>
    </row>
    <row r="17" spans="1:35" x14ac:dyDescent="0.3">
      <c r="A17" s="32" t="s">
        <v>230</v>
      </c>
      <c r="B17" s="32">
        <f>SUM(B4:B15)</f>
        <v>40030</v>
      </c>
      <c r="C17" s="32">
        <f>SUM(B4:C15)</f>
        <v>43669.090909090912</v>
      </c>
      <c r="K17">
        <f>SUM(L4:L15)</f>
        <v>41239.314824158428</v>
      </c>
      <c r="L17">
        <f>SUM(M4:M15)</f>
        <v>66516.996481764698</v>
      </c>
      <c r="AB17">
        <v>3</v>
      </c>
      <c r="AC17" s="88" t="s">
        <v>270</v>
      </c>
      <c r="AD17" s="66">
        <f t="shared" ref="AD17:AD24" si="9">IF(AB17&gt;$AF$7," ",PMT($AF$8/12,($AF$7*12),($AF$5-($AF$5*$AF$6))*12))</f>
        <v>-27890.752369462982</v>
      </c>
      <c r="AE17" s="66">
        <f t="shared" ref="AE17:AE19" si="10">AE16*(1+$AF$9)</f>
        <v>53594.613545476306</v>
      </c>
      <c r="AF17" s="66">
        <v>0</v>
      </c>
      <c r="AG17" s="66">
        <f t="shared" si="7"/>
        <v>53594.613545476306</v>
      </c>
      <c r="AH17" s="66">
        <f t="shared" si="8"/>
        <v>25703.861176013324</v>
      </c>
      <c r="AI17" s="66">
        <f t="shared" ref="AI17:AI29" si="11">AI16+AH17</f>
        <v>88774.490160786401</v>
      </c>
    </row>
    <row r="18" spans="1:35" x14ac:dyDescent="0.3">
      <c r="A18" s="32" t="s">
        <v>229</v>
      </c>
      <c r="B18" s="32">
        <f>COUNTIF(B4:B15,"&gt;0")</f>
        <v>11</v>
      </c>
      <c r="C18" s="32">
        <f>COUNTIF(B4:C15,"&gt;0")</f>
        <v>12</v>
      </c>
      <c r="AB18">
        <v>4</v>
      </c>
      <c r="AC18" s="88" t="s">
        <v>271</v>
      </c>
      <c r="AD18" s="66">
        <f t="shared" si="9"/>
        <v>-27890.752369462982</v>
      </c>
      <c r="AE18" s="66">
        <f t="shared" si="10"/>
        <v>61097.859441842993</v>
      </c>
      <c r="AF18" s="66">
        <v>0</v>
      </c>
      <c r="AG18" s="66">
        <f t="shared" si="7"/>
        <v>61097.859441842993</v>
      </c>
      <c r="AH18" s="66">
        <f t="shared" si="8"/>
        <v>33207.107072380008</v>
      </c>
      <c r="AI18" s="66">
        <f t="shared" si="11"/>
        <v>121981.59723316641</v>
      </c>
    </row>
    <row r="19" spans="1:35" x14ac:dyDescent="0.3">
      <c r="A19" s="32" t="s">
        <v>192</v>
      </c>
      <c r="B19" s="32">
        <f>B17/B18</f>
        <v>3639.090909090909</v>
      </c>
      <c r="C19" s="32">
        <f>C17/C18</f>
        <v>3639.0909090909095</v>
      </c>
      <c r="F19">
        <f>D4/31/90</f>
        <v>3.2616487455197136</v>
      </c>
      <c r="AB19">
        <v>5</v>
      </c>
      <c r="AC19" s="88" t="s">
        <v>272</v>
      </c>
      <c r="AD19" s="66">
        <f t="shared" si="9"/>
        <v>-27890.752369462982</v>
      </c>
      <c r="AE19" s="66">
        <f t="shared" si="10"/>
        <v>69651.559763701021</v>
      </c>
      <c r="AF19" s="66">
        <v>0</v>
      </c>
      <c r="AG19" s="66">
        <f t="shared" si="7"/>
        <v>69651.559763701021</v>
      </c>
      <c r="AH19" s="66">
        <f t="shared" si="8"/>
        <v>41760.807394238043</v>
      </c>
      <c r="AI19" s="66">
        <f t="shared" si="11"/>
        <v>163742.40462740447</v>
      </c>
    </row>
    <row r="20" spans="1:35" x14ac:dyDescent="0.3">
      <c r="AB20">
        <v>6</v>
      </c>
      <c r="AC20" s="88" t="s">
        <v>273</v>
      </c>
      <c r="AD20" s="66">
        <f t="shared" si="9"/>
        <v>-27890.752369462982</v>
      </c>
      <c r="AE20" s="66">
        <f>AE19*(1+$AF$10)</f>
        <v>75223.684544797114</v>
      </c>
      <c r="AF20" s="66">
        <v>0</v>
      </c>
      <c r="AG20" s="66">
        <f t="shared" si="7"/>
        <v>75223.684544797114</v>
      </c>
      <c r="AH20" s="66">
        <f t="shared" si="8"/>
        <v>47332.932175334136</v>
      </c>
      <c r="AI20" s="66">
        <f t="shared" si="11"/>
        <v>211075.3368027386</v>
      </c>
    </row>
    <row r="21" spans="1:35" x14ac:dyDescent="0.3">
      <c r="A21" s="32" t="s">
        <v>233</v>
      </c>
      <c r="B21" s="32">
        <f>Input!G21</f>
        <v>15</v>
      </c>
      <c r="AB21">
        <v>7</v>
      </c>
      <c r="AC21" s="88" t="s">
        <v>274</v>
      </c>
      <c r="AD21" s="66">
        <f t="shared" si="9"/>
        <v>-27890.752369462982</v>
      </c>
      <c r="AE21" s="66">
        <f t="shared" ref="AE21:AE29" si="12">AE20*(1+$AF$10)</f>
        <v>81241.579308380882</v>
      </c>
      <c r="AF21" s="66">
        <v>0</v>
      </c>
      <c r="AG21" s="66">
        <f t="shared" si="7"/>
        <v>81241.579308380882</v>
      </c>
      <c r="AH21" s="66">
        <f t="shared" si="8"/>
        <v>53350.826938917904</v>
      </c>
      <c r="AI21" s="66">
        <f t="shared" si="11"/>
        <v>264426.16374165652</v>
      </c>
    </row>
    <row r="22" spans="1:35" x14ac:dyDescent="0.3">
      <c r="A22" t="s">
        <v>242</v>
      </c>
      <c r="B22">
        <f>Input!C58</f>
        <v>2.6</v>
      </c>
      <c r="AB22">
        <v>8</v>
      </c>
      <c r="AC22" s="88" t="s">
        <v>275</v>
      </c>
      <c r="AD22" s="66">
        <f t="shared" si="9"/>
        <v>-27890.752369462982</v>
      </c>
      <c r="AE22" s="66">
        <f t="shared" si="12"/>
        <v>87740.905653051363</v>
      </c>
      <c r="AF22" s="66">
        <v>0</v>
      </c>
      <c r="AG22" s="66">
        <f t="shared" si="7"/>
        <v>87740.905653051363</v>
      </c>
      <c r="AH22" s="66">
        <f t="shared" si="8"/>
        <v>59850.153283588385</v>
      </c>
      <c r="AI22" s="66">
        <f t="shared" si="11"/>
        <v>324276.31702524493</v>
      </c>
    </row>
    <row r="23" spans="1:35" x14ac:dyDescent="0.3">
      <c r="A23" t="s">
        <v>243</v>
      </c>
      <c r="B23">
        <f>AF5</f>
        <v>180000</v>
      </c>
      <c r="AB23">
        <v>9</v>
      </c>
      <c r="AC23" s="88" t="s">
        <v>276</v>
      </c>
      <c r="AD23" s="66">
        <f t="shared" si="9"/>
        <v>-27890.752369462982</v>
      </c>
      <c r="AE23" s="66">
        <f t="shared" si="12"/>
        <v>94760.178105295476</v>
      </c>
      <c r="AF23" s="66">
        <v>0</v>
      </c>
      <c r="AG23" s="66">
        <f t="shared" si="7"/>
        <v>94760.178105295476</v>
      </c>
      <c r="AH23" s="66">
        <f t="shared" si="8"/>
        <v>66869.425735832498</v>
      </c>
      <c r="AI23" s="66">
        <f t="shared" si="11"/>
        <v>391145.74276107742</v>
      </c>
    </row>
    <row r="24" spans="1:35" x14ac:dyDescent="0.3">
      <c r="A24" t="s">
        <v>317</v>
      </c>
      <c r="B24" s="54">
        <f>Input!C81</f>
        <v>0.2</v>
      </c>
      <c r="AB24">
        <v>10</v>
      </c>
      <c r="AC24" s="88" t="s">
        <v>277</v>
      </c>
      <c r="AD24" s="66">
        <f t="shared" si="9"/>
        <v>-27890.752369462982</v>
      </c>
      <c r="AE24" s="66">
        <f t="shared" si="12"/>
        <v>102340.99235371912</v>
      </c>
      <c r="AF24" s="66">
        <v>0</v>
      </c>
      <c r="AG24" s="66">
        <f t="shared" si="7"/>
        <v>102340.99235371912</v>
      </c>
      <c r="AH24" s="66">
        <f t="shared" si="8"/>
        <v>74450.239984256143</v>
      </c>
      <c r="AI24" s="66">
        <f t="shared" si="11"/>
        <v>465595.98274533357</v>
      </c>
    </row>
    <row r="25" spans="1:35" ht="15" customHeight="1" x14ac:dyDescent="0.3">
      <c r="A25" s="57" t="s">
        <v>237</v>
      </c>
      <c r="B25" s="57"/>
      <c r="C25" s="57"/>
      <c r="D25" s="57"/>
      <c r="E25" s="57"/>
      <c r="F25" s="57"/>
      <c r="G25" s="57"/>
      <c r="H25" s="57"/>
      <c r="AB25">
        <v>11</v>
      </c>
      <c r="AC25" s="88" t="s">
        <v>278</v>
      </c>
      <c r="AD25" s="66" t="str">
        <f>IF(AB25&gt;$AF$7," ",PMT($AF$8/12,($AF$7*12),($AF$5-($AF$5*$AF$6))*12))</f>
        <v xml:space="preserve"> </v>
      </c>
      <c r="AE25" s="66">
        <f t="shared" si="12"/>
        <v>110528.27174201666</v>
      </c>
      <c r="AF25" s="66">
        <v>0</v>
      </c>
      <c r="AG25" s="66">
        <f t="shared" si="7"/>
        <v>110528.27174201666</v>
      </c>
      <c r="AH25" s="66">
        <f t="shared" si="8"/>
        <v>110528.27174201666</v>
      </c>
      <c r="AI25" s="66">
        <f t="shared" si="11"/>
        <v>576124.25448735023</v>
      </c>
    </row>
    <row r="26" spans="1:35" ht="28.8" x14ac:dyDescent="0.3">
      <c r="A26" s="57" t="s">
        <v>5</v>
      </c>
      <c r="B26" s="57">
        <f>Input!C52</f>
        <v>1.036</v>
      </c>
      <c r="C26" s="57"/>
      <c r="D26" s="57"/>
      <c r="E26" s="57"/>
      <c r="F26" s="57"/>
      <c r="G26" s="57"/>
      <c r="H26" s="57"/>
      <c r="AB26">
        <v>12</v>
      </c>
      <c r="AC26" s="88" t="s">
        <v>279</v>
      </c>
      <c r="AD26" s="66" t="str">
        <f t="shared" ref="AD26:AD29" si="13">IF(AB26&gt;$AF$7," ",PMT($AF$8/12,($AF$7*12),($AF$5-($AF$5*$AF$6))*12))</f>
        <v xml:space="preserve"> </v>
      </c>
      <c r="AE26" s="66">
        <f t="shared" si="12"/>
        <v>119370.53348137801</v>
      </c>
      <c r="AF26" s="66">
        <v>0</v>
      </c>
      <c r="AG26" s="66">
        <f t="shared" si="7"/>
        <v>119370.53348137801</v>
      </c>
      <c r="AH26" s="66">
        <f t="shared" si="8"/>
        <v>119370.53348137801</v>
      </c>
      <c r="AI26" s="66">
        <f t="shared" si="11"/>
        <v>695494.78796872823</v>
      </c>
    </row>
    <row r="27" spans="1:35" x14ac:dyDescent="0.3">
      <c r="A27" t="s">
        <v>234</v>
      </c>
      <c r="G27" s="43">
        <v>0.35</v>
      </c>
      <c r="H27" s="54">
        <v>0.02</v>
      </c>
      <c r="L27">
        <f>G4</f>
        <v>7.5268817204301079</v>
      </c>
      <c r="M27">
        <f>G5</f>
        <v>14.285714285714285</v>
      </c>
      <c r="N27">
        <f>G6</f>
        <v>4.301075268817204</v>
      </c>
      <c r="O27">
        <f>G7</f>
        <v>2.2222222222222223</v>
      </c>
      <c r="P27">
        <f>G8</f>
        <v>7.8260019550342141</v>
      </c>
      <c r="Q27">
        <f>G9</f>
        <v>0.22222222222222221</v>
      </c>
      <c r="R27">
        <f>G10</f>
        <v>2</v>
      </c>
      <c r="S27">
        <f>G11</f>
        <v>3.2258064516129035</v>
      </c>
      <c r="T27">
        <f>G12</f>
        <v>11.111111111111111</v>
      </c>
      <c r="U27">
        <f>G13</f>
        <v>11.82795698924731</v>
      </c>
      <c r="V27">
        <f>G14</f>
        <v>14.444444444444446</v>
      </c>
      <c r="W27">
        <f>G15</f>
        <v>17.204301075268816</v>
      </c>
      <c r="AB27">
        <v>13</v>
      </c>
      <c r="AC27" s="88" t="s">
        <v>280</v>
      </c>
      <c r="AD27" s="66" t="str">
        <f t="shared" si="13"/>
        <v xml:space="preserve"> </v>
      </c>
      <c r="AE27" s="66">
        <f t="shared" si="12"/>
        <v>128920.17615988826</v>
      </c>
      <c r="AF27" s="66">
        <v>0</v>
      </c>
      <c r="AG27" s="66">
        <f t="shared" si="7"/>
        <v>128920.17615988826</v>
      </c>
      <c r="AH27" s="66">
        <f t="shared" si="8"/>
        <v>128920.17615988826</v>
      </c>
      <c r="AI27" s="66">
        <f t="shared" si="11"/>
        <v>824414.9641286165</v>
      </c>
    </row>
    <row r="28" spans="1:35" x14ac:dyDescent="0.3">
      <c r="A28" s="56" t="str">
        <f>'Veichi Tech'!A32</f>
        <v>Time</v>
      </c>
      <c r="B28" s="56">
        <f>'Veichi Tech'!B32</f>
        <v>0</v>
      </c>
      <c r="C28" s="56" t="str">
        <f>'Veichi Tech'!C32</f>
        <v xml:space="preserve">Sunshine </v>
      </c>
      <c r="D28" s="56" t="str">
        <f>'Veichi Tech'!D32</f>
        <v>Sizing Factor</v>
      </c>
      <c r="E28" s="56" t="str">
        <f>'Veichi Tech'!E32</f>
        <v>Drive output</v>
      </c>
      <c r="F28" s="56" t="s">
        <v>226</v>
      </c>
      <c r="G28" t="s">
        <v>223</v>
      </c>
      <c r="H28" t="s">
        <v>342</v>
      </c>
      <c r="I28" s="56" t="s">
        <v>244</v>
      </c>
      <c r="J28" t="s">
        <v>238</v>
      </c>
      <c r="L28" t="s">
        <v>294</v>
      </c>
      <c r="M28" t="s">
        <v>295</v>
      </c>
      <c r="N28" t="s">
        <v>198</v>
      </c>
      <c r="O28" t="s">
        <v>199</v>
      </c>
      <c r="P28" t="s">
        <v>184</v>
      </c>
      <c r="Q28" t="s">
        <v>200</v>
      </c>
      <c r="R28" t="s">
        <v>201</v>
      </c>
      <c r="S28" t="s">
        <v>202</v>
      </c>
      <c r="T28" t="s">
        <v>203</v>
      </c>
      <c r="U28" t="s">
        <v>204</v>
      </c>
      <c r="V28" t="s">
        <v>205</v>
      </c>
      <c r="W28" t="s">
        <v>206</v>
      </c>
      <c r="X28" t="s">
        <v>291</v>
      </c>
      <c r="Y28" t="s">
        <v>226</v>
      </c>
      <c r="Z28" t="s">
        <v>296</v>
      </c>
      <c r="AA28" t="s">
        <v>285</v>
      </c>
      <c r="AB28">
        <v>14</v>
      </c>
      <c r="AC28" s="88" t="s">
        <v>281</v>
      </c>
      <c r="AD28" s="66" t="str">
        <f t="shared" si="13"/>
        <v xml:space="preserve"> </v>
      </c>
      <c r="AE28" s="66">
        <f t="shared" si="12"/>
        <v>139233.79025267932</v>
      </c>
      <c r="AF28" s="66">
        <v>0</v>
      </c>
      <c r="AG28" s="66">
        <f t="shared" si="7"/>
        <v>139233.79025267932</v>
      </c>
      <c r="AH28" s="66">
        <f t="shared" si="8"/>
        <v>139233.79025267932</v>
      </c>
      <c r="AI28" s="66">
        <f t="shared" si="11"/>
        <v>963648.75438129576</v>
      </c>
    </row>
    <row r="29" spans="1:35" x14ac:dyDescent="0.3">
      <c r="A29" s="56">
        <f>'Veichi Tech'!A33</f>
        <v>0.25</v>
      </c>
      <c r="B29" s="54">
        <f>'Veichi Tech'!B33</f>
        <v>0</v>
      </c>
      <c r="C29" s="54">
        <f>'Veichi Tech'!C33</f>
        <v>0</v>
      </c>
      <c r="D29" s="54">
        <f>'Veichi Tech'!D33</f>
        <v>0</v>
      </c>
      <c r="E29" s="54">
        <f>'Veichi Tech'!E33</f>
        <v>0</v>
      </c>
      <c r="F29">
        <f>$B$21*1000</f>
        <v>15000</v>
      </c>
      <c r="G29">
        <f>IF(E29&gt;=$G$27,F29*E29,0)</f>
        <v>0</v>
      </c>
      <c r="H29">
        <f>IF(G29&gt;0,G29*(1-$H$27),0)</f>
        <v>0</v>
      </c>
      <c r="I29" s="54">
        <f>H29/F29</f>
        <v>0</v>
      </c>
      <c r="J29">
        <v>13</v>
      </c>
      <c r="K29" s="56">
        <f>A29</f>
        <v>0.25</v>
      </c>
      <c r="L29" s="54">
        <f>IF(L30=1,IF(L$27&gt;$J29,1,(L$27-$J30)/2),0)</f>
        <v>0</v>
      </c>
      <c r="M29" s="54">
        <f t="shared" ref="L29:W34" si="14">IF(M30=1,IF(M$27&gt;$J29,1,(M$27-$J30)/2),0)</f>
        <v>1</v>
      </c>
      <c r="N29" s="54">
        <f>IF(N30=1,IF(N$27&gt;$J29,1,(N$27-$J30)/2),0)</f>
        <v>0</v>
      </c>
      <c r="O29" s="54">
        <f t="shared" si="14"/>
        <v>0</v>
      </c>
      <c r="P29" s="54">
        <f t="shared" si="14"/>
        <v>0</v>
      </c>
      <c r="Q29" s="54">
        <f t="shared" si="14"/>
        <v>0</v>
      </c>
      <c r="R29" s="54">
        <f t="shared" si="14"/>
        <v>0</v>
      </c>
      <c r="S29" s="54">
        <f t="shared" si="14"/>
        <v>0</v>
      </c>
      <c r="T29" s="54">
        <f t="shared" si="14"/>
        <v>5.5555555555555358E-2</v>
      </c>
      <c r="U29" s="54">
        <f t="shared" si="14"/>
        <v>0.4139784946236551</v>
      </c>
      <c r="V29" s="54">
        <f t="shared" si="14"/>
        <v>1</v>
      </c>
      <c r="W29" s="54">
        <f t="shared" si="14"/>
        <v>1</v>
      </c>
      <c r="X29" s="54">
        <v>1</v>
      </c>
      <c r="Y29" s="92">
        <f>$B$21</f>
        <v>15</v>
      </c>
      <c r="Z29" s="92">
        <f>H29/1000</f>
        <v>0</v>
      </c>
      <c r="AA29" s="92">
        <f>Y29-Z29</f>
        <v>15</v>
      </c>
      <c r="AB29">
        <v>15</v>
      </c>
      <c r="AC29" s="88" t="s">
        <v>282</v>
      </c>
      <c r="AD29" s="66" t="str">
        <f t="shared" si="13"/>
        <v xml:space="preserve"> </v>
      </c>
      <c r="AE29" s="66">
        <f t="shared" si="12"/>
        <v>150372.49347289366</v>
      </c>
      <c r="AF29" s="66">
        <v>0</v>
      </c>
      <c r="AG29" s="66">
        <f t="shared" si="7"/>
        <v>150372.49347289366</v>
      </c>
      <c r="AH29" s="66">
        <f t="shared" si="8"/>
        <v>150372.49347289366</v>
      </c>
      <c r="AI29" s="66">
        <f t="shared" si="11"/>
        <v>1114021.2478541895</v>
      </c>
    </row>
    <row r="30" spans="1:35" ht="15" thickBot="1" x14ac:dyDescent="0.35">
      <c r="A30" s="56">
        <f>'Veichi Tech'!A34</f>
        <v>0.29166666666666669</v>
      </c>
      <c r="B30" s="54">
        <f>'Veichi Tech'!B34</f>
        <v>0.03</v>
      </c>
      <c r="C30" s="54">
        <f>'Veichi Tech'!C34</f>
        <v>0.03</v>
      </c>
      <c r="D30" s="54">
        <f>'Veichi Tech'!D34</f>
        <v>3.108E-2</v>
      </c>
      <c r="E30" s="54">
        <f>'Veichi Tech'!E34</f>
        <v>3.108E-2</v>
      </c>
      <c r="F30">
        <f t="shared" ref="F30:F41" si="15">$B$21*1000</f>
        <v>15000</v>
      </c>
      <c r="G30">
        <f>IF(E30&gt;=$G$27,F30*E30,0)</f>
        <v>0</v>
      </c>
      <c r="H30">
        <f t="shared" ref="H30:H41" si="16">IF(G30&gt;0,G30*(1-$H$27),0)</f>
        <v>0</v>
      </c>
      <c r="I30" s="54">
        <f t="shared" ref="I30:I41" si="17">H30/F30</f>
        <v>0</v>
      </c>
      <c r="J30">
        <v>11</v>
      </c>
      <c r="K30" s="56">
        <f t="shared" ref="K30:K41" si="18">A30</f>
        <v>0.29166666666666669</v>
      </c>
      <c r="L30" s="54">
        <f>IF(L31=1,IF(L$27&gt;$J30,1,(L$27-$J31)/2),0)</f>
        <v>0</v>
      </c>
      <c r="M30" s="54">
        <f t="shared" si="14"/>
        <v>1</v>
      </c>
      <c r="N30" s="54">
        <f t="shared" si="14"/>
        <v>0</v>
      </c>
      <c r="O30" s="54">
        <f t="shared" si="14"/>
        <v>0</v>
      </c>
      <c r="P30" s="54">
        <f t="shared" si="14"/>
        <v>0</v>
      </c>
      <c r="Q30" s="54">
        <f t="shared" si="14"/>
        <v>0</v>
      </c>
      <c r="R30" s="54">
        <f t="shared" si="14"/>
        <v>0</v>
      </c>
      <c r="S30" s="54">
        <f t="shared" si="14"/>
        <v>0</v>
      </c>
      <c r="T30" s="54">
        <f t="shared" si="14"/>
        <v>1</v>
      </c>
      <c r="U30" s="54">
        <f t="shared" si="14"/>
        <v>1</v>
      </c>
      <c r="V30" s="54">
        <f t="shared" si="14"/>
        <v>1</v>
      </c>
      <c r="W30" s="54">
        <f t="shared" si="14"/>
        <v>1</v>
      </c>
      <c r="X30" s="54">
        <v>1</v>
      </c>
      <c r="Y30" s="92">
        <f t="shared" ref="Y30:Y41" si="19">$B$21</f>
        <v>15</v>
      </c>
      <c r="Z30" s="92">
        <f t="shared" ref="Z30:Z41" si="20">H30/1000</f>
        <v>0</v>
      </c>
      <c r="AA30" s="92">
        <f t="shared" ref="AA30:AA41" si="21">Y30-Z30</f>
        <v>15</v>
      </c>
      <c r="AB30" s="92"/>
    </row>
    <row r="31" spans="1:35" x14ac:dyDescent="0.3">
      <c r="A31" s="56">
        <f>'Veichi Tech'!A35</f>
        <v>0.33333333333333331</v>
      </c>
      <c r="B31" s="54">
        <f>'Veichi Tech'!B35</f>
        <v>0.32</v>
      </c>
      <c r="C31" s="54">
        <f>'Veichi Tech'!C35</f>
        <v>0.32</v>
      </c>
      <c r="D31" s="54">
        <f>'Veichi Tech'!D35</f>
        <v>0.33152000000000004</v>
      </c>
      <c r="E31" s="54">
        <f>'Veichi Tech'!E35</f>
        <v>0.33152000000000004</v>
      </c>
      <c r="F31">
        <f>$B$21*1000</f>
        <v>15000</v>
      </c>
      <c r="G31">
        <f>IF(E31&gt;=$G$27,F31*E31,0)</f>
        <v>0</v>
      </c>
      <c r="H31">
        <f>IF(G31&gt;0,G31*(1-$H$27),0)</f>
        <v>0</v>
      </c>
      <c r="I31" s="54">
        <f>H31/F31</f>
        <v>0</v>
      </c>
      <c r="J31">
        <v>9</v>
      </c>
      <c r="K31" s="56">
        <f t="shared" si="18"/>
        <v>0.33333333333333331</v>
      </c>
      <c r="L31" s="54">
        <f>IF(L32=1,IF(L$27&gt;$J31,1,(L$27-$J32)/2),0)</f>
        <v>0.26344086021505397</v>
      </c>
      <c r="M31" s="54">
        <f>IF(M32=1,IF(M$27&gt;$J31,1,(M$27-$J32)/2),0)</f>
        <v>1</v>
      </c>
      <c r="N31" s="54">
        <f t="shared" si="14"/>
        <v>0</v>
      </c>
      <c r="O31" s="54">
        <f t="shared" si="14"/>
        <v>0</v>
      </c>
      <c r="P31" s="54">
        <f t="shared" si="14"/>
        <v>0.41300097751710707</v>
      </c>
      <c r="Q31" s="54">
        <f t="shared" si="14"/>
        <v>0</v>
      </c>
      <c r="R31" s="54">
        <f t="shared" si="14"/>
        <v>0</v>
      </c>
      <c r="S31" s="54">
        <f t="shared" si="14"/>
        <v>0</v>
      </c>
      <c r="T31" s="54">
        <f t="shared" si="14"/>
        <v>1</v>
      </c>
      <c r="U31" s="54">
        <f t="shared" si="14"/>
        <v>1</v>
      </c>
      <c r="V31" s="54">
        <f t="shared" si="14"/>
        <v>1</v>
      </c>
      <c r="W31" s="54">
        <f t="shared" si="14"/>
        <v>1</v>
      </c>
      <c r="X31" s="54">
        <v>1</v>
      </c>
      <c r="Y31" s="92">
        <f t="shared" si="19"/>
        <v>15</v>
      </c>
      <c r="Z31" s="92">
        <f>H31/1000</f>
        <v>0</v>
      </c>
      <c r="AA31" s="92">
        <f t="shared" si="21"/>
        <v>15</v>
      </c>
      <c r="AB31" s="92"/>
      <c r="AC31" s="45" t="s">
        <v>265</v>
      </c>
      <c r="AD31" s="67"/>
      <c r="AE31" s="68"/>
      <c r="AF31" s="69">
        <f>NPV(0.05,AH15:AH29)</f>
        <v>686116.78292422846</v>
      </c>
    </row>
    <row r="32" spans="1:35" x14ac:dyDescent="0.3">
      <c r="A32" s="56">
        <f>'Veichi Tech'!A36</f>
        <v>0.375</v>
      </c>
      <c r="B32" s="54">
        <f>'Veichi Tech'!B36</f>
        <v>0.5</v>
      </c>
      <c r="C32" s="54">
        <f>'Veichi Tech'!C36</f>
        <v>0.5</v>
      </c>
      <c r="D32" s="54">
        <f>'Veichi Tech'!D36</f>
        <v>0.51800000000000002</v>
      </c>
      <c r="E32" s="54">
        <f>'Veichi Tech'!E36</f>
        <v>0.51800000000000002</v>
      </c>
      <c r="F32">
        <f>$B$21*1000</f>
        <v>15000</v>
      </c>
      <c r="G32">
        <f>IF(E32&gt;=$G$27,F32*E32,0)</f>
        <v>7770</v>
      </c>
      <c r="H32">
        <f t="shared" si="16"/>
        <v>7614.5999999999995</v>
      </c>
      <c r="I32" s="54">
        <f t="shared" si="17"/>
        <v>0.50763999999999998</v>
      </c>
      <c r="J32">
        <v>7</v>
      </c>
      <c r="K32" s="56">
        <f t="shared" si="18"/>
        <v>0.375</v>
      </c>
      <c r="L32" s="54">
        <f t="shared" si="14"/>
        <v>1</v>
      </c>
      <c r="M32" s="54">
        <f>IF(M33=1,IF(M$27&gt;$J32,1,(M$27-$J33)/2),0)</f>
        <v>1</v>
      </c>
      <c r="N32" s="54">
        <f t="shared" si="14"/>
        <v>0</v>
      </c>
      <c r="O32" s="54">
        <f t="shared" si="14"/>
        <v>0</v>
      </c>
      <c r="P32" s="54">
        <f t="shared" si="14"/>
        <v>1</v>
      </c>
      <c r="Q32" s="54">
        <f t="shared" si="14"/>
        <v>0</v>
      </c>
      <c r="R32" s="54">
        <f t="shared" si="14"/>
        <v>0</v>
      </c>
      <c r="S32" s="54">
        <f t="shared" si="14"/>
        <v>0</v>
      </c>
      <c r="T32" s="54">
        <f t="shared" si="14"/>
        <v>1</v>
      </c>
      <c r="U32" s="54">
        <f t="shared" si="14"/>
        <v>1</v>
      </c>
      <c r="V32" s="54">
        <f t="shared" si="14"/>
        <v>1</v>
      </c>
      <c r="W32" s="54">
        <f t="shared" si="14"/>
        <v>1</v>
      </c>
      <c r="X32" s="54">
        <v>1</v>
      </c>
      <c r="Y32" s="92">
        <f t="shared" si="19"/>
        <v>15</v>
      </c>
      <c r="Z32" s="92">
        <f t="shared" si="20"/>
        <v>7.6145999999999994</v>
      </c>
      <c r="AA32" s="92">
        <f t="shared" si="21"/>
        <v>7.3854000000000006</v>
      </c>
      <c r="AB32" s="92"/>
      <c r="AC32" s="206"/>
      <c r="AD32" s="207"/>
      <c r="AE32" s="208"/>
      <c r="AF32" s="70"/>
    </row>
    <row r="33" spans="1:35" x14ac:dyDescent="0.3">
      <c r="A33" s="56">
        <f>'Veichi Tech'!A37</f>
        <v>0.41666666666666669</v>
      </c>
      <c r="B33" s="54">
        <f>'Veichi Tech'!B37</f>
        <v>0.75</v>
      </c>
      <c r="C33" s="54">
        <f>'Veichi Tech'!C37</f>
        <v>0.75</v>
      </c>
      <c r="D33" s="54">
        <f>'Veichi Tech'!D37</f>
        <v>0.77700000000000002</v>
      </c>
      <c r="E33" s="54">
        <f>'Veichi Tech'!E37</f>
        <v>0.77700000000000002</v>
      </c>
      <c r="F33">
        <f t="shared" si="15"/>
        <v>15000</v>
      </c>
      <c r="G33">
        <f>IF(E33&gt;=$G$27,F33*E33,0)</f>
        <v>11655</v>
      </c>
      <c r="H33">
        <f>IF(G33&gt;0,G33*(1-$H$27),0)</f>
        <v>11421.9</v>
      </c>
      <c r="I33" s="54">
        <f>H33/F33</f>
        <v>0.76146000000000003</v>
      </c>
      <c r="J33">
        <v>5</v>
      </c>
      <c r="K33" s="56">
        <f t="shared" si="18"/>
        <v>0.41666666666666669</v>
      </c>
      <c r="L33" s="54">
        <f t="shared" si="14"/>
        <v>1</v>
      </c>
      <c r="M33" s="54">
        <f t="shared" si="14"/>
        <v>1</v>
      </c>
      <c r="N33" s="54">
        <f t="shared" si="14"/>
        <v>0.65053763440860202</v>
      </c>
      <c r="O33" s="54">
        <f>IF(O34=1,IF(O$27&gt;$J33,1,(O$27-$J34)/2),0)</f>
        <v>0</v>
      </c>
      <c r="P33" s="54">
        <f t="shared" si="14"/>
        <v>1</v>
      </c>
      <c r="Q33" s="54">
        <f t="shared" si="14"/>
        <v>0</v>
      </c>
      <c r="R33" s="54">
        <f t="shared" si="14"/>
        <v>0</v>
      </c>
      <c r="S33" s="54">
        <f t="shared" si="14"/>
        <v>0.11290322580645173</v>
      </c>
      <c r="T33" s="54">
        <f t="shared" si="14"/>
        <v>1</v>
      </c>
      <c r="U33" s="54">
        <f t="shared" si="14"/>
        <v>1</v>
      </c>
      <c r="V33" s="54">
        <f t="shared" si="14"/>
        <v>1</v>
      </c>
      <c r="W33" s="54">
        <f t="shared" si="14"/>
        <v>1</v>
      </c>
      <c r="X33" s="54">
        <v>1</v>
      </c>
      <c r="Y33" s="92">
        <f t="shared" si="19"/>
        <v>15</v>
      </c>
      <c r="Z33" s="92">
        <f t="shared" si="20"/>
        <v>11.421899999999999</v>
      </c>
      <c r="AA33" s="92">
        <f t="shared" si="21"/>
        <v>3.5781000000000009</v>
      </c>
      <c r="AB33" s="92"/>
      <c r="AC33" s="71"/>
      <c r="AD33" s="32"/>
      <c r="AE33" s="72"/>
      <c r="AF33" s="73"/>
    </row>
    <row r="34" spans="1:35" ht="15" thickBot="1" x14ac:dyDescent="0.35">
      <c r="A34" s="56">
        <f>'Veichi Tech'!A38</f>
        <v>0.45833333333333331</v>
      </c>
      <c r="B34" s="54">
        <f>'Veichi Tech'!B38</f>
        <v>0.9</v>
      </c>
      <c r="C34" s="54">
        <f>'Veichi Tech'!C38</f>
        <v>0.9</v>
      </c>
      <c r="D34" s="54">
        <f>'Veichi Tech'!D38</f>
        <v>0.93240000000000001</v>
      </c>
      <c r="E34" s="54">
        <f>'Veichi Tech'!E38</f>
        <v>0.93240000000000001</v>
      </c>
      <c r="F34">
        <f t="shared" si="15"/>
        <v>15000</v>
      </c>
      <c r="G34">
        <f t="shared" ref="G32:G41" si="22">IF(E34&gt;=$G$27,F34*E34,0)</f>
        <v>13986</v>
      </c>
      <c r="H34">
        <f t="shared" si="16"/>
        <v>13706.28</v>
      </c>
      <c r="I34" s="54">
        <f t="shared" si="17"/>
        <v>0.91375200000000001</v>
      </c>
      <c r="J34">
        <v>3</v>
      </c>
      <c r="K34" s="56">
        <f t="shared" si="18"/>
        <v>0.45833333333333331</v>
      </c>
      <c r="L34" s="54">
        <f>IF(L35=1,IF(L$27&gt;$J34,1,(L$27-$J35)/2),0)</f>
        <v>1</v>
      </c>
      <c r="M34" s="54">
        <f t="shared" si="14"/>
        <v>1</v>
      </c>
      <c r="N34" s="54">
        <f t="shared" si="14"/>
        <v>1</v>
      </c>
      <c r="O34" s="54">
        <f t="shared" si="14"/>
        <v>0.61111111111111116</v>
      </c>
      <c r="P34" s="54">
        <f t="shared" si="14"/>
        <v>1</v>
      </c>
      <c r="Q34" s="54">
        <f t="shared" si="14"/>
        <v>0</v>
      </c>
      <c r="R34" s="54">
        <f t="shared" si="14"/>
        <v>0.5</v>
      </c>
      <c r="S34" s="54">
        <f t="shared" si="14"/>
        <v>1</v>
      </c>
      <c r="T34" s="54">
        <f t="shared" si="14"/>
        <v>1</v>
      </c>
      <c r="U34" s="54">
        <f t="shared" si="14"/>
        <v>1</v>
      </c>
      <c r="V34" s="54">
        <f t="shared" si="14"/>
        <v>1</v>
      </c>
      <c r="W34" s="54">
        <f t="shared" si="14"/>
        <v>1</v>
      </c>
      <c r="X34" s="54">
        <v>1</v>
      </c>
      <c r="Y34" s="92">
        <f t="shared" si="19"/>
        <v>15</v>
      </c>
      <c r="Z34" s="92">
        <f t="shared" si="20"/>
        <v>13.706280000000001</v>
      </c>
      <c r="AA34" s="92">
        <f t="shared" si="21"/>
        <v>1.2937199999999986</v>
      </c>
      <c r="AB34" s="92"/>
      <c r="AC34" s="74"/>
      <c r="AD34" s="75"/>
      <c r="AE34" s="76"/>
      <c r="AF34" s="77"/>
    </row>
    <row r="35" spans="1:35" x14ac:dyDescent="0.3">
      <c r="A35" s="56">
        <f>'Veichi Tech'!A39</f>
        <v>0.5</v>
      </c>
      <c r="B35" s="54">
        <f>'Veichi Tech'!B39</f>
        <v>1</v>
      </c>
      <c r="C35" s="54">
        <f>'Veichi Tech'!C39</f>
        <v>1</v>
      </c>
      <c r="D35" s="54">
        <f>'Veichi Tech'!D39</f>
        <v>1.036</v>
      </c>
      <c r="E35" s="54">
        <f>'Veichi Tech'!E39</f>
        <v>1</v>
      </c>
      <c r="F35">
        <f t="shared" si="15"/>
        <v>15000</v>
      </c>
      <c r="G35">
        <f t="shared" si="22"/>
        <v>15000</v>
      </c>
      <c r="H35">
        <f t="shared" si="16"/>
        <v>14700</v>
      </c>
      <c r="I35" s="54">
        <f t="shared" si="17"/>
        <v>0.98</v>
      </c>
      <c r="J35">
        <v>1</v>
      </c>
      <c r="K35" s="56">
        <f t="shared" si="18"/>
        <v>0.5</v>
      </c>
      <c r="L35" s="58">
        <f>IF(L27&gt;1,1,G4)</f>
        <v>1</v>
      </c>
      <c r="M35" s="58">
        <f>IF(M27&gt;1,1,G5)</f>
        <v>1</v>
      </c>
      <c r="N35" s="58">
        <f>IF(N27&gt;1,1,G6)</f>
        <v>1</v>
      </c>
      <c r="O35" s="58">
        <f>IF(O27&gt;1,1,G7)</f>
        <v>1</v>
      </c>
      <c r="P35" s="58">
        <f>IF(P27&gt;1,1,G8)</f>
        <v>1</v>
      </c>
      <c r="Q35" s="58">
        <f>IF(Q27&gt;1,1,G9)</f>
        <v>0.22222222222222221</v>
      </c>
      <c r="R35" s="58">
        <f>IF(R27&gt;1,1,G10)</f>
        <v>1</v>
      </c>
      <c r="S35" s="58">
        <f>IF(S27&gt;1,1,G11)</f>
        <v>1</v>
      </c>
      <c r="T35" s="58">
        <f>IF(T27&gt;1,1,G12)</f>
        <v>1</v>
      </c>
      <c r="U35" s="58">
        <f>IF(U27&gt;1,1,G13)</f>
        <v>1</v>
      </c>
      <c r="V35" s="58">
        <f>IF(V27&gt;1,1,G14)</f>
        <v>1</v>
      </c>
      <c r="W35" s="58">
        <f>IF(W27&gt;1,1,G15)</f>
        <v>1</v>
      </c>
      <c r="X35" s="54">
        <v>1</v>
      </c>
      <c r="Y35" s="92">
        <f t="shared" si="19"/>
        <v>15</v>
      </c>
      <c r="Z35" s="92">
        <f t="shared" si="20"/>
        <v>14.7</v>
      </c>
      <c r="AA35" s="92">
        <f t="shared" si="21"/>
        <v>0.30000000000000071</v>
      </c>
      <c r="AB35" s="92"/>
      <c r="AE35" s="78"/>
      <c r="AF35" s="79"/>
    </row>
    <row r="36" spans="1:35" x14ac:dyDescent="0.3">
      <c r="A36" s="56">
        <f>'Veichi Tech'!A40</f>
        <v>0.54166666666666663</v>
      </c>
      <c r="B36" s="54">
        <f>'Veichi Tech'!B40</f>
        <v>0.99</v>
      </c>
      <c r="C36" s="54">
        <f>'Veichi Tech'!C40</f>
        <v>0.99</v>
      </c>
      <c r="D36" s="54">
        <f>'Veichi Tech'!D40</f>
        <v>1.0256400000000001</v>
      </c>
      <c r="E36" s="54">
        <f>'Veichi Tech'!E40</f>
        <v>1</v>
      </c>
      <c r="F36">
        <f t="shared" si="15"/>
        <v>15000</v>
      </c>
      <c r="G36">
        <f t="shared" si="22"/>
        <v>15000</v>
      </c>
      <c r="H36">
        <f t="shared" si="16"/>
        <v>14700</v>
      </c>
      <c r="I36" s="54">
        <f t="shared" si="17"/>
        <v>0.98</v>
      </c>
      <c r="J36">
        <v>3</v>
      </c>
      <c r="K36" s="56">
        <f t="shared" si="18"/>
        <v>0.54166666666666663</v>
      </c>
      <c r="L36" s="54">
        <f>IF(L35=1,IF(L$27&gt;$J36,1,(L$27-$J35)/2),0)</f>
        <v>1</v>
      </c>
      <c r="M36" s="54">
        <f t="shared" ref="L36:W41" si="23">IF(M35=1,IF(M$27&gt;$J36,1,(M$27-$J35)/2),0)</f>
        <v>1</v>
      </c>
      <c r="N36" s="54">
        <f t="shared" si="23"/>
        <v>1</v>
      </c>
      <c r="O36" s="54">
        <f t="shared" si="23"/>
        <v>0.61111111111111116</v>
      </c>
      <c r="P36" s="54">
        <f t="shared" si="23"/>
        <v>1</v>
      </c>
      <c r="Q36" s="54">
        <f t="shared" si="23"/>
        <v>0</v>
      </c>
      <c r="R36" s="54">
        <f t="shared" si="23"/>
        <v>0.5</v>
      </c>
      <c r="S36" s="54">
        <f t="shared" si="23"/>
        <v>1</v>
      </c>
      <c r="T36" s="54">
        <f t="shared" si="23"/>
        <v>1</v>
      </c>
      <c r="U36" s="54">
        <f t="shared" si="23"/>
        <v>1</v>
      </c>
      <c r="V36" s="54">
        <f t="shared" si="23"/>
        <v>1</v>
      </c>
      <c r="W36" s="54">
        <f t="shared" si="23"/>
        <v>1</v>
      </c>
      <c r="X36" s="54">
        <v>1</v>
      </c>
      <c r="Y36" s="92">
        <f t="shared" si="19"/>
        <v>15</v>
      </c>
      <c r="Z36" s="92">
        <f t="shared" si="20"/>
        <v>14.7</v>
      </c>
      <c r="AA36" s="92">
        <f t="shared" si="21"/>
        <v>0.30000000000000071</v>
      </c>
      <c r="AB36" s="92"/>
      <c r="AE36" s="78"/>
      <c r="AF36" s="78"/>
    </row>
    <row r="37" spans="1:35" x14ac:dyDescent="0.3">
      <c r="A37" s="56">
        <f>'Veichi Tech'!A41</f>
        <v>0.58333333333333337</v>
      </c>
      <c r="B37" s="54">
        <f>'Veichi Tech'!B41</f>
        <v>0.85</v>
      </c>
      <c r="C37" s="54">
        <f>'Veichi Tech'!C41</f>
        <v>0.85</v>
      </c>
      <c r="D37" s="54">
        <f>'Veichi Tech'!D41</f>
        <v>0.88060000000000005</v>
      </c>
      <c r="E37" s="54">
        <f>'Veichi Tech'!E41</f>
        <v>0.88060000000000005</v>
      </c>
      <c r="F37">
        <f t="shared" si="15"/>
        <v>15000</v>
      </c>
      <c r="G37">
        <f t="shared" si="22"/>
        <v>13209</v>
      </c>
      <c r="H37">
        <f t="shared" si="16"/>
        <v>12944.82</v>
      </c>
      <c r="I37" s="54">
        <f t="shared" si="17"/>
        <v>0.86298799999999998</v>
      </c>
      <c r="J37">
        <v>5</v>
      </c>
      <c r="K37" s="56">
        <f t="shared" si="18"/>
        <v>0.58333333333333337</v>
      </c>
      <c r="L37" s="54">
        <f t="shared" si="23"/>
        <v>1</v>
      </c>
      <c r="M37" s="54">
        <f t="shared" si="23"/>
        <v>1</v>
      </c>
      <c r="N37" s="54">
        <f t="shared" si="23"/>
        <v>0.65053763440860202</v>
      </c>
      <c r="O37" s="54">
        <f t="shared" si="23"/>
        <v>0</v>
      </c>
      <c r="P37" s="54">
        <f t="shared" si="23"/>
        <v>1</v>
      </c>
      <c r="Q37" s="54">
        <f t="shared" si="23"/>
        <v>0</v>
      </c>
      <c r="R37" s="54">
        <f t="shared" si="23"/>
        <v>0</v>
      </c>
      <c r="S37" s="54">
        <f t="shared" si="23"/>
        <v>0.11290322580645173</v>
      </c>
      <c r="T37" s="54">
        <f t="shared" si="23"/>
        <v>1</v>
      </c>
      <c r="U37" s="54">
        <f t="shared" si="23"/>
        <v>1</v>
      </c>
      <c r="V37" s="54">
        <f t="shared" si="23"/>
        <v>1</v>
      </c>
      <c r="W37" s="54">
        <f t="shared" si="23"/>
        <v>1</v>
      </c>
      <c r="X37" s="54">
        <v>1</v>
      </c>
      <c r="Y37" s="92">
        <f t="shared" si="19"/>
        <v>15</v>
      </c>
      <c r="Z37" s="92">
        <f t="shared" si="20"/>
        <v>12.94482</v>
      </c>
      <c r="AA37" s="92">
        <f t="shared" si="21"/>
        <v>2.05518</v>
      </c>
      <c r="AB37" s="92"/>
      <c r="AE37" s="78"/>
      <c r="AF37" s="78"/>
    </row>
    <row r="38" spans="1:35" x14ac:dyDescent="0.3">
      <c r="A38" s="56">
        <f>'Veichi Tech'!A42</f>
        <v>0.625</v>
      </c>
      <c r="B38" s="54">
        <f>'Veichi Tech'!B42</f>
        <v>0.65</v>
      </c>
      <c r="C38" s="54">
        <f>'Veichi Tech'!C42</f>
        <v>0.65</v>
      </c>
      <c r="D38" s="54">
        <f>'Veichi Tech'!D42</f>
        <v>0.6734</v>
      </c>
      <c r="E38" s="54">
        <f>'Veichi Tech'!E42</f>
        <v>0.6734</v>
      </c>
      <c r="F38">
        <f t="shared" si="15"/>
        <v>15000</v>
      </c>
      <c r="G38">
        <f t="shared" si="22"/>
        <v>10101</v>
      </c>
      <c r="H38">
        <f t="shared" si="16"/>
        <v>9898.98</v>
      </c>
      <c r="I38" s="54">
        <f t="shared" si="17"/>
        <v>0.65993199999999996</v>
      </c>
      <c r="J38">
        <v>7</v>
      </c>
      <c r="K38" s="56">
        <f t="shared" si="18"/>
        <v>0.625</v>
      </c>
      <c r="L38" s="54">
        <f t="shared" si="23"/>
        <v>1</v>
      </c>
      <c r="M38" s="54">
        <f t="shared" si="23"/>
        <v>1</v>
      </c>
      <c r="N38" s="54">
        <f t="shared" si="23"/>
        <v>0</v>
      </c>
      <c r="O38" s="54">
        <f t="shared" si="23"/>
        <v>0</v>
      </c>
      <c r="P38" s="54">
        <f t="shared" si="23"/>
        <v>1</v>
      </c>
      <c r="Q38" s="54">
        <f t="shared" si="23"/>
        <v>0</v>
      </c>
      <c r="R38" s="54">
        <f t="shared" si="23"/>
        <v>0</v>
      </c>
      <c r="S38" s="54">
        <f t="shared" si="23"/>
        <v>0</v>
      </c>
      <c r="T38" s="54">
        <f t="shared" si="23"/>
        <v>1</v>
      </c>
      <c r="U38" s="54">
        <f t="shared" si="23"/>
        <v>1</v>
      </c>
      <c r="V38" s="54">
        <f t="shared" si="23"/>
        <v>1</v>
      </c>
      <c r="W38" s="54">
        <f t="shared" si="23"/>
        <v>1</v>
      </c>
      <c r="X38" s="54">
        <v>1</v>
      </c>
      <c r="Y38" s="92">
        <f t="shared" si="19"/>
        <v>15</v>
      </c>
      <c r="Z38" s="92">
        <f t="shared" si="20"/>
        <v>9.8989799999999999</v>
      </c>
      <c r="AA38" s="92">
        <f t="shared" si="21"/>
        <v>5.1010200000000001</v>
      </c>
      <c r="AB38" s="92"/>
      <c r="AE38" s="78"/>
      <c r="AF38" s="78"/>
    </row>
    <row r="39" spans="1:35" x14ac:dyDescent="0.3">
      <c r="A39" s="56">
        <f>'Veichi Tech'!A43</f>
        <v>0.66666666666666663</v>
      </c>
      <c r="B39" s="54">
        <f>'Veichi Tech'!B43</f>
        <v>0.3</v>
      </c>
      <c r="C39" s="54">
        <f>'Veichi Tech'!C43</f>
        <v>0.3</v>
      </c>
      <c r="D39" s="54">
        <f>'Veichi Tech'!D43</f>
        <v>0.31080000000000002</v>
      </c>
      <c r="E39" s="54">
        <f>'Veichi Tech'!E43</f>
        <v>0.31080000000000002</v>
      </c>
      <c r="F39">
        <f t="shared" si="15"/>
        <v>15000</v>
      </c>
      <c r="G39">
        <f t="shared" si="22"/>
        <v>0</v>
      </c>
      <c r="H39">
        <f t="shared" si="16"/>
        <v>0</v>
      </c>
      <c r="I39" s="54">
        <f t="shared" si="17"/>
        <v>0</v>
      </c>
      <c r="J39">
        <v>9</v>
      </c>
      <c r="K39" s="56">
        <f t="shared" si="18"/>
        <v>0.66666666666666663</v>
      </c>
      <c r="L39" s="54">
        <f t="shared" si="23"/>
        <v>0.26344086021505397</v>
      </c>
      <c r="M39" s="54">
        <f t="shared" si="23"/>
        <v>1</v>
      </c>
      <c r="N39" s="54">
        <f t="shared" si="23"/>
        <v>0</v>
      </c>
      <c r="O39" s="54">
        <f t="shared" si="23"/>
        <v>0</v>
      </c>
      <c r="P39" s="54">
        <f t="shared" si="23"/>
        <v>0.41300097751710707</v>
      </c>
      <c r="Q39" s="54">
        <f t="shared" si="23"/>
        <v>0</v>
      </c>
      <c r="R39" s="54">
        <f t="shared" si="23"/>
        <v>0</v>
      </c>
      <c r="S39" s="54">
        <f t="shared" si="23"/>
        <v>0</v>
      </c>
      <c r="T39" s="54">
        <f t="shared" si="23"/>
        <v>1</v>
      </c>
      <c r="U39" s="54">
        <f t="shared" si="23"/>
        <v>1</v>
      </c>
      <c r="V39" s="54">
        <f t="shared" si="23"/>
        <v>1</v>
      </c>
      <c r="W39" s="54">
        <f t="shared" si="23"/>
        <v>1</v>
      </c>
      <c r="X39" s="54">
        <v>1</v>
      </c>
      <c r="Y39" s="92">
        <f t="shared" si="19"/>
        <v>15</v>
      </c>
      <c r="Z39" s="92">
        <f t="shared" si="20"/>
        <v>0</v>
      </c>
      <c r="AA39" s="92">
        <f t="shared" si="21"/>
        <v>15</v>
      </c>
      <c r="AB39" s="92"/>
      <c r="AE39" s="78"/>
      <c r="AF39" s="78"/>
    </row>
    <row r="40" spans="1:35" x14ac:dyDescent="0.3">
      <c r="A40" s="56">
        <f>'Veichi Tech'!A44</f>
        <v>0.70833333333333337</v>
      </c>
      <c r="B40" s="54">
        <f>'Veichi Tech'!B44</f>
        <v>0.01</v>
      </c>
      <c r="C40" s="54">
        <f>'Veichi Tech'!C44</f>
        <v>0.01</v>
      </c>
      <c r="D40" s="54">
        <f>'Veichi Tech'!D44</f>
        <v>1.0360000000000001E-2</v>
      </c>
      <c r="E40" s="54">
        <f>'Veichi Tech'!E44</f>
        <v>1.0360000000000001E-2</v>
      </c>
      <c r="F40">
        <f t="shared" si="15"/>
        <v>15000</v>
      </c>
      <c r="G40">
        <f t="shared" si="22"/>
        <v>0</v>
      </c>
      <c r="H40">
        <f t="shared" si="16"/>
        <v>0</v>
      </c>
      <c r="I40" s="54">
        <f t="shared" si="17"/>
        <v>0</v>
      </c>
      <c r="J40">
        <v>11</v>
      </c>
      <c r="K40" s="56">
        <f t="shared" si="18"/>
        <v>0.70833333333333337</v>
      </c>
      <c r="L40" s="54">
        <f t="shared" si="23"/>
        <v>0</v>
      </c>
      <c r="M40" s="54">
        <f t="shared" si="23"/>
        <v>1</v>
      </c>
      <c r="N40" s="54">
        <f t="shared" si="23"/>
        <v>0</v>
      </c>
      <c r="O40" s="54">
        <f t="shared" si="23"/>
        <v>0</v>
      </c>
      <c r="P40" s="54">
        <f t="shared" si="23"/>
        <v>0</v>
      </c>
      <c r="Q40" s="54">
        <f t="shared" si="23"/>
        <v>0</v>
      </c>
      <c r="R40" s="54">
        <f t="shared" si="23"/>
        <v>0</v>
      </c>
      <c r="S40" s="54">
        <f t="shared" si="23"/>
        <v>0</v>
      </c>
      <c r="T40" s="54">
        <f t="shared" si="23"/>
        <v>1</v>
      </c>
      <c r="U40" s="54">
        <f t="shared" si="23"/>
        <v>1</v>
      </c>
      <c r="V40" s="54">
        <f t="shared" si="23"/>
        <v>1</v>
      </c>
      <c r="W40" s="54">
        <f t="shared" si="23"/>
        <v>1</v>
      </c>
      <c r="X40" s="54">
        <v>1</v>
      </c>
      <c r="Y40" s="92">
        <f t="shared" si="19"/>
        <v>15</v>
      </c>
      <c r="Z40" s="92">
        <f t="shared" si="20"/>
        <v>0</v>
      </c>
      <c r="AA40" s="92">
        <f t="shared" si="21"/>
        <v>15</v>
      </c>
      <c r="AB40" s="92"/>
      <c r="AE40" s="78"/>
      <c r="AF40" s="78"/>
    </row>
    <row r="41" spans="1:35" ht="15" thickBot="1" x14ac:dyDescent="0.35">
      <c r="A41" s="56">
        <f>'Veichi Tech'!A45</f>
        <v>0.75</v>
      </c>
      <c r="B41" s="54">
        <f>'Veichi Tech'!B45</f>
        <v>0</v>
      </c>
      <c r="C41" s="54">
        <f>'Veichi Tech'!C45</f>
        <v>0</v>
      </c>
      <c r="D41" s="54">
        <f>'Veichi Tech'!D45</f>
        <v>0</v>
      </c>
      <c r="E41" s="54">
        <f>'Veichi Tech'!E45</f>
        <v>0</v>
      </c>
      <c r="F41">
        <f t="shared" si="15"/>
        <v>15000</v>
      </c>
      <c r="G41">
        <f t="shared" si="22"/>
        <v>0</v>
      </c>
      <c r="H41">
        <f t="shared" si="16"/>
        <v>0</v>
      </c>
      <c r="I41" s="54">
        <f t="shared" si="17"/>
        <v>0</v>
      </c>
      <c r="J41">
        <v>13</v>
      </c>
      <c r="K41" s="56">
        <f t="shared" si="18"/>
        <v>0.75</v>
      </c>
      <c r="L41" s="54">
        <f t="shared" si="23"/>
        <v>0</v>
      </c>
      <c r="M41" s="54">
        <f t="shared" si="23"/>
        <v>1</v>
      </c>
      <c r="N41" s="54">
        <f t="shared" si="23"/>
        <v>0</v>
      </c>
      <c r="O41" s="54">
        <f t="shared" si="23"/>
        <v>0</v>
      </c>
      <c r="P41" s="54">
        <f t="shared" si="23"/>
        <v>0</v>
      </c>
      <c r="Q41" s="54">
        <f t="shared" si="23"/>
        <v>0</v>
      </c>
      <c r="R41" s="54">
        <f t="shared" si="23"/>
        <v>0</v>
      </c>
      <c r="S41" s="54">
        <f t="shared" si="23"/>
        <v>0</v>
      </c>
      <c r="T41" s="54">
        <f t="shared" si="23"/>
        <v>5.5555555555555358E-2</v>
      </c>
      <c r="U41" s="54">
        <f t="shared" si="23"/>
        <v>0.4139784946236551</v>
      </c>
      <c r="V41" s="54">
        <f t="shared" si="23"/>
        <v>1</v>
      </c>
      <c r="W41" s="54">
        <f t="shared" si="23"/>
        <v>1</v>
      </c>
      <c r="X41" s="54">
        <v>1</v>
      </c>
      <c r="Y41" s="92">
        <f t="shared" si="19"/>
        <v>15</v>
      </c>
      <c r="Z41" s="92">
        <f t="shared" si="20"/>
        <v>0</v>
      </c>
      <c r="AA41" s="92">
        <f t="shared" si="21"/>
        <v>15</v>
      </c>
      <c r="AB41" s="92"/>
      <c r="AC41" s="80"/>
      <c r="AD41" s="80"/>
      <c r="AE41" s="80"/>
      <c r="AF41" s="80"/>
      <c r="AG41" s="80"/>
      <c r="AH41" s="80"/>
      <c r="AI41" s="80"/>
    </row>
    <row r="42" spans="1:35" ht="16.2" thickBot="1" x14ac:dyDescent="0.35">
      <c r="AC42" s="189" t="s">
        <v>266</v>
      </c>
      <c r="AD42" s="190"/>
      <c r="AE42" s="190"/>
      <c r="AF42" s="190"/>
      <c r="AG42" s="190"/>
      <c r="AH42" s="190"/>
      <c r="AI42" s="191"/>
    </row>
    <row r="43" spans="1:35" x14ac:dyDescent="0.3">
      <c r="L43">
        <f>SUMPRODUCT($I$29:$I$41,L29:L41)</f>
        <v>5.6657719999999987</v>
      </c>
      <c r="M43">
        <f>SUMPRODUCT($I$29:$I$41,M29:M41)</f>
        <v>5.6657719999999987</v>
      </c>
      <c r="N43">
        <f t="shared" ref="N43:X43" si="24">SUMPRODUCT($I$29:$I$41,N29:N41)</f>
        <v>3.9305165591397841</v>
      </c>
      <c r="O43">
        <f t="shared" si="24"/>
        <v>2.1372928888888887</v>
      </c>
      <c r="P43">
        <f t="shared" si="24"/>
        <v>5.6657719999999987</v>
      </c>
      <c r="Q43">
        <f>SUMPRODUCT($I$29:$I$41,Q29:Q41)</f>
        <v>0.21777777777777776</v>
      </c>
      <c r="R43">
        <f t="shared" si="24"/>
        <v>1.926876</v>
      </c>
      <c r="S43">
        <f t="shared" si="24"/>
        <v>3.0571574193548385</v>
      </c>
      <c r="T43">
        <f t="shared" si="24"/>
        <v>5.6657719999999987</v>
      </c>
      <c r="U43">
        <f t="shared" si="24"/>
        <v>5.6657719999999987</v>
      </c>
      <c r="V43">
        <f t="shared" si="24"/>
        <v>5.6657719999999987</v>
      </c>
      <c r="W43">
        <f t="shared" si="24"/>
        <v>5.6657719999999987</v>
      </c>
      <c r="X43">
        <f t="shared" si="24"/>
        <v>5.6657719999999987</v>
      </c>
      <c r="AC43" s="60" t="s">
        <v>254</v>
      </c>
      <c r="AD43" s="81" t="s">
        <v>267</v>
      </c>
      <c r="AE43" s="61" t="s">
        <v>256</v>
      </c>
      <c r="AF43" s="81" t="s">
        <v>257</v>
      </c>
      <c r="AG43" s="61" t="s">
        <v>258</v>
      </c>
      <c r="AH43" s="81" t="s">
        <v>259</v>
      </c>
      <c r="AI43" s="62" t="s">
        <v>293</v>
      </c>
    </row>
    <row r="44" spans="1:35" ht="15" thickBot="1" x14ac:dyDescent="0.35">
      <c r="I44" s="43">
        <f>SUM(I29:I41)</f>
        <v>5.6657719999999987</v>
      </c>
      <c r="K44">
        <f>I44*N27</f>
        <v>24.368911827956982</v>
      </c>
      <c r="AC44" s="63"/>
      <c r="AD44" s="82"/>
      <c r="AE44" s="64" t="s">
        <v>262</v>
      </c>
      <c r="AF44" s="82" t="s">
        <v>262</v>
      </c>
      <c r="AG44" s="64" t="s">
        <v>263</v>
      </c>
      <c r="AH44" s="82" t="s">
        <v>264</v>
      </c>
      <c r="AI44" s="65" t="s">
        <v>264</v>
      </c>
    </row>
    <row r="45" spans="1:35" x14ac:dyDescent="0.3">
      <c r="AB45">
        <v>1</v>
      </c>
      <c r="AC45" s="83" t="s">
        <v>268</v>
      </c>
      <c r="AD45" s="66">
        <f>-1*AF5</f>
        <v>-180000</v>
      </c>
      <c r="AE45" s="66">
        <f>AE15</f>
        <v>41239.314824158428</v>
      </c>
      <c r="AF45" s="66">
        <f>AF15</f>
        <v>48600</v>
      </c>
      <c r="AG45" s="66">
        <f>AE45+AF45</f>
        <v>89839.314824158428</v>
      </c>
      <c r="AH45" s="66">
        <f>AD45+AG45</f>
        <v>-90160.685175841572</v>
      </c>
      <c r="AI45" s="66">
        <f>AH45</f>
        <v>-90160.685175841572</v>
      </c>
    </row>
    <row r="46" spans="1:35" x14ac:dyDescent="0.3">
      <c r="AB46">
        <v>2</v>
      </c>
      <c r="AC46" s="83" t="s">
        <v>269</v>
      </c>
      <c r="AD46" s="66">
        <v>0</v>
      </c>
      <c r="AE46" s="66">
        <f t="shared" ref="AE46:AF46" si="25">AE16</f>
        <v>47012.818899540616</v>
      </c>
      <c r="AF46" s="66">
        <f t="shared" si="25"/>
        <v>0</v>
      </c>
      <c r="AG46" s="66">
        <f t="shared" ref="AG46:AG59" si="26">AE46+AF46</f>
        <v>47012.818899540616</v>
      </c>
      <c r="AH46" s="66">
        <f t="shared" ref="AH46:AH59" si="27">AD46+AG46</f>
        <v>47012.818899540616</v>
      </c>
      <c r="AI46" s="66">
        <f>AI45+AH46</f>
        <v>-43147.866276300956</v>
      </c>
    </row>
    <row r="47" spans="1:35" x14ac:dyDescent="0.3">
      <c r="AB47">
        <v>3</v>
      </c>
      <c r="AC47" s="83" t="s">
        <v>270</v>
      </c>
      <c r="AD47" s="66">
        <v>0</v>
      </c>
      <c r="AE47" s="66">
        <f t="shared" ref="AE47:AF47" si="28">AE17</f>
        <v>53594.613545476306</v>
      </c>
      <c r="AF47" s="66">
        <f t="shared" si="28"/>
        <v>0</v>
      </c>
      <c r="AG47" s="66">
        <f t="shared" si="26"/>
        <v>53594.613545476306</v>
      </c>
      <c r="AH47" s="66">
        <f t="shared" si="27"/>
        <v>53594.613545476306</v>
      </c>
      <c r="AI47" s="66">
        <f t="shared" ref="AI47:AI59" si="29">AI46+AH47</f>
        <v>10446.74726917535</v>
      </c>
    </row>
    <row r="48" spans="1:35" x14ac:dyDescent="0.3">
      <c r="AB48">
        <v>4</v>
      </c>
      <c r="AC48" s="83" t="s">
        <v>271</v>
      </c>
      <c r="AD48" s="66">
        <v>0</v>
      </c>
      <c r="AE48" s="66">
        <f t="shared" ref="AE48:AF48" si="30">AE18</f>
        <v>61097.859441842993</v>
      </c>
      <c r="AF48" s="66">
        <f t="shared" si="30"/>
        <v>0</v>
      </c>
      <c r="AG48" s="66">
        <f t="shared" si="26"/>
        <v>61097.859441842993</v>
      </c>
      <c r="AH48" s="66">
        <f t="shared" si="27"/>
        <v>61097.859441842993</v>
      </c>
      <c r="AI48" s="66">
        <f t="shared" si="29"/>
        <v>71544.606711018336</v>
      </c>
    </row>
    <row r="49" spans="28:35" x14ac:dyDescent="0.3">
      <c r="AB49">
        <v>5</v>
      </c>
      <c r="AC49" s="83" t="s">
        <v>272</v>
      </c>
      <c r="AD49" s="66">
        <v>0</v>
      </c>
      <c r="AE49" s="66">
        <f t="shared" ref="AE49:AF49" si="31">AE19</f>
        <v>69651.559763701021</v>
      </c>
      <c r="AF49" s="66">
        <f t="shared" si="31"/>
        <v>0</v>
      </c>
      <c r="AG49" s="66">
        <f t="shared" si="26"/>
        <v>69651.559763701021</v>
      </c>
      <c r="AH49" s="66">
        <f t="shared" si="27"/>
        <v>69651.559763701021</v>
      </c>
      <c r="AI49" s="66">
        <f t="shared" si="29"/>
        <v>141196.16647471936</v>
      </c>
    </row>
    <row r="50" spans="28:35" x14ac:dyDescent="0.3">
      <c r="AB50">
        <v>6</v>
      </c>
      <c r="AC50" s="83" t="s">
        <v>273</v>
      </c>
      <c r="AD50" s="66">
        <v>0</v>
      </c>
      <c r="AE50" s="66">
        <f t="shared" ref="AE50:AF50" si="32">AE20</f>
        <v>75223.684544797114</v>
      </c>
      <c r="AF50" s="66">
        <f t="shared" si="32"/>
        <v>0</v>
      </c>
      <c r="AG50" s="66">
        <f t="shared" si="26"/>
        <v>75223.684544797114</v>
      </c>
      <c r="AH50" s="66">
        <f t="shared" si="27"/>
        <v>75223.684544797114</v>
      </c>
      <c r="AI50" s="66">
        <f t="shared" si="29"/>
        <v>216419.85101951647</v>
      </c>
    </row>
    <row r="51" spans="28:35" x14ac:dyDescent="0.3">
      <c r="AB51">
        <v>7</v>
      </c>
      <c r="AC51" s="83" t="s">
        <v>274</v>
      </c>
      <c r="AD51" s="66">
        <v>0</v>
      </c>
      <c r="AE51" s="66">
        <f t="shared" ref="AE51:AF51" si="33">AE21</f>
        <v>81241.579308380882</v>
      </c>
      <c r="AF51" s="66">
        <f t="shared" si="33"/>
        <v>0</v>
      </c>
      <c r="AG51" s="66">
        <f t="shared" si="26"/>
        <v>81241.579308380882</v>
      </c>
      <c r="AH51" s="66">
        <f t="shared" si="27"/>
        <v>81241.579308380882</v>
      </c>
      <c r="AI51" s="66">
        <f t="shared" si="29"/>
        <v>297661.43032789737</v>
      </c>
    </row>
    <row r="52" spans="28:35" x14ac:dyDescent="0.3">
      <c r="AB52">
        <v>8</v>
      </c>
      <c r="AC52" s="83" t="s">
        <v>275</v>
      </c>
      <c r="AD52" s="66">
        <v>0</v>
      </c>
      <c r="AE52" s="66">
        <f t="shared" ref="AE52:AF52" si="34">AE22</f>
        <v>87740.905653051363</v>
      </c>
      <c r="AF52" s="66">
        <f t="shared" si="34"/>
        <v>0</v>
      </c>
      <c r="AG52" s="66">
        <f t="shared" si="26"/>
        <v>87740.905653051363</v>
      </c>
      <c r="AH52" s="66">
        <f t="shared" si="27"/>
        <v>87740.905653051363</v>
      </c>
      <c r="AI52" s="66">
        <f t="shared" si="29"/>
        <v>385402.33598094876</v>
      </c>
    </row>
    <row r="53" spans="28:35" x14ac:dyDescent="0.3">
      <c r="AB53">
        <v>9</v>
      </c>
      <c r="AC53" s="83" t="s">
        <v>276</v>
      </c>
      <c r="AD53" s="66">
        <v>0</v>
      </c>
      <c r="AE53" s="66">
        <f t="shared" ref="AE53:AF53" si="35">AE23</f>
        <v>94760.178105295476</v>
      </c>
      <c r="AF53" s="66">
        <f t="shared" si="35"/>
        <v>0</v>
      </c>
      <c r="AG53" s="66">
        <f t="shared" si="26"/>
        <v>94760.178105295476</v>
      </c>
      <c r="AH53" s="66">
        <f t="shared" si="27"/>
        <v>94760.178105295476</v>
      </c>
      <c r="AI53" s="66">
        <f t="shared" si="29"/>
        <v>480162.51408624422</v>
      </c>
    </row>
    <row r="54" spans="28:35" x14ac:dyDescent="0.3">
      <c r="AB54">
        <v>10</v>
      </c>
      <c r="AC54" s="83" t="s">
        <v>277</v>
      </c>
      <c r="AD54" s="66">
        <v>0</v>
      </c>
      <c r="AE54" s="66">
        <f t="shared" ref="AE54:AF54" si="36">AE24</f>
        <v>102340.99235371912</v>
      </c>
      <c r="AF54" s="66">
        <f t="shared" si="36"/>
        <v>0</v>
      </c>
      <c r="AG54" s="66">
        <f t="shared" si="26"/>
        <v>102340.99235371912</v>
      </c>
      <c r="AH54" s="66">
        <f t="shared" si="27"/>
        <v>102340.99235371912</v>
      </c>
      <c r="AI54" s="66">
        <f t="shared" si="29"/>
        <v>582503.50643996336</v>
      </c>
    </row>
    <row r="55" spans="28:35" x14ac:dyDescent="0.3">
      <c r="AB55">
        <v>11</v>
      </c>
      <c r="AC55" s="83" t="s">
        <v>278</v>
      </c>
      <c r="AD55" s="66">
        <v>0</v>
      </c>
      <c r="AE55" s="66">
        <f t="shared" ref="AE55:AF55" si="37">AE25</f>
        <v>110528.27174201666</v>
      </c>
      <c r="AF55" s="66">
        <f t="shared" si="37"/>
        <v>0</v>
      </c>
      <c r="AG55" s="66">
        <f t="shared" si="26"/>
        <v>110528.27174201666</v>
      </c>
      <c r="AH55" s="66">
        <f t="shared" si="27"/>
        <v>110528.27174201666</v>
      </c>
      <c r="AI55" s="66">
        <f t="shared" si="29"/>
        <v>693031.77818198001</v>
      </c>
    </row>
    <row r="56" spans="28:35" x14ac:dyDescent="0.3">
      <c r="AB56">
        <v>12</v>
      </c>
      <c r="AC56" s="83" t="s">
        <v>279</v>
      </c>
      <c r="AD56" s="66">
        <v>0</v>
      </c>
      <c r="AE56" s="66">
        <f t="shared" ref="AE56:AF56" si="38">AE26</f>
        <v>119370.53348137801</v>
      </c>
      <c r="AF56" s="66">
        <f t="shared" si="38"/>
        <v>0</v>
      </c>
      <c r="AG56" s="66">
        <f t="shared" si="26"/>
        <v>119370.53348137801</v>
      </c>
      <c r="AH56" s="66">
        <f t="shared" si="27"/>
        <v>119370.53348137801</v>
      </c>
      <c r="AI56" s="66">
        <f t="shared" si="29"/>
        <v>812402.31166335801</v>
      </c>
    </row>
    <row r="57" spans="28:35" x14ac:dyDescent="0.3">
      <c r="AB57">
        <v>13</v>
      </c>
      <c r="AC57" s="83" t="s">
        <v>280</v>
      </c>
      <c r="AD57" s="66">
        <v>0</v>
      </c>
      <c r="AE57" s="66">
        <f t="shared" ref="AE57:AF57" si="39">AE27</f>
        <v>128920.17615988826</v>
      </c>
      <c r="AF57" s="66">
        <f t="shared" si="39"/>
        <v>0</v>
      </c>
      <c r="AG57" s="66">
        <f t="shared" si="26"/>
        <v>128920.17615988826</v>
      </c>
      <c r="AH57" s="66">
        <f t="shared" si="27"/>
        <v>128920.17615988826</v>
      </c>
      <c r="AI57" s="66">
        <f t="shared" si="29"/>
        <v>941322.48782324628</v>
      </c>
    </row>
    <row r="58" spans="28:35" x14ac:dyDescent="0.3">
      <c r="AB58">
        <v>14</v>
      </c>
      <c r="AC58" s="83" t="s">
        <v>281</v>
      </c>
      <c r="AD58" s="66">
        <v>0</v>
      </c>
      <c r="AE58" s="66">
        <f t="shared" ref="AE58:AF58" si="40">AE28</f>
        <v>139233.79025267932</v>
      </c>
      <c r="AF58" s="66">
        <f t="shared" si="40"/>
        <v>0</v>
      </c>
      <c r="AG58" s="66">
        <f t="shared" si="26"/>
        <v>139233.79025267932</v>
      </c>
      <c r="AH58" s="66">
        <f t="shared" si="27"/>
        <v>139233.79025267932</v>
      </c>
      <c r="AI58" s="66">
        <f t="shared" si="29"/>
        <v>1080556.2780759255</v>
      </c>
    </row>
    <row r="59" spans="28:35" x14ac:dyDescent="0.3">
      <c r="AB59">
        <v>15</v>
      </c>
      <c r="AC59" s="83" t="s">
        <v>282</v>
      </c>
      <c r="AD59" s="66">
        <v>0</v>
      </c>
      <c r="AE59" s="66">
        <f t="shared" ref="AE59:AF59" si="41">AE29</f>
        <v>150372.49347289366</v>
      </c>
      <c r="AF59" s="66">
        <f t="shared" si="41"/>
        <v>0</v>
      </c>
      <c r="AG59" s="66">
        <f t="shared" si="26"/>
        <v>150372.49347289366</v>
      </c>
      <c r="AH59" s="66">
        <f t="shared" si="27"/>
        <v>150372.49347289366</v>
      </c>
      <c r="AI59" s="66">
        <f t="shared" si="29"/>
        <v>1230928.7715488193</v>
      </c>
    </row>
    <row r="61" spans="28:35" ht="15" thickBot="1" x14ac:dyDescent="0.35"/>
    <row r="62" spans="28:35" x14ac:dyDescent="0.3">
      <c r="AC62" s="201" t="s">
        <v>265</v>
      </c>
      <c r="AD62" s="202"/>
      <c r="AE62" s="203"/>
      <c r="AF62" s="69">
        <f>NPV(0.05,AH45:AH59)</f>
        <v>747196.06541104044</v>
      </c>
    </row>
    <row r="63" spans="28:35" x14ac:dyDescent="0.3">
      <c r="AC63" s="204"/>
      <c r="AD63" s="188"/>
      <c r="AE63" s="188"/>
      <c r="AF63" s="84"/>
    </row>
    <row r="64" spans="28:35" x14ac:dyDescent="0.3">
      <c r="AC64" s="71"/>
      <c r="AD64" s="32"/>
      <c r="AE64" s="72"/>
      <c r="AF64" s="85"/>
    </row>
    <row r="65" spans="29:32" ht="15" thickBot="1" x14ac:dyDescent="0.35">
      <c r="AC65" s="74"/>
      <c r="AD65" s="75"/>
      <c r="AE65" s="76"/>
      <c r="AF65" s="86"/>
    </row>
  </sheetData>
  <mergeCells count="6">
    <mergeCell ref="B2:C2"/>
    <mergeCell ref="AC62:AE62"/>
    <mergeCell ref="AC63:AE63"/>
    <mergeCell ref="AC12:AI12"/>
    <mergeCell ref="AC32:AE32"/>
    <mergeCell ref="AC42:AI42"/>
  </mergeCells>
  <phoneticPr fontId="5" type="noConversion"/>
  <conditionalFormatting sqref="AD15:AI29">
    <cfRule type="cellIs" dxfId="5" priority="5" operator="greaterThan">
      <formula>0</formula>
    </cfRule>
    <cfRule type="cellIs" dxfId="4" priority="6" operator="lessThan">
      <formula>0</formula>
    </cfRule>
    <cfRule type="cellIs" dxfId="3" priority="15" operator="greaterThan">
      <formula>0</formula>
    </cfRule>
  </conditionalFormatting>
  <conditionalFormatting sqref="AD45:AI59">
    <cfRule type="cellIs" dxfId="2" priority="1" operator="greaterThan">
      <formula>0</formula>
    </cfRule>
    <cfRule type="cellIs" dxfId="1" priority="2" operator="lessThan">
      <formula>0</formula>
    </cfRule>
    <cfRule type="cellIs" dxfId="0" priority="4" operator="greaterThan">
      <formula>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7 3 5 1 2 4 B 7 - 2 B 0 F - 4 B C A - 9 F 6 D - 5 9 8 7 1 D E F 2 F 7 F } "   T o u r I d = " 9 e 3 5 1 3 5 c - 8 9 3 9 - 4 0 9 8 - 8 4 7 c - 8 a 4 f 1 9 4 1 0 8 7 6 "   X m l V e r = " 6 "   M i n X m l V e r = " 3 " > < D e s c r i p t i o n > S o m e   d e s c r i p t i o n   f o r   t h e   t o u r   g o e s   h e r e < / D e s c r i p t i o n > < I m a g e > i V B O R w 0 K G g o A A A A N S U h E U g A A A N Q A A A B 1 C A Y A A A A 2 n s 9 T A A A A A X N S R 0 I A r s 4 c 6 Q A A A A R n Q U 1 B A A C x j w v 8 Y Q U A A A A J c E h Z c w A A A m I A A A J i A W y J d J c A A C 4 5 S U R B V H h e 7 X 3 3 d 1 z J l d 7 t b u S c A w k w A C B I A m B O Q w 1 n m D S j m Z 2 1 t V 7 J R 7 a 1 x 5 a 8 q 7 M + x 3 + W j 8 / x L 7 K 1 0 i R p S A 6 H O U c w g g k Z B A k G E E C j I 3 y / W 1 X v v W 5 0 N x o k p X k d P u B 2 3 a r 3 0 N 1 4 V d + 7 t 6 p u 1 f N 8 e e r i A u W R E q V F B d S 5 p o f u P C 2 g f W t m a W Z + g c 4 P F l F f a 4 D 6 x w s p G l 2 g n U 0 T V F p a S n 7 / P E 1 N T V F J a Q l V V 1 V J m d f r 1 e + k s L C w Q D O z s 3 T / 3 g C V r N h F H g / R x u a Q P r o 0 X v q 9 V F U U o l O n T l N f X y / V 1 t b G f M a r 1 6 + p s q K C C g o K d M l i + O f n a Y 6 / Q 0 N D g 8 r 7 / T T 1 / A W 1 t a + k a C R C R c X F 8 p 4 + n 4 8 K C g v p + N W 7 N O s P y L l 5 J A c T 6 l K e U C n w + d 7 N N P E q S l e H v e S h C I X C i h D 8 K m l 5 Y Y R 6 6 p 7 T z M w s N + w a I Z A T 4 X C Y n g w O U T g U 4 o Z Z w I 1 4 T s p a W l v o y m Q T F Z e U y X l e J t W h d f O i L w c D A w + o q q q S m p u b d U l y e M B c j b m 5 O T p / 7 g I d P H R A l x D d u X O X e n o 2 y n n m X H z X g g K f 5 H 2 + A j p y 5 b 6 U 5 5 E Y n q 9 O 5 w m V C K 1 t G 6 m h v J B u j L C F K o j Q G 7 Z K i k i G U E S z 9 / 9 E q 1 c 2 0 u Y t m + l W / 2 3 q 2 9 Q r 5 Y p s W k 2 B x y 9 8 9 P B 5 o c 7 Z W F 0 b p n W N z F z G g + c F N P i y g D 7 q m K c i n x Q t w p u Z N z Q 6 O k 4 b 1 n f r k s R Q 5 C i g R 4 8 e M b H 9 t G l z n z 5 i 4 9 s / f 0 e f f / a p 6 I Z U S G G t g o E A V b L V D U V 9 d P T S D T m W R y z y h E q A 4 v o d F A i E 2 Z W L i o B A k O 7 G I L X X R C x C H T 1 2 n F a 0 t t L G j e s l b 8 q X i 5 F X P i o p X K B r o 0 W 6 x I Y 3 G q D Z F 8 N U 1 t B F v a 1 B a q m M 6 i M K l y 5 f o V 6 2 K v G W M R 5 H j x y j / Q c + p j C 7 c / i f y h z n G + I Y 4 P + 4 c u U q 7 d i x X Y 4 5 J R p l d 7 C o m K W I / n z h F k X 4 v f K w k S e U A 9 U r d 9 D s D L F b F 6 I I N z w 0 r O b K M P U 2 B + W 4 I U w w 4 q F X c x 5 q 0 o 3 7 b Y l k c P P R K 3 Y J A z T l W a 1 L i K 3 R A n 3 c G Z B + U n n r Z p q K N O o j s Q i x K 1 n I f Z x E O N g 1 T z 5 H 9 + 3 f / v g V W 5 9 P h A y J 4 C T W h Q s X a f f u X d w f f M H 9 r H o p c x I L f S t 8 r s d X T N + c v S L H 8 x B C X c 4 T i l H a s J 3 m A x F a V + + n F V V h m n z 2 j B r q 6 y 2 y O E l z 5 H 6 J p C j 7 a f f y + z 2 J A H f s + P E T d I j 7 N K b R z s 7 O 0 v T r a W p d 0 a r P I n o x 6 6 U r C S x Z M s D y 9 T X 7 a f r F J D X W V 3 N f b 4 Z q a m q S k h D A Z x t c u 3 a D t m 7 d T P 3 9 t 2 j T p j 7 r m B k E w f s U F h f T 1 2 f y L i C A n j Z f w d y V w p I K K q z d T v 7 5 M B 3 o m K H W y h B d v H i J 6 u v q h D B G n C h k 6 2 H K p g N 4 o 3 c H + j a H D x 8 U y x j g v g p G 4 K a n p 8 l X E N t x q i u P L o v E 8 y E P X R o p o 7 Y V L e I W Y l Q P 1 i U V n P 8 z y A Q d l h D f 7 R n f a J A 3 r j B u B A G / n z 7 f 0 0 u N t V U J r 3 E u i e f r M 7 l r o c o b u s k f L J f G c q h r T h o J G o h p c K Z R G Z j 8 5 I y P b o z Z d / i u h j C t q V O D C O 8 T r 1 6 / o m g k S n V M b i d u 8 m c / 5 e + w X J Q V L V B b T Y h W 1 S y v 3 + O 0 W L d v 3 a b 1 G 9 b T 4 O A g d X R 0 i K U y Q g t R m g l G 6 e L d J / r s 3 E P s B E k O o b p l M 5 W y / / / x m j d 0 s H P W u u O + Z h c L a S y Z Y v P 1 Z R G t K W A k 7 n 0 D 1 u D U y T N M p l p d w u 7 X a C G d f F T 8 V m Q C 5 o I e d m d t M u G 9 Y v 7 N J F D / u z q x p 7 d H b j g Y Q r 9 7 5 y 4 F g 0 F 6 9 e q V f F / y e K m 6 r J g + 2 d k j 5 + Y i 2 E J d S e O S Z h f 2 d L d T Z U W p W C P n K N 7 g 4 D C t W t W m z 1 I w R B p 8 U U C r 2 Q o d O / a D u E E 3 b t 6 m Y N N B 8 n K v / 2 3 n k J x A g 0 S f C X N D a L S Y r C 0 r i x 2 5 M 3 2 3 9 4 E C v p W G m V v 7 1 g a k n 5 U u n N Y K m J y c Z N f 0 D V s o D 6 1 b t 0 4 I V l 5 e L h P D 3 5 z r 1 2 f l D j x f n 8 0 t Q v 1 s V 4 9 M s q I B O 8 m E O 3 A o F J F J T A W U k 5 z z 9 O l T O s n W Y u / e P d T e b h P O 2 c D L 2 Z 3 a u y a 9 S A J 8 3 s T E B H f 0 b 1 N l Z Q V 1 s u t U W F Q o I 2 q d n R 3 6 L B v P Z 7 x 0 b S z 9 g Y j l Y P O K I D V V L N c F l F f R r 1 2 7 T q 2 r u q i x p l T 6 g S D c 7 O y c T D Y X M 6 m + v X h b z s s V e L 7 J I U J 9 s m O D E C m e T J C L F y / T r l 0 7 5 L w 3 b 9 7 Q 3 b v 3 q L t 7 H T c M 7 m g n w M S 0 j / o n Y k f K 2 m o i t K E p d Q j R i x c v x D I 2 N T X p E h u I V F i 7 d g 2 V l C i i T s 9 7 6 M J Q s e h / T b z t S K W x V h h i X 7 P x A y q O v p A R x K k X L + k S X 8 + D B / Z R T W 0 d f X f 5 r p y X C 8 g Z Q n 2 4 c Z X c M W 0 y Q W y X D m 4 L O t o g U b J 5 G i f m w x 4 6 x X 2 Q e O z v n K d C N n L P n z 9 n K z R p 9 S / w m W i A W 7 Z s E n c u E T A 4 c u r a M E W q / 7 Z 9 k A / Z 7 S t d h t v n B P 4 n u I 7 + u R m 6 P 1 V O a y t f U n 2 9 m r e C x T I D F k e v 5 k b I E h P q a t Y T a v / m T v K x j 2 + s k y G R S a 9 c u U b b t 2 + 1 8 u k A B D l 7 9 j z 5 G w / q E h t b a o f F y l R W V u q S p Y F P P v o e + 0 j L x b v M p x 0 d K O V r F 6 W y I g 8 F Q 2 H a X D 8 p 1 x J W G N Z r 3 7 4 P 5 X o d v / F I / 0 X 2 w v P N u e w m 1 G d 7 + i g 4 P 5 + U T M D 8 f I C t V / p 9 l H v 3 7 l N r a 6 v 0 E + I H C v C + + z v m q A h m K g 3 c f l p I Y 6 / f b t T u f e J t C D X K 3 x u x i E E M 8 M k k j C r v q J m h h p I 5 q q 6 u l u u B y V 9 E s O O K n 7 o z p E 7 K U m Q 1 o T 7 b s 4 V C A R X d P T w 8 w s S Z p 8 n J Z 5 J f s a K F C V F N F Z U V V J h i m U M 8 0 E B G R 8 e o r W 2 l 5 M 8 + K a b Z o G 5 J D H Q r P u o I S O h Q M s w E P H R u 8 K / f N 1 o u l k O q y 8 N F s o w k F o j w U N r u 1 i m q r q o Q 3 Z q n Y u D 6 n b i V v f N U n m + z l F C f 7 t 5 C k x M j N D Y 2 L q N 6 G 3 s 2 S m V C D B B O 0 9 u 7 v P 4 K Y u v g w i C K I R K J c l / p m f Q Z Z h Z q u A + h l m I k G o o O 8 V 3 8 9 O N i 7 m / Y 5 H M b a s u i t K N N x S 0 m A + I Y M e + W 3 K r a p E I s Y Y F P h V H B 5 Y O l w v W H R 3 D x 4 b g 6 K c v A t w 3 8 9 9 k l G 9 e 0 U S T k l 0 4 x B h k 6 u z o X k Q k V v G G D i h J f D g p 8 B f T 1 1 9 9 K 4 4 D L 1 9 X V J S E 9 l 4 7 / k f a u f C H n j E / b j Q 2 T p 3 A L f 3 h Y k h a Z f N 4 F 6 m p I f 7 H h + 8 T L O a 8 Q P x m O D Z T Q i Y f F S 7 i o a r o B + P 5 B C U X 1 d Y e F e v p 0 U r w E v 3 + W 1 j Z j Y G Z x 3 W W 6 e L 4 9 f y 2 r L B Q m G A 9 v 7 Z Y 5 H U y M Y u Q M M / t O M q H S H z 5 8 J K E z y w G G 0 9 E w M H E Z D 7 i R 5 8 6 d p 9 q 6 e n o Y 6 K C y 8 s T D 7 f H Y s z p A 5 1 3 k / s G 6 H E 4 y S f 1 s x k v X 0 5 w P c / a p 4 E r C S q E P i / 4 n 5 t 6 w I P L y E x U X m E 3 I u t C j T 7 Z v o J G R U W 7 0 Z V J Z W J k a X 2 n I o s O 8 H M C i n T t 3 I S G Z A B A N 7 1 u 7 Y o M 0 n k R A c U t l R E i E R o u G V l n s r g a F / w H D 4 I n Q u I w J Y L Z L W i P Z O g B 1 g F A l 9 D 1 X r l w p U x O 7 O p Z e Z Z x p y C p C / W z 3 Z n E r s H 4 H B I D V i B + 6 R s V i 2 b i Z K 0 k F Q 0 S k 6 G 9 9 8 s n h p O E / L 1 + + 4 k Z S S G e P / o F 2 r b X v 4 h + s D t L + z o C Q B y T q a w 0 J i Q z n r i 9 j K c b f C s f F V d O Z d 4 C 5 f q O v 1 a B P b 1 + v T J Q j P E n B Q z v X L p 7 g z m S w g 5 Q d P 3 X c n 8 G I H v o 1 U p E s r 1 + / t i o V g I 4 Z / H X r u n R J c j x 6 9 J j O n j 0 n + t W r 1 2 n z 5 k 2 i J x s J Q x D r t m 1 b 2 c 0 s o y a 2 Q j g P U l H M n f E U I 3 5 v H C O E b g L 6 S + 8 D 5 v o P v f D R g 2 c + v v G 8 l D 7 n 6 + l p d q G n 6 d p g i K 9 R k a M m M / z n z x e u J 6 / t D M K n O z Z I h 9 f M N W H n I W d E A s p m 2 f 0 r 5 w a / F N D v Q s V j 4 A E L 8 p C 2 t L T o o 6 m B y I i h o W G J y S s p K Z a o 7 G Q Y e l l A 9 5 + 9 / 0 j 1 9 4 W d 7 U G q K Y 1 1 8 9 4 2 Q N f p B n e X D l B t T Q 0 T a k b 2 q D g 7 W E 5 V R W P 6 a G Y j K 1 y + Q 9 v W i x s B N w / E A a n i y Q Q M D a Y 3 q Y j I C c S k 3 b l z T 8 i R L p k A / B 0 s I M g 9 M P B Q 9 n K 4 f v 2 G D N + P D I / I d w N C E Y + r y Q Q 4 1 3 w B z 2 f f v r n o K h B U c D 8 U r t / K l S v I P z f L v S 0 P T Q e z o z + V 8 R a q m K 3 H 1 t U N 0 s k F o S D Y Y 8 4 E m A J i n W Z n Z U I W w + i J A I u E U T z E 9 G E r L Q w y I J A V G 5 J U V C Q e i E g X I B G s X j g c s d 4 L Y U a Z c O H 3 d Q S o p G C B / O y a n t W j k W / b v z J W C q + H 2 R 0 2 8 1 O 4 2 f h 9 9 f T 8 z Z Q c z 2 R k f B / q 4 8 2 d Q p 4 F b Z 2 G h k Y W k Q n A 6 N y j h y q W D A 1 8 f F x N L I J 8 v / / 9 H 6 R i M Z S L i V 6 Q C e d g g C N + T d L b Q I b t u R U a M i G w N l P u Y g g A f j h V I G Q y R E r W j 1 w K p i 7 w C v f b o K m p k c Z e R O n F X I O j Z j P z J 6 N d v p 4 1 K 2 m G r Q o a v 5 l A v D 8 6 q 4 / a F Q h c v n y F v H p p O 6 I c s G v r r V u 3 2 Q q 9 p F / 8 4 h 9 k 1 A / R 6 O Y u i u U b q 1 a 1 C 7 n e B b B 6 w W C I S h 3 E T B S l 7 m Y 8 Z k K B T H z 3 l U E W A B b m b W D q 5 O x I n U x p 4 P p i D 4 2 N j T P i + v l D S / d x 3 Y y M 3 q R l R V 2 5 F c 6 C 5 R K w O m U L K l r B i f G J C d l j r q u z g / p v 3 p L + F f a o g z W C H x 8 P v B / I d P L k a S H E 2 w L D 8 x U V F T K c b n B 1 x H 3 D 5 O k C p J q e V z c Y V M F y 9 t F w j E l Y e P Y 6 T N 8 / K J Z R 1 E e P n t C m 2 n G a C f D 1 c d R x p k n G W q i P N m + Q Y X G 4 a u P j E 2 J h M H g A K w O Y O y H u f o 1 6 / + 7 7 D x 7 K 3 t 1 L A V Y K 8 1 e H D h 2 k i x c u 6 d L 0 g O 8 T C A b p 9 / / 3 3 2 R w w j m 6 9 f S N j 6 b m M t o p E J h g 4 A C 7 r u n C 4 S x Y d T M 2 X 8 f W O 0 L t P f u o f u 0 O e v b s u V y v q T f L m 3 R 3 E 7 h 2 N b U y T J 6 N j 9 D t 2 3 d k W 6 v m Z j U 5 i K X q i N / j K p P 8 z Z v 9 M r m r y k j 2 v E N I E l y + d A D L A m I N D A z o k s W A u 2 k a y H d H j o k L U 1 x U R L / 4 x 5 9 L m Q E i z G + O J 9 8 L L 5 O A C H s M q j h j F t M B a s 4 C X 7 J p v 1 I f T B V T a 8 W 8 D A b t b J 2 m U A R u 5 e I 6 z w T x f H f x p u P e k R n 4 a M t 6 i g T U T k U A G j T k / P k L t H P n D m n U 2 L w / 0 e g c C H b / / g N a v 3 6 d D B a k A i w f R g e x k L C r c y 1 1 r + + W L b 1 w F 8 W o H S Z + y 8 s r Z D Q Q G 7 c 0 N i b e 3 R V 3 c g T J 5 h E L 8 Q S K I / Q m 4 O M b U 5 j 2 r p q l N 6 + e 0 6 X x G r 7 T R 6 i 5 x h 6 4 y B R k Z B / q 8 Y D a o w A V Y q w D N j z B Q Z / P K 0 P g 9 m Y r s Y C 1 a m e 3 7 9 t v / 6 J L l J W J B 6 x d a W k J r V 6 9 i l p 2 / 5 Z 2 7 9 k t n 3 f q 1 B n 6 t z / 8 i b 7 7 7 p g s 4 1 i 3 r p P v r D 1 5 M q W J o g L H / Z v V P a t V Z L 3 X 4 6 W 5 o N r G r a 8 1 T O E I H 0 x Q 9 2 6 X j H P o t 3 e 2 0 8 T E U 9 E N m W C p + v p 6 Z L j 8 + P G T 4 q Y 5 h 8 4 N c D 6 i n S + c v 0 S t K 1 r E X R w e H h Z y w e J g 5 h 5 W 6 e j R 7 8 V 6 I S I d g x 6 V J Q u S h 3 X 6 6 K M P 6 e f / 8 O / o 7 / 7 u Z 2 I J M Q m 8 w r F V s h P Y / D 9 P p l g E H f 0 u B N A e f 1 C s B j f 4 Z n V t r I x a W 1 u o r h z 1 y m 7 9 y 8 y 7 d h n X h 6 q r L p N 4 O U M m Y G R k R G s L t H / / R 1 a f y Q C E Q 0 g Q X D 0 M F B z + 6 U H a v m 2 b T N o 2 N 7 f Q x x / v o y + / / I b P U x E W 2 B I Z W x b D l c P f 7 l k d T B q B j c l a b g s x w M 0 V I T r v E l m Q K 0 D E S G d 9 S N U u X 8 i p + T K + C f H N k P X 5 U O b 1 p T C 1 k K D Y n V J S 6 K O x 0 V H a t K l X C G W k v b 1 d L I w J Y A V A I A w + Y J Q P f R 1 Y G v S b n P N K 1 d V V 1 s A D t h H G k g 7 E 3 x n g 6 Y A h 7 n P h s 7 E x Z D z w 2 c F g 7 F 5 8 2 F / h + / c U W J r N w D 6 G C g t y 8 / F 4 l F W 6 L 8 / L U j W + s I C p U r v + M 0 E y q g + 1 e / 0 q c b u M d Q K J 7 t x W / a k b N 2 5 K C i C O D i 4 f J g 4 x t L 5 3 7 w d J 1 z E Z b N u + V f p S I I N x 0 6 5 d v y k j d q n g J C j m a U 4 8 z J M p H c y F P N R R b 8 9 j t S 3 0 q 3 r G i 2 X y P T Q 4 j r y o G S E Z 5 Z P A n I I s x j I h I H Z j z w Y 5 t m a N / W y l W 7 f u C K E w L 4 W t r J y N P h E w k h f w l E s / a X / X P K 1 l n / 6 H a x N 0 Y P 8 + f U Z i w B 3 E k n i l v 7 8 l D 7 k A 3 B M b K 9 Q y F 2 D M 2 0 u l z 4 6 L j r Y p p G I x 4 U 6 Z A m 5 p m l o u l 7 a 6 K p n 4 Q x A s y A S X D n 0 p g 5 t s o W B h v v z T V 9 a 8 V D o A K Z 4 8 G a L 1 q 9 U o H S Y t 3 w Q 8 V B 7 B Q 6 h T h 8 H A 5 8 d z c 9 E 4 j j 3 I k 2 m 5 c C 7 9 x 3 4 b P / n J B 1 R c w P X N 1 1 U 5 e 3 A I 2 X 2 X a c P Y 9 u B W y R g L 1 V J V I m F A x t 3 D 8 K o B y i q r q q n / Z j 9 9 8 u k n C c O J k g E u 4 Y Y N 6 t m 0 r + e 9 U s m D z 6 M 0 G V 0 l R E k F W L 6 O j r X 0 x y t 2 / G A e y w P 6 T 8 Z K 4 Q b 1 4 V r o 3 D j l V z X S q V c p d o 5 x G b z a s r p e y i o q K R C K y E Y h I B B i 7 Z z A F s d 4 a s W d 2 7 f 5 f P 6 D N P H 4 0 W O 2 U g u y k P D I 1 S k a u 3 O K R v q P E D 2 7 Z O 1 D n g o j k Q 4 q K k l / h 9 g 8 E u O D 1 Q E 6 + w T 9 V V N 3 q H i l 4 c Y W 3 x 7 c K h l h o e o q y + n O h J c e h 7 q p 0 B e V u 9 q 9 S R X G A y K c + O G k z C V h J C / J 6 H Z S P H / + g r 7 6 8 m t Z x l F c V k X N 3 X u p 7 4 P P 6 G c / O y z H v / v L U R o d H a V A Y P F + d Z h D m Q v h W b O Z G / D q B q A + M e o H d 1 s a p i 4 X j Q v g K M z O L b d m f x x 4 j l 6 5 v Y R j 8 + P j 0 L Y N 9 P W N M I V C Y b F O u M R b G 5 9 R / 4 1 r M u r X 1 t Y m e 0 k A s C r x T / x L B g x w Y G j d L N u 4 M N E k F b q q N k z r G p R l k v 4 a u 4 V 3 b 9 + j t R 2 r Y 1 b v o i H k 8 e 4 o L l i g f e z q h S N R O v W w g C o K g z T 2 M k K R M B Z l B i k S 4 p t Z N E T d H e 5 f 2 p E R F m r q + V N x y w A 0 8 A j r n o W w L M n A t l Q Y p Q P g n i 1 n e 7 D 7 9 w f k f f / y 5 y M y w I F d i W p L o x a Z A B A N + x 9 8 s H e 3 T A z 7 / c r f z 5 P p / Q H h W d h q D K O 4 u P 4 b m + x d k Y z 0 t q T 3 7 K 0 f G x n R h 7 r 9 o k G I B D H A s 5 R A A l i X l h a 1 H w E e Y r Z U w K s T I A r e f + e u H U J G 6 N u T b E U M Y m 3 b t k U 2 s 8 R T + / J 4 v x h / o 6 Y f 1 t a H 6 f Q D 7 d 6 h / p V G r 5 5 P W O 3 B z e J 6 C 1 V W U i x L H 5 x k A j B Z i 0 F V l J p F g N g g B Q 9 C S x d 4 A n x Z W b m Q K V H s X z w Q U X H g w E d 0 e e z d 9 p j I Y z E Q F f H k R Y H s X 9 H X p k P H u H J R w 8 2 V E a p v q K e 5 u d Q D R G 6 A 6 + e h A k U d M l f k J J R P 3 w Z Q V M I W C m R A d D h W x 5 r F b + m g m M m K s K S u r k 5 d s j Q 8 H i 8 V l i 2 9 S W Y e y w N c P e x d A Q p V s 6 7 q G H X u o Q L v g s R n P h 6 a k b y b x f U W K h Q C c R S Z j N u H p w Q C G J n D B C 8 m e 9 G / A T o d / Z + l E I 5 6 q W r N X i Y J L k b 6 i N + r L o 9 3 h z w a x 7 5 n c j 9 Z K w z P z K D s W I U R X r f D 9 b F 8 C O n B h X Z a K D w l A s B + d 2 a w I t k S i l S o r y r i u 9 6 E z q W P L k c M W h 7 v D w i Q l e p k 2 b o y a P G r f V U b r V y x g n q b u X + b o I 2 4 S V w f b Y 5 n M K m e k g 0 8 A Q J D 6 H v 2 7 C Z s g Q y Y g Y n l A J E O n v n n M W R N B 6 V W p H Q e 7 w 1 c B 7 h 5 n p P J X X b 7 S q L U X s M 3 L n g l u K l y Y 8 B V j 2 8 f b h O + 1 S c q d o 8 Y N 8 8 J 3 M U w 3 w R g G P v 8 h Y t L R p M n w 6 Z N G + n I t V c 6 l x 6 S r Y 3 K 4 + 2 h a n i B / O L i O 4 R L H 0 7 5 l M I I B B C G l L i t u E F c 3 Y c q q l 2 3 i E w G 5 4 b L Z R O W p 0 8 n l v 0 U Q i d 6 V 1 f R 0 N 0 L 8 j n Y e G Q + h A u T x 9 8 S q o 6 V H w L 1 8 j C i Y B b k s a o V R V G a m v U q P v H B q Q l 3 7 y 7 r 6 j 5 U O K z i 9 n C R 5 Z o 7 U F Z Z R 3 i 0 5 J o 1 a 8 g / N 0 c n T 5 7 S R 9 Q w O j q x 2 F Y 5 F X A e d k 6 C e 3 H 2 2 m P a 2 / 7 S 3 A h T w l 4 c l 8 e 7 w i K T J E q f 1 t M k R b 6 o T J n I k x 8 5 j 6 N P E S g b 1 0 7 c J K 6 2 U P b e K Y 6 L 7 k B h c a k Q A p O 7 i J p Q l U P y g G p s o X z 1 y j X J J 8 P / O 9 o v 0 e K / / A + f 0 + Z 1 z X T r 5 i 2 6 f u m c 2 j R T 7 1 u R D E 0 V E Q r F r d b N 4 + 2 g q g 2 E Q R 1 z h m X g m Z q T M m V 3 J w u k v M / l E R N e t f L E n T / o p B q S K M Q y a r p s i + z l h i c 5 4 J l D C G L F b q 3 Y 6 A N 7 Q 6 S a X 0 K 4 U u O q D d a E L r Y c 2 7 V 7 J 2 3 a 3 E e 3 + m / T p X F 7 Z X A i r C y e I P / Q a Z 3 L 4 9 1 g i K R z r I + + 9 t E j q + + 0 Q K / m V J A s d G c b c d u P q y 2 U D J m n Q G h B z 6 g z M J e E P f K w 7 Z d 5 l E 1 h k X 0 8 H h j E q J 6 / p 3 M 2 U L 5 q d T u t b v S R P x j 7 B b C A E f N e 5 8 9 d k N X C a z f v 1 0 f y e G c w i U A k E Z 0 H e Q z R k L s 4 V G h N k 7 g V 7 p 6 H A p Z x / W p r a 2 S S 1 w D D 4 t h X I h m w g U s i 4 L l O m 9 q 8 9 L / + 9 / + R r c Z u X L 9 J Z 8 6 c o 6 + + + l b 2 s d i y d T N b w V Z q q V r + c B / m K V b V Z M 6 C u b 8 J Q B h N I C E S S M X y k q 3 S T 9 a q L Q 9 M 2 c 0 x v k n G t x M X i a s t l F z H J R i V 6 i i 2 A s O z b z G 0 j g G K Q E B F W A C o n G R L 5 T H H N f o 8 R C t 7 P + H + W Q m t 3 7 C e d u z c T l 9 8 8 Z l s a G n c x I b y 5 R M D N 9 j u p h D V l e X H 3 p 1 A P a N O F q U s O 9 p t U n l l d y T 3 w t V 9 K L m I S w A 3 h l T A M 6 E e P X p E R 7 4 7 S i d O n J E l 7 3 g a O U b 4 h o d G Z D 7 r z Q x i x G w U + H x U V u C n i A 9 P 2 q t k U h X J 7 k f x k e y v 5 p f 6 9 M X Y u 0 Z Z x W R R 7 b k I Q x Z D I O h G T j 8 q o m C Y a N e q g B w L y S C f e 3 9 c b a E M U h F r 4 k 3 q 6 P K 9 P / l A 5 q k 2 b e 6 V S H G 8 V y N b J j z W B i E t e D 5 U Y N 6 2 X O g n 9 f R u o N r q S p q Z G k n 5 2 Y 2 y w 2 n 6 a K 8 N 5 4 f c 4 4 D r K z 9 I k 8 j 1 U f X I I v x E l u p Y / 8 j I C E K l Q v 8 S T 7 R A l D I q 4 + X L 1 7 J E H k s 8 6 u v q 6 C c f 7 p W w p e n X 0 3 L c A E v q s c 4 K g x y l 1 S 0 S L / g + U F q 4 Q O s b 8 z G A T i j C q J U E U g d a 5 E e X m X P O D x Z y Y 1 V 5 N 8 P 9 g x K C m M y y c O L E K Z a T C f t L W M 7 e 0 7 u R G v R G / x i 5 m 3 w 6 S U O D w z I X 1 V M 3 R e X 1 q 2 X h Y j J g U j g d Y B O S e G x b m c t u H 4 i h C e Q g l Z N E Q h 6 d x 5 A v + k + i x 7 c T F w l b q A S l L h G z r G K Z q y t i A A u 1 f / / H M p y e C D L A w J W E V b j n z l 6 g 1 h W t s o s s / u 7 p 2 A h 1 r q y i k e F R f f Z i Y O u x V M C 6 H m y T Z d Z w G W A J / b W x 3 N 3 c R X F F E 0 S n i k Q s T J 6 Y v D 4 e C C 1 Q k R c D Q b H t x E 3 i 6 m j z d N D d q B 6 H k g z l 5 U t v 7 I H h c x D o 4 / 3 7 Z J E i O r 5 w D e e 5 X I b e / f r J Y H E w y 0 g S Y U V 1 m N a x i 3 e w y + 6 f O b F r V Z A b i c 7 k G A x B l i P q G c p R m u f q T t R W 3 C K p b 6 8 / M t K x T C 2 V q V 2 u p X Z A w i j f k S P H 6 N j x M 3 T 9 1 m M a n / J T o R 7 n a G i o l y f B r + v u U g V x u J z i e b k b m 8 K 0 u j Z 5 n + n i U C 5 b J 6 d V U o I 1 G s 6 8 0 z I p i 6 W k 2 O f u O T z X 9 6 G W W k 3 r X + I 5 r x j 2 R q U k A s q v X 7 9 J X 3 z x O X 3 x 2 W F a 3 9 l K E f 8 U H T v 6 v R z b t m 0 r 9 f f f o p q 4 n Z T w m J p U u x 5 h O f e 7 u K n Z D 0 M Y p + g y j O I 5 8 m r 7 A y 3 R B b F Q C d u K S 4 Q t V I J S l w h e l 8 K b J e a C E O N n t h m L x x + O 3 6 c t W 7 c I a U v L S q U / h T 3 + t n I f C s v r 4 e 4 d P L j f i r 7 A 0 g 7 p + 4 y m t i 6 I l s 4 j M e T m J g Y K l g e k U R K 1 S K T d O x B J j u t y S 4 d H Y r c R t 4 m r X T 4 g 1 k I 5 d Y W l F v u B D H h k P w i C i j H h R g g h 6 m o I U 1 1 t j e S d K C k u k f M B k M p M 6 J 5 + n N 4 T 9 a J Y b p A C / D V y E P Y / z d R Q K Y i i y Y M Q E p V X p L F 1 r O T V Z T p 1 M 1 w + K K E u P E i l R L I x q C 1 b 3 D q x I 6 w T a 9 e u o Y s X L 9 P J k 6 f p 2 L H j d J T 7 T D + c O E 0 9 + l E 4 8 S g s 8 M k Q u h O 3 J g o d T S I 1 c N 7 k T P J 7 1 Z 2 n 2 f E 0 + L Q h 5 D A E c p L F C P I s Q h i d x p H I k C q + j b h N X N 2 H 8 n k X 4 i z U Y t w c i d L Z M + d o a m p K F h k e P 3 5 C w o q O H D l K X / 7 p a y H Q 4 O A Q z c 3 5 x f X 7 7 L N P + b 0 9 9 N P D B 5 J u i h l k 6 4 V J Y A M s J R h f x n 5 / w P C r 5 O e P L f O 9 D L A + K B M h 3 5 q J A r H I Y 0 S 7 c p b L Z 0 j l I J E h G P J N T d y f j W s n b h L P y V s P X V 1 L 0 + F V s h G l u r i q E g C V c C f V P 0 u f 9 6 m h b / S X 4 g k 4 N j Y m A a 3 y I A F + D 7 h w b 2 Z m K c y k Q X R 6 M o C I h w 4 d k M a A p f H L B W L 2 k o U Z 5 d o 2 z n a 9 K f c N z z K O R l h M y h K J c h 2 H O Y 2 E K M L 1 H Y m E u d 5 D X E 9 B L Q E q o n n a + x H m C N / u h v S 3 g O v 7 U K i E R F b K F J W U q i c P m n C h e G C 3 V 2 N t Q C a g s q J c + l B P n g x K P h 4 g M I b M g c X v m B 7 y M X v x U K R S F k f r z n 4 T 6 7 B S W O + k U p R F x D I p a x W h 2 U D U 1 W Q C X N 2 H g v A V x S t D c g l x P M X T A z F R i / i 8 e D Q 1 N c r y j o G B A V 1 i A w G y z n 3 + G s u X 1 x H e 2 Z 4 8 p G g o h S u Y n V C W S X 6 F J J p A R s R i 2 b p d B g v G K e e h q 7 / N 9 6 H e W X A H c w 5 I J B p M x 0 h f M n u A v 5 2 c f K Z z s c C y 9 8 B 8 Y B H h 1 G 6 0 9 o j e p h X L i 7 n D V s L J c F 8 / 1 y p X A E 8 P Y g + L 2 6 R B G t t 3 U u U x B N N k U m W y d s P V 4 u p 5 K I j s J I A a Q Q 6 s Q n E C p O r n D A 4 m d u 2 A 3 r 5 e c f 8 w i I G d k h A 5 M T g 4 b D 1 v C o A Z X 8 6 C Q I w I 5 m F D k U i T R g T E 0 s P h W o y b J 9 b I E E u X e Q m k i t D a O p f P 6 r K 4 v g 9 V W f S M L 2 w k Y f 8 o v k z 2 Q I z D z M w s B Y P J 4 / 3 w H n h o t e x C W 1 8 n k 7 u o z H i 0 Y R f T N P F 0 i T V a u Y J Y E i m C G C u l L I 7 W N Y E U 8 d Q x p w T D a g C j c + s u / c 7 u h e s J 5 f W Y j m k y p 8 7 G y Y e L r R S 2 E z t w 4 G O d W w y 4 e w 2 N 9 T J 4 U c p k w u B G S 2 u z D E w 4 s Z j O y Y G v m u j b v s a G + D k C R R Y 1 w G C I Y / K K T C y a M C Y 1 Y p d j B D D M E u V + b I i K y 9 z / G K G M e O A a X 1 m p A G O R E l k r g / g F h x j Z g y u X D L d u 3 a G 2 l S t 1 T q G t v Z 3 u 3 b u v c w q v / M u z O m q P 7 l i k C q b N N g i J N D m M 5 Y n J c y q k Y d 2 Q y I g a k F D D 6 c j X l A S p t i Q U 0 y b c K q 7 v Q 0 H w y l c W t c R f W n J J k W h J / E S S T S s x d x U K B R e 9 p 4 9 J i H k Q g y c v C 2 j w 5 f I I N R v 0 0 o m H a m D j 6 m i R z D 1 x 1 y E H o I l k S A S r J C T R 1 s q Q R h 9 X p G L y i A 4 i 6 T J N q v W N 8 9 R S E Z L 3 S d Q 2 3 C Y Z 4 Y M 0 V L 5 Q F z m B I 7 U U w Q D s K Y G / j w c i K N B 3 S o R 2 t l I I P / r + Q Q k 9 e J Z 8 f 7 9 U C E Z U M C 3 2 5 s 4 V 2 H N M h i w Q 2 1 p Z L p 8 c d 4 z g W b p t n R r L g 9 x A M c k b o b a e b f o T 3 I 2 M q W n l T / N F 5 w p R S E 6 k o w O x f a n q 6 i q 6 f P m q 6 L B K J 0 + c o r t 3 7 9 H Q 0 L A s L I y H 2 n Z s W k K Y n A / + y i M 1 h D i w S I Z E F n l U v Y k g b 1 I h k J 0 q A b G U p W r i f h P I B G + h o r Z B f 4 q 7 k R F 9 K B H C h c f F j p 2 X S g S u y 0 X w + b y y T w S s z p 4 P d t P 6 9 d 3 0 0 5 8 e k v e K B / b v a 2 5 u p n P n L t D r 8 c W 7 y + a x G I Y w x q 0 T o j j 0 Z G L I o 0 T r T C L o I F N Y w p E w y p u g T b h Q M s Z C N V T 5 5 S L D 3 z Z 3 Q o N E p B h 4 H m t 5 E P n w 4 M F D O n 3 q j C z p S O U q Y v n 7 4 8 d P 2 L J V U 0 d n 4 t W 6 e d g w 9 W G s j k U u h 2 4 d 0 6 I s k Y N I m k Q m 7 W 3 y y 0 g r y L R 2 y x 7 9 S e 6 H 5 8 z d J x n T V R 5 + h u B X H 3 l 9 h e T B F p 0 e 9 b g b w E k w A 2 y O Y o D j W N a B A N r l 4 O 5 k I Y 3 k X L h Q + l C E U W R y W i c h E w h i C I P U I g 2 G w p U r Z w n I g 2 B Y H R D b 0 z h D w U B Q X P R N B 7 / Q n + Z + Z F R v G W 6 f q h x l p f h F H 0 l s p T A g I J X N g u N 3 7 8 Y O h c c D c 1 K I T n c i T 6 Y k 0 N f V J h N S N a K H v C G W 0 Z W 7 r k S R z C H c U T X 1 C q I V e k E u d v d A N D 6 e S X B 9 L J 9 T 2 p o C u k L C U k m o x K V w 8 l 6 Q f v j h J I 2 M j K R 8 c A B w 8 e I l q q 9 v k A E L w B / E B + e R C L j y x p W z l 6 y b P K d a z K i e U + Q c Q y A H k V Q a p n V 1 8 0 I m 9 J + 2 H P 7 7 h G 3 B r e L 6 a P N 4 k U r C x e c L D n J x A Z c q J A q c D X q r a f s H + 6 m l p Z U + / H C v L l 0 M V H R f X y / 5 / X P s c q g 5 q N N P 0 l v y n l M A e U Q M e W w y I U Q s Z l D C I U 5 C J S Q S i 7 h 9 f L N U Z F J u I E b N 4 t u A m 4 V d v k T F 7 p W G G l Q g X 3 x T I a h A T S o + I m k 8 L g w V L 7 m O B h E V J S W l d P 3 a D e r b 1 K t L 8 4 i H W C Z D E k 0 e p a M + b P L Y r p 2 q J + R V m U O M q y c 3 S F V W 5 F F k g n V a 2 d 3 H n 5 a 4 H b h V M m 7 G s b I M l c X W y V Q C i 3 I v F J k S W S k g n V W 3 l Z U V t F / H / e X n n 2 I R a 5 U M a T R x F p F J p Y o 4 R o + q m 6 B V b / q 4 6 G y N W J C u q Z 2 n u X k M l 4 e o e U 3 m j b B m V B / K S K H P w x c / x B W C p f G q U p a y U i i 9 u 4 z N U R A h k Y e C I p M O I T J W S Z P K S C y Z u E 4 s M m k d d W T l d S p E U v N M R o + y d f I s h K i 4 p C x h 3 b t d M q 4 P B V m 9 E p W s f G 5 U h K o k t l q a V M k w 8 t r H D U J n U i C 4 x O a Z u Q N F J C W a S E I G J a I b q 2 X y F m G Q N y T S 5 S C M H F e 6 E E h u i o p M V U U B C s n Q e Z g 2 H / h s U b 1 n g m R c H 8 p I W b F X V 4 Q m F S q H U 1 R 8 K q T B J z r x K M c H I 3 B j E h I h c R B D r J J y s W 3 S O F M Q R J 9 j d C e J I J p I U m 8 g E 3 Q m E D Z n a S p D s H K Y K m u x n 0 f i e n e 7 Z F w f y q C t 1 U d c G 0 I i i 1 S 6 w o R U a A 0 J 8 P 1 A b N Q 3 V O y T h w c E w M 3 L t R 2 J E g H X R K y S J o s R 5 A 1 x Y v t O S G 3 d / j s m C 8 p B K o g 5 z 1 F X p u 4 q C r G z k b J O P X s P q i + S g f C c G x h K 3 P I y A K 9 e R 2 h s M k Q e X w H 5 W L x I v U h 9 5 P X 6 1 G R v k h C j / Z 3 z s q x i e o n H 0 e Q S j M u s r J J 2 8 8 R S a U J p k t l 5 n W r y x O i a Q M q t Q 1 6 5 d S A Q I i J M K i Q K B a i 7 f l a i I j p 2 H q L G Z r X j V C Y i o 1 t T T b X D S q E / B d d B u 4 F y 5 7 M a x O J 7 x g 8 P S / J k 0 r C u k S a M W B d N F o s o k t f k Q N 6 c F 1 O m 9 U V k 0 j r q R I R 1 1 J V I i N Y 3 + O n l T I T u P / V k N J k A z / m B 4 Y y 1 U A Y 3 7 7 4 h j 1 g m b a U k 1 V b K 6 y W v B 1 1 F x P 4 l t l a 5 D s s S x V k l V c a k 0 a m U S V 6 n Q i L k Q R y t G x I Z Q u m 8 s k o o 0 x t Z c p 6 i Q Z o P B C m i N 7 L 8 z T / / U n + j z E V W 3 K I L v A u O u 5 9 t o c R K 6 Q q N u Q s j z X V o k q j G r 8 h h W 6 V Y c f a R V N 4 c 0 + W Y U 9 L k Q Z 9 J E U f l c V z V B f K 6 P i Q f o k A Q 5 F J S W p I d O 0 V l B a E 2 d l d x J T u J F I q r P J W i I R h S 5 S z k h s I E 4 N R Y G l v U g I I 9 s K A I Y Z P I 5 O 1 y p + 6 8 g c W S y X G j 0 w R S V k r l M a f 4 q 1 / / X H / B z I b n / I P M d / k A c O R a / w v L 9 b P d P q R w + 7 T 7 x 4 J l H 9 B z z Q U 0 V h q E w g W z 8 6 p M U p B H 5 4 V I 5 p j o q s w i m J S D P L H E c p L J J p J O Z S S P X T y Q i t 0 8 L N X 4 z b / 8 U u o l G 4 B V R V n x g y D K Q p / t + t m V y B X H F S y b 0 U s l 6 4 q X 1 D S U 7 L V Y i h A 6 y o H / b 9 v 6 G N H X w 9 L t M r k 2 j u P m 2 l l l u K 7 m e u q 8 8 9 r b u r Z U T K K w 1 Y f i v h P n K 8 p L y Y e + b p b 8 Z N U w 1 6 a e B u 7 o G p c C R F I V a + k s 1 m S w n l R E Q 1 E N J / n c V a b B k E j d L G I J o g h j R P 3 / s X q C M s s C K d 2 + K a l r q K 4 t b l q a Y P p a q 2 s P 3 V E n I o p M W N / 2 q 1 / / e / 2 t s w N Z R S h g x 9 Y W r l B H 5 U m l s 1 h 3 T F S 4 u b N y m T Q U F j Q 8 u D A Z R y p 8 X 1 u c Z D K D D O a G Y Z P E W B m U K 1 2 d o 6 8 F R K 6 P f b 7 K O 8 S Z h y 7 X 2 S a X R S q I r g t x 8 y Q N c n 2 E 6 L e / + 0 / 4 B 7 I K n g s P R 7 L j t u x A J L p A l 6 6 M S 3 / K T P h i C D 1 m K B 1 9 K N 2 f s v p V M r R u U k w K 4 9 1 U P 0 t 1 t 9 z U 5 w J x k H A q Z F K Q G 4 I h F c q N 7 h B V p m 4 e S r Q O A u k 0 p k z n D T k V k V R q i G n I Z A i W l E z c Z 4 q E A 0 y m X y X c c S r T w R Y K j S S 7 B B t V r m 6 v 4 o q F h V I V 6 U y d l k p V v t a l c S h R 6 6 0 c D U v a o d 1 w f z T I d 0 k g 0 s B N g 9 c i r l q s 2 F b I l L F u h r 3 j j 5 t r I + c o k b 6 o 6 M Y i Q T R 5 n D p c P R m A i C d T k L q 6 1 j C Z M E y e u P 4 y W T w X H 4 6 6 o J X 8 d X D p y j A F Q w s S m q S s F F J Y K V g l 2 1 q J x T L W S a y V s l D I w z S J j h 9 O B V I m i m T j s a j U / F 0 8 Q A S t L g Y Y r F W G U l W Z / J W V K k L J U a T y n q r M y p s y T N x y v 4 X N k H X c v m G A X C Z v E 9 O p K 8 I h Z U L h f B D L k E 1 S B 6 m E R M g 7 y B Q K U H l 5 G f 3 6 v / 2 j f N 9 s R F Y T C j h z 7 h E 3 I b h 7 D t c v k f s n Z M J o o d Z B A i E O x J H H m 0 q K P H 5 V q m C O W y 9 p A g 3 f 0 q x X V W x 0 r X G q E q Q g g F O X j P y N p c e J K g N R T B l I o l J x 9 z S B h D h a t 4 i U I C I i 1 o K B Q C C T I R J W 3 i J V k R D F R Y X 0 m 3 / 5 l X z / b I X n 4 q P s J h R w 6 v Q D W s D 2 Y 1 Z 4 k i a V F t t K K V I p A i k S G e E X W w d x J E W x y u t f S 1 e a V p Y A N 2 O t M U T V J S C A y Z l y K 1 V l 6 h h e 9 T H o O m / p I k w E T u 0 y E E O l N p F M G k c m n A P S G D L F W C V D K g e Z H J Z J W a e A P F n / v / / r f 8 a X z 2 o w o c Z Q D V m P k y f v K V I 5 L J U H h D L k E j J p Y Z J I / J 9 F L l B D k w i 6 z q t f V Q a o R O n W s T S g K g C N X R Q G G r Z W L V 0 d 5 5 x d B i J I o c r b u h L R 8 Q O i Y O d d l A l p d J S E n A e S 6 F S I o 0 g j 5 0 g K 0 p h j I A 6 n 8 V Z J d E M k p J p I S E G m w g I m 0 3 / B P 5 H 1 y B l C A T + c u M v / M U h j k 0 o E k R R C M J D H 4 Q L K u Y p A Y I v 8 S D m / m c 6 r V O V V o l I F c 0 w y S Y F 2 r q A V c M H S j S a F q t x K Q Q R O c d T o c r 5 D t 0 S R x N I t E t l 5 Y 5 U U e Z Q O 4 h h L Z R H K G p h g 6 5 S E T E p A p s K c I R P g u Z R D h A K + / + E 2 N z e Q p o A 8 c a 4 f r J U i E d w / J o N F L N Z B F E k V o R R x d D k Y I 7 8 q 1 Z q C z q e G r g I r s f O i S 1 a X a l I I o O M H e f z q v D n H k C U + b 6 W a V M o S O X S Q R o 4 r E s U Q y m G d Q C D o Q h 5 D K o t M Q S o p K a L f / i 7 7 3 T w n P J c e 5 x a h g O + / 7 6 f I A r t 1 2 l K J 6 y f i s F R C K k 0 m I Z Y h E 0 g D w i A P H b + q D F A E E w W l D j h y R r W u v F 0 F o n H j N k B D 1 4 p 1 T D T 5 x Q u I g C N I k U U a 5 e + + Q D 4 u C 0 T U c R G Q R R + 3 0 h h S G R L p V M o 1 o Z x E M s Q C i S z r Z I i k g l 2 x 5 f V v f p f d A x C J w I Q a R 2 3 k H E 6 e u E X z w Q i T B a R S h F L E s k l l 9 a s W E Q u M U K m t I 1 F M 4 R x e j K Z 1 w F I c 0 J c / J g E z R O F E 6 S Y V j c k g m i a K V Y a 8 1 q 2 8 J T Z 5 T H 7 R M D n K h V C x V g m 6 s U Y 2 s Q y R D K k U m R D 1 X 1 d X R 7 / 6 p + y I H l 8 u c p Z Q w P j Y C 7 r Z P 0 T M K C G R E M l y A z W R Y o g F 4 q g U 5 I k l l C J L f I p j h k e m J B 4 x F c C N W h K H j p x S n S k r L O Y 8 I Y m z 3 B J D I B Y m R k y Z 5 B V x V B 5 k 0 X l J T V 7 3 m T S h Z F Q P F s m Q C m T i P J 7 Y f + j T j 6 l 7 f Q e + V U 7 C c z m H C W X w z b e X m T D G Q i 2 2 V D a x N K G 8 o I Y h m C Y T U r y Z p M h L B i 8 o 0 r C U J F B V w W 3 b o e v q Q Y N f l L K G V A t n L F 3 y l m 4 I Y + u K R E p s A p m 8 s V C K Q E g V i b Q u B F J k M n G T 2 J n 3 X / / n f 8 U 3 y 2 n k C a X x 7 b c X u F 9 l S B R L r F g r Z Y i k U r D F I h W o J A k o p c m D U 4 w O i O r I W w A B L E 2 9 i s I k k M S R s i g V q c q L r l O n M D M c e U M a p Q t p T I p y K w V x o I M w 2 P H V t l C G T L I n B J M J 5 + L J + d k Y 6 P o 2 8 F x + M q F q J w 9 6 8 m S c + v s H + a o Y Q i m C x V o q k M Z J L F v 4 R a W g k I M 4 q s w A 5 1 m a I g k g S m x V C C G U Y p M J m v z i B c Q w Z V p n c e r K C i n d W C D J a 9 0 m k i K R r b N o E i k 3 D w Q C s W w X D z G T B w 7 v o 4 2 9 6 + R r 5 s F 1 m i f U Y v z p j 6 f 5 y i C O L 5 Z Y s Z Y K p L F J h f O V j n e w i a V + V a o g u Y R Q F a G r Q x J u + J L Y q Z S Z Y y h H R q f y E 1 8 m F s h M 5 C p d p Z p M F q k U o e K J h N Q i k 8 M q Y R T v n / / H r / F F 8 n A g T 6 g k 8 M 8 F 6 C 9 / u c B X y E k o 7 Q I K e V i c k R Q i O p h W E 8 i Q S h I H j e L z B t z U 8 e I A G n 9 s C k W p K I O u y x a J c / 7 J k I f 1 G B K p F D F 6 o s c R S S w T u 3 u m r w T r h C U X / / T b / 0 g V F e X 4 F n n E g O j / A 3 C L 9 1 a m t m z + 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e 2 7 9 7 7 b - f 4 9 b - 4 0 0 0 - 8 9 7 6 - 4 1 a d 5 c 5 e a 1 e 6 " > < T r a n s i t i o n > M o v e T o < / T r a n s i t i o n > < E f f e c t > S t a t i o n < / E f f e c t > < T h e m e > B i n g R o a d < / T h e m e > < T h e m e W i t h L a b e l > f a l s e < / T h e m e W i t h L a b e l > < F l a t M o d e E n a b l e d > f a l s e < / F l a t M o d e E n a b l e d > < D u r a t i o n > 1 0 0 0 0 0 0 0 0 < / D u r a t i o n > < T r a n s i t i o n D u r a t i o n > 3 0 0 0 0 0 0 0 < / T r a n s i t i o n D u r a t i o n > < S p e e d > 0 . 5 < / S p e e d > < F r a m e > < C a m e r a > < L a t i t u d e > - 1 4 . 3 7 5 7 7 9 7 1 9 9 1 1 4 4 2 < / L a t i t u d e > < L o n g i t u d e > 5 6 . 8 2 7 6 2 4 1 6 3 0 1 0 3 4 1 < / L o n g i t u d e > < R o t a t i o n > 0 < / R o t a t i o n > < P i v o t A n g l e > - 0 . 0 0 8 3 6 4 3 3 9 3 0 6 3 4 5 7 2 5 < / P i v o t A n g l e > < D i s t a n c e > 1 . 8 < / D i s t a n c e > < / C a m e r a > < I m a g e > i V B O R w 0 K G g o A A A A N S U h E U g A A A N Q A A A B 1 C A Y A A A A 2 n s 9 T A A A A A X N S R 0 I A r s 4 c 6 Q A A A A R n Q U 1 B A A C x j w v 8 Y Q U A A A A J c E h Z c w A A A m I A A A J i A W y J d J c A A C 4 5 S U R B V H h e 7 X 3 3 d 1 z J l d 7 t b u S c A w k w A C B I A m B O Q w 1 n m D S j m Z 2 1 t V 7 J R 7 a 1 x 5 a 8 q 7 M + x 3 + W j 8 / x L 7 K 1 0 i R p S A 6 H O U c w g g k Z B A k G E E C j I 3 y / W 1 X v v W 5 0 N x o k p X k d P u B 2 3 a r 3 0 N 1 4 V d + 7 t 6 p u 1 f N 8 e e r i A u W R E q V F B d S 5 p o f u P C 2 g f W t m a W Z + g c 4 P F l F f a 4 D 6 x w s p G l 2 g n U 0 T V F p a S n 7 / P E 1 N T V F J a Q l V V 1 V J m d f r 1 e + k s L C w Q D O z s 3 T / 3 g C V r N h F H g / R x u a Q P r o 0 X v q 9 V F U U o l O n T l N f X y / V 1 t b G f M a r 1 6 + p s q K C C g o K d M l i + O f n a Y 6 / Q 0 N D g 8 r 7 / T T 1 / A W 1 t a + k a C R C R c X F 8 p 4 + n 4 8 K C g v p + N W 7 N O s P y L l 5 J A c T 6 l K e U C n w + d 7 N N P E q S l e H v e S h C I X C i h D 8 K m l 5 Y Y R 6 6 p 7 T z M w s N + w a I Z A T 4 X C Y n g w O U T g U 4 o Z Z w I 1 4 T s p a W l v o y m Q T F Z e U y X l e J t W h d f O i L w c D A w + o q q q S m p u b d U l y e M B c j b m 5 O T p / 7 g I d P H R A l x D d u X O X e n o 2 y n n m X H z X g g K f 5 H 2 + A j p y 5 b 6 U 5 5 E Y n q 9 O 5 w m V C K 1 t G 6 m h v J B u j L C F K o j Q G 7 Z K i k i G U E S z 9 / 9 E q 1 c 2 0 u Y t m + l W / 2 3 q 2 9 Q r 5 Y p s W k 2 B x y 9 8 9 P B 5 o c 7 Z W F 0 b p n W N z F z G g + c F N P i y g D 7 q m K c i n x Q t w p u Z N z Q 6 O k 4 b 1 n f r k s R Q 5 C i g R 4 8 e M b H 9 t G l z n z 5 i 4 9 s / f 0 e f f / a p 6 I Z U S G G t g o E A V b L V D U V 9 d P T S D T m W R y z y h E q A 4 v o d F A i E 2 Z W L i o B A k O 7 G I L X X R C x C H T 1 2 n F a 0 t t L G j e s l b 8 q X i 5 F X P i o p X K B r o 0 W 6 x I Y 3 G q D Z F 8 N U 1 t B F v a 1 B a q m M 6 i M K l y 5 f o V 6 2 K v G W M R 5 H j x y j / Q c + p j C 7 c / i f y h z n G + I Y 4 P + 4 c u U q 7 d i x X Y 4 5 J R p l d 7 C o m K W I / n z h F k X 4 v f K w k S e U A 9 U r d 9 D s D L F b F 6 I I N z w 0 r O b K M P U 2 B + W 4 I U w w 4 q F X c x 5 q 0 o 3 7 b Y l k c P P R K 3 Y J A z T l W a 1 L i K 3 R A n 3 c G Z B + U n n r Z p q K N O o j s Q i x K 1 n I f Z x E O N g 1 T z 5 H 9 + 3 f / v g V W 5 9 P h A y J 4 C T W h Q s X a f f u X d w f f M H 9 r H o p c x I L f S t 8 r s d X T N + c v S L H 8 x B C X c 4 T i l H a s J 3 m A x F a V + + n F V V h m n z 2 j B r q 6 y 2 y O E l z 5 H 6 J p C j 7 a f f y + z 2 J A H f s + P E T d I j 7 N K b R z s 7 O 0 v T r a W p d 0 a r P I n o x 6 6 U r C S x Z M s D y 9 T X 7 a f r F J D X W V 3 N f b 4 Z q a m q S k h D A Z x t c u 3 a D t m 7 d T P 3 9 t 2 j T p j 7 r m B k E w f s U F h f T 1 2 f y L i C A n j Z f w d y V w p I K K q z d T v 7 5 M B 3 o m K H W y h B d v H i J 6 u v q h D B G n C h k 6 2 H K p g N 4 o 3 c H + j a H D x 8 U y x j g v g p G 4 K a n p 8 l X E N t x q i u P L o v E 8 y E P X R o p o 7 Y V L e I W Y l Q P 1 i U V n P 8 z y A Q d l h D f 7 R n f a J A 3 r j B u B A G / n z 7 f 0 0 u N t V U J r 3 E u i e f r M 7 l r o c o b u s k f L J f G c q h r T h o J G o h p c K Z R G Z j 8 5 I y P b o z Z d / i u h j C t q V O D C O 8 T r 1 6 / o m g k S n V M b i d u 8 m c / 5 e + w X J Q V L V B b T Y h W 1 S y v 3 + O 0 W L d v 3 a b 1 G 9 b T 4 O A g d X R 0 i K U y Q g t R m g l G 6 e L d J / r s 3 E P s B E k O o b p l M 5 W y / / / x m j d 0 s H P W u u O + Z h c L a S y Z Y v P 1 Z R G t K W A k 7 n 0 D 1 u D U y T N M p l p d w u 7 X a C G d f F T 8 V m Q C 5 o I e d m d t M u G 9 Y v 7 N J F D / u z q x p 7 d H b j g Y Q r 9 7 5 y 4 F g 0 F 6 9 e q V f F / y e K m 6 r J g + 2 d k j 5 + Y i 2 E J d S e O S Z h f 2 d L d T Z U W p W C P n K N 7 g 4 D C t W t W m z 1 I w R B p 8 U U C r 2 Q o d O / a D u E E 3 b t 6 m Y N N B 8 n K v / 2 3 n k J x A g 0 S f C X N D a L S Y r C 0 r i x 2 5 M 3 2 3 9 4 E C v p W G m V v 7 1 g a k n 5 U u n N Y K m J y c Z N f 0 D V s o D 6 1 b t 0 4 I V l 5 e L h P D 3 5 z r 1 2 f l D j x f n 8 0 t Q v 1 s V 4 9 M s q I B O 8 m E O 3 A o F J F J T A W U k 5 z z 9 O l T O s n W Y u / e P d T e b h P O 2 c D L 2 Z 3 a u y a 9 S A J 8 3 s T E B H f 0 b 1 N l Z Q V 1 s u t U W F Q o I 2 q d n R 3 6 L B v P Z 7 x 0 b S z 9 g Y j l Y P O K I D V V L N c F l F f R r 1 2 7 T q 2 r u q i x p l T 6 g S D c 7 O y c T D Y X M 6 m + v X h b z s s V e L 7 J I U J 9 s m O D E C m e T J C L F y / T r l 0 7 5 L w 3 b 9 7 Q 3 b v 3 q L t 7 H T c M 7 m g n w M S 0 j / o n Y k f K 2 m o i t K E p d Q j R i x c v x D I 2 N T X p E h u I V F i 7 d g 2 V l C i i T s 9 7 6 M J Q s e h / T b z t S K W x V h h i X 7 P x A y q O v p A R x K k X L + k S X 8 + D B / Z R T W 0 d f X f 5 r p y X C 8 g Z Q n 2 4 c Z X c M W 0 y Q W y X D m 4 L O t o g U b J 5 G i f m w x 4 6 x X 2 Q e O z v n K d C N n L P n z 9 n K z R p 9 S / w m W i A W 7 Z s E n c u E T A 4 c u r a M E W q / 7 Z 9 k A / Z 7 S t d h t v n B P 4 n u I 7 + u R m 6 P 1 V O a y t f U n 2 9 m r e C x T I D F k e v 5 k b I E h P q a t Y T a v / m T v K x j 2 + s k y G R S a 9 c u U b b t 2 + 1 8 u k A B D l 7 9 j z 5 G w / q E h t b a o f F y l R W V u q S p Y F P P v o e + 0 j L x b v M p x 0 d K O V r F 6 W y I g 8 F Q 2 H a X D 8 p 1 x J W G N Z r 3 7 4 P 5 X o d v / F I / 0 X 2 w v P N u e w m 1 G d 7 + i g 4 P 5 + U T M D 8 f I C t V / p 9 l H v 3 7 l N r a 6 v 0 E + I H C v C + + z v m q A h m K g 3 c f l p I Y 6 / f b t T u f e J t C D X K 3 x u x i E E M 8 M k k j C r v q J m h h p I 5 q q 6 u l u u B y V 9 E s O O K n 7 o z p E 7 K U m Q 1 o T 7 b s 4 V C A R X d P T w 8 w s S Z p 8 n J Z 5 J f s a K F C V F N F Z U V V J h i m U M 8 0 E B G R 8 e o r W 2 l 5 M 8 + K a b Z o G 5 J D H Q r P u o I S O h Q M s w E P H R u 8 K / f N 1 o u l k O q y 8 N F s o w k F o j w U N r u 1 i m q r q o Q 3 Z q n Y u D 6 n b i V v f N U n m + z l F C f 7 t 5 C k x M j N D Y 2 L q N 6 G 3 s 2 S m V C D B B O 0 9 u 7 v P 4 K Y u v g w i C K I R K J c l / p m f Q Z Z h Z q u A + h l m I k G o o O 8 V 3 8 9 O N i 7 m / Y 5 H M b a s u i t K N N x S 0 m A + I Y M e + W 3 K r a p E I s Y Y F P h V H B 5 Y O l w v W H R 3 D x 4 b g 6 K c v A t w 3 8 9 9 k l G 9 e 0 U S T k l 0 4 x B h k 6 u z o X k Q k V v G G D i h J f D g p 8 B f T 1 1 9 9 K 4 4 D L 1 9 X V J S E 9 l 4 7 / k f a u f C H n j E / b j Q 2 T p 3 A L f 3 h Y k h a Z f N 4 F 6 m p I f 7 H h + 8 T L O a 8 Q P x m O D Z T Q i Y f F S 7 i o a r o B + P 5 B C U X 1 d Y e F e v p 0 U r w E v 3 + W 1 j Z j Y G Z x 3 W W 6 e L 4 9 f y 2 r L B Q m G A 9 v 7 Z Y 5 H U y M Y u Q M M / t O M q H S H z 5 8 J K E z y w G G 0 9 E w M H E Z D 7 i R 5 8 6 d p 9 q 6 e n o Y 6 K C y 8 s T D 7 f H Y s z p A 5 1 3 k / s G 6 H E 4 y S f 1 s x k v X 0 5 w P c / a p 4 E r C S q E P i / 4 n 5 t 6 w I P L y E x U X m E 3 I u t C j T 7 Z v o J G R U W 7 0 Z V J Z W J k a X 2 n I o s O 8 H M C i n T t 3 I S G Z A B A N 7 1 u 7 Y o M 0 n k R A c U t l R E i E R o u G V l n s r g a F / w H D 4 I n Q u I w J Y L Z L W i P Z O g B 1 g F A l 9 D 1 X r l w p U x O 7 O p Z e Z Z x p y C p C / W z 3 Z n E r s H 4 H B I D V i B + 6 R s V i 2 b i Z K 0 k F Q 0 S k 6 G 9 9 8 s n h p O E / L 1 + + 4 k Z S S G e P / o F 2 r b X v 4 h + s D t L + z o C Q B y T q a w 0 J i Q z n r i 9 j K c b f C s f F V d O Z d 4 C 5 f q O v 1 a B P b 1 + v T J Q j P E n B Q z v X L p 7 g z m S w g 5 Q d P 3 X c n 8 G I H v o 1 U p E s r 1 + / t i o V g I 4 Z / H X r u n R J c j x 6 9 J j O n j 0 n + t W r 1 2 n z 5 k 2 i J x s J Q x D r t m 1 b 2 c 0 s o y a 2 Q j g P U l H M n f E U I 3 5 v H C O E b g L 6 S + 8 D 5 v o P v f D R g 2 c + v v G 8 l D 7 n 6 + l p d q G n 6 d p g i K 9 R k a M m M / z n z x e u J 6 / t D M K n O z Z I h 9 f M N W H n I W d E A s p m 2 f 0 r 5 w a / F N D v Q s V j 4 A E L 8 p C 2 t L T o o 6 m B y I i h o W G J y S s p K Z a o 7 G Q Y e l l A 9 5 + 9 / 0 j 1 9 4 W d 7 U G q K Y 1 1 8 9 4 2 Q N f p B n e X D l B t T Q 0 T a k b 2 q D g 7 W E 5 V R W P 6 a G Y j K 1 y + Q 9 v W i x s B N w / E A a n i y Q Q M D a Y 3 q Y j I C c S k 3 b l z T 8 i R L p k A / B 0 s I M g 9 M P B Q 9 n K 4 f v 2 G D N + P D I / I d w N C E Y + r y Q Q 4 1 3 w B z 2 f f v r n o K h B U c D 8 U r t / K l S v I P z f L v S 0 P T Q e z o z + V 8 R a q m K 3 H 1 t U N 0 s k F o S D Y Y 8 4 E m A J i n W Z n Z U I W w + i J A I u E U T z E 9 G E r L Q w y I J A V G 5 J U V C Q e i E g X I B G s X j g c s d 4 L Y U a Z c O H 3 d Q S o p G C B / O y a n t W j k W / b v z J W C q + H 2 R 0 2 8 1 O 4 2 f h 9 9 f T 8 z Z Q c z 2 R k f B / q 4 8 2 d Q p 4 F b Z 2 G h k Y W k Q n A 6 N y j h y q W D A 1 8 f F x N L I J 8 v / / 9 H 6 R i M Z S L i V 6 Q C e d g g C N + T d L b Q I b t u R U a M i G w N l P u Y g g A f j h V I G Q y R E r W j 1 w K p i 7 w C v f b o K m p k c Z e R O n F X I O j Z j P z J 6 N d v p 4 1 K 2 m G r Q o a v 5 l A v D 8 6 q 4 / a F Q h c v n y F v H p p O 6 I c s G v r r V u 3 2 Q q 9 p F / 8 4 h 9 k 1 A / R 6 O Y u i u U b q 1 a 1 C 7 n e B b B 6 w W C I S h 3 E T B S l 7 m Y 8 Z k K B T H z 3 l U E W A B b m b W D q 5 O x I n U x p 4 P p i D 4 2 N j T P i + v l D S / d x 3 Y y M 3 q R l R V 2 5 F c 6 C 5 R K w O m U L K l r B i f G J C d l j r q u z g / p v 3 p L + F f a o g z W C H x 8 P v B / I d P L k a S H E 2 w L D 8 x U V F T K c b n B 1 x H 3 D 5 O k C p J q e V z c Y V M F y 9 t F w j E l Y e P Y 6 T N 8 / K J Z R 1 E e P n t C m 2 n G a C f D 1 c d R x p k n G W q i P N m + Q Y X G 4 a u P j E 2 J h M H g A K w O Y O y H u f o 1 6 / + 7 7 D x 7 K 3 t 1 L A V Y K 8 1 e H D h 2 k i x c u 6 d L 0 g O 8 T C A b p 9 / / 3 3 2 R w w j m 6 9 f S N j 6 b m M t o p E J h g 4 A C 7 r u n C 4 S x Y d T M 2 X 8 f W O 0 L t P f u o f u 0 O e v b s u V y v q T f L m 3 R 3 E 7 h 2 N b U y T J 6 N j 9 D t 2 3 d k W 6 v m Z j U 5 i K X q i N / j K p P 8 z Z v 9 M r m r y k j 2 v E N I E l y + d A D L A m I N D A z o k s W A u 2 k a y H d H j o k L U 1 x U R L / 4 x 5 9 L m Q E i z G + O J 9 8 L L 5 O A C H s M q j h j F t M B a s 4 C X 7 J p v 1 I f T B V T a 8 W 8 D A b t b J 2 m U A R u 5 e I 6 z w T x f H f x p u P e k R n 4 a M t 6 i g T U T k U A G j T k / P k L t H P n D m n U 2 L w / 0 e g c C H b / / g N a v 3 6 d D B a k A i w f R g e x k L C r c y 1 1 r + + W L b 1 w F 8 W o H S Z + y 8 s r Z D Q Q G 7 c 0 N i b e 3 R V 3 c g T J 5 h E L 8 Q S K I / Q m 4 O M b U 5 j 2 r p q l N 6 + e 0 6 X x G r 7 T R 6 i 5 x h 6 4 y B R k Z B / q 8 Y D a o w A V Y q w D N j z B Q Z / P K 0 P g 9 m Y r s Y C 1 a m e 3 7 9 t v / 6 J L l J W J B 6 x d a W k J r V 6 9 i l p 2 / 5 Z 2 7 9 k t n 3 f q 1 B n 6 t z / 8 i b 7 7 7 p g s 4 1 i 3 r p P v r D 1 5 M q W J o g L H / Z v V P a t V Z L 3 X 4 6 W 5 o N r G r a 8 1 T O E I H 0 x Q 9 2 6 X j H P o t 3 e 2 0 8 T E U 9 E N m W C p + v p 6 Z L j 8 + P G T 4 q Y 5 h 8 4 N c D 6 i n S + c v 0 S t K 1 r E X R w e H h Z y w e J g 5 h 5 W 6 e j R 7 8 V 6 I S I d g x 6 V J Q u S h 3 X 6 6 K M P 6 e f / 8 O / o 7 / 7 u Z 2 I J M Q m 8 w r F V s h P Y / D 9 P p l g E H f 0 u B N A e f 1 C s B j f 4 Z n V t r I x a W 1 u o r h z 1 y m 7 9 y 8 y 7 d h n X h 6 q r L p N 4 O U M m Y G R k R G s L t H / / R 1 a f y Q C E Q 0 g Q X D 0 M F B z + 6 U H a v m 2 b T N o 2 N 7 f Q x x / v o y + / / I b P U x E W 2 B I Z W x b D l c P f 7 l k d T B q B j c l a b g s x w M 0 V I T r v E l m Q K 0 D E S G d 9 S N U u X 8 i p + T K + C f H N k P X 5 U O b 1 p T C 1 k K D Y n V J S 6 K O x 0 V H a t K l X C G W k v b 1 d L I w J Y A V A I A w + Y J Q P f R 1 Y G v S b n P N K 1 d V V 1 s A D t h H G k g 7 E 3 x n g 6 Y A h 7 n P h s 7 E x Z D z w 2 c F g 7 F 5 8 2 F / h + / c U W J r N w D 6 G C g t y 8 / F 4 l F W 6 L 8 / L U j W + s I C p U r v + M 0 E y q g + 1 e / 0 q c b u M d Q K J 7 t x W / a k b N 2 5 K C i C O D i 4 f J g 4 x t L 5 3 7 w d J 1 z E Z b N u + V f p S I I N x 0 6 5 d v y k j d q n g J C j m a U 4 8 z J M p H c y F P N R R b 8 9 j t S 3 0 q 3 r G i 2 X y P T Q 4 j r y o G S E Z 5 Z P A n I I s x j I h I H Z j z w Y 5 t m a N / W y l W 7 f u C K E w L 4 W t r J y N P h E w k h f w l E s / a X / X P K 1 l n / 6 H a x N 0 Y P 8 + f U Z i w B 3 E k n i l v 7 8 l D 7 k A 3 B M b K 9 Q y F 2 D M 2 0 u l z 4 6 L j r Y p p G I x 4 U 6 Z A m 5 p m l o u l 7 a 6 K p n 4 Q x A s y A S X D n 0 p g 5 t s o W B h v v z T V 9 a 8 V D o A K Z 4 8 G a L 1 q 9 U o H S Y t 3 w Q 8 V B 7 B Q 6 h T h 8 H A 5 8 d z c 9 E 4 j j 3 I k 2 m 5 c C 7 9 x 3 4 b P / n J B 1 R c w P X N 1 1 U 5 e 3 A I 2 X 2 X a c P Y 9 u B W y R g L 1 V J V I m F A x t 3 D 8 K o B y i q r q q n / Z j 9 9 8 u k n C c O J k g E u 4 Y Y N 6 t m 0 r + e 9 U s m D z 6 M 0 G V 0 l R E k F W L 6 O j r X 0 x y t 2 / G A e y w P 6 T 8 Z K 4 Q b 1 4 V r o 3 D j l V z X S q V c p d o 5 x G b z a s r p e y i o q K R C K y E Y h I B B i 7 Z z A F s d 4 a s W d 2 7 f 5 f P 6 D N P H 4 0 W O 2 U g u y k P D I 1 S k a u 3 O K R v q P E D 2 7 Z O 1 D n g o j k Q 4 q K k l / h 9 g 8 E u O D 1 Q E 6 + w T 9 V V N 3 q H i l 4 c Y W 3 x 7 c K h l h o e o q y + n O h J c e h 7 q p 0 B e V u 9 q 9 S R X G A y K c + O G k z C V h J C / J 6 H Z S P H / + g r 7 6 8 m t Z x l F c V k X N 3 X u p 7 4 P P 6 G c / O y z H v / v L U R o d H a V A Y P F + d Z h D m Q v h W b O Z G / D q B q A + M e o H d 1 s a p i 4 X j Q v g K M z O L b d m f x x 4 j l 6 5 v Y R j 8 + P j 0 L Y N 9 P W N M I V C Y b F O u M R b G 5 9 R / 4 1 r M u r X 1 t Y m e 0 k A s C r x T / x L B g x w Y G j d L N u 4 M N E k F b q q N k z r G p R l k v 4 a u 4 V 3 b 9 + j t R 2 r Y 1 b v o i H k 8 e 4 o L l i g f e z q h S N R O v W w g C o K g z T 2 M k K R M B Z l B i k S 4 p t Z N E T d H e 5 f 2 p E R F m r q + V N x y w A 0 8 A j r n o W w L M n A t l Q Y p Q P g n i 1 n e 7 D 7 9 w f k f f / y 5 y M y w I F d i W p L o x a Z A B A N + x 9 8 s H e 3 T A z 7 / c r f z 5 P p / Q H h W d h q D K O 4 u P 4 b m + x d k Y z 0 t q T 3 7 K 0 f G x n R h 7 r 9 o k G I B D H A s 5 R A A l i X l h a 1 H w E e Y r Z U w K s T I A r e f + e u H U J G 6 N u T b E U M Y m 3 b t k U 2 s 8 R T + / J 4 v x h / o 6 Y f 1 t a H 6 f Q D 7 d 6 h / p V G r 5 5 P W O 3 B z e J 6 C 1 V W U i x L H 5 x k A j B Z i 0 F V l J p F g N g g B Q 9 C S x d 4 A n x Z W b m Q K V H s X z w Q U X H g w E d 0 e e z d 9 p j I Y z E Q F f H k R Y H s X 9 H X p k P H u H J R w 8 2 V E a p v q K e 5 u d Q D R G 6 A 6 + e h A k U d M l f k J J R P 3 w Z Q V M I W C m R A d D h W x 5 r F b + m g m M m K s K S u r k 5 d s j Q 8 H i 8 V l i 2 9 S W Y e y w N c P e x d A Q p V s 6 7 q G H X u o Q L v g s R n P h 6 a k b y b x f U W K h Q C c R S Z j N u H p w Q C G J n D B C 8 m e 9 G / A T o d / Z + l E I 5 6 q W r N X i Y J L k b 6 i N + r L o 9 3 h z w a x 7 5 n c j 9 Z K w z P z K D s W I U R X r f D 9 b F 8 C O n B h X Z a K D w l A s B + d 2 a w I t k S i l S o r y r i u 9 6 E z q W P L k c M W h 7 v D w i Q l e p k 2 b o y a P G r f V U b r V y x g n q b u X + b o I 2 4 S V w f b Y 5 n M K m e k g 0 8 A Q J D 6 H v 2 7 C Z s g Q y Y g Y n l A J E O n v n n M W R N B 6 V W p H Q e 7 w 1 c B 7 h 5 n p P J X X b 7 S q L U X s M 3 L n g l u K l y Y 8 B V j 2 8 f b h O + 1 S c q d o 8 Y N 8 8 J 3 M U w 3 w R g G P v 8 h Y t L R p M n w 6 Z N G + n I t V c 6 l x 6 S r Y 3 K 4 + 2 h a n i B / O L i O 4 R L H 0 7 5 l M I I B B C G l L i t u E F c 3 Y c q q l 2 3 i E w G 5 4 b L Z R O W p 0 8 n l v 0 U Q i d 6 V 1 f R 0 N 0 L 8 j n Y e G Q + h A u T x 9 8 S q o 6 V H w L 1 8 j C i Y B b k s a o V R V G a m v U q P v H B q Q l 3 7 y 7 r 6 j 5 U O K z i 9 n C R 5 Z o 7 U F Z Z R 3 i 0 5 J o 1 a 8 g / N 0 c n T 5 7 S R 9 Q w O j q x 2 F Y 5 F X A e d k 6 C e 3 H 2 2 m P a 2 / 7 S 3 A h T w l 4 c l 8 e 7 w i K T J E q f 1 t M k R b 6 o T J n I k x 8 5 j 6 N P E S g b 1 0 7 c J K 6 2 U P b e K Y 6 L 7 k B h c a k Q A p O 7 i J p Q l U P y g G p s o X z 1 y j X J J 8 P / O 9 o v 0 e K / / A + f 0 + Z 1 z X T r 5 i 2 6 f u m c 2 j R T 7 1 u R D E 0 V E Q r F r d b N 4 + 2 g q g 2 E Q R 1 z h m X g m Z q T M m V 3 J w u k v M / l E R N e t f L E n T / o p B q S K M Q y a r p s i + z l h i c 5 4 J l D C G L F b q 3 Y 6 A N 7 Q 6 S a X 0 K 4 U u O q D d a E L r Y c 2 7 V 7 J 2 3 a 3 E e 3 + m / T p X F 7 Z X A i r C y e I P / Q a Z 3 L 4 9 1 g i K R z r I + + 9 t E j q + + 0 Q K / m V J A s d G c b c d u P q y 2 U D J m n Q G h B z 6 g z M J e E P f K w 7 Z d 5 l E 1 h k X 0 8 H h j E q J 6 / p 3 M 2 U L 5 q d T u t b v S R P x j 7 B b C A E f N e 5 8 9 d k N X C a z f v 1 0 f y e G c w i U A k E Z 0 H e Q z R k L s 4 V G h N k 7 g V 7 p 6 H A p Z x / W p r a 2 S S 1 w D D 4 t h X I h m w g U s i 4 L l O m 9 q 8 9 L / + 9 / + R r c Z u X L 9 J Z 8 6 c o 6 + + + l b 2 s d i y d T N b w V Z q q V r + c B / m K V b V Z M 6 C u b 8 J Q B h N I C E S S M X y k q 3 S T 9 a q L Q 9 M 2 c 0 x v k n G t x M X i a s t l F z H J R i V 6 i i 2 A s O z b z G 0 j g G K Q E B F W A C o n G R L 5 T H H N f o 8 R C t 7 P + H + W Q m t 3 7 C e d u z c T l 9 8 8 Z l s a G n c x I b y 5 R M D N 9 j u p h D V l e X H 3 p 1 A P a N O F q U s O 9 p t U n l l d y T 3 w t V 9 K L m I S w A 3 h l T A M 6 E e P X p E R 7 4 7 S i d O n J E l 7 3 g a O U b 4 h o d G Z D 7 r z Q x i x G w U + H x U V u C n i A 9 P 2 q t k U h X J 7 k f x k e y v 5 p f 6 9 M X Y u 0 Z Z x W R R 7 b k I Q x Z D I O h G T j 8 q o m C Y a N e q g B w L y S C f e 3 9 c b a E M U h F r 4 k 3 q 6 P K 9 P / l A 5 q k 2 b e 6 V S H G 8 V y N b J j z W B i E t e D 5 U Y N 6 2 X O g n 9 f R u o N r q S p q Z G k n 5 2 Y 2 y w 2 n 6 a K 8 N 5 4 f c 4 4 D r K z 9 I k 8 j 1 U f X I I v x E l u p Y / 8 j I C E K l Q v 8 S T 7 R A l D I q 4 + X L 1 7 J E H k s 8 6 u v q 6 C c f 7 p W w p e n X 0 3 L c A E v q s c 4 K g x y l 1 S 0 S L / g + U F q 4 Q O s b 8 z G A T i j C q J U E U g d a 5 E e X m X P O D x Z y Y 1 V 5 N 8 P 9 g x K C m M y y c O L E K Z a T C f t L W M 7 e 0 7 u R G v R G / x i 5 m 3 w 6 S U O D w z I X 1 V M 3 R e X 1 q 2 X h Y j J g U j g d Y B O S e G x b m c t u H 4 i h C e Q g l Z N E Q h 6 d x 5 A v + k + i x 7 c T F w l b q A S l L h G z r G K Z q y t i A A u 1 f / / H M p y e C D L A w J W E V b j n z l 6 g 1 h W t s o s s / u 7 p 2 A h 1 r q y i k e F R f f Z i Y O u x V M C 6 H m y T Z d Z w G W A J / b W x 3 N 3 c R X F F E 0 S n i k Q s T J 6 Y v D 4 e C C 1 Q k R c D Q b H t x E 3 i 6 m j z d N D d q B 6 H k g z l 5 U t v 7 I H h c x D o 4 / 3 7 Z J E i O r 5 w D e e 5 X I b e / f r J Y H E w y 0 g S Y U V 1 m N a x i 3 e w y + 6 f O b F r V Z A b i c 7 k G A x B l i P q G c p R m u f q T t R W 3 C K p b 6 8 / M t K x T C 2 V q V 2 u p X Z A w i j f k S P H 6 N j x M 3 T 9 1 m M a n / J T o R 7 n a G i o l y f B r + v u U g V x u J z i e b k b m 8 K 0 u j Z 5 n + n i U C 5 b J 6 d V U o I 1 G s 6 8 0 z I p i 6 W k 2 O f u O T z X 9 6 G W W k 3 r X + I 5 r x j 2 R q U k A s q v X 7 9 J X 3 z x O X 3 x 2 W F a 3 9 l K E f 8 U H T v 6 v R z b t m 0 r 9 f f f o p q 4 n Z T w m J p U u x 5 h O f e 7 u K n Z D 0 M Y p + g y j O I 5 8 m r 7 A y 3 R B b F Q C d u K S 4 Q t V I J S l w h e l 8 K b J e a C E O N n t h m L x x + O 3 6 c t W 7 c I a U v L S q U / h T 3 + t n I f C s v r 4 e 4 d P L j f i r 7 A 0 g 7 p + 4 y m t i 6 I l s 4 j M e T m J g Y K l g e k U R K 1 S K T d O x B J j u t y S 4 d H Y r c R t 4 m r X T 4 g 1 k I 5 d Y W l F v u B D H h k P w i C i j H h R g g h 6 m o I U 1 1 t j e S d K C k u k f M B k M p M 6 J 5 + n N 4 T 9 a J Y b p A C / D V y E P Y / z d R Q K Y i i y Y M Q E p V X p L F 1 r O T V Z T p 1 M 1 w + K K E u P E i l R L I x q C 1 b 3 D q x I 6 w T a 9 e u o Y s X L 9 P J k 6 f p 2 L H j d J T 7 T D + c O E 0 9 + l E 4 8 S g s 8 M k Q u h O 3 J g o d T S I 1 c N 7 k T P J 7 1 Z 2 n 2 f E 0 + L Q h 5 D A E c p L F C P I s Q h i d x p H I k C q + j b h N X N 2 H 8 n k X 4 i z U Y t w c i d L Z M + d o a m p K F h k e P 3 5 C w o q O H D l K X / 7 p a y H Q 4 O A Q z c 3 5 x f X 7 7 L N P + b 0 9 9 N P D B 5 J u i h l k 6 4 V J Y A M s J R h f x n 5 / w P C r 5 O e P L f O 9 D L A + K B M h 3 5 q J A r H I Y 0 S 7 c p b L Z 0 j l I J E h G P J N T d y f j W s n b h L P y V s P X V 1 L 0 + F V s h G l u r i q E g C V c C f V P 0 u f 9 6 m h b / S X 4 g k 4 N j Y m A a 3 y I A F + D 7 h w b 2 Z m K c y k Q X R 6 M o C I h w 4 d k M a A p f H L B W L 2 k o U Z 5 d o 2 z n a 9 K f c N z z K O R l h M y h K J c h 2 H O Y 2 E K M L 1 H Y m E u d 5 D X E 9 B L Q E q o n n a + x H m C N / u h v S 3 g O v 7 U K i E R F b K F J W U q i c P m n C h e G C 3 V 2 N t Q C a g s q J c + l B P n g x K P h 4 g M I b M g c X v m B 7 y M X v x U K R S F k f r z n 4 T 6 7 B S W O + k U p R F x D I p a x W h 2 U D U 1 W Q C X N 2 H g v A V x S t D c g l x P M X T A z F R i / i 8 e D Q 1 N c r y j o G B A V 1 i A w G y z n 3 + G s u X 1 x H e 2 Z 4 8 p G g o h S u Y n V C W S X 6 F J J p A R s R i 2 b p d B g v G K e e h q 7 / N 9 6 H e W X A H c w 5 I J B p M x 0 h f M n u A v 5 2 c f K Z z s c C y 9 8 B 8 Y B H h 1 G 6 0 9 o j e p h X L i 7 n D V s L J c F 8 / 1 y p X A E 8 P Y g + L 2 6 R B G t t 3 U u U x B N N k U m W y d s P V 4 u p 5 K I j s J I A a Q Q 6 s Q n E C p O r n D A 4 m d u 2 A 3 r 5 e c f 8 w i I G d k h A 5 M T g 4 b D 1 v C o A Z X 8 6 C Q I w I 5 m F D k U i T R g T E 0 s P h W o y b J 9 b I E E u X e Q m k i t D a O p f P 6 r K 4 v g 9 V W f S M L 2 w k Y f 8 o v k z 2 Q I z D z M w s B Y P J 4 / 3 w H n h o t e x C W 1 8 n k 7 u o z H i 0 Y R f T N P F 0 i T V a u Y J Y E i m C G C u l L I 7 W N Y E U 8 d Q x p w T D a g C j c + s u / c 7 u h e s J 5 f W Y j m k y p 8 7 G y Y e L r R S 2 E z t w 4 G O d W w y 4 e w 2 N 9 T J 4 U c p k w u B G S 2 u z D E w 4 s Z j O y Y G v m u j b v s a G + D k C R R Y 1 w G C I Y / K K T C y a M C Y 1 Y p d j B D D M E u V + b I i K y 9 z / G K G M e O A a X 1 m p A G O R E l k r g / g F h x j Z g y u X D L d u 3 a G 2 l S t 1 T q G t v Z 3 u 3 b u v c w q v / M u z O m q P 7 l i k C q b N N g i J N D m M 5 Y n J c y q k Y d 2 Q y I g a k F D D 6 c j X l A S p t i Q U 0 y b c K q 7 v Q 0 H w y l c W t c R f W n J J k W h J / E S S T S s x d x U K B R e 9 p 4 9 J i H k Q g y c v C 2 j w 5 f I I N R v 0 0 o m H a m D j 6 m i R z D 1 x 1 y E H o I l k S A S r J C T R 1 s q Q R h 9 X p G L y i A 4 i 6 T J N q v W N 8 9 R S E Z L 3 S d Q 2 3 C Y Z 4 Y M 0 V L 5 Q F z m B I 7 U U w Q D s K Y G / j w c i K N B 3 S o R 2 t l I I P / r + Q Q k 9 e J Z 8 f 7 9 U C E Z U M C 3 2 5 s 4 V 2 H N M h i w Q 2 1 p Z L p 8 c d 4 z g W b p t n R r L g 9 x A M c k b o b a e b f o T 3 I 2 M q W n l T / N F 5 w p R S E 6 k o w O x f a n q 6 i q 6 f P m q 6 L B K J 0 + c o r t 3 7 9 H Q 0 L A s L I y H 2 n Z s W k K Y n A / + y i M 1 h D i w S I Z E F n l U v Y k g b 1 I h k J 0 q A b G U p W r i f h P I B G + h o r Z B f 4 q 7 k R F 9 K B H C h c f F j p 2 X S g S u y 0 X w + b y y T w S s z p 4 P d t P 6 9 d 3 0 0 5 8 e k v e K B / b v a 2 5 u p n P n L t D r 8 c W 7 y + a x G I Y w x q 0 T o j j 0 Z G L I o 0 T r T C L o I F N Y w p E w y p u g T b h Q M s Z C N V T 5 5 S L D 3 z Z 3 Q o N E p B h 4 H m t 5 E P n w 4 M F D O n 3 q j C z p S O U q Y v n 7 4 8 d P 2 L J V U 0 d n 4 t W 6 e d g w 9 W G s j k U u h 2 4 d 0 6 I s k Y N I m k Q m 7 W 3 y y 0 g r y L R 2 y x 7 9 S e 6 H 5 8 z d J x n T V R 5 + h u B X H 3 l 9 h e T B F p 0 e 9 b g b w E k w A 2 y O Y o D j W N a B A N r l 4 O 5 k I Y 3 k X L h Q + l C E U W R y W i c h E w h i C I P U I g 2 G w p U r Z w n I g 2 B Y H R D b 0 z h D w U B Q X P R N B 7 / Q n + Z + Z F R v G W 6 f q h x l p f h F H 0 l s p T A g I J X N g u N 3 7 8 Y O h c c D c 1 K I T n c i T 6 Y k 0 N f V J h N S N a K H v C G W 0 Z W 7 r k S R z C H c U T X 1 C q I V e k E u d v d A N D 6 e S X B 9 L J 9 T 2 p o C u k L C U k m o x K V w 8 l 6 Q f v j h J I 2 M j K R 8 c A B w 8 e I l q q 9 v k A E L w B / E B + e R C L j y x p W z l 6 y b P K d a z K i e U + Q c Q y A H k V Q a p n V 1 8 0 I m 9 J + 2 H P 7 7 h G 3 B r e L 6 a P N 4 k U r C x e c L D n J x A Z c q J A q c D X q r a f s H + 6 m l p Z U + / H C v L l 0 M V H R f X y / 5 / X P s c q g 5 q N N P 0 l v y n l M A e U Q M e W w y I U Q s Z l D C I U 5 C J S Q S i 7 h 9 f L N U Z F J u I E b N 4 t u A m 4 V d v k T F 7 p W G G l Q g X 3 x T I a h A T S o + I m k 8 L g w V L 7 m O B h E V J S W l d P 3 a D e r b 1 K t L 8 4 i H W C Z D E k 0 e p a M + b P L Y r p 2 q J + R V m U O M q y c 3 S F V W 5 F F k g n V a 2 d 3 H n 5 a 4 H b h V M m 7 G s b I M l c X W y V Q C i 3 I v F J k S W S k g n V W 3 l Z U V t F / H / e X n n 2 I R a 5 U M a T R x F p F J p Y o 4 R o + q m 6 B V b / q 4 6 G y N W J C u q Z 2 n u X k M l 4 e o e U 3 m j b B m V B / K S K H P w x c / x B W C p f G q U p a y U i i 9 u 4 z N U R A h k Y e C I p M O I T J W S Z P K S C y Z u E 4 s M m k d d W T l d S p E U v N M R o + y d f I s h K i 4 p C x h 3 b t d M q 4 P B V m 9 E p W s f G 5 U h K o k t l q a V M k w 8 t r H D U J n U i C 4 x O a Z u Q N F J C W a S E I G J a I b q 2 X y F m G Q N y T S 5 S C M H F e 6 E E h u i o p M V U U B C s n Q e Z g 2 H / h s U b 1 n g m R c H 8 p I W b F X V 4 Q m F S q H U 1 R 8 K q T B J z r x K M c H I 3 B j E h I h c R B D r J J y s W 3 S O F M Q R J 9 j d C e J I J p I U m 8 g E 3 Q m E D Z n a S p D s H K Y K m u x n 0 f i e n e 7 Z F w f y q C t 1 U d c G 0 I i i 1 S 6 w o R U a A 0 J 8 P 1 A b N Q 3 V O y T h w c E w M 3 L t R 2 J E g H X R K y S J o s R 5 A 1 x Y v t O S G 3 d / j s m C 8 p B K o g 5 z 1 F X p u 4 q C r G z k b J O P X s P q i + S g f C c G x h K 3 P I y A K 9 e R 2 h s M k Q e X w H 5 W L x I v U h 9 5 P X 6 1 G R v k h C j / Z 3 z s q x i e o n H 0 e Q S j M u s r J J 2 8 8 R S a U J p k t l 5 n W r y x O i a Q M q t Q 1 6 5 d S A Q I i J M K i Q K B a i 7 f l a i I j p 2 H q L G Z r X j V C Y i o 1 t T T b X D S q E / B d d B u 4 F y 5 7 M a x O J 7 x g 8 P S / J k 0 r C u k S a M W B d N F o s o k t f k Q N 6 c F 1 O m 9 U V k 0 j r q R I R 1 1 J V I i N Y 3 + O n l T I T u P / V k N J k A z / m B 4 Y y 1 U A Y 3 7 7 4 h j 1 g m b a U k 1 V b K 6 y W v B 1 1 F x P 4 l t l a 5 D s s S x V k l V c a k 0 a m U S V 6 n Q i L k Q R y t G x I Z Q u m 8 s k o o 0 x t Z c p 6 i Q Z o P B C m i N 7 L 8 z T / / U n + j z E V W 3 K I L v A u O u 5 9 t o c R K 6 Q q N u Q s j z X V o k q j G r 8 h h W 6 V Y c f a R V N 4 c 0 + W Y U 9 L k Q Z 9 J E U f l c V z V B f K 6 P i Q f o k A Q 5 F J S W p I d O 0 V l B a E 2 d l d x J T u J F I q r P J W i I R h S 5 S z k h s I E 4 N R Y G l v U g I I 9 s K A I Y Z P I 5 O 1 y p + 6 8 g c W S y X G j 0 w R S V k r l M a f 4 q 1 / / X H / B z I b n / I P M d / k A c O R a / w v L 9 b P d P q R w + 7 T 7 x 4 J l H 9 B z z Q U 0 V h q E w g W z 8 6 p M U p B H 5 4 V I 5 p j o q s w i m J S D P L H E c p L J J p J O Z S S P X T y Q i t 0 8 L N X 4 z b / 8 U u o l G 4 B V R V n x g y D K Q p / t + t m V y B X H F S y b 0 U s l 6 4 q X 1 D S U 7 L V Y i h A 6 y o H / b 9 v 6 G N H X w 9 L t M r k 2 j u P m 2 l l l u K 7 m e u q 8 8 9 r b u r Z U T K K w 1 Y f i v h P n K 8 p L y Y e + b p b 8 Z N U w 1 6 a e B u 7 o G p c C R F I V a + k s 1 m S w n l R E Q 1 E N J / n c V a b B k E j d L G I J o g h j R P 3 / s X q C M s s C K d 2 + K a l r q K 4 t b l q a Y P p a q 2 s P 3 V E n I o p M W N / 2 q 1 / / e / 2 t s w N Z R S h g x 9 Y W r l B H 5 U m l s 1 h 3 T F S 4 u b N y m T Q U F j Q 8 u D A Z R y p 8 X 1 u c Z D K D D O a G Y Z P E W B m U K 1 2 d o 6 8 F R K 6 P f b 7 K O 8 S Z h y 7 X 2 S a X R S q I r g t x 8 y Q N c n 2 E 6 L e / + 0 / 4 B 7 I K n g s P R 7 L j t u x A J L p A l 6 6 M S 3 / K T P h i C D 1 m K B 1 9 K N 2 f s v p V M r R u U k w K 4 9 1 U P 0 t 1 t 9 z U 5 w J x k H A q Z F K Q G 4 I h F c q N 7 h B V p m 4 e S r Q O A u k 0 p k z n D T k V k V R q i G n I Z A i W l E z c Z 4 q E A 0 y m X y X c c S r T w R Y K j S S 7 B B t V r m 6 v 4 o q F h V I V 6 U y d l k p V v t a l c S h R 6 6 0 c D U v a o d 1 w f z T I d 0 k g 0 s B N g 9 c i r l q s 2 F b I l L F u h r 3 j j 5 t r I + c o k b 6 o 6 M Y i Q T R 5 n D p c P R m A i C d T k L q 6 1 j C Z M E y e u P 4 y W T w X H 4 6 6 o J X 8 d X D p y j A F Q w s S m q S s F F J Y K V g l 2 1 q J x T L W S a y V s l D I w z S J j h 9 O B V I m i m T j s a j U / F 0 8 Q A S t L g Y Y r F W G U l W Z / J W V K k L J U a T y n q r M y p s y T N x y v 4 X N k H X c v m G A X C Z v E 9 O p K 8 I h Z U L h f B D L k E 1 S B 6 m E R M g 7 y B Q K U H l 5 G f 3 6 v / 2 j f N 9 s R F Y T C j h z 7 h E 3 I b h 7 D t c v k f s n Z M J o o d Z B A i E O x J H H m 0 q K P H 5 V q m C O W y 9 p A g 3 f 0 q x X V W x 0 r X G q E q Q g g F O X j P y N p c e J K g N R T B l I o l J x 9 z S B h D h a t 4 i U I C I i 1 o K B Q C C T I R J W 3 i J V k R D F R Y X 0 m 3 / 5 l X z / b I X n 4 q P s J h R w 6 v Q D W s D 2 Y 1 Z 4 k i a V F t t K K V I p A i k S G e E X W w d x J E W x y u t f S 1 e a V p Y A N 2 O t M U T V J S C A y Z l y K 1 V l 6 h h e 9 T H o O m / p I k w E T u 0 y E E O l N p F M G k c m n A P S G D L F W C V D K g e Z H J Z J W a e A P F n / v / / r f 8 a X z 2 o w o c Z Q D V m P k y f v K V I 5 L J U H h D L k E j J p Y Z J I / J 9 F L l B D k w i 6 z q t f V Q a o R O n W s T S g K g C N X R Q G G r Z W L V 0 d 5 5 x d B i J I o c r b u h L R 8 Q O i Y O d d l A l p d J S E n A e S 6 F S I o 0 g j 5 0 g K 0 p h j I A 6 n 8 V Z J d E M k p J p I S E G m w g I m 0 3 / B P 5 H 1 y B l C A T + c u M v / M U h j k 0 o E k R R C M J D H 4 Q L K u Y p A Y I v 8 S D m / m c 6 r V O V V o l I F c 0 w y S Y F 2 r q A V c M H S j S a F q t x K Q Q R O c d T o c r 5 D t 0 S R x N I t E t l 5 Y 5 U U e Z Q O 4 h h L Z R H K G p h g 6 5 S E T E p A p s K c I R P g u Z R D h A K + / + E 2 N z e Q p o A 8 c a 4 f r J U i E d w / J o N F L N Z B F E k V o R R x d D k Y I 7 8 q 1 Z q C z q e G r g I r s f O i S 1 a X a l I I o O M H e f z q v D n H k C U + b 6 W a V M o S O X S Q R o 4 r E s U Q y m G d Q C D o Q h 5 D K o t M Q S o p K a L f / i 7 7 3 T w n P J c e 5 x a h g O + / 7 6 f I A r t 1 2 l K J 6 y f i s F R C K k 0 m I Z Y h E 0 g D w i A P H b + q D F A E E w W l D j h y R r W u v F 0 F o n H j N k B D 1 4 p 1 T D T 5 x Q u I g C N I k U U a 5 e + + Q D 4 u C 0 T U c R G Q R R + 3 0 h h S G R L p V M o 1 o Z x E M s Q C i S z r Z I i k g l 2 x 5 f V v f p f d A x C J w I Q a R 2 3 k H E 6 e u E X z w Q i T B a R S h F L E s k l l 9 a s W E Q u M U K m t I 1 F M 4 R x e j K Z 1 w F I c 0 J c / J g E z R O F E 6 S Y V j c k g m i a K V Y a 8 1 q 2 8 J T Z 5 T H 7 R M D n K h V C x V g m 6 s U Y 2 s Q y R D K k U m R D 1 X 1 d X R 7 / 6 p + y I H l 8 u c p Z Q w P j Y C 7 r Z P 0 T M K C G R E M l y A z W R Y o g F 4 q g U 5 I k l l C J L f I p j h k e m J B 4 x F c C N W h K H j p x S n S k r L O Y 8 I Y m z 3 B J D I B Y m R k y Z 5 B V x V B 5 k 0 X l J T V 7 3 m T S h Z F Q P F s m Q C m T i P J 7 Y f + j T j 6 l 7 f Q e + V U 7 C c z m H C W X w z b e X m T D G Q i 2 2 V D a x N K G 8 o I Y h m C Y T U r y Z p M h L B i 8 o 0 r C U J F B V w W 3 b o e v q Q Y N f l L K G V A t n L F 3 y l m 4 I Y + u K R E p s A p m 8 s V C K Q E g V i b Q u B F J k M n G T 2 J n 3 X / / n f 8 U 3 y 2 n k C a X x 7 b c X u F 9 l S B R L r F g r Z Y i k U r D F I h W o J A k o p c m D U 4 w O i O r I W w A B L E 2 9 i s I k k M S R s i g V q c q L r l O n M D M c e U M a p Q t p T I p y K w V x o I M w 2 P H V t l C G T L I n B J M J 5 + L J + d k Y 6 P o 2 8 F x + M q F q J w 9 6 8 m S c + v s H + a o Y Q i m C x V o q k M Z J L F v 4 R a W g k I M 4 q s w A 5 1 m a I g k g S m x V C C G U Y p M J m v z i B c Q w Z V p n c e r K C i n d W C D J a 9 0 m k i K R r b N o E i k 3 D w Q C s W w X D z G T B w 7 v o 4 2 9 6 + R r 5 s F 1 m i f U Y v z p j 6 f 5 y i C O L 5 Z Y s Z Y K p L F J h f O V j n e w i a V + V a o g u Y R Q F a G r Q x J u + J L Y q Z S Z Y y h H R q f y E 1 8 m F s h M 5 C p d p Z p M F q k U o e K J h N Q i k 8 M q Y R T v n / / H r / F F 8 n A g T 6 g k 8 M 8 F 6 C 9 / u c B X y E k o 7 Q I K e V i c k R Q i O p h W E 8 i Q S h I H j e L z B t z U 8 e I A G n 9 s C k W p K I O u y x a J c / 7 J k I f 1 G B K p F D F 6 o s c R S S w T u 3 u m r w T r h C U X / / T b / 0 g V F e X 4 F n n E g O j / A 3 C L 9 1 a m t m z + 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 G u i d = " 4 e c 8 c 8 0 2 - 5 0 3 d - 4 a b e - a f 5 5 - 0 0 b 7 8 d d 1 0 8 f 9 "   R e v = " 1 "   R e v G u i d = " 9 c d d a 2 f 2 - 1 6 3 f - 4 f 9 6 - b 1 0 4 - a 3 c e 9 b 5 1 5 6 7 4 " 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002820F-6352-45CA-8B5D-E3B4B920D7D0}">
  <ds:schemaRefs>
    <ds:schemaRef ds:uri="http://microsoft.data.visualization.Client.Excel/1.0"/>
    <ds:schemaRef ds:uri="http://www.w3.org/2000/xmlns/"/>
    <ds:schemaRef ds:uri="http://www.w3.org/2001/XMLSchema"/>
  </ds:schemaRefs>
</ds:datastoreItem>
</file>

<file path=customXml/itemProps2.xml><?xml version="1.0" encoding="utf-8"?>
<ds:datastoreItem xmlns:ds="http://schemas.openxmlformats.org/officeDocument/2006/customXml" ds:itemID="{735124B7-2B0F-4BCA-9F6D-59871DEF2F7F}">
  <ds:schemaRefs>
    <ds:schemaRef ds:uri="http://microsoft.data.visualization.engine.tours/1.0"/>
    <ds:schemaRef ds:uri="http://www.w3.org/2000/xmln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Input</vt:lpstr>
      <vt:lpstr>Panel Selection </vt:lpstr>
      <vt:lpstr>Veichi Tech</vt:lpstr>
      <vt:lpstr>Climate and DD</vt:lpstr>
      <vt:lpstr>True Hybrid Function</vt:lpstr>
      <vt:lpstr>Irrigation Technical  </vt:lpstr>
      <vt:lpstr>Botswana</vt:lpstr>
      <vt:lpstr>Country</vt:lpstr>
      <vt:lpstr>EasternCape</vt:lpstr>
      <vt:lpstr>Gauteng</vt:lpstr>
      <vt:lpstr>Mozambique</vt:lpstr>
      <vt:lpstr>Mpumalanga</vt:lpstr>
      <vt:lpstr>Namibia</vt:lpstr>
      <vt:lpstr>NorthernCape</vt:lpstr>
      <vt:lpstr>Other</vt:lpstr>
      <vt:lpstr>Input!Print_Area</vt:lpstr>
      <vt:lpstr>WesternCape</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2019-07-10T15:11:15Z</cp:lastPrinted>
  <dcterms:created xsi:type="dcterms:W3CDTF">2006-09-16T00:00:00Z</dcterms:created>
  <dcterms:modified xsi:type="dcterms:W3CDTF">2025-06-02T12:29:56Z</dcterms:modified>
</cp:coreProperties>
</file>