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енис\Downloads\"/>
    </mc:Choice>
  </mc:AlternateContent>
  <xr:revisionPtr revIDLastSave="0" documentId="8_{56056595-0CDE-41D4-8623-E80C76A668C2}" xr6:coauthVersionLast="47" xr6:coauthVersionMax="47" xr10:uidLastSave="{00000000-0000-0000-0000-000000000000}"/>
  <bookViews>
    <workbookView xWindow="-120" yWindow="-120" windowWidth="24240" windowHeight="13140" activeTab="5" xr2:uid="{40AB38B2-F982-4784-A454-369B49782E52}"/>
  </bookViews>
  <sheets>
    <sheet name="2.1" sheetId="1" r:id="rId1"/>
    <sheet name="2.2" sheetId="2" r:id="rId2"/>
    <sheet name="2.3" sheetId="4" r:id="rId3"/>
    <sheet name="3.1" sheetId="3" r:id="rId4"/>
    <sheet name="Задание 1 вопросы" sheetId="5" r:id="rId5"/>
    <sheet name="Задание 2 вопросы" sheetId="6" r:id="rId6"/>
    <sheet name="Задание 3 вопросы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59" i="6"/>
  <c r="B62" i="6"/>
  <c r="J2" i="5"/>
  <c r="K2" i="5"/>
  <c r="L2" i="5"/>
  <c r="M2" i="5"/>
  <c r="N2" i="5"/>
  <c r="O2" i="5"/>
  <c r="J3" i="5"/>
  <c r="K3" i="5"/>
  <c r="L3" i="5"/>
  <c r="M3" i="5"/>
  <c r="N3" i="5"/>
  <c r="O3" i="5"/>
  <c r="J6" i="5"/>
  <c r="B9" i="5"/>
  <c r="B11" i="5"/>
  <c r="J11" i="5"/>
  <c r="K11" i="5"/>
  <c r="L11" i="5"/>
  <c r="M11" i="5"/>
  <c r="N11" i="5"/>
  <c r="O11" i="5"/>
  <c r="P11" i="5"/>
  <c r="Q11" i="5"/>
  <c r="R11" i="5"/>
  <c r="S11" i="5"/>
  <c r="T11" i="5"/>
  <c r="B12" i="5"/>
  <c r="B14" i="5"/>
  <c r="B38" i="5"/>
  <c r="B43" i="5"/>
  <c r="B48" i="5"/>
  <c r="E53" i="5"/>
  <c r="E54" i="5"/>
  <c r="B79" i="5"/>
  <c r="C79" i="5"/>
  <c r="D79" i="5"/>
  <c r="E79" i="5"/>
  <c r="F79" i="5"/>
  <c r="G79" i="5"/>
  <c r="H79" i="5"/>
  <c r="I79" i="5"/>
  <c r="J79" i="5"/>
  <c r="K79" i="5"/>
  <c r="L79" i="5"/>
  <c r="J8" i="5" l="1"/>
  <c r="J1" i="4" l="1"/>
  <c r="H2" i="4"/>
  <c r="H3" i="4"/>
  <c r="I7" i="4"/>
  <c r="J7" i="4"/>
  <c r="K7" i="4"/>
  <c r="L7" i="4"/>
  <c r="M7" i="4"/>
  <c r="O7" i="4"/>
  <c r="I8" i="4"/>
  <c r="J8" i="4"/>
  <c r="K8" i="4"/>
  <c r="L8" i="4"/>
  <c r="M8" i="4"/>
  <c r="O8" i="4"/>
  <c r="I9" i="4"/>
  <c r="J9" i="4"/>
  <c r="K9" i="4"/>
  <c r="L9" i="4"/>
  <c r="M9" i="4"/>
  <c r="O9" i="4"/>
  <c r="B10" i="4"/>
  <c r="I10" i="4"/>
  <c r="J10" i="4"/>
  <c r="K10" i="4"/>
  <c r="L10" i="4"/>
  <c r="M10" i="4"/>
  <c r="O10" i="4"/>
  <c r="I11" i="4"/>
  <c r="J11" i="4"/>
  <c r="K11" i="4"/>
  <c r="L11" i="4"/>
  <c r="M11" i="4"/>
  <c r="O11" i="4"/>
  <c r="B12" i="4"/>
  <c r="I12" i="4"/>
  <c r="J12" i="4"/>
  <c r="L12" i="4"/>
  <c r="M12" i="4"/>
  <c r="I14" i="4"/>
  <c r="K15" i="4"/>
  <c r="O15" i="4"/>
  <c r="B16" i="4"/>
  <c r="C16" i="4"/>
  <c r="D16" i="4"/>
  <c r="E16" i="4"/>
  <c r="F16" i="4"/>
  <c r="K16" i="4"/>
  <c r="O16" i="4"/>
  <c r="O17" i="4"/>
  <c r="O18" i="4"/>
  <c r="O19" i="4"/>
  <c r="B7" i="3"/>
  <c r="C7" i="3"/>
  <c r="D7" i="3"/>
  <c r="E7" i="3"/>
  <c r="F7" i="3"/>
  <c r="G7" i="3"/>
  <c r="H7" i="3"/>
  <c r="I7" i="3"/>
  <c r="J7" i="3"/>
  <c r="K7" i="3"/>
  <c r="L7" i="3"/>
  <c r="Z3" i="3" s="1"/>
  <c r="R7" i="3"/>
  <c r="P8" i="3"/>
  <c r="P9" i="3"/>
  <c r="P13" i="3"/>
  <c r="Q13" i="3"/>
  <c r="R13" i="3"/>
  <c r="S13" i="3"/>
  <c r="T13" i="3"/>
  <c r="P14" i="3"/>
  <c r="Q14" i="3"/>
  <c r="R14" i="3"/>
  <c r="S14" i="3"/>
  <c r="T14" i="3"/>
  <c r="V14" i="3"/>
  <c r="P15" i="3"/>
  <c r="Q15" i="3"/>
  <c r="R15" i="3"/>
  <c r="S15" i="3"/>
  <c r="T15" i="3"/>
  <c r="V15" i="3"/>
  <c r="P16" i="3"/>
  <c r="Q16" i="3"/>
  <c r="R16" i="3"/>
  <c r="S16" i="3"/>
  <c r="T16" i="3"/>
  <c r="V16" i="3"/>
  <c r="P17" i="3"/>
  <c r="Q17" i="3"/>
  <c r="R17" i="3"/>
  <c r="S17" i="3"/>
  <c r="T17" i="3"/>
  <c r="V17" i="3"/>
  <c r="P18" i="3"/>
  <c r="Q18" i="3"/>
  <c r="R18" i="3"/>
  <c r="S18" i="3"/>
  <c r="T18" i="3"/>
  <c r="V18" i="3"/>
  <c r="P19" i="3"/>
  <c r="Q19" i="3"/>
  <c r="R19" i="3"/>
  <c r="S19" i="3"/>
  <c r="T19" i="3"/>
  <c r="V19" i="3"/>
  <c r="P20" i="3"/>
  <c r="Q20" i="3"/>
  <c r="R20" i="3"/>
  <c r="S20" i="3"/>
  <c r="T20" i="3"/>
  <c r="V20" i="3"/>
  <c r="P21" i="3"/>
  <c r="Q21" i="3"/>
  <c r="R21" i="3"/>
  <c r="S21" i="3"/>
  <c r="T21" i="3"/>
  <c r="V21" i="3"/>
  <c r="P22" i="3"/>
  <c r="Q22" i="3"/>
  <c r="R22" i="3"/>
  <c r="S22" i="3"/>
  <c r="T22" i="3"/>
  <c r="V22" i="3"/>
  <c r="P23" i="3"/>
  <c r="Q23" i="3"/>
  <c r="R23" i="3"/>
  <c r="S23" i="3"/>
  <c r="T23" i="3"/>
  <c r="V23" i="3"/>
  <c r="P24" i="3"/>
  <c r="Q24" i="3"/>
  <c r="S24" i="3"/>
  <c r="T24" i="3"/>
  <c r="P26" i="3"/>
  <c r="R27" i="3"/>
  <c r="R28" i="3"/>
  <c r="T28" i="3"/>
  <c r="T29" i="3"/>
  <c r="T30" i="3"/>
  <c r="T31" i="3"/>
  <c r="T32" i="3"/>
  <c r="T33" i="3"/>
  <c r="T34" i="3"/>
  <c r="T35" i="3"/>
  <c r="T36" i="3"/>
  <c r="T37" i="3"/>
  <c r="E19" i="1"/>
  <c r="E17" i="1"/>
  <c r="P15" i="4" l="1"/>
  <c r="Q15" i="4" s="1"/>
  <c r="R15" i="4" s="1"/>
  <c r="P7" i="4"/>
  <c r="Q7" i="4" s="1"/>
  <c r="R7" i="4" s="1"/>
  <c r="U28" i="3"/>
  <c r="V28" i="3" s="1"/>
  <c r="W28" i="3" s="1"/>
  <c r="W14" i="3"/>
  <c r="X14" i="3" s="1"/>
  <c r="Y14" i="3" s="1"/>
  <c r="Y3" i="3"/>
  <c r="X3" i="3"/>
  <c r="W3" i="3"/>
  <c r="V3" i="3"/>
  <c r="U3" i="3"/>
  <c r="T3" i="3"/>
  <c r="S3" i="3"/>
  <c r="R3" i="3"/>
  <c r="Q3" i="3"/>
  <c r="P3" i="3"/>
  <c r="P5" i="3" s="1"/>
  <c r="C14" i="1" l="1"/>
  <c r="D14" i="1"/>
  <c r="E14" i="1"/>
  <c r="F14" i="1"/>
  <c r="G14" i="1"/>
  <c r="H14" i="1"/>
  <c r="I14" i="1"/>
  <c r="J14" i="1"/>
  <c r="K14" i="1"/>
  <c r="L14" i="1"/>
  <c r="M14" i="1"/>
  <c r="N14" i="1"/>
  <c r="D5" i="1"/>
  <c r="P8" i="1"/>
  <c r="F9" i="1" l="1"/>
  <c r="C10" i="1"/>
  <c r="C11" i="1" s="1"/>
  <c r="C9" i="1"/>
  <c r="J9" i="1"/>
  <c r="J12" i="1" s="1"/>
  <c r="J13" i="1" s="1"/>
  <c r="H9" i="1"/>
  <c r="H12" i="1" s="1"/>
  <c r="H13" i="1" s="1"/>
  <c r="G10" i="1"/>
  <c r="G11" i="1" s="1"/>
  <c r="G9" i="1"/>
  <c r="G12" i="1" s="1"/>
  <c r="G13" i="1" s="1"/>
  <c r="H10" i="1"/>
  <c r="H11" i="1" s="1"/>
  <c r="M10" i="1"/>
  <c r="M11" i="1" s="1"/>
  <c r="E9" i="1"/>
  <c r="E12" i="1" s="1"/>
  <c r="E13" i="1" s="1"/>
  <c r="M9" i="1"/>
  <c r="J10" i="1"/>
  <c r="J11" i="1" s="1"/>
  <c r="E10" i="1"/>
  <c r="E11" i="1" s="1"/>
  <c r="F12" i="1"/>
  <c r="F13" i="1" s="1"/>
  <c r="L9" i="1"/>
  <c r="L12" i="1" s="1"/>
  <c r="L13" i="1" s="1"/>
  <c r="L10" i="1"/>
  <c r="L11" i="1" s="1"/>
  <c r="D10" i="1"/>
  <c r="D11" i="1" s="1"/>
  <c r="I9" i="1"/>
  <c r="N9" i="1"/>
  <c r="N12" i="1" s="1"/>
  <c r="N13" i="1" s="1"/>
  <c r="D9" i="1"/>
  <c r="I10" i="1"/>
  <c r="I11" i="1" s="1"/>
  <c r="K9" i="1"/>
  <c r="K12" i="1" s="1"/>
  <c r="K13" i="1" s="1"/>
  <c r="F10" i="1"/>
  <c r="F11" i="1" s="1"/>
  <c r="N10" i="1"/>
  <c r="N11" i="1" s="1"/>
  <c r="K10" i="1"/>
  <c r="K11" i="1" s="1"/>
  <c r="C12" i="1"/>
  <c r="C13" i="1" s="1"/>
  <c r="I17" i="1" l="1"/>
  <c r="P17" i="1" s="1"/>
  <c r="M12" i="1"/>
  <c r="M13" i="1" s="1"/>
  <c r="I12" i="1"/>
  <c r="I13" i="1" s="1"/>
  <c r="D12" i="1"/>
  <c r="D13" i="1" s="1"/>
  <c r="Q13" i="1" l="1"/>
  <c r="E23" i="1" s="1"/>
  <c r="E25" i="1" s="1"/>
  <c r="E21" i="1"/>
</calcChain>
</file>

<file path=xl/sharedStrings.xml><?xml version="1.0" encoding="utf-8"?>
<sst xmlns="http://schemas.openxmlformats.org/spreadsheetml/2006/main" count="206" uniqueCount="160">
  <si>
    <t>n =</t>
  </si>
  <si>
    <t xml:space="preserve"> </t>
  </si>
  <si>
    <t>Средне квадратическое отклонение δ =</t>
  </si>
  <si>
    <r>
      <t>Дисперсия δ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</si>
  <si>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Коэффициент вариации V =</t>
  </si>
  <si>
    <r>
      <t>Коэффициент ассиметрии A</t>
    </r>
    <r>
      <rPr>
        <vertAlign val="subscript"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</si>
  <si>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 xml:space="preserve">Центр.момент 4-го порядка </t>
    </r>
    <r>
      <rPr>
        <sz val="11"/>
        <color theme="1"/>
        <rFont val="Calibri"/>
        <family val="2"/>
        <charset val="204"/>
      </rPr>
      <t>μ</t>
    </r>
    <r>
      <rPr>
        <vertAlign val="subscript"/>
        <sz val="11"/>
        <color theme="1"/>
        <rFont val="Calibri"/>
        <family val="2"/>
        <charset val="204"/>
      </rPr>
      <t>4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</si>
  <si>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Коэффициент эксцесса E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</si>
  <si>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</si>
  <si>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</si>
  <si>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Σ(xi - ⴟ)</t>
    </r>
    <r>
      <rPr>
        <vertAlign val="superscript"/>
        <sz val="11"/>
        <color theme="1"/>
        <rFont val="Calibri"/>
        <family val="2"/>
        <charset val="204"/>
      </rPr>
      <t>4</t>
    </r>
    <r>
      <rPr>
        <sz val="11"/>
        <color theme="1"/>
        <rFont val="Calibri"/>
        <family val="2"/>
        <charset val="204"/>
      </rPr>
      <t xml:space="preserve"> * m</t>
    </r>
    <r>
      <rPr>
        <vertAlign val="subscript"/>
        <sz val="11"/>
        <color theme="1"/>
        <rFont val="Calibri"/>
        <family val="2"/>
        <charset val="204"/>
      </rPr>
      <t>i</t>
    </r>
  </si>
  <si>
    <r>
      <t>(xi - ⴟ)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</si>
  <si>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Σ 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</si>
  <si>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 xml:space="preserve">Среднее значение признака ⴟ = </t>
  </si>
  <si>
    <t>Xi - ⴟ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</si>
  <si>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-  ⴟ)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</si>
  <si>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(Xi -  ⴟ)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* Mi</t>
    </r>
  </si>
  <si>
    <r>
      <t>(xi - ⴟ)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* 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</si>
  <si>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* 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</si>
  <si>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 xml:space="preserve">Мо = </t>
  </si>
  <si>
    <t>Варианты Xi</t>
  </si>
  <si>
    <t>[4;6)</t>
  </si>
  <si>
    <t>[6;8)</t>
  </si>
  <si>
    <t>[8;10)</t>
  </si>
  <si>
    <t>[10;12)</t>
  </si>
  <si>
    <t>[12;14)</t>
  </si>
  <si>
    <t>[14;16)</t>
  </si>
  <si>
    <t>pi</t>
  </si>
  <si>
    <t xml:space="preserve">Из Лабораторной работы "Вариационные ряды часть 1 Задание 2" возьмем эмпирическую плотность </t>
  </si>
  <si>
    <t>Получается, что плотность работников колеблется в промежутке [0,0273;0,1545]</t>
  </si>
  <si>
    <t>Различия есть и они достаточно большие, на некоторых интервалах число рабочих преобладает.</t>
  </si>
  <si>
    <t>Не является, так как слишком большое колебание плотности рабочих.</t>
  </si>
  <si>
    <t>Коэффициент вариации</t>
  </si>
  <si>
    <t>A</t>
  </si>
  <si>
    <t>u3</t>
  </si>
  <si>
    <t>∑</t>
  </si>
  <si>
    <r>
      <rPr>
        <sz val="14"/>
        <color theme="1"/>
        <rFont val="Calibri"/>
        <family val="2"/>
        <charset val="204"/>
        <scheme val="minor"/>
      </rPr>
      <t>(x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4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ср)^3 * mi</t>
    </r>
  </si>
  <si>
    <t>Стандартное отклонение</t>
  </si>
  <si>
    <t xml:space="preserve">Ассиметрия </t>
  </si>
  <si>
    <t>Дисперсия</t>
  </si>
  <si>
    <t>---</t>
  </si>
  <si>
    <t>Получается, что плотность работников колеблется в промежутке [0,012821;0,141026]</t>
  </si>
  <si>
    <t>E</t>
  </si>
  <si>
    <t>u4</t>
  </si>
  <si>
    <r>
      <rPr>
        <sz val="14"/>
        <color theme="1"/>
        <rFont val="Calibri"/>
        <family val="2"/>
        <charset val="204"/>
        <scheme val="minor"/>
      </rPr>
      <t>(x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4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ср)^4 * mi</t>
    </r>
  </si>
  <si>
    <t>Эксцесс</t>
  </si>
  <si>
    <t>(xi - xср)^2*mi</t>
  </si>
  <si>
    <t>(xi - xср)*mi</t>
  </si>
  <si>
    <r>
      <rPr>
        <sz val="14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4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ср</t>
    </r>
  </si>
  <si>
    <r>
      <rPr>
        <sz val="14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* </t>
    </r>
    <r>
      <rPr>
        <sz val="14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i</t>
    </r>
  </si>
  <si>
    <r>
      <rPr>
        <sz val="12"/>
        <color theme="1"/>
        <rFont val="Calibri"/>
        <family val="2"/>
        <charset val="204"/>
        <scheme val="minor"/>
      </rPr>
      <t>m</t>
    </r>
    <r>
      <rPr>
        <sz val="8"/>
        <color theme="1"/>
        <rFont val="Calibri"/>
        <family val="2"/>
        <charset val="204"/>
        <scheme val="minor"/>
      </rPr>
      <t>i</t>
    </r>
  </si>
  <si>
    <r>
      <rPr>
        <sz val="14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i</t>
    </r>
  </si>
  <si>
    <t>Расчёт дисперсии и среднего квадратичного отклонения</t>
  </si>
  <si>
    <t>Мода</t>
  </si>
  <si>
    <t>Медиана</t>
  </si>
  <si>
    <t>Среднее арифметическое</t>
  </si>
  <si>
    <r>
      <rPr>
        <sz val="12"/>
        <color theme="1"/>
        <rFont val="Calibri"/>
        <family val="2"/>
        <charset val="204"/>
      </rPr>
      <t>∑</t>
    </r>
    <r>
      <rPr>
        <sz val="12"/>
        <color theme="1"/>
        <rFont val="Calibri"/>
        <family val="2"/>
        <charset val="204"/>
        <scheme val="minor"/>
      </rPr>
      <t>w</t>
    </r>
    <r>
      <rPr>
        <sz val="8"/>
        <color theme="1"/>
        <rFont val="Calibri"/>
        <family val="2"/>
        <charset val="204"/>
        <scheme val="minor"/>
      </rPr>
      <t>i</t>
    </r>
  </si>
  <si>
    <t>Вариационный ряд</t>
  </si>
  <si>
    <r>
      <rPr>
        <sz val="12"/>
        <color theme="1"/>
        <rFont val="Calibri"/>
        <family val="2"/>
        <charset val="204"/>
        <scheme val="minor"/>
      </rPr>
      <t>w</t>
    </r>
    <r>
      <rPr>
        <sz val="8"/>
        <color theme="1"/>
        <rFont val="Calibri"/>
        <family val="2"/>
        <charset val="204"/>
        <scheme val="minor"/>
      </rPr>
      <t>i</t>
    </r>
  </si>
  <si>
    <t>[24; 27]</t>
  </si>
  <si>
    <t>[21; 24)</t>
  </si>
  <si>
    <t>[18; 21)</t>
  </si>
  <si>
    <t>[15; 18)</t>
  </si>
  <si>
    <t>[12; 15)</t>
  </si>
  <si>
    <t>[9;12)</t>
  </si>
  <si>
    <t>xi</t>
  </si>
  <si>
    <t>Вариационный ряд частот</t>
  </si>
  <si>
    <t>Ранжированный список</t>
  </si>
  <si>
    <t>Плотность колеблется в промежутке [0,16;0,28]</t>
  </si>
  <si>
    <r>
      <rPr>
        <sz val="14"/>
        <color theme="1"/>
        <rFont val="Calibri"/>
        <family val="2"/>
        <charset val="204"/>
        <scheme val="minor"/>
      </rPr>
      <t>(x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- </t>
    </r>
    <r>
      <rPr>
        <sz val="14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ср)^4</t>
    </r>
  </si>
  <si>
    <t>Δ</t>
  </si>
  <si>
    <t>k</t>
  </si>
  <si>
    <t>∑mi</t>
  </si>
  <si>
    <t>m i</t>
  </si>
  <si>
    <t>Xi</t>
  </si>
  <si>
    <t>В данном случае варианты 14 и 16 имеют равную и наибольшую среди остальных вариант частоту, равную 5, а знначит моды данного ряда: 14 и 16.</t>
  </si>
  <si>
    <t>mi</t>
  </si>
  <si>
    <t>Пример:</t>
  </si>
  <si>
    <t>Т.к. по определению мода это варианта с наибольшей частотой появления, то в случае, когда несколько вариант имеют наибольшую и равную частоту, вариационный ряд будет иметь несколько мод.</t>
  </si>
  <si>
    <t>вопрос 14</t>
  </si>
  <si>
    <r>
      <t xml:space="preserve">А вот </t>
    </r>
    <r>
      <rPr>
        <u/>
        <sz val="11"/>
        <color theme="1"/>
        <rFont val="Calibri"/>
        <family val="2"/>
        <charset val="204"/>
        <scheme val="minor"/>
      </rPr>
      <t>средняя арифметическая</t>
    </r>
    <r>
      <rPr>
        <sz val="11"/>
        <color theme="1"/>
        <rFont val="Calibri"/>
        <family val="2"/>
        <charset val="204"/>
        <scheme val="minor"/>
      </rPr>
      <t xml:space="preserve"> зависит именно от значений вариант, а значит при существенном увеличении/уменьшении крайних значений, будет соответственно либо увеличиваться, либо уменьшаться.</t>
    </r>
  </si>
  <si>
    <r>
      <rPr>
        <u/>
        <sz val="11"/>
        <color theme="1"/>
        <rFont val="Calibri"/>
        <family val="2"/>
        <charset val="204"/>
        <scheme val="minor"/>
      </rPr>
      <t>Медиана</t>
    </r>
    <r>
      <rPr>
        <sz val="11"/>
        <color theme="1"/>
        <rFont val="Calibri"/>
        <family val="2"/>
        <charset val="204"/>
        <scheme val="minor"/>
      </rPr>
      <t xml:space="preserve"> не зависит от крайних значений, т.к. она зависит только от того, на сколько частото встречается то или иное значение, а не от самих значений (медиана делит вариационный ряд на 2 равные части по количеству вариант!)  </t>
    </r>
  </si>
  <si>
    <t>Ответ на вопрос:</t>
  </si>
  <si>
    <t>(т.к. середина ранжирования = 26/2=13, а 13 и 14 значения = 15, то и медиана = 15)</t>
  </si>
  <si>
    <t>Me</t>
  </si>
  <si>
    <t>(выбираем моду по наибольшему значению частоты каждой варианты, т.к. у нас есть дискретный вариационный ряд</t>
  </si>
  <si>
    <t>Mo</t>
  </si>
  <si>
    <t>вопрос 13</t>
  </si>
  <si>
    <t>Среднее арифметическое взвешенное:</t>
  </si>
  <si>
    <t>Среднее арифметическое:</t>
  </si>
  <si>
    <t>Среднее арифметическое и среднее арифметическое взвешанное</t>
  </si>
  <si>
    <t>вопрос 12</t>
  </si>
  <si>
    <r>
      <t xml:space="preserve">Т.к. 24 значение = 21, а 25 значения = 23, то </t>
    </r>
    <r>
      <rPr>
        <u/>
        <sz val="11"/>
        <color theme="1"/>
        <rFont val="Calibri"/>
        <family val="2"/>
        <charset val="204"/>
        <scheme val="minor"/>
      </rPr>
      <t>90-й перцентель = 21 + (23-21)*0,3 = 21,6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</si>
  <si>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Значит лежит между 24 и 25 значениями, причём расстояние от 6 значения до перцентиля составляет 0,3 от расстояния между 24 и 25 значениями</t>
  </si>
  <si>
    <t>позиция</t>
  </si>
  <si>
    <t>90-й перцентиль:</t>
  </si>
  <si>
    <r>
      <t xml:space="preserve">Т.к. 13 и 14 значения = 15, то </t>
    </r>
    <r>
      <rPr>
        <u/>
        <sz val="11"/>
        <color theme="1"/>
        <rFont val="Calibri"/>
        <family val="2"/>
        <charset val="204"/>
        <scheme val="minor"/>
      </rPr>
      <t>50-й перцентель = 15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</si>
  <si>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Значит лежит между 13 и 14 значениями, причём расстояние от 13 значения до перцентиля составляет 0,5 от расстояния между 13 и 14 значениями</t>
  </si>
  <si>
    <t>50-й перцентиль:</t>
  </si>
  <si>
    <r>
      <t xml:space="preserve">Т.к. 6 и 7 значения = 14, то </t>
    </r>
    <r>
      <rPr>
        <u/>
        <sz val="11"/>
        <color theme="1"/>
        <rFont val="Calibri"/>
        <family val="2"/>
        <charset val="204"/>
        <scheme val="minor"/>
      </rPr>
      <t>25-й перцентель = 14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</si>
  <si>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Значит лежит между 6 и 7 значениями, причём расстояние от 6 значения до перцентиля составляет 0,75 от расстояния между 6 и 7 значениями</t>
  </si>
  <si>
    <t>25-й перцентиль:</t>
  </si>
  <si>
    <t>Ранжируем вариационный ряд:</t>
  </si>
  <si>
    <t>Вычислить 25-й, 50-й и 90-й перцентили.</t>
  </si>
  <si>
    <t>вопрос 9</t>
  </si>
  <si>
    <t>Xmin</t>
  </si>
  <si>
    <t>Xmax</t>
  </si>
  <si>
    <t>вопрос 6</t>
  </si>
  <si>
    <t>K</t>
  </si>
  <si>
    <t>n</t>
  </si>
  <si>
    <t>L</t>
  </si>
  <si>
    <t>Вычисление интервала по другой формуле:</t>
  </si>
  <si>
    <t>Вопрос 4</t>
  </si>
  <si>
    <t>Доля Xi</t>
  </si>
  <si>
    <t>Частоты Xi</t>
  </si>
  <si>
    <t>24-27</t>
  </si>
  <si>
    <t>21-24</t>
  </si>
  <si>
    <t>18-21</t>
  </si>
  <si>
    <t>15-18</t>
  </si>
  <si>
    <t>12-15</t>
  </si>
  <si>
    <t>9-12</t>
  </si>
  <si>
    <t>Интервалы</t>
  </si>
  <si>
    <t>Вопрос 3</t>
  </si>
  <si>
    <t>В качестве модального интервала берём интервал с наибольшей частотой, а значит интервал 500-700</t>
  </si>
  <si>
    <t>вопрос 11</t>
  </si>
  <si>
    <t>В качестве медианного интервала берём интервал с наибольшей частотой, а значит интервал 500-700</t>
  </si>
  <si>
    <t>вопрос 10</t>
  </si>
  <si>
    <t>вопрос 8</t>
  </si>
  <si>
    <t>Гистограмма и кумулянта для данной задачи</t>
  </si>
  <si>
    <t>вопрос 7</t>
  </si>
  <si>
    <r>
      <t xml:space="preserve">Накопление частоты в </t>
    </r>
    <r>
      <rPr>
        <u/>
        <sz val="11"/>
        <color theme="1"/>
        <rFont val="Calibri"/>
        <family val="2"/>
        <charset val="204"/>
        <scheme val="minor"/>
      </rPr>
      <t>нисходящем</t>
    </r>
    <r>
      <rPr>
        <sz val="11"/>
        <color theme="1"/>
        <rFont val="Calibri"/>
        <family val="2"/>
        <charset val="204"/>
        <scheme val="minor"/>
      </rPr>
      <t xml:space="preserve"> порядке указывает на количество значений, которые больше левого края соответствующего интервала.</t>
    </r>
  </si>
  <si>
    <t>Накоп. част↓</t>
  </si>
  <si>
    <r>
      <t xml:space="preserve">Накопление частоты в </t>
    </r>
    <r>
      <rPr>
        <u/>
        <sz val="11"/>
        <color theme="1"/>
        <rFont val="Calibri"/>
        <family val="2"/>
        <charset val="204"/>
        <scheme val="minor"/>
      </rPr>
      <t>восходящем</t>
    </r>
    <r>
      <rPr>
        <sz val="11"/>
        <color theme="1"/>
        <rFont val="Calibri"/>
        <family val="2"/>
        <charset val="204"/>
        <scheme val="minor"/>
      </rPr>
      <t xml:space="preserve"> порядке указывает на количество значений, которые меньше левого края соответствующего интервала.</t>
    </r>
  </si>
  <si>
    <t>вопрос  5</t>
  </si>
  <si>
    <r>
      <t>Накоп. част</t>
    </r>
    <r>
      <rPr>
        <sz val="11"/>
        <color theme="1"/>
        <rFont val="Calibri"/>
        <family val="2"/>
        <charset val="204"/>
      </rPr>
      <t>↑</t>
    </r>
  </si>
  <si>
    <t>вопрос 1</t>
  </si>
  <si>
    <t>Верх. гран.</t>
  </si>
  <si>
    <t>Ниж. гран.</t>
  </si>
  <si>
    <t>Доля покупателей (wi)</t>
  </si>
  <si>
    <t>Число покупателей (mi)</t>
  </si>
  <si>
    <t>1100-1300</t>
  </si>
  <si>
    <t>900-1100</t>
  </si>
  <si>
    <t>700-900</t>
  </si>
  <si>
    <t>500-700</t>
  </si>
  <si>
    <t>300-500</t>
  </si>
  <si>
    <t>100-300</t>
  </si>
  <si>
    <t>Интервалы расходов</t>
  </si>
  <si>
    <t>Правая граница последнего интервала = 110</t>
  </si>
  <si>
    <t>Начало первого интервала = 50</t>
  </si>
  <si>
    <t>Значит:</t>
  </si>
  <si>
    <t>Т.к. в данном распеределении крайнии интервалы не ограниченные, а остальные интервалы равные, то для крайних интервалов берём такую же ширину, как и у остальных, значит крайние интервалы можно принять за такие интервалы как: 50-60 и 100-110.</t>
  </si>
  <si>
    <t>вопрос 2</t>
  </si>
  <si>
    <t>-</t>
  </si>
  <si>
    <t xml:space="preserve">Число регионов </t>
  </si>
  <si>
    <t>Свыше 100</t>
  </si>
  <si>
    <t>90-100</t>
  </si>
  <si>
    <t>80-90</t>
  </si>
  <si>
    <t>70-80</t>
  </si>
  <si>
    <t>60-70</t>
  </si>
  <si>
    <t>До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</si>
</sst>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/>
    <xf numFmtId="9" fontId="0" fillId="0" borderId="1" xfId="1" applyFont="1" applyBorder="1"/>
    <xf numFmtId="0" fontId="0" fillId="0" borderId="3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8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3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DBB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u="none" strike="noStrike" baseline="0"/>
              <a:t>Эмпирическая плотность</a:t>
            </a:r>
            <a:endParaRPr lang="en-US" sz="16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'2.1'!$B$29</c:f>
              <c:strCache>
                <c:ptCount val="1"/>
                <c:pt idx="0">
                  <c:v>pi</c:v>
                </c:pt>
              </c:strCache>
            </c:strRef>
          </c:tx>
          <c:spPr>
            <a:noFill/>
            <a:ln w="2857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'[1]Задание 2'!$AQ$1:$AV$1</c:f>
              <c:strCache>
                <c:ptCount val="6"/>
                <c:pt idx="0">
                  <c:v>[4;6)</c:v>
                </c:pt>
                <c:pt idx="1">
                  <c:v>[6;8)</c:v>
                </c:pt>
                <c:pt idx="2">
                  <c:v>[8;10)</c:v>
                </c:pt>
                <c:pt idx="3">
                  <c:v>[10;12)</c:v>
                </c:pt>
                <c:pt idx="4">
                  <c:v>[12;14)</c:v>
                </c:pt>
                <c:pt idx="5">
                  <c:v>[14;16)</c:v>
                </c:pt>
              </c:strCache>
            </c:strRef>
          </c:cat>
          <c:val>
            <c:numRef>
              <c:f>'2.1'!$C$29:$H$29</c:f>
              <c:numCache>
                <c:formatCode>General</c:formatCode>
                <c:ptCount val="6"/>
                <c:pt idx="0">
                  <c:v>4.5499999999999999E-2</c:v>
                </c:pt>
                <c:pt idx="1">
                  <c:v>0.1545</c:v>
                </c:pt>
                <c:pt idx="2">
                  <c:v>0.13639999999999999</c:v>
                </c:pt>
                <c:pt idx="3">
                  <c:v>0.14549999999999999</c:v>
                </c:pt>
                <c:pt idx="4">
                  <c:v>3.6400000000000002E-2</c:v>
                </c:pt>
                <c:pt idx="5">
                  <c:v>2.7300000000000001E-2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7-4AEA-84FB-35E2C79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4764928"/>
        <c:axId val="144830464"/>
      </c:barChart>
      <c:catAx>
        <c:axId val="14476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830464"/>
        <c:crosses val="autoZero"/>
        <c:auto val="1"/>
        <c:lblAlgn val="ctr"/>
        <c:lblOffset val="100"/>
        <c:noMultiLvlLbl val="0"/>
      </c:catAx>
      <c:valAx>
        <c:axId val="144830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649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плотность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'2.3'!$B$15:$F$15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'2.3'!$B$16:$F$16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0.28000000000000003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9-4F2C-948A-A82D3625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515128"/>
        <c:axId val="409515456"/>
      </c:barChart>
      <c:catAx>
        <c:axId val="40951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15456"/>
        <c:crosses val="autoZero"/>
        <c:auto val="1"/>
        <c:lblAlgn val="ctr"/>
        <c:lblOffset val="100"/>
        <c:noMultiLvlLbl val="0"/>
      </c:catAx>
      <c:valAx>
        <c:axId val="4095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1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плотность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'3.1'!$AC$2:$AH$2</c:f>
              <c:strCache>
                <c:ptCount val="6"/>
                <c:pt idx="0">
                  <c:v>[9;12)</c:v>
                </c:pt>
                <c:pt idx="1">
                  <c:v>[12; 15)</c:v>
                </c:pt>
                <c:pt idx="2">
                  <c:v>[15; 18)</c:v>
                </c:pt>
                <c:pt idx="3">
                  <c:v>[18; 21)</c:v>
                </c:pt>
                <c:pt idx="4">
                  <c:v>[21; 24)</c:v>
                </c:pt>
                <c:pt idx="5">
                  <c:v>[24; 27]</c:v>
                </c:pt>
              </c:strCache>
            </c:strRef>
          </c:cat>
          <c:val>
            <c:numRef>
              <c:f>'3.1'!$AC$3:$AH$3</c:f>
              <c:numCache>
                <c:formatCode>General</c:formatCode>
                <c:ptCount val="6"/>
                <c:pt idx="0">
                  <c:v>1.282051282051282E-2</c:v>
                </c:pt>
                <c:pt idx="1">
                  <c:v>0.12820512820512819</c:v>
                </c:pt>
                <c:pt idx="2">
                  <c:v>0.14102564102564102</c:v>
                </c:pt>
                <c:pt idx="3">
                  <c:v>1.282051282051282E-2</c:v>
                </c:pt>
                <c:pt idx="4">
                  <c:v>2.564102564102564E-2</c:v>
                </c:pt>
                <c:pt idx="5">
                  <c:v>1.282051282051282E-2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5-44A8-8930-ED9AC658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8327672"/>
        <c:axId val="638331280"/>
      </c:barChart>
      <c:catAx>
        <c:axId val="63832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331280"/>
        <c:crosses val="autoZero"/>
        <c:auto val="1"/>
        <c:lblAlgn val="ctr"/>
        <c:lblOffset val="100"/>
        <c:noMultiLvlLbl val="0"/>
      </c:catAx>
      <c:valAx>
        <c:axId val="63833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32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/>
              <a:t>Полигон</a:t>
            </a:r>
            <a:r>
              <a:rPr lang="ru-RU" sz="1200" baseline="0"/>
              <a:t> распределения (дискретный вар. ряд)</a:t>
            </a:r>
            <a:endParaRPr lang="en-US" sz="1200"/>
          </a:p>
        </c:rich>
      </c:tx>
      <c:layout>
        <c:manualLayout>
          <c:xMode val="edge"/>
          <c:yMode val="edge"/>
          <c:x val="0.15801377952755907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2589129483814523"/>
          <c:w val="0.89746303587051623"/>
          <c:h val="0.758128827646544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1 вопросы'!$I$11</c:f>
              <c:strCache>
                <c:ptCount val="1"/>
                <c:pt idx="0">
                  <c:v>mi</c:v>
                </c:pt>
              </c:strCache>
            </c:strRef>
          </c:tx>
          <c:xVal>
            <c:numRef>
              <c:f>'Задание 1 вопросы'!$J$10:$T$10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</c:numCache>
            </c:numRef>
          </c:xVal>
          <c:yVal>
            <c:numRef>
              <c:f>'Задание 1 вопросы'!$J$11:$T$11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2-44D1-A1FA-9D816D11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0160"/>
        <c:axId val="127814272"/>
      </c:scatterChart>
      <c:valAx>
        <c:axId val="127820160"/>
        <c:scaling>
          <c:orientation val="minMax"/>
          <c:max val="28"/>
          <c:min val="8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  <a:tailEnd type="triangle" w="med" len="lg"/>
          </a:ln>
        </c:spPr>
        <c:crossAx val="127814272"/>
        <c:crosses val="autoZero"/>
        <c:crossBetween val="midCat"/>
      </c:valAx>
      <c:valAx>
        <c:axId val="1278142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6111111111111108E-2"/>
              <c:y val="3.457349081364829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  <a:tailEnd type="triangle" w="med" len="lg"/>
          </a:ln>
        </c:spPr>
        <c:crossAx val="12782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/>
              <a:t>Полигон</a:t>
            </a:r>
            <a:r>
              <a:rPr lang="ru-RU" sz="1200" baseline="0"/>
              <a:t> распределения </a:t>
            </a:r>
            <a:r>
              <a:rPr lang="en-US" sz="1200" baseline="0"/>
              <a:t>(</a:t>
            </a:r>
            <a:r>
              <a:rPr lang="ru-RU" sz="1200" baseline="0"/>
              <a:t>интервальный вар. ряд)</a:t>
            </a:r>
            <a:endParaRPr lang="en-US" sz="1200"/>
          </a:p>
        </c:rich>
      </c:tx>
      <c:layout>
        <c:manualLayout>
          <c:xMode val="edge"/>
          <c:yMode val="edge"/>
          <c:x val="0.15801377952755913"/>
          <c:y val="1.85185185185185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905074365704294E-2"/>
          <c:y val="0.12589129483814523"/>
          <c:w val="0.89746303587051601"/>
          <c:h val="0.75812882764654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1 вопросы'!$I$11</c:f>
              <c:strCache>
                <c:ptCount val="1"/>
                <c:pt idx="0">
                  <c:v>mi</c:v>
                </c:pt>
              </c:strCache>
            </c:strRef>
          </c:tx>
          <c:xVal>
            <c:strRef>
              <c:f>'Задание 1 вопросы'!$J$1:$O$1</c:f>
              <c:strCache>
                <c:ptCount val="6"/>
                <c:pt idx="0">
                  <c:v>9-12</c:v>
                </c:pt>
                <c:pt idx="1">
                  <c:v>12-15</c:v>
                </c:pt>
                <c:pt idx="2">
                  <c:v>15-18</c:v>
                </c:pt>
                <c:pt idx="3">
                  <c:v>18-21</c:v>
                </c:pt>
                <c:pt idx="4">
                  <c:v>21-24</c:v>
                </c:pt>
                <c:pt idx="5">
                  <c:v>24-27</c:v>
                </c:pt>
              </c:strCache>
            </c:strRef>
          </c:xVal>
          <c:yVal>
            <c:numRef>
              <c:f>'Задание 1 вопросы'!$J$2:$O$2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8-4E95-A9F8-A47E5E52B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9904"/>
        <c:axId val="127853696"/>
      </c:scatterChart>
      <c:valAx>
        <c:axId val="126939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  <a:tailEnd type="triangle" w="med" len="lg"/>
          </a:ln>
        </c:spPr>
        <c:crossAx val="127853696"/>
        <c:crosses val="autoZero"/>
        <c:crossBetween val="midCat"/>
      </c:valAx>
      <c:valAx>
        <c:axId val="127853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6111111111111122E-2"/>
              <c:y val="3.457349081364829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  <a:tailEnd type="triangle" w="med" len="lg"/>
          </a:ln>
        </c:spPr>
        <c:crossAx val="12693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Кумулянта</a:t>
            </a:r>
          </a:p>
        </c:rich>
      </c:tx>
      <c:layout>
        <c:manualLayout>
          <c:xMode val="edge"/>
          <c:yMode val="edge"/>
          <c:x val="0.41719722222222222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874074074074077E-2"/>
          <c:y val="0.11158573928258968"/>
          <c:w val="0.87741370370370375"/>
          <c:h val="0.7853740157480314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'Задание 2 вопросы'!$B$6:$H$6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</c:numCache>
            </c:numRef>
          </c:xVal>
          <c:yVal>
            <c:numRef>
              <c:f>'Задание 2 вопросы'!$B$7:$H$7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68</c:v>
                </c:pt>
                <c:pt idx="3">
                  <c:v>118</c:v>
                </c:pt>
                <c:pt idx="4">
                  <c:v>149</c:v>
                </c:pt>
                <c:pt idx="5">
                  <c:v>171</c:v>
                </c:pt>
                <c:pt idx="6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CDA-9EC7-124F1847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2144"/>
        <c:axId val="164866688"/>
      </c:scatterChart>
      <c:valAx>
        <c:axId val="52982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141833333333337"/>
              <c:y val="0.86016185476815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ysClr val="windowText" lastClr="000000"/>
            </a:solidFill>
            <a:tailEnd type="triangle" w="med" len="lg"/>
          </a:ln>
        </c:spPr>
        <c:crossAx val="164866688"/>
        <c:crosses val="autoZero"/>
        <c:crossBetween val="midCat"/>
        <c:majorUnit val="100"/>
      </c:valAx>
      <c:valAx>
        <c:axId val="164866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Mxi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9388888888888892E-2"/>
              <c:y val="2.694626713327502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ysClr val="windowText" lastClr="000000"/>
            </a:solidFill>
            <a:tailEnd type="triangle" w="med" len="lg"/>
          </a:ln>
        </c:spPr>
        <c:crossAx val="52982144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Гистограмма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349518810148725E-2"/>
          <c:y val="0.19480351414406533"/>
          <c:w val="0.8750949256342957"/>
          <c:h val="0.69752661125692617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'Задание 2 вопросы'!$B$1:$G$1</c:f>
              <c:strCache>
                <c:ptCount val="6"/>
                <c:pt idx="0">
                  <c:v>100-300</c:v>
                </c:pt>
                <c:pt idx="1">
                  <c:v>300-500</c:v>
                </c:pt>
                <c:pt idx="2">
                  <c:v>500-700</c:v>
                </c:pt>
                <c:pt idx="3">
                  <c:v>700-900</c:v>
                </c:pt>
                <c:pt idx="4">
                  <c:v>900-1100</c:v>
                </c:pt>
                <c:pt idx="5">
                  <c:v>1100-1300</c:v>
                </c:pt>
              </c:strCache>
            </c:strRef>
          </c:cat>
          <c:val>
            <c:numRef>
              <c:f>'Задание 2 вопросы'!$B$2:$G$2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50</c:v>
                </c:pt>
                <c:pt idx="3">
                  <c:v>31</c:v>
                </c:pt>
                <c:pt idx="4">
                  <c:v>22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3-44EC-9A82-49A08F0A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373376"/>
        <c:axId val="128046592"/>
      </c:barChart>
      <c:catAx>
        <c:axId val="1163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052187226596674"/>
              <c:y val="0.846272965879265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15875">
            <a:solidFill>
              <a:sysClr val="windowText" lastClr="000000"/>
            </a:solidFill>
            <a:tailEnd type="triangle" w="med" len="lg"/>
          </a:ln>
        </c:spPr>
        <c:crossAx val="128046592"/>
        <c:crosses val="autoZero"/>
        <c:auto val="1"/>
        <c:lblAlgn val="ctr"/>
        <c:lblOffset val="100"/>
        <c:noMultiLvlLbl val="0"/>
      </c:catAx>
      <c:valAx>
        <c:axId val="1280465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xi</a:t>
                </a:r>
              </a:p>
            </c:rich>
          </c:tx>
          <c:layout>
            <c:manualLayout>
              <c:xMode val="edge"/>
              <c:yMode val="edge"/>
              <c:x val="5.2777777777777778E-2"/>
              <c:y val="0.103277194517352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  <a:tailEnd type="triangle" w="med" len="lg"/>
          </a:ln>
        </c:spPr>
        <c:crossAx val="11637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Огива</a:t>
            </a:r>
          </a:p>
          <a:p>
            <a:pPr>
              <a:defRPr/>
            </a:pPr>
            <a:endParaRPr lang="ru-RU" sz="1400"/>
          </a:p>
        </c:rich>
      </c:tx>
      <c:layout>
        <c:manualLayout>
          <c:xMode val="edge"/>
          <c:yMode val="edge"/>
          <c:x val="0.41719722222222222"/>
          <c:y val="1.85185185185185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874074074074077E-2"/>
          <c:y val="0.11158573928258972"/>
          <c:w val="0.87741370370370353"/>
          <c:h val="0.7853740157480314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'Задание 2 вопросы'!$B$7:$H$7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68</c:v>
                </c:pt>
                <c:pt idx="3">
                  <c:v>118</c:v>
                </c:pt>
                <c:pt idx="4">
                  <c:v>149</c:v>
                </c:pt>
                <c:pt idx="5">
                  <c:v>171</c:v>
                </c:pt>
                <c:pt idx="6">
                  <c:v>184</c:v>
                </c:pt>
              </c:numCache>
            </c:numRef>
          </c:xVal>
          <c:yVal>
            <c:numRef>
              <c:f>'Задание 2 вопросы'!$B$6:$H$6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F-4616-8C69-025CE4B6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2048"/>
        <c:axId val="114297088"/>
      </c:scatterChart>
      <c:valAx>
        <c:axId val="53442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5362777777777754E-2"/>
              <c:y val="2.3574603174603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ysClr val="windowText" lastClr="000000"/>
            </a:solidFill>
            <a:tailEnd type="triangle" w="med" len="lg"/>
          </a:ln>
        </c:spPr>
        <c:crossAx val="114297088"/>
        <c:crosses val="autoZero"/>
        <c:crossBetween val="midCat"/>
      </c:valAx>
      <c:valAx>
        <c:axId val="114297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Mxi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779629629629625"/>
              <c:y val="0.858494047619047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ysClr val="windowText" lastClr="000000"/>
            </a:solidFill>
            <a:tailEnd type="triangle" w="med" len="lg"/>
          </a:ln>
        </c:spPr>
        <c:crossAx val="53442048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137160</xdr:colOff>
      <xdr:row>11</xdr:row>
      <xdr:rowOff>7620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AC76FB-3007-D104-4E85-0C30A49E709A}"/>
            </a:ext>
          </a:extLst>
        </xdr:cNvPr>
        <xdr:cNvSpPr txBox="1"/>
      </xdr:nvSpPr>
      <xdr:spPr>
        <a:xfrm>
          <a:off x="7185660" y="2712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0</xdr:colOff>
      <xdr:row>30</xdr:row>
      <xdr:rowOff>0</xdr:rowOff>
    </xdr:from>
    <xdr:to>
      <xdr:col>7</xdr:col>
      <xdr:colOff>98455</xdr:colOff>
      <xdr:row>45</xdr:row>
      <xdr:rowOff>12862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A01988-A680-46FA-AEC5-6BA791FA4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</xdr:rowOff>
    </xdr:from>
    <xdr:to>
      <xdr:col>6</xdr:col>
      <xdr:colOff>0</xdr:colOff>
      <xdr:row>29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158D14-1BEC-4E18-9A34-2BE591A0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3</xdr:row>
      <xdr:rowOff>185736</xdr:rowOff>
    </xdr:from>
    <xdr:to>
      <xdr:col>34</xdr:col>
      <xdr:colOff>314325</xdr:colOff>
      <xdr:row>17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B4EAAC-FB24-4049-9DC3-50681E901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285974</xdr:colOff>
      <xdr:row>11</xdr:row>
      <xdr:rowOff>125506</xdr:rowOff>
    </xdr:from>
    <xdr:to>
      <xdr:col>13</xdr:col>
      <xdr:colOff>438798</xdr:colOff>
      <xdr:row>27</xdr:row>
      <xdr:rowOff>136800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33C62D-CF59-4EF0-A1DC-2902AD222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142539</xdr:colOff>
      <xdr:row>11</xdr:row>
      <xdr:rowOff>126851</xdr:rowOff>
    </xdr:from>
    <xdr:to>
      <xdr:col>21</xdr:col>
      <xdr:colOff>555339</xdr:colOff>
      <xdr:row>27</xdr:row>
      <xdr:rowOff>138145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F2813B-FE7F-4AB5-8761-8922D2D6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243841</xdr:colOff>
      <xdr:row>31</xdr:row>
      <xdr:rowOff>22861</xdr:rowOff>
    </xdr:from>
    <xdr:ext cx="4059555" cy="529420"/>
    <xdr:pic>
      <xdr:nvPicPr>
        <xdr:cNvPr id="4" name="Рисунок 3">
          <a:extLst>
            <a:ext uri="{FF2B5EF4-FFF2-40B4-BE49-F238E27FC236}">
              <a16:creationId xmlns:a16="http://schemas.microsoft.com/office/drawing/2014/main" id="{12467951-4890-495C-8EAC-D6D4A04EC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87141" y="5928361"/>
          <a:ext cx="4059555" cy="52942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10</xdr:row>
      <xdr:rowOff>83820</xdr:rowOff>
    </xdr:from>
    <xdr:to>
      <xdr:col>8</xdr:col>
      <xdr:colOff>5040</xdr:colOff>
      <xdr:row>24</xdr:row>
      <xdr:rowOff>43500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B24510-B356-4840-94C6-0F10C1388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24</xdr:row>
      <xdr:rowOff>137160</xdr:rowOff>
    </xdr:from>
    <xdr:to>
      <xdr:col>8</xdr:col>
      <xdr:colOff>12660</xdr:colOff>
      <xdr:row>38</xdr:row>
      <xdr:rowOff>96840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37653D-1160-49C4-9E96-1385B4C06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41</xdr:row>
      <xdr:rowOff>76200</xdr:rowOff>
    </xdr:from>
    <xdr:to>
      <xdr:col>8</xdr:col>
      <xdr:colOff>12660</xdr:colOff>
      <xdr:row>55</xdr:row>
      <xdr:rowOff>35880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5E31F11-616D-4BEB-B2B8-03FF3E4CA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nor/Documents/Data%20Science/&#1051;&#1056;-2(&#1095;&#1072;&#1089;&#1090;&#1100;%201),%20&#1047;&#1091;&#1093;&#1080;&#1088;,%20&#1050;&#1088;&#1102;&#1095;&#1082;&#1086;&#1074;&#1072;,%20&#1057;&#1090;&#1077;&#1094;&#1091;&#1082;,%20&#1052;&#1072;&#1082;&#1089;&#1080;&#1084;&#1086;&#1074;&#1072;,%20&#1048;&#1042;&#1058;%20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1"/>
      <sheetName val="Задание 2"/>
      <sheetName val="Задание 3 Задача 1"/>
      <sheetName val="Задание 3 Задача 2"/>
    </sheetNames>
    <sheetDataSet>
      <sheetData sheetId="0"/>
      <sheetData sheetId="1">
        <row r="1">
          <cell r="AQ1" t="str">
            <v>[4;6)</v>
          </cell>
          <cell r="AR1" t="str">
            <v>[6;8)</v>
          </cell>
          <cell r="AS1" t="str">
            <v>[8;10)</v>
          </cell>
          <cell r="AT1" t="str">
            <v>[10;12)</v>
          </cell>
          <cell r="AU1" t="str">
            <v>[12;14)</v>
          </cell>
          <cell r="AV1" t="str">
            <v>[14;16)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208E-2795-4101-86EF-E5456DB5BE13}">
  <dimension ref="A1:S47"/>
  <sheetViews>
    <sheetView topLeftCell="A19" zoomScaleNormal="100" workbookViewId="0">
      <selection activeCell="A25" sqref="A25:D25"/>
    </sheetView>
  </sheetViews>
  <sheetFormatPr defaultColWidth="6.7109375" defaultRowHeight="15" x14ac:dyDescent="0.25"/>
  <cols>
    <col min="1" max="1" width="7.140625" bestFit="1" customWidth="1"/>
    <col min="2" max="7" width="10.85546875" bestFit="1" customWidth="1"/>
    <col min="14" max="14" width="7" bestFit="1" customWidth="1"/>
  </cols>
  <sheetData>
    <row r="1" spans="1:19" x14ac:dyDescent="0.25">
      <c r="A1" s="5">
        <v>12</v>
      </c>
      <c r="B1" s="5">
        <v>6</v>
      </c>
      <c r="C1" s="5">
        <v>8</v>
      </c>
      <c r="D1" s="5">
        <v>6</v>
      </c>
      <c r="E1" s="5">
        <v>10</v>
      </c>
      <c r="F1" s="5">
        <v>11</v>
      </c>
      <c r="G1" s="5">
        <v>7</v>
      </c>
      <c r="H1" s="5">
        <v>10</v>
      </c>
      <c r="I1" s="5">
        <v>12</v>
      </c>
      <c r="J1" s="5">
        <v>8</v>
      </c>
      <c r="K1" s="5">
        <v>7</v>
      </c>
      <c r="L1" s="5">
        <v>7</v>
      </c>
      <c r="M1" s="5">
        <v>6</v>
      </c>
      <c r="N1" s="5">
        <v>7</v>
      </c>
      <c r="O1" s="5">
        <v>8</v>
      </c>
      <c r="P1" s="5">
        <v>6</v>
      </c>
      <c r="Q1" s="5">
        <v>11</v>
      </c>
      <c r="R1" s="5">
        <v>9</v>
      </c>
      <c r="S1" s="5">
        <v>11</v>
      </c>
    </row>
    <row r="2" spans="1:19" x14ac:dyDescent="0.25">
      <c r="A2" s="5">
        <v>9</v>
      </c>
      <c r="B2" s="5">
        <v>10</v>
      </c>
      <c r="C2" s="5">
        <v>11</v>
      </c>
      <c r="D2" s="5">
        <v>9</v>
      </c>
      <c r="E2" s="5">
        <v>10</v>
      </c>
      <c r="F2" s="5">
        <v>7</v>
      </c>
      <c r="G2" s="5">
        <v>8</v>
      </c>
      <c r="H2" s="5">
        <v>8</v>
      </c>
      <c r="I2" s="5">
        <v>8</v>
      </c>
      <c r="J2" s="5">
        <v>11</v>
      </c>
      <c r="K2" s="5">
        <v>9</v>
      </c>
      <c r="L2" s="5">
        <v>8</v>
      </c>
      <c r="M2" s="5">
        <v>7</v>
      </c>
      <c r="N2" s="5">
        <v>5</v>
      </c>
      <c r="O2" s="5">
        <v>9</v>
      </c>
      <c r="P2" s="5">
        <v>7</v>
      </c>
      <c r="Q2" s="5">
        <v>7</v>
      </c>
      <c r="R2" s="5">
        <v>14</v>
      </c>
      <c r="S2" s="5">
        <v>11</v>
      </c>
    </row>
    <row r="3" spans="1:19" x14ac:dyDescent="0.25">
      <c r="A3" s="5">
        <v>9</v>
      </c>
      <c r="B3" s="5">
        <v>8</v>
      </c>
      <c r="C3" s="5">
        <v>7</v>
      </c>
      <c r="D3" s="5">
        <v>4</v>
      </c>
      <c r="E3" s="5">
        <v>7</v>
      </c>
      <c r="F3" s="5">
        <v>5</v>
      </c>
      <c r="G3" s="5">
        <v>5</v>
      </c>
      <c r="H3" s="5">
        <v>10</v>
      </c>
      <c r="I3" s="5">
        <v>7</v>
      </c>
      <c r="J3" s="5">
        <v>7</v>
      </c>
      <c r="K3" s="5">
        <v>5</v>
      </c>
      <c r="L3" s="5">
        <v>8</v>
      </c>
      <c r="M3" s="5">
        <v>10</v>
      </c>
      <c r="N3" s="5">
        <v>10</v>
      </c>
      <c r="O3" s="5">
        <v>15</v>
      </c>
      <c r="P3" s="5">
        <v>10</v>
      </c>
      <c r="Q3" s="5">
        <v>10</v>
      </c>
      <c r="R3" s="5">
        <v>13</v>
      </c>
      <c r="S3" s="5">
        <v>12</v>
      </c>
    </row>
    <row r="4" spans="1:19" x14ac:dyDescent="0.25">
      <c r="A4" s="5">
        <v>11</v>
      </c>
      <c r="B4" s="5">
        <v>15</v>
      </c>
      <c r="C4" s="5">
        <v>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4" t="s">
        <v>0</v>
      </c>
      <c r="B5" s="3">
        <v>60</v>
      </c>
      <c r="C5" s="4" t="s">
        <v>19</v>
      </c>
      <c r="D5" s="3">
        <f xml:space="preserve"> MODE(A1:S4)</f>
        <v>7</v>
      </c>
    </row>
    <row r="7" spans="1:19" ht="18" x14ac:dyDescent="0.35">
      <c r="A7" s="12" t="s">
        <v>9</v>
      </c>
      <c r="B7" s="12"/>
      <c r="C7" s="6">
        <v>4</v>
      </c>
      <c r="D7" s="6">
        <v>5</v>
      </c>
      <c r="E7" s="7">
        <v>6</v>
      </c>
      <c r="F7" s="7">
        <v>7</v>
      </c>
      <c r="G7" s="7">
        <v>8</v>
      </c>
      <c r="H7" s="7">
        <v>9</v>
      </c>
      <c r="I7" s="7">
        <v>10</v>
      </c>
      <c r="J7" s="7">
        <v>11</v>
      </c>
      <c r="K7" s="7">
        <v>12</v>
      </c>
      <c r="L7" s="7">
        <v>13</v>
      </c>
      <c r="M7" s="7">
        <v>14</v>
      </c>
      <c r="N7" s="7">
        <v>15</v>
      </c>
    </row>
    <row r="8" spans="1:19" ht="18" x14ac:dyDescent="0.35">
      <c r="A8" s="12" t="s">
        <v>8</v>
      </c>
      <c r="B8" s="12"/>
      <c r="C8" s="6">
        <v>1</v>
      </c>
      <c r="D8" s="6">
        <v>4</v>
      </c>
      <c r="E8" s="7">
        <v>5</v>
      </c>
      <c r="F8" s="7">
        <v>12</v>
      </c>
      <c r="G8" s="7">
        <v>9</v>
      </c>
      <c r="H8" s="7">
        <v>6</v>
      </c>
      <c r="I8" s="7">
        <v>9</v>
      </c>
      <c r="J8" s="7">
        <v>7</v>
      </c>
      <c r="K8" s="7">
        <v>3</v>
      </c>
      <c r="L8" s="7">
        <v>1</v>
      </c>
      <c r="M8" s="7">
        <v>1</v>
      </c>
      <c r="N8" s="7">
        <v>2</v>
      </c>
      <c r="O8" s="4" t="s">
        <v>12</v>
      </c>
      <c r="P8" s="3">
        <f xml:space="preserve"> SUM(C8:N8)</f>
        <v>60</v>
      </c>
    </row>
    <row r="9" spans="1:19" x14ac:dyDescent="0.25">
      <c r="A9" s="12" t="s">
        <v>14</v>
      </c>
      <c r="B9" s="12"/>
      <c r="C9" s="3">
        <f t="shared" ref="C9:N9" si="0" xml:space="preserve"> C7 - $E$17</f>
        <v>-4.7333333333333325</v>
      </c>
      <c r="D9" s="3">
        <f t="shared" si="0"/>
        <v>-3.7333333333333325</v>
      </c>
      <c r="E9" s="3">
        <f t="shared" si="0"/>
        <v>-2.7333333333333325</v>
      </c>
      <c r="F9" s="3">
        <f t="shared" si="0"/>
        <v>-1.7333333333333325</v>
      </c>
      <c r="G9" s="3">
        <f t="shared" si="0"/>
        <v>-0.7333333333333325</v>
      </c>
      <c r="H9" s="3">
        <f t="shared" si="0"/>
        <v>0.2666666666666675</v>
      </c>
      <c r="I9" s="3">
        <f t="shared" si="0"/>
        <v>1.2666666666666675</v>
      </c>
      <c r="J9" s="3">
        <f t="shared" si="0"/>
        <v>2.2666666666666675</v>
      </c>
      <c r="K9" s="3">
        <f t="shared" si="0"/>
        <v>3.2666666666666675</v>
      </c>
      <c r="L9" s="3">
        <f t="shared" si="0"/>
        <v>4.2666666666666675</v>
      </c>
      <c r="M9" s="3">
        <f t="shared" si="0"/>
        <v>5.2666666666666675</v>
      </c>
      <c r="N9" s="3">
        <f t="shared" si="0"/>
        <v>6.2666666666666675</v>
      </c>
    </row>
    <row r="10" spans="1:19" ht="18.75" x14ac:dyDescent="0.35">
      <c r="A10" s="12" t="s">
        <v>15</v>
      </c>
      <c r="B10" s="12"/>
      <c r="C10" s="3">
        <f t="shared" ref="C10:N10" si="1" xml:space="preserve"> (C7 - $E$17)*(C7 - $E$17)</f>
        <v>22.404444444444437</v>
      </c>
      <c r="D10" s="3">
        <f t="shared" si="1"/>
        <v>13.937777777777772</v>
      </c>
      <c r="E10" s="3">
        <f t="shared" si="1"/>
        <v>7.4711111111111066</v>
      </c>
      <c r="F10" s="3">
        <f t="shared" si="1"/>
        <v>3.0044444444444416</v>
      </c>
      <c r="G10" s="3">
        <f t="shared" si="1"/>
        <v>0.53777777777777658</v>
      </c>
      <c r="H10" s="3">
        <f t="shared" si="1"/>
        <v>7.1111111111111555E-2</v>
      </c>
      <c r="I10" s="3">
        <f t="shared" si="1"/>
        <v>1.6044444444444466</v>
      </c>
      <c r="J10" s="3">
        <f t="shared" si="1"/>
        <v>5.1377777777777816</v>
      </c>
      <c r="K10" s="3">
        <f t="shared" si="1"/>
        <v>10.671111111111117</v>
      </c>
      <c r="L10" s="3">
        <f t="shared" si="1"/>
        <v>18.204444444444452</v>
      </c>
      <c r="M10" s="3">
        <f t="shared" si="1"/>
        <v>27.737777777777787</v>
      </c>
      <c r="N10" s="3">
        <f t="shared" si="1"/>
        <v>39.271111111111118</v>
      </c>
    </row>
    <row r="11" spans="1:19" ht="17.25" x14ac:dyDescent="0.25">
      <c r="A11" s="12" t="s">
        <v>16</v>
      </c>
      <c r="B11" s="12"/>
      <c r="C11" s="3">
        <f t="shared" ref="C11:N11" si="2" xml:space="preserve"> C10 * C8</f>
        <v>22.404444444444437</v>
      </c>
      <c r="D11" s="3">
        <f t="shared" si="2"/>
        <v>55.751111111111086</v>
      </c>
      <c r="E11" s="3">
        <f t="shared" si="2"/>
        <v>37.355555555555533</v>
      </c>
      <c r="F11" s="3">
        <f t="shared" si="2"/>
        <v>36.053333333333299</v>
      </c>
      <c r="G11" s="3">
        <f t="shared" si="2"/>
        <v>4.8399999999999892</v>
      </c>
      <c r="H11" s="3">
        <f t="shared" si="2"/>
        <v>0.4266666666666693</v>
      </c>
      <c r="I11" s="3">
        <f t="shared" si="2"/>
        <v>14.440000000000019</v>
      </c>
      <c r="J11" s="3">
        <f t="shared" si="2"/>
        <v>35.964444444444467</v>
      </c>
      <c r="K11" s="3">
        <f t="shared" si="2"/>
        <v>32.01333333333335</v>
      </c>
      <c r="L11" s="3">
        <f t="shared" si="2"/>
        <v>18.204444444444452</v>
      </c>
      <c r="M11" s="3">
        <f t="shared" si="2"/>
        <v>27.737777777777787</v>
      </c>
      <c r="N11" s="3">
        <f t="shared" si="2"/>
        <v>78.542222222222236</v>
      </c>
    </row>
    <row r="12" spans="1:19" ht="17.25" x14ac:dyDescent="0.25">
      <c r="A12" s="12" t="s">
        <v>11</v>
      </c>
      <c r="B12" s="12"/>
      <c r="C12" s="3">
        <f t="shared" ref="C12:N12" si="3" xml:space="preserve"> C9^4</f>
        <v>501.95913086419716</v>
      </c>
      <c r="D12" s="3">
        <f t="shared" si="3"/>
        <v>194.26164938271589</v>
      </c>
      <c r="E12" s="3">
        <f t="shared" si="3"/>
        <v>55.817501234567835</v>
      </c>
      <c r="F12" s="3">
        <f t="shared" si="3"/>
        <v>9.0266864197530694</v>
      </c>
      <c r="G12" s="3">
        <f t="shared" si="3"/>
        <v>0.28920493827160365</v>
      </c>
      <c r="H12" s="3">
        <f t="shared" si="3"/>
        <v>5.0567901234568535E-3</v>
      </c>
      <c r="I12" s="3">
        <f t="shared" si="3"/>
        <v>2.5742419753086487</v>
      </c>
      <c r="J12" s="3">
        <f t="shared" si="3"/>
        <v>26.396760493827198</v>
      </c>
      <c r="K12" s="3">
        <f t="shared" si="3"/>
        <v>113.87261234567913</v>
      </c>
      <c r="L12" s="3">
        <f t="shared" si="3"/>
        <v>331.40179753086443</v>
      </c>
      <c r="M12" s="3">
        <f t="shared" si="3"/>
        <v>769.38431604938319</v>
      </c>
      <c r="N12" s="3">
        <f t="shared" si="3"/>
        <v>1542.2201679012351</v>
      </c>
    </row>
    <row r="13" spans="1:19" ht="18.75" x14ac:dyDescent="0.35">
      <c r="A13" s="12" t="s">
        <v>17</v>
      </c>
      <c r="B13" s="12"/>
      <c r="C13" s="3">
        <f t="shared" ref="C13:N13" si="4" xml:space="preserve"> C12*C8</f>
        <v>501.95913086419716</v>
      </c>
      <c r="D13" s="3">
        <f t="shared" si="4"/>
        <v>777.04659753086355</v>
      </c>
      <c r="E13" s="3">
        <f t="shared" si="4"/>
        <v>279.0875061728392</v>
      </c>
      <c r="F13" s="3">
        <f t="shared" si="4"/>
        <v>108.32023703703683</v>
      </c>
      <c r="G13" s="3">
        <f t="shared" si="4"/>
        <v>2.602844444444433</v>
      </c>
      <c r="H13" s="3">
        <f t="shared" si="4"/>
        <v>3.0340740740741119E-2</v>
      </c>
      <c r="I13" s="3">
        <f t="shared" si="4"/>
        <v>23.168177777777839</v>
      </c>
      <c r="J13" s="3">
        <f t="shared" si="4"/>
        <v>184.77732345679038</v>
      </c>
      <c r="K13" s="3">
        <f t="shared" si="4"/>
        <v>341.61783703703736</v>
      </c>
      <c r="L13" s="3">
        <f t="shared" si="4"/>
        <v>331.40179753086443</v>
      </c>
      <c r="M13" s="3">
        <f t="shared" si="4"/>
        <v>769.38431604938319</v>
      </c>
      <c r="N13" s="3">
        <f t="shared" si="4"/>
        <v>3084.4403358024701</v>
      </c>
      <c r="O13" s="13" t="s">
        <v>10</v>
      </c>
      <c r="P13" s="13"/>
      <c r="Q13" s="8">
        <f xml:space="preserve">  SUM(C13:N13)</f>
        <v>6403.8364444444451</v>
      </c>
    </row>
    <row r="14" spans="1:19" ht="18" x14ac:dyDescent="0.35">
      <c r="A14" s="12" t="s">
        <v>18</v>
      </c>
      <c r="B14" s="12"/>
      <c r="C14" s="3">
        <f t="shared" ref="C14:N14" si="5" xml:space="preserve"> C7 * C8</f>
        <v>4</v>
      </c>
      <c r="D14" s="3">
        <f t="shared" si="5"/>
        <v>20</v>
      </c>
      <c r="E14" s="3">
        <f t="shared" si="5"/>
        <v>30</v>
      </c>
      <c r="F14" s="3">
        <f t="shared" si="5"/>
        <v>84</v>
      </c>
      <c r="G14" s="3">
        <f t="shared" si="5"/>
        <v>72</v>
      </c>
      <c r="H14" s="3">
        <f t="shared" si="5"/>
        <v>54</v>
      </c>
      <c r="I14" s="3">
        <f t="shared" si="5"/>
        <v>90</v>
      </c>
      <c r="J14" s="3">
        <f t="shared" si="5"/>
        <v>77</v>
      </c>
      <c r="K14" s="3">
        <f t="shared" si="5"/>
        <v>36</v>
      </c>
      <c r="L14" s="3">
        <f t="shared" si="5"/>
        <v>13</v>
      </c>
      <c r="M14" s="3">
        <f t="shared" si="5"/>
        <v>14</v>
      </c>
      <c r="N14" s="3">
        <f t="shared" si="5"/>
        <v>30</v>
      </c>
    </row>
    <row r="17" spans="1:16" ht="17.25" x14ac:dyDescent="0.25">
      <c r="A17" s="14" t="s">
        <v>13</v>
      </c>
      <c r="B17" s="14"/>
      <c r="C17" s="14"/>
      <c r="D17" s="14"/>
      <c r="E17">
        <f xml:space="preserve"> SUM(C14:N14) / SUM(C8:N8)</f>
        <v>8.7333333333333325</v>
      </c>
      <c r="G17" s="14" t="s">
        <v>3</v>
      </c>
      <c r="H17" s="14"/>
      <c r="I17">
        <f xml:space="preserve"> SUM(C11:N11) / SUM(C8:N8)</f>
        <v>6.0622222222222222</v>
      </c>
      <c r="K17" s="14" t="s">
        <v>2</v>
      </c>
      <c r="L17" s="14"/>
      <c r="M17" s="14"/>
      <c r="N17" s="14"/>
      <c r="O17" s="14"/>
      <c r="P17">
        <f xml:space="preserve"> SQRT(I17)</f>
        <v>2.462158041682585</v>
      </c>
    </row>
    <row r="18" spans="1:16" x14ac:dyDescent="0.25">
      <c r="A18" s="2"/>
      <c r="G18" s="2" t="s">
        <v>1</v>
      </c>
    </row>
    <row r="19" spans="1:16" x14ac:dyDescent="0.25">
      <c r="A19" s="14" t="s">
        <v>4</v>
      </c>
      <c r="B19" s="14"/>
      <c r="C19" s="14"/>
      <c r="D19" s="14"/>
      <c r="E19" s="1">
        <f xml:space="preserve"> P17 / E17</f>
        <v>0.28192649332243341</v>
      </c>
    </row>
    <row r="21" spans="1:16" ht="18" x14ac:dyDescent="0.35">
      <c r="A21" s="14" t="s">
        <v>5</v>
      </c>
      <c r="B21" s="14"/>
      <c r="C21" s="14"/>
      <c r="D21" s="14"/>
      <c r="E21">
        <f xml:space="preserve"> (E17 - D5) / P17</f>
        <v>0.70398946939604667</v>
      </c>
    </row>
    <row r="23" spans="1:16" ht="18" x14ac:dyDescent="0.35">
      <c r="A23" s="14" t="s">
        <v>6</v>
      </c>
      <c r="B23" s="14"/>
      <c r="C23" s="14"/>
      <c r="D23" s="14"/>
      <c r="E23">
        <f xml:space="preserve"> Q13/ P8</f>
        <v>106.73060740740742</v>
      </c>
    </row>
    <row r="25" spans="1:16" ht="18" x14ac:dyDescent="0.35">
      <c r="A25" s="14" t="s">
        <v>7</v>
      </c>
      <c r="B25" s="14"/>
      <c r="C25" s="14"/>
      <c r="D25" s="14"/>
      <c r="E25">
        <f>(E23/ P17^4) - 3</f>
        <v>-9.5808322081853081E-2</v>
      </c>
    </row>
    <row r="27" spans="1:16" x14ac:dyDescent="0.25">
      <c r="A27" s="15" t="s">
        <v>28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6" x14ac:dyDescent="0.25">
      <c r="B28" s="9" t="s">
        <v>20</v>
      </c>
      <c r="C28" s="9" t="s">
        <v>21</v>
      </c>
      <c r="D28" s="9" t="s">
        <v>22</v>
      </c>
      <c r="E28" s="9" t="s">
        <v>23</v>
      </c>
      <c r="F28" s="9" t="s">
        <v>24</v>
      </c>
      <c r="G28" s="9" t="s">
        <v>25</v>
      </c>
      <c r="H28" s="9" t="s">
        <v>26</v>
      </c>
    </row>
    <row r="29" spans="1:16" x14ac:dyDescent="0.25">
      <c r="B29" s="9" t="s">
        <v>27</v>
      </c>
      <c r="C29" s="9">
        <v>4.5499999999999999E-2</v>
      </c>
      <c r="D29" s="9">
        <v>0.1545</v>
      </c>
      <c r="E29" s="9">
        <v>0.13639999999999999</v>
      </c>
      <c r="F29" s="9">
        <v>0.14549999999999999</v>
      </c>
      <c r="G29" s="9">
        <v>3.6400000000000002E-2</v>
      </c>
      <c r="H29" s="9">
        <v>2.7300000000000001E-2</v>
      </c>
    </row>
    <row r="47" spans="1:1" x14ac:dyDescent="0.25">
      <c r="A47" t="s">
        <v>29</v>
      </c>
    </row>
  </sheetData>
  <mergeCells count="17">
    <mergeCell ref="A27:J27"/>
    <mergeCell ref="A14:B14"/>
    <mergeCell ref="A19:D19"/>
    <mergeCell ref="A21:D21"/>
    <mergeCell ref="A23:D23"/>
    <mergeCell ref="A7:B7"/>
    <mergeCell ref="A8:B8"/>
    <mergeCell ref="A10:B10"/>
    <mergeCell ref="A11:B11"/>
    <mergeCell ref="A9:B9"/>
    <mergeCell ref="A12:B12"/>
    <mergeCell ref="A13:B13"/>
    <mergeCell ref="O13:P13"/>
    <mergeCell ref="A25:D25"/>
    <mergeCell ref="K17:O17"/>
    <mergeCell ref="A17:D17"/>
    <mergeCell ref="G17:H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6A38-1D73-4188-BA59-D17C46FBA764}">
  <dimension ref="A1:K2"/>
  <sheetViews>
    <sheetView workbookViewId="0">
      <selection activeCell="F7" sqref="F7"/>
    </sheetView>
  </sheetViews>
  <sheetFormatPr defaultRowHeight="15" x14ac:dyDescent="0.25"/>
  <sheetData>
    <row r="1" spans="1:11" x14ac:dyDescent="0.25">
      <c r="A1" s="11">
        <v>1</v>
      </c>
      <c r="B1" s="8" t="s">
        <v>30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11">
        <v>2</v>
      </c>
      <c r="B2" s="8" t="s">
        <v>31</v>
      </c>
      <c r="C2" s="8"/>
      <c r="D2" s="8"/>
      <c r="E2" s="8"/>
      <c r="F2" s="8"/>
      <c r="G2" s="8"/>
      <c r="H2" s="8"/>
      <c r="I2" s="8"/>
      <c r="J2" s="8"/>
      <c r="K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D6A5-55DF-41E9-A857-24FF7A6307B3}">
  <dimension ref="A1:R30"/>
  <sheetViews>
    <sheetView topLeftCell="A3" workbookViewId="0">
      <selection activeCell="M18" sqref="M18"/>
    </sheetView>
  </sheetViews>
  <sheetFormatPr defaultRowHeight="15" x14ac:dyDescent="0.25"/>
  <sheetData>
    <row r="1" spans="1:18" x14ac:dyDescent="0.25">
      <c r="A1" s="11">
        <v>1</v>
      </c>
      <c r="B1" s="11">
        <v>5</v>
      </c>
      <c r="C1" s="11">
        <v>1</v>
      </c>
      <c r="D1" s="11">
        <v>3</v>
      </c>
      <c r="E1" s="11">
        <v>4</v>
      </c>
      <c r="G1" s="22" t="s">
        <v>55</v>
      </c>
      <c r="H1" s="23"/>
      <c r="I1" s="23"/>
      <c r="J1" s="3">
        <f>SUM(A1:E5)/COUNT(A1:E5)</f>
        <v>2.88</v>
      </c>
    </row>
    <row r="2" spans="1:18" x14ac:dyDescent="0.25">
      <c r="A2" s="11">
        <v>3</v>
      </c>
      <c r="B2" s="11">
        <v>3</v>
      </c>
      <c r="C2" s="11">
        <v>4</v>
      </c>
      <c r="D2" s="11">
        <v>3</v>
      </c>
      <c r="E2" s="11">
        <v>4</v>
      </c>
      <c r="G2" s="11" t="s">
        <v>54</v>
      </c>
      <c r="H2" s="3">
        <f>MEDIAN(A1:E5)</f>
        <v>3</v>
      </c>
    </row>
    <row r="3" spans="1:18" x14ac:dyDescent="0.25">
      <c r="A3" s="11">
        <v>5</v>
      </c>
      <c r="B3" s="11">
        <v>2</v>
      </c>
      <c r="C3" s="11">
        <v>2</v>
      </c>
      <c r="D3" s="11">
        <v>1</v>
      </c>
      <c r="E3" s="11">
        <v>2</v>
      </c>
      <c r="G3" s="11" t="s">
        <v>53</v>
      </c>
      <c r="H3" s="3">
        <f>MODE(A1:E5)</f>
        <v>3</v>
      </c>
    </row>
    <row r="4" spans="1:18" x14ac:dyDescent="0.25">
      <c r="A4" s="11">
        <v>2</v>
      </c>
      <c r="B4" s="11">
        <v>3</v>
      </c>
      <c r="C4" s="11">
        <v>5</v>
      </c>
      <c r="D4" s="11">
        <v>3</v>
      </c>
      <c r="E4" s="11">
        <v>1</v>
      </c>
    </row>
    <row r="5" spans="1:18" x14ac:dyDescent="0.25">
      <c r="A5" s="11">
        <v>3</v>
      </c>
      <c r="B5" s="11">
        <v>1</v>
      </c>
      <c r="C5" s="11">
        <v>4</v>
      </c>
      <c r="D5" s="11">
        <v>2</v>
      </c>
      <c r="E5" s="11">
        <v>5</v>
      </c>
      <c r="H5" s="16" t="s">
        <v>52</v>
      </c>
      <c r="I5" s="16"/>
      <c r="J5" s="16"/>
      <c r="K5" s="16"/>
      <c r="L5" s="16"/>
      <c r="M5" s="16"/>
      <c r="O5" s="16" t="s">
        <v>38</v>
      </c>
      <c r="P5" s="16"/>
      <c r="Q5" s="16"/>
      <c r="R5" s="16"/>
    </row>
    <row r="6" spans="1:18" ht="18.75" x14ac:dyDescent="0.3">
      <c r="H6" s="11" t="s">
        <v>51</v>
      </c>
      <c r="I6" s="11" t="s">
        <v>50</v>
      </c>
      <c r="J6" s="11" t="s">
        <v>49</v>
      </c>
      <c r="K6" s="11" t="s">
        <v>48</v>
      </c>
      <c r="L6" s="24" t="s">
        <v>47</v>
      </c>
      <c r="M6" s="24" t="s">
        <v>46</v>
      </c>
      <c r="O6" s="11" t="s">
        <v>36</v>
      </c>
      <c r="P6" s="25" t="s">
        <v>35</v>
      </c>
      <c r="Q6" s="23" t="s">
        <v>34</v>
      </c>
      <c r="R6" s="23" t="s">
        <v>33</v>
      </c>
    </row>
    <row r="7" spans="1:18" x14ac:dyDescent="0.25">
      <c r="A7" t="s">
        <v>57</v>
      </c>
      <c r="H7" s="3">
        <v>1</v>
      </c>
      <c r="I7" s="3">
        <f>COUNTIF($A$1:$E$5,H7)</f>
        <v>5</v>
      </c>
      <c r="J7" s="3">
        <f>H7*I7</f>
        <v>5</v>
      </c>
      <c r="K7" s="3">
        <f>H7-$J$1</f>
        <v>-1.88</v>
      </c>
      <c r="L7" s="3">
        <f>K7*I7</f>
        <v>-9.3999999999999986</v>
      </c>
      <c r="M7" s="3">
        <f>K7^2*I7</f>
        <v>17.671999999999997</v>
      </c>
      <c r="O7" s="8">
        <f>((K7^3)*I7)</f>
        <v>-33.223359999999992</v>
      </c>
      <c r="P7" s="17">
        <f>SUM(O7:O11)</f>
        <v>7.1136000000000195</v>
      </c>
      <c r="Q7" s="8">
        <f>P7/B10</f>
        <v>0.2845440000000008</v>
      </c>
      <c r="R7" s="8">
        <f>Q7/K15^3</f>
        <v>0.11925405806616542</v>
      </c>
    </row>
    <row r="8" spans="1:18" x14ac:dyDescent="0.25">
      <c r="A8" s="11" t="s">
        <v>74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3">
        <v>2</v>
      </c>
      <c r="I8" s="3">
        <f>COUNTIF($A$1:$E$5,H8)</f>
        <v>5</v>
      </c>
      <c r="J8" s="3">
        <f>H8*I8</f>
        <v>10</v>
      </c>
      <c r="K8" s="3">
        <f>H8-$J$1</f>
        <v>-0.87999999999999989</v>
      </c>
      <c r="L8" s="3">
        <f>K8*I8</f>
        <v>-4.3999999999999995</v>
      </c>
      <c r="M8" s="3">
        <f>K8^2*I8</f>
        <v>3.8719999999999994</v>
      </c>
      <c r="O8" s="8">
        <f>((K8^3)*I8)</f>
        <v>-3.4073599999999988</v>
      </c>
    </row>
    <row r="9" spans="1:18" x14ac:dyDescent="0.25">
      <c r="A9" s="11" t="s">
        <v>73</v>
      </c>
      <c r="B9" s="3">
        <v>5</v>
      </c>
      <c r="C9" s="3">
        <v>5</v>
      </c>
      <c r="D9" s="3">
        <v>7</v>
      </c>
      <c r="E9" s="3">
        <v>4</v>
      </c>
      <c r="F9" s="3">
        <v>4</v>
      </c>
      <c r="H9" s="3">
        <v>3</v>
      </c>
      <c r="I9" s="3">
        <f>COUNTIF($A$1:$E$5,H9)</f>
        <v>7</v>
      </c>
      <c r="J9" s="3">
        <f>H9*I9</f>
        <v>21</v>
      </c>
      <c r="K9" s="3">
        <f>H9-$J$1</f>
        <v>0.12000000000000011</v>
      </c>
      <c r="L9" s="3">
        <f>K9*I9</f>
        <v>0.84000000000000075</v>
      </c>
      <c r="M9" s="3">
        <f>K9^2*I9</f>
        <v>0.10080000000000018</v>
      </c>
      <c r="O9" s="8">
        <f>((K9^3)*I9)</f>
        <v>1.2096000000000034E-2</v>
      </c>
    </row>
    <row r="10" spans="1:18" x14ac:dyDescent="0.25">
      <c r="A10" s="11" t="s">
        <v>72</v>
      </c>
      <c r="B10" s="3">
        <f>SUM(B9:F9)</f>
        <v>25</v>
      </c>
      <c r="C10" s="10"/>
      <c r="D10" s="10"/>
      <c r="E10" s="10"/>
      <c r="F10" s="10"/>
      <c r="H10" s="3">
        <v>4</v>
      </c>
      <c r="I10" s="3">
        <f>COUNTIF($A$1:$E$5,H10)</f>
        <v>4</v>
      </c>
      <c r="J10" s="3">
        <f>H10*I10</f>
        <v>16</v>
      </c>
      <c r="K10" s="3">
        <f>H10-$J$1</f>
        <v>1.1200000000000001</v>
      </c>
      <c r="L10" s="3">
        <f>K10*I10</f>
        <v>4.4800000000000004</v>
      </c>
      <c r="M10" s="3">
        <f>K10^2*I10</f>
        <v>5.0176000000000007</v>
      </c>
      <c r="O10" s="8">
        <f>((K10^3)*I10)</f>
        <v>5.6197120000000016</v>
      </c>
    </row>
    <row r="11" spans="1:18" x14ac:dyDescent="0.25">
      <c r="B11" s="10"/>
      <c r="C11" s="10"/>
      <c r="D11" s="10"/>
      <c r="E11" s="10"/>
      <c r="F11" s="10"/>
      <c r="H11" s="3">
        <v>5</v>
      </c>
      <c r="I11" s="3">
        <f>COUNTIF($A$1:$E$5,H11)</f>
        <v>4</v>
      </c>
      <c r="J11" s="3">
        <f>H11*I11</f>
        <v>20</v>
      </c>
      <c r="K11" s="3">
        <f>H11-$J$1</f>
        <v>2.12</v>
      </c>
      <c r="L11" s="3">
        <f>K11*I11</f>
        <v>8.48</v>
      </c>
      <c r="M11" s="3">
        <f>K11^2*I11</f>
        <v>17.977600000000002</v>
      </c>
      <c r="O11" s="8">
        <f>((K11^3)*I11)</f>
        <v>38.112512000000009</v>
      </c>
    </row>
    <row r="12" spans="1:18" x14ac:dyDescent="0.25">
      <c r="A12" s="11" t="s">
        <v>71</v>
      </c>
      <c r="B12" s="3">
        <f>ROUNDUP(1+LN(B10),0)</f>
        <v>5</v>
      </c>
      <c r="C12" s="10"/>
      <c r="D12" s="10"/>
      <c r="E12" s="10"/>
      <c r="F12" s="10"/>
      <c r="H12" s="3" t="s">
        <v>35</v>
      </c>
      <c r="I12" s="3">
        <f>SUM(I7:I11)</f>
        <v>25</v>
      </c>
      <c r="J12" s="3">
        <f>SUM(J7:J11)</f>
        <v>72</v>
      </c>
      <c r="K12" s="20" t="s">
        <v>40</v>
      </c>
      <c r="L12" s="3">
        <f>SUM(L7:L11)</f>
        <v>0</v>
      </c>
      <c r="M12" s="3">
        <f>SUM(M7:M11)</f>
        <v>44.64</v>
      </c>
    </row>
    <row r="13" spans="1:18" ht="15.75" x14ac:dyDescent="0.25">
      <c r="A13" s="27" t="s">
        <v>70</v>
      </c>
      <c r="B13" s="3">
        <v>1</v>
      </c>
      <c r="C13" s="10"/>
      <c r="D13" s="10"/>
      <c r="E13" s="10"/>
      <c r="F13" s="10"/>
      <c r="H13" s="10"/>
      <c r="I13" s="10"/>
      <c r="J13" s="10"/>
      <c r="K13" s="10"/>
      <c r="L13" s="10"/>
      <c r="M13" s="10"/>
      <c r="O13" s="16" t="s">
        <v>45</v>
      </c>
      <c r="P13" s="16"/>
      <c r="Q13" s="16"/>
      <c r="R13" s="16"/>
    </row>
    <row r="14" spans="1:18" ht="18.75" x14ac:dyDescent="0.3">
      <c r="B14" s="10"/>
      <c r="C14" s="10"/>
      <c r="D14" s="10"/>
      <c r="E14" s="10"/>
      <c r="F14" s="10"/>
      <c r="H14" s="26" t="s">
        <v>39</v>
      </c>
      <c r="I14" s="19">
        <f>M12/I12</f>
        <v>1.7856000000000001</v>
      </c>
      <c r="L14" s="10"/>
      <c r="M14" s="10"/>
      <c r="O14" s="11" t="s">
        <v>69</v>
      </c>
      <c r="P14" s="25" t="s">
        <v>35</v>
      </c>
      <c r="Q14" s="23" t="s">
        <v>43</v>
      </c>
      <c r="R14" s="23" t="s">
        <v>42</v>
      </c>
    </row>
    <row r="15" spans="1:18" x14ac:dyDescent="0.25">
      <c r="A15" s="11" t="s">
        <v>65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23" t="s">
        <v>37</v>
      </c>
      <c r="I15" s="23"/>
      <c r="J15" s="23"/>
      <c r="K15" s="8">
        <f>SQRT(I14)</f>
        <v>1.3362634470792052</v>
      </c>
      <c r="L15" s="10"/>
      <c r="M15" s="10"/>
      <c r="O15" s="8">
        <f>(K7^4)*I7</f>
        <v>62.459916799999995</v>
      </c>
      <c r="P15" s="17">
        <f>SUM(O15:O19)</f>
        <v>152.55244800000003</v>
      </c>
      <c r="Q15" s="8">
        <f>P15/B10</f>
        <v>6.1020979200000012</v>
      </c>
      <c r="R15" s="8">
        <f>(Q15/K15^4)-3</f>
        <v>-1.0861371256792687</v>
      </c>
    </row>
    <row r="16" spans="1:18" x14ac:dyDescent="0.25">
      <c r="A16" s="11" t="s">
        <v>27</v>
      </c>
      <c r="B16" s="3">
        <f>B9/($B$13*$B$10)</f>
        <v>0.2</v>
      </c>
      <c r="C16" s="3">
        <f>C9/($B$13*$B$10)</f>
        <v>0.2</v>
      </c>
      <c r="D16" s="3">
        <f>D9/($B$13*$B$10)</f>
        <v>0.28000000000000003</v>
      </c>
      <c r="E16" s="3">
        <f>E9/($B$13*$B$10)</f>
        <v>0.16</v>
      </c>
      <c r="F16" s="3">
        <f>F9/($B$13*$B$10)</f>
        <v>0.16</v>
      </c>
      <c r="H16" s="23" t="s">
        <v>32</v>
      </c>
      <c r="I16" s="23"/>
      <c r="J16" s="23"/>
      <c r="K16" s="18">
        <f>K15/J1</f>
        <v>0.4639803635691685</v>
      </c>
      <c r="L16" s="10"/>
      <c r="M16" s="10"/>
      <c r="O16" s="8">
        <f>(K8^4)*I8</f>
        <v>2.9984767999999988</v>
      </c>
    </row>
    <row r="17" spans="1:15" x14ac:dyDescent="0.25">
      <c r="H17" s="10"/>
      <c r="I17" s="10"/>
      <c r="J17" s="10"/>
      <c r="K17" s="10"/>
      <c r="L17" s="10"/>
      <c r="M17" s="10"/>
      <c r="O17" s="8">
        <f>(K9^4)*I9</f>
        <v>1.4515200000000052E-3</v>
      </c>
    </row>
    <row r="18" spans="1:15" x14ac:dyDescent="0.25">
      <c r="O18" s="8">
        <f>(K10^4)*I10</f>
        <v>6.2940774400000015</v>
      </c>
    </row>
    <row r="19" spans="1:15" x14ac:dyDescent="0.25">
      <c r="O19" s="8">
        <f>(K11^4)*I11</f>
        <v>80.79852544000002</v>
      </c>
    </row>
    <row r="30" spans="1:15" x14ac:dyDescent="0.25">
      <c r="A30" t="s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490-9F1A-4627-9602-98015AC1B226}">
  <dimension ref="A1:AH37"/>
  <sheetViews>
    <sheetView topLeftCell="I1" workbookViewId="0">
      <selection activeCell="Z26" sqref="Z26"/>
    </sheetView>
  </sheetViews>
  <sheetFormatPr defaultRowHeight="15" x14ac:dyDescent="0.25"/>
  <cols>
    <col min="1" max="13" width="2.7109375" customWidth="1"/>
  </cols>
  <sheetData>
    <row r="1" spans="1:34" x14ac:dyDescent="0.25">
      <c r="A1" s="16" t="s">
        <v>67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O1" t="s">
        <v>66</v>
      </c>
    </row>
    <row r="2" spans="1:34" ht="18.75" x14ac:dyDescent="0.3">
      <c r="A2" s="3">
        <v>9</v>
      </c>
      <c r="B2" s="3">
        <v>12</v>
      </c>
      <c r="C2" s="3">
        <v>12</v>
      </c>
      <c r="D2" s="3">
        <v>13</v>
      </c>
      <c r="E2" s="3">
        <v>13</v>
      </c>
      <c r="F2" s="3">
        <v>13</v>
      </c>
      <c r="G2" s="3">
        <v>14</v>
      </c>
      <c r="H2" s="3">
        <v>14</v>
      </c>
      <c r="I2" s="3">
        <v>14</v>
      </c>
      <c r="J2" s="3">
        <v>14</v>
      </c>
      <c r="K2" s="3">
        <v>14</v>
      </c>
      <c r="L2" s="3">
        <v>14</v>
      </c>
      <c r="M2" s="3">
        <v>15</v>
      </c>
      <c r="O2" s="11" t="s">
        <v>51</v>
      </c>
      <c r="P2" s="3">
        <v>9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19</v>
      </c>
      <c r="X2" s="3">
        <v>21</v>
      </c>
      <c r="Y2" s="3">
        <v>23</v>
      </c>
      <c r="Z2" s="3">
        <v>27</v>
      </c>
      <c r="AB2" s="11" t="s">
        <v>65</v>
      </c>
      <c r="AC2" s="8" t="s">
        <v>64</v>
      </c>
      <c r="AD2" s="8" t="s">
        <v>63</v>
      </c>
      <c r="AE2" s="8" t="s">
        <v>62</v>
      </c>
      <c r="AF2" s="8" t="s">
        <v>61</v>
      </c>
      <c r="AG2" s="8" t="s">
        <v>60</v>
      </c>
      <c r="AH2" s="8" t="s">
        <v>59</v>
      </c>
    </row>
    <row r="3" spans="1:34" ht="15.75" x14ac:dyDescent="0.25">
      <c r="A3" s="3">
        <v>15</v>
      </c>
      <c r="B3" s="3">
        <v>15</v>
      </c>
      <c r="C3" s="3">
        <v>15</v>
      </c>
      <c r="D3" s="3">
        <v>15</v>
      </c>
      <c r="E3" s="3">
        <v>16</v>
      </c>
      <c r="F3" s="3">
        <v>16</v>
      </c>
      <c r="G3" s="3">
        <v>16</v>
      </c>
      <c r="H3" s="3">
        <v>17</v>
      </c>
      <c r="I3" s="3">
        <v>17</v>
      </c>
      <c r="J3" s="3">
        <v>19</v>
      </c>
      <c r="K3" s="3">
        <v>21</v>
      </c>
      <c r="L3" s="3">
        <v>23</v>
      </c>
      <c r="M3" s="3">
        <v>27</v>
      </c>
      <c r="O3" s="11" t="s">
        <v>58</v>
      </c>
      <c r="P3" s="3">
        <f>B7/SUM($B$7:$L$7)</f>
        <v>3.8461538461538464E-2</v>
      </c>
      <c r="Q3" s="3">
        <f>C7/SUM($B$7:$L$7)</f>
        <v>7.6923076923076927E-2</v>
      </c>
      <c r="R3" s="3">
        <f>D7/SUM($B$7:$L$7)</f>
        <v>0.11538461538461539</v>
      </c>
      <c r="S3" s="3">
        <f>E7/SUM($B$7:$L$7)</f>
        <v>0.23076923076923078</v>
      </c>
      <c r="T3" s="3">
        <f>F7/SUM($B$7:$L$7)</f>
        <v>0.19230769230769232</v>
      </c>
      <c r="U3" s="3">
        <f>G7/SUM($B$7:$L$7)</f>
        <v>0.11538461538461539</v>
      </c>
      <c r="V3" s="3">
        <f>H7/SUM($B$7:$L$7)</f>
        <v>7.6923076923076927E-2</v>
      </c>
      <c r="W3" s="3">
        <f>I7/SUM($B$7:$L$7)</f>
        <v>3.8461538461538464E-2</v>
      </c>
      <c r="X3" s="3">
        <f>J7/SUM($B$7:$L$7)</f>
        <v>3.8461538461538464E-2</v>
      </c>
      <c r="Y3" s="3">
        <f>K7/SUM($B$7:$L$7)</f>
        <v>3.8461538461538464E-2</v>
      </c>
      <c r="Z3" s="3">
        <f>L7/SUM($B$7:$L$7)</f>
        <v>3.8461538461538464E-2</v>
      </c>
      <c r="AB3" s="11" t="s">
        <v>27</v>
      </c>
      <c r="AC3" s="8">
        <v>1.282051282051282E-2</v>
      </c>
      <c r="AD3" s="8">
        <v>0.12820512820512819</v>
      </c>
      <c r="AE3" s="8">
        <v>0.14102564102564102</v>
      </c>
      <c r="AF3" s="8">
        <v>1.282051282051282E-2</v>
      </c>
      <c r="AG3" s="8">
        <v>2.564102564102564E-2</v>
      </c>
      <c r="AH3" s="8">
        <v>1.282051282051282E-2</v>
      </c>
    </row>
    <row r="5" spans="1:34" ht="15.75" x14ac:dyDescent="0.25">
      <c r="A5" s="16" t="s">
        <v>57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O5" s="11" t="s">
        <v>56</v>
      </c>
      <c r="P5" s="3">
        <f>SUM(P3:Z3)</f>
        <v>1</v>
      </c>
    </row>
    <row r="6" spans="1:34" ht="18.75" x14ac:dyDescent="0.3">
      <c r="A6" s="3" t="s">
        <v>51</v>
      </c>
      <c r="B6" s="3">
        <v>9</v>
      </c>
      <c r="C6" s="3">
        <v>12</v>
      </c>
      <c r="D6" s="3">
        <v>13</v>
      </c>
      <c r="E6" s="3">
        <v>14</v>
      </c>
      <c r="F6" s="3">
        <v>15</v>
      </c>
      <c r="G6" s="3">
        <v>16</v>
      </c>
      <c r="H6" s="3">
        <v>17</v>
      </c>
      <c r="I6" s="3">
        <v>19</v>
      </c>
      <c r="J6" s="3">
        <v>21</v>
      </c>
      <c r="K6" s="3">
        <v>23</v>
      </c>
      <c r="L6" s="3">
        <v>27</v>
      </c>
    </row>
    <row r="7" spans="1:34" ht="15.75" x14ac:dyDescent="0.25">
      <c r="A7" s="3" t="s">
        <v>50</v>
      </c>
      <c r="B7" s="3">
        <f>COUNTIF($A$2:$M$3,B6)</f>
        <v>1</v>
      </c>
      <c r="C7" s="3">
        <f>COUNTIF($A$2:$M$3,C6)</f>
        <v>2</v>
      </c>
      <c r="D7" s="3">
        <f>COUNTIF($A$2:$M$3,D6)</f>
        <v>3</v>
      </c>
      <c r="E7" s="3">
        <f>COUNTIF($A$2:$M$3,E6)</f>
        <v>6</v>
      </c>
      <c r="F7" s="3">
        <f>COUNTIF($A$2:$M$3,F6)</f>
        <v>5</v>
      </c>
      <c r="G7" s="3">
        <f>COUNTIF($A$2:$M$3,G6)</f>
        <v>3</v>
      </c>
      <c r="H7" s="3">
        <f>COUNTIF($A$2:$M$3,H6)</f>
        <v>2</v>
      </c>
      <c r="I7" s="3">
        <f>COUNTIF($A$2:$M$3,I6)</f>
        <v>1</v>
      </c>
      <c r="J7" s="3">
        <f>COUNTIF($A$2:$M$3,J6)</f>
        <v>1</v>
      </c>
      <c r="K7" s="3">
        <f>COUNTIF($A$2:$M$3,K6)</f>
        <v>1</v>
      </c>
      <c r="L7" s="3">
        <f>COUNTIF($A$2:$M$3,L6)</f>
        <v>1</v>
      </c>
      <c r="O7" s="22" t="s">
        <v>55</v>
      </c>
      <c r="P7" s="23"/>
      <c r="Q7" s="23"/>
      <c r="R7" s="3">
        <f>SUM(A2:M3)/COUNT(A2:M3)</f>
        <v>15.5</v>
      </c>
    </row>
    <row r="8" spans="1:34" x14ac:dyDescent="0.25">
      <c r="O8" s="11" t="s">
        <v>54</v>
      </c>
      <c r="P8" s="3">
        <f>MEDIAN(A2:M3)</f>
        <v>15</v>
      </c>
    </row>
    <row r="9" spans="1:34" x14ac:dyDescent="0.25">
      <c r="O9" s="11" t="s">
        <v>53</v>
      </c>
      <c r="P9" s="3">
        <f>MODE(A2:M3)</f>
        <v>14</v>
      </c>
      <c r="V9" s="21"/>
    </row>
    <row r="10" spans="1:34" x14ac:dyDescent="0.25">
      <c r="V10" s="21"/>
    </row>
    <row r="11" spans="1:34" x14ac:dyDescent="0.25">
      <c r="O11" s="16" t="s">
        <v>52</v>
      </c>
      <c r="P11" s="16"/>
      <c r="Q11" s="16"/>
      <c r="R11" s="16"/>
      <c r="S11" s="16"/>
      <c r="T11" s="16"/>
      <c r="V11" s="21"/>
    </row>
    <row r="12" spans="1:34" ht="18.75" x14ac:dyDescent="0.3">
      <c r="O12" s="11" t="s">
        <v>51</v>
      </c>
      <c r="P12" s="11" t="s">
        <v>50</v>
      </c>
      <c r="Q12" s="11" t="s">
        <v>49</v>
      </c>
      <c r="R12" s="11" t="s">
        <v>48</v>
      </c>
      <c r="S12" s="24" t="s">
        <v>47</v>
      </c>
      <c r="T12" s="24" t="s">
        <v>46</v>
      </c>
      <c r="V12" s="16" t="s">
        <v>45</v>
      </c>
      <c r="W12" s="16"/>
      <c r="X12" s="16"/>
      <c r="Y12" s="16"/>
    </row>
    <row r="13" spans="1:34" ht="18.75" x14ac:dyDescent="0.3">
      <c r="O13" s="3">
        <v>9</v>
      </c>
      <c r="P13" s="3">
        <f>COUNTIF($A$2:$M$3,O13)</f>
        <v>1</v>
      </c>
      <c r="Q13" s="3">
        <f>O13*P13</f>
        <v>9</v>
      </c>
      <c r="R13" s="3">
        <f>O13-$R$7</f>
        <v>-6.5</v>
      </c>
      <c r="S13" s="3">
        <f>R13*P13</f>
        <v>-6.5</v>
      </c>
      <c r="T13" s="3">
        <f>R13^2*P13</f>
        <v>42.25</v>
      </c>
      <c r="V13" s="11" t="s">
        <v>44</v>
      </c>
      <c r="W13" s="25" t="s">
        <v>35</v>
      </c>
      <c r="X13" s="23" t="s">
        <v>43</v>
      </c>
      <c r="Y13" s="23" t="s">
        <v>42</v>
      </c>
    </row>
    <row r="14" spans="1:34" x14ac:dyDescent="0.25">
      <c r="O14" s="3">
        <v>12</v>
      </c>
      <c r="P14" s="3">
        <f>COUNTIF($A$2:$M$3,O14)</f>
        <v>2</v>
      </c>
      <c r="Q14" s="3">
        <f>O14*P14</f>
        <v>24</v>
      </c>
      <c r="R14" s="3">
        <f>O14-$R$7</f>
        <v>-3.5</v>
      </c>
      <c r="S14" s="3">
        <f>R14*P14</f>
        <v>-7</v>
      </c>
      <c r="T14" s="3">
        <f>R14^2*P14</f>
        <v>24.5</v>
      </c>
      <c r="V14" s="8">
        <f>R13^4 * P13</f>
        <v>1785.0625</v>
      </c>
      <c r="W14" s="17">
        <f>SUM(V14:V23)</f>
        <v>6472.5625</v>
      </c>
      <c r="X14" s="8">
        <f>W14/P24</f>
        <v>248.94471153846155</v>
      </c>
      <c r="Y14" s="8">
        <f>(X14/R27^4)-3</f>
        <v>-1.5137924487060888</v>
      </c>
    </row>
    <row r="15" spans="1:34" x14ac:dyDescent="0.25">
      <c r="O15" s="3">
        <v>13</v>
      </c>
      <c r="P15" s="3">
        <f>COUNTIF($A$2:$M$3,O15)</f>
        <v>3</v>
      </c>
      <c r="Q15" s="3">
        <f>O15*P15</f>
        <v>39</v>
      </c>
      <c r="R15" s="3">
        <f>O15-$R$7</f>
        <v>-2.5</v>
      </c>
      <c r="S15" s="3">
        <f>R15*P15</f>
        <v>-7.5</v>
      </c>
      <c r="T15" s="3">
        <f>R15^2*P15</f>
        <v>18.75</v>
      </c>
      <c r="V15" s="8">
        <f>R14^4 * P14</f>
        <v>300.125</v>
      </c>
    </row>
    <row r="16" spans="1:34" x14ac:dyDescent="0.25">
      <c r="O16" s="3">
        <v>14</v>
      </c>
      <c r="P16" s="3">
        <f>COUNTIF($A$2:$M$3,O16)</f>
        <v>6</v>
      </c>
      <c r="Q16" s="3">
        <f>O16*P16</f>
        <v>84</v>
      </c>
      <c r="R16" s="3">
        <f>O16-$R$7</f>
        <v>-1.5</v>
      </c>
      <c r="S16" s="3">
        <f>R16*P16</f>
        <v>-9</v>
      </c>
      <c r="T16" s="3">
        <f>R16^2*P16</f>
        <v>13.5</v>
      </c>
      <c r="V16" s="8">
        <f>R15^4 * P15</f>
        <v>117.1875</v>
      </c>
    </row>
    <row r="17" spans="15:28" x14ac:dyDescent="0.25">
      <c r="O17" s="3">
        <v>15</v>
      </c>
      <c r="P17" s="3">
        <f>COUNTIF($A$2:$M$3,O17)</f>
        <v>5</v>
      </c>
      <c r="Q17" s="3">
        <f>O17*P17</f>
        <v>75</v>
      </c>
      <c r="R17" s="3">
        <f>O17-$R$7</f>
        <v>-0.5</v>
      </c>
      <c r="S17" s="3">
        <f>R17*P17</f>
        <v>-2.5</v>
      </c>
      <c r="T17" s="3">
        <f>R17^2*P17</f>
        <v>1.25</v>
      </c>
      <c r="V17" s="8">
        <f>R16^4 * P16</f>
        <v>30.375</v>
      </c>
    </row>
    <row r="18" spans="15:28" x14ac:dyDescent="0.25">
      <c r="O18" s="3">
        <v>16</v>
      </c>
      <c r="P18" s="3">
        <f>COUNTIF($A$2:$M$3,O18)</f>
        <v>3</v>
      </c>
      <c r="Q18" s="3">
        <f>O18*P18</f>
        <v>48</v>
      </c>
      <c r="R18" s="3">
        <f>O18-$R$7</f>
        <v>0.5</v>
      </c>
      <c r="S18" s="3">
        <f>R18*P18</f>
        <v>1.5</v>
      </c>
      <c r="T18" s="3">
        <f>R18^2*P18</f>
        <v>0.75</v>
      </c>
      <c r="V18" s="8">
        <f>R17^4 * P17</f>
        <v>0.3125</v>
      </c>
    </row>
    <row r="19" spans="15:28" x14ac:dyDescent="0.25">
      <c r="O19" s="3">
        <v>17</v>
      </c>
      <c r="P19" s="3">
        <f>COUNTIF($A$2:$M$3,O19)</f>
        <v>2</v>
      </c>
      <c r="Q19" s="3">
        <f>O19*P19</f>
        <v>34</v>
      </c>
      <c r="R19" s="3">
        <f>O19-$R$7</f>
        <v>1.5</v>
      </c>
      <c r="S19" s="3">
        <f>R19*P19</f>
        <v>3</v>
      </c>
      <c r="T19" s="3">
        <f>R19^2*P19</f>
        <v>4.5</v>
      </c>
      <c r="V19" s="8">
        <f>R18^4 * P18</f>
        <v>0.1875</v>
      </c>
    </row>
    <row r="20" spans="15:28" x14ac:dyDescent="0.25">
      <c r="O20" s="3">
        <v>19</v>
      </c>
      <c r="P20" s="3">
        <f>COUNTIF($A$2:$M$3,O20)</f>
        <v>1</v>
      </c>
      <c r="Q20" s="3">
        <f>O20*P20</f>
        <v>19</v>
      </c>
      <c r="R20" s="3">
        <f>O20-$R$7</f>
        <v>3.5</v>
      </c>
      <c r="S20" s="3">
        <f>R20*P20</f>
        <v>3.5</v>
      </c>
      <c r="T20" s="3">
        <f>R20^2*P20</f>
        <v>12.25</v>
      </c>
      <c r="V20" s="8">
        <f>R19^4 * P19</f>
        <v>10.125</v>
      </c>
      <c r="AB20" t="s">
        <v>41</v>
      </c>
    </row>
    <row r="21" spans="15:28" x14ac:dyDescent="0.25">
      <c r="O21" s="3">
        <v>21</v>
      </c>
      <c r="P21" s="3">
        <f>COUNTIF($A$2:$M$3,O21)</f>
        <v>1</v>
      </c>
      <c r="Q21" s="3">
        <f>O21*P21</f>
        <v>21</v>
      </c>
      <c r="R21" s="3">
        <f>O21-$R$7</f>
        <v>5.5</v>
      </c>
      <c r="S21" s="3">
        <f>R21*P21</f>
        <v>5.5</v>
      </c>
      <c r="T21" s="3">
        <f>R21^2*P21</f>
        <v>30.25</v>
      </c>
      <c r="V21" s="8">
        <f>R20^4 * P20</f>
        <v>150.0625</v>
      </c>
    </row>
    <row r="22" spans="15:28" x14ac:dyDescent="0.25">
      <c r="O22" s="3">
        <v>23</v>
      </c>
      <c r="P22" s="3">
        <f>COUNTIF($A$2:$M$3,O22)</f>
        <v>1</v>
      </c>
      <c r="Q22" s="3">
        <f>O22*P22</f>
        <v>23</v>
      </c>
      <c r="R22" s="3">
        <f>O22-$R$7</f>
        <v>7.5</v>
      </c>
      <c r="S22" s="3">
        <f>R22*P22</f>
        <v>7.5</v>
      </c>
      <c r="T22" s="3">
        <f>R22^2*P22</f>
        <v>56.25</v>
      </c>
      <c r="V22" s="8">
        <f>R21^4 * P21</f>
        <v>915.0625</v>
      </c>
    </row>
    <row r="23" spans="15:28" x14ac:dyDescent="0.25">
      <c r="O23" s="3">
        <v>27</v>
      </c>
      <c r="P23" s="3">
        <f>COUNTIF($A$2:$M$3,O23)</f>
        <v>1</v>
      </c>
      <c r="Q23" s="3">
        <f>O23*P23</f>
        <v>27</v>
      </c>
      <c r="R23" s="3">
        <f>O23-$R$7</f>
        <v>11.5</v>
      </c>
      <c r="S23" s="3">
        <f>R23*P23</f>
        <v>11.5</v>
      </c>
      <c r="T23" s="3">
        <f>R23^2*P23</f>
        <v>132.25</v>
      </c>
      <c r="V23" s="8">
        <f>R22^4 * P22</f>
        <v>3164.0625</v>
      </c>
    </row>
    <row r="24" spans="15:28" x14ac:dyDescent="0.25">
      <c r="O24" s="3" t="s">
        <v>35</v>
      </c>
      <c r="P24" s="3">
        <f>SUM(P13:P23)</f>
        <v>26</v>
      </c>
      <c r="Q24" s="3">
        <f>SUM(Q13:Q23)</f>
        <v>403</v>
      </c>
      <c r="R24" s="20" t="s">
        <v>40</v>
      </c>
      <c r="S24" s="3">
        <f>SUM(S13:S23)</f>
        <v>0</v>
      </c>
      <c r="T24" s="3">
        <f>SUM(T13:T23)</f>
        <v>336.5</v>
      </c>
    </row>
    <row r="26" spans="15:28" x14ac:dyDescent="0.25">
      <c r="O26" s="26" t="s">
        <v>39</v>
      </c>
      <c r="P26" s="19">
        <f>T24/P24</f>
        <v>12.942307692307692</v>
      </c>
      <c r="T26" s="16" t="s">
        <v>38</v>
      </c>
      <c r="U26" s="16"/>
      <c r="V26" s="16"/>
      <c r="W26" s="16"/>
    </row>
    <row r="27" spans="15:28" ht="18.75" x14ac:dyDescent="0.3">
      <c r="O27" s="23" t="s">
        <v>37</v>
      </c>
      <c r="P27" s="23"/>
      <c r="Q27" s="23"/>
      <c r="R27" s="8">
        <f>SQRT(P26)</f>
        <v>3.597541895837725</v>
      </c>
      <c r="T27" s="11" t="s">
        <v>36</v>
      </c>
      <c r="U27" s="25" t="s">
        <v>35</v>
      </c>
      <c r="V27" s="23" t="s">
        <v>34</v>
      </c>
      <c r="W27" s="23" t="s">
        <v>33</v>
      </c>
    </row>
    <row r="28" spans="15:28" x14ac:dyDescent="0.25">
      <c r="O28" s="23" t="s">
        <v>32</v>
      </c>
      <c r="P28" s="23"/>
      <c r="Q28" s="23"/>
      <c r="R28" s="18">
        <f>R27/R7</f>
        <v>0.23209947715082097</v>
      </c>
      <c r="T28" s="8">
        <f>(R13^3)*P13</f>
        <v>-274.625</v>
      </c>
      <c r="U28" s="17">
        <f>SUM(T28:T37)</f>
        <v>210.125</v>
      </c>
      <c r="V28" s="8">
        <f>U28/P24</f>
        <v>8.0817307692307701</v>
      </c>
      <c r="W28" s="8">
        <f>V28/R27^3</f>
        <v>0.17357484958954231</v>
      </c>
    </row>
    <row r="29" spans="15:28" x14ac:dyDescent="0.25">
      <c r="T29" s="8">
        <f>(R14^3)*P14</f>
        <v>-85.75</v>
      </c>
    </row>
    <row r="30" spans="15:28" x14ac:dyDescent="0.25">
      <c r="T30" s="8">
        <f>(R15^3)*P15</f>
        <v>-46.875</v>
      </c>
    </row>
    <row r="31" spans="15:28" x14ac:dyDescent="0.25">
      <c r="T31" s="8">
        <f>(R16^3)*P16</f>
        <v>-20.25</v>
      </c>
    </row>
    <row r="32" spans="15:28" x14ac:dyDescent="0.25">
      <c r="T32" s="8">
        <f>(R17^3)*P17</f>
        <v>-0.625</v>
      </c>
    </row>
    <row r="33" spans="20:20" x14ac:dyDescent="0.25">
      <c r="T33" s="8">
        <f>(R18^3)*P18</f>
        <v>0.375</v>
      </c>
    </row>
    <row r="34" spans="20:20" x14ac:dyDescent="0.25">
      <c r="T34" s="8">
        <f>(R19^3)*P19</f>
        <v>6.75</v>
      </c>
    </row>
    <row r="35" spans="20:20" x14ac:dyDescent="0.25">
      <c r="T35" s="8">
        <f>(R20^3)*P20</f>
        <v>42.875</v>
      </c>
    </row>
    <row r="36" spans="20:20" x14ac:dyDescent="0.25">
      <c r="T36" s="8">
        <f>(R21^3)*P21</f>
        <v>166.375</v>
      </c>
    </row>
    <row r="37" spans="20:20" x14ac:dyDescent="0.25">
      <c r="T37" s="8">
        <f>(R22^3)*P22</f>
        <v>421.875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16DD-60DB-442B-B1CF-19CEBF21065B}">
  <dimension ref="A1:T81"/>
  <sheetViews>
    <sheetView topLeftCell="A52" zoomScaleNormal="100" workbookViewId="0">
      <selection activeCell="E12" sqref="E12"/>
    </sheetView>
  </sheetViews>
  <sheetFormatPr defaultColWidth="8.85546875" defaultRowHeight="15" x14ac:dyDescent="0.25"/>
  <cols>
    <col min="1" max="8" width="8.85546875" style="28"/>
    <col min="9" max="9" width="12.7109375" style="28" customWidth="1"/>
    <col min="10" max="16384" width="8.85546875" style="28"/>
  </cols>
  <sheetData>
    <row r="1" spans="1:20" x14ac:dyDescent="0.25">
      <c r="A1" s="32">
        <v>16</v>
      </c>
      <c r="B1" s="32">
        <v>12</v>
      </c>
      <c r="C1" s="32">
        <v>15</v>
      </c>
      <c r="D1" s="32">
        <v>15</v>
      </c>
      <c r="E1" s="32">
        <v>23</v>
      </c>
      <c r="F1" s="32">
        <v>9</v>
      </c>
      <c r="H1" s="34" t="s">
        <v>122</v>
      </c>
      <c r="I1" s="40" t="s">
        <v>121</v>
      </c>
      <c r="J1" s="32" t="s">
        <v>120</v>
      </c>
      <c r="K1" s="32" t="s">
        <v>119</v>
      </c>
      <c r="L1" s="32" t="s">
        <v>118</v>
      </c>
      <c r="M1" s="32" t="s">
        <v>117</v>
      </c>
      <c r="N1" s="32" t="s">
        <v>116</v>
      </c>
      <c r="O1" s="32" t="s">
        <v>115</v>
      </c>
    </row>
    <row r="2" spans="1:20" x14ac:dyDescent="0.25">
      <c r="A2" s="32">
        <v>15</v>
      </c>
      <c r="B2" s="32">
        <v>13</v>
      </c>
      <c r="C2" s="32">
        <v>14</v>
      </c>
      <c r="D2" s="32">
        <v>14</v>
      </c>
      <c r="E2" s="32">
        <v>21</v>
      </c>
      <c r="F2" s="32">
        <v>15</v>
      </c>
      <c r="I2" s="40" t="s">
        <v>114</v>
      </c>
      <c r="J2" s="32">
        <f>COUNTIFS($A$1:$F$5,"&gt;=9",$A$1:$F$5,"&lt;12")</f>
        <v>1</v>
      </c>
      <c r="K2" s="32">
        <f>COUNTIFS($A$1:$F$5,"&gt;=12",$A$1:$F$5,"&lt;15")</f>
        <v>10</v>
      </c>
      <c r="L2" s="32">
        <f>COUNTIFS($A$1:$F$5,"&gt;=15",$A$1:$F$5,"&lt;18")</f>
        <v>11</v>
      </c>
      <c r="M2" s="32">
        <f>COUNTIFS($A$1:$F$5,"&gt;=18",$A$1:$F$5,"&lt;21")</f>
        <v>1</v>
      </c>
      <c r="N2" s="32">
        <f>COUNTIFS($A$1:$F$5,"&gt;=21",$A$1:$F$5,"&lt;24")</f>
        <v>2</v>
      </c>
      <c r="O2" s="32">
        <f>COUNTIFS($A$1:$F$5,"&gt;=24",$A$1:$F$5,"&lt;=27")</f>
        <v>1</v>
      </c>
    </row>
    <row r="3" spans="1:20" x14ac:dyDescent="0.25">
      <c r="A3" s="32">
        <v>14</v>
      </c>
      <c r="B3" s="32">
        <v>17</v>
      </c>
      <c r="C3" s="32">
        <v>27</v>
      </c>
      <c r="D3" s="32">
        <v>15</v>
      </c>
      <c r="E3" s="32">
        <v>16</v>
      </c>
      <c r="F3" s="32">
        <v>12</v>
      </c>
      <c r="I3" s="32" t="s">
        <v>113</v>
      </c>
      <c r="J3" s="39">
        <f>J2/$B$7</f>
        <v>3.8461538461538464E-2</v>
      </c>
      <c r="K3" s="39">
        <f>K2/$B$7</f>
        <v>0.38461538461538464</v>
      </c>
      <c r="L3" s="39">
        <f>L2/$B$7</f>
        <v>0.42307692307692307</v>
      </c>
      <c r="M3" s="39">
        <f>M2/$B$7</f>
        <v>3.8461538461538464E-2</v>
      </c>
      <c r="N3" s="39">
        <f>N2/$B$7</f>
        <v>7.6923076923076927E-2</v>
      </c>
      <c r="O3" s="39">
        <f>O2/$B$7</f>
        <v>3.8461538461538464E-2</v>
      </c>
    </row>
    <row r="4" spans="1:20" x14ac:dyDescent="0.25">
      <c r="A4" s="32">
        <v>16</v>
      </c>
      <c r="B4" s="32">
        <v>19</v>
      </c>
      <c r="C4" s="32">
        <v>14</v>
      </c>
      <c r="D4" s="32">
        <v>16</v>
      </c>
      <c r="E4" s="32">
        <v>17</v>
      </c>
      <c r="F4" s="32">
        <v>13</v>
      </c>
    </row>
    <row r="5" spans="1:20" x14ac:dyDescent="0.25">
      <c r="A5" s="32">
        <v>14</v>
      </c>
      <c r="B5" s="32">
        <v>14</v>
      </c>
      <c r="C5" s="32"/>
      <c r="D5" s="32"/>
      <c r="E5" s="32"/>
      <c r="F5" s="32"/>
      <c r="H5" s="34" t="s">
        <v>112</v>
      </c>
      <c r="I5" s="36" t="s">
        <v>111</v>
      </c>
    </row>
    <row r="6" spans="1:20" x14ac:dyDescent="0.25">
      <c r="I6" s="32" t="s">
        <v>110</v>
      </c>
      <c r="J6" s="32">
        <f>2*LN(B7)</f>
        <v>6.5161930760429643</v>
      </c>
      <c r="K6" s="32">
        <v>7</v>
      </c>
    </row>
    <row r="7" spans="1:20" x14ac:dyDescent="0.25">
      <c r="A7" s="32" t="s">
        <v>109</v>
      </c>
      <c r="B7" s="32">
        <v>26</v>
      </c>
    </row>
    <row r="8" spans="1:20" x14ac:dyDescent="0.25">
      <c r="I8" s="32" t="s">
        <v>108</v>
      </c>
      <c r="J8" s="38">
        <f>(B11-B12)/K6</f>
        <v>2.5714285714285716</v>
      </c>
    </row>
    <row r="9" spans="1:20" x14ac:dyDescent="0.25">
      <c r="A9" s="32" t="s">
        <v>71</v>
      </c>
      <c r="B9" s="32">
        <f>1+1.4*LN(B7)</f>
        <v>5.5613351532300745</v>
      </c>
      <c r="C9" s="32">
        <v>6</v>
      </c>
    </row>
    <row r="10" spans="1:20" x14ac:dyDescent="0.25">
      <c r="H10" s="34" t="s">
        <v>107</v>
      </c>
      <c r="I10" s="32" t="s">
        <v>65</v>
      </c>
      <c r="J10" s="32">
        <v>9</v>
      </c>
      <c r="K10" s="32">
        <v>12</v>
      </c>
      <c r="L10" s="32">
        <v>13</v>
      </c>
      <c r="M10" s="32">
        <v>14</v>
      </c>
      <c r="N10" s="32">
        <v>15</v>
      </c>
      <c r="O10" s="32">
        <v>16</v>
      </c>
      <c r="P10" s="32">
        <v>17</v>
      </c>
      <c r="Q10" s="32">
        <v>19</v>
      </c>
      <c r="R10" s="32">
        <v>21</v>
      </c>
      <c r="S10" s="32">
        <v>23</v>
      </c>
      <c r="T10" s="32">
        <v>27</v>
      </c>
    </row>
    <row r="11" spans="1:20" x14ac:dyDescent="0.25">
      <c r="A11" s="3" t="s">
        <v>106</v>
      </c>
      <c r="B11" s="32">
        <f>MAX(A1:F5)</f>
        <v>27</v>
      </c>
      <c r="I11" s="32" t="s">
        <v>76</v>
      </c>
      <c r="J11" s="32">
        <f>COUNTIF($A$1:$F$5,"=9")</f>
        <v>1</v>
      </c>
      <c r="K11" s="32">
        <f>COUNTIF($A$1:$F$5,"=12")</f>
        <v>2</v>
      </c>
      <c r="L11" s="32">
        <f>COUNTIF($A$1:$F$5,"=13")</f>
        <v>2</v>
      </c>
      <c r="M11" s="32">
        <f>COUNTIF($A$1:$F$5,"=14")</f>
        <v>6</v>
      </c>
      <c r="N11" s="32">
        <f>COUNTIF($A$1:$F$5,"=15")</f>
        <v>5</v>
      </c>
      <c r="O11" s="32">
        <f>COUNTIF($A$1:$F$5,"=16")</f>
        <v>4</v>
      </c>
      <c r="P11" s="32">
        <f>COUNTIF($A$1:$F$5,"=17")</f>
        <v>2</v>
      </c>
      <c r="Q11" s="32">
        <f>COUNTIF($A$1:$F$5,"=19")</f>
        <v>1</v>
      </c>
      <c r="R11" s="32">
        <f>COUNTIF($A$1:$F$5,"=21")</f>
        <v>1</v>
      </c>
      <c r="S11" s="32">
        <f>COUNTIF($A$1:$F$5,"=23")</f>
        <v>1</v>
      </c>
      <c r="T11" s="32">
        <f>COUNTIF($A$1:$F$5,"=27")</f>
        <v>1</v>
      </c>
    </row>
    <row r="12" spans="1:20" x14ac:dyDescent="0.25">
      <c r="A12" s="3" t="s">
        <v>105</v>
      </c>
      <c r="B12" s="32">
        <f>MIN(A1:F5)</f>
        <v>9</v>
      </c>
    </row>
    <row r="14" spans="1:20" x14ac:dyDescent="0.25">
      <c r="A14" s="32" t="s">
        <v>70</v>
      </c>
      <c r="B14" s="32">
        <f>(B11-B12)/C9</f>
        <v>3</v>
      </c>
    </row>
    <row r="29" spans="1:6" x14ac:dyDescent="0.25">
      <c r="A29" s="34" t="s">
        <v>104</v>
      </c>
      <c r="B29" s="36" t="s">
        <v>103</v>
      </c>
    </row>
    <row r="30" spans="1:6" x14ac:dyDescent="0.25">
      <c r="A30" s="36" t="s">
        <v>102</v>
      </c>
    </row>
    <row r="31" spans="1:6" x14ac:dyDescent="0.25">
      <c r="A31" s="32">
        <v>9</v>
      </c>
      <c r="B31" s="32">
        <v>12</v>
      </c>
      <c r="C31" s="32">
        <v>12</v>
      </c>
      <c r="D31" s="32">
        <v>13</v>
      </c>
      <c r="E31" s="32">
        <v>13</v>
      </c>
      <c r="F31" s="32">
        <v>14</v>
      </c>
    </row>
    <row r="32" spans="1:6" x14ac:dyDescent="0.25">
      <c r="A32" s="32">
        <v>14</v>
      </c>
      <c r="B32" s="32">
        <v>14</v>
      </c>
      <c r="C32" s="32">
        <v>14</v>
      </c>
      <c r="D32" s="32">
        <v>14</v>
      </c>
      <c r="E32" s="32">
        <v>14</v>
      </c>
      <c r="F32" s="32">
        <v>15</v>
      </c>
    </row>
    <row r="33" spans="1:6" x14ac:dyDescent="0.25">
      <c r="A33" s="32">
        <v>15</v>
      </c>
      <c r="B33" s="32">
        <v>15</v>
      </c>
      <c r="C33" s="32">
        <v>15</v>
      </c>
      <c r="D33" s="32">
        <v>15</v>
      </c>
      <c r="E33" s="32">
        <v>16</v>
      </c>
      <c r="F33" s="32">
        <v>16</v>
      </c>
    </row>
    <row r="34" spans="1:6" x14ac:dyDescent="0.25">
      <c r="A34" s="32">
        <v>16</v>
      </c>
      <c r="B34" s="32">
        <v>16</v>
      </c>
      <c r="C34" s="32">
        <v>17</v>
      </c>
      <c r="D34" s="32">
        <v>17</v>
      </c>
      <c r="E34" s="32">
        <v>19</v>
      </c>
      <c r="F34" s="32">
        <v>21</v>
      </c>
    </row>
    <row r="35" spans="1:6" x14ac:dyDescent="0.25">
      <c r="A35" s="32">
        <v>23</v>
      </c>
      <c r="B35" s="32">
        <v>27</v>
      </c>
      <c r="C35" s="32"/>
      <c r="D35" s="32"/>
      <c r="E35" s="32"/>
      <c r="F35" s="32"/>
    </row>
    <row r="37" spans="1:6" x14ac:dyDescent="0.25">
      <c r="A37" s="36" t="s">
        <v>101</v>
      </c>
    </row>
    <row r="38" spans="1:6" x14ac:dyDescent="0.25">
      <c r="A38" s="28" t="s">
        <v>94</v>
      </c>
      <c r="B38" s="28">
        <f>(26+1)*25/100</f>
        <v>6.75</v>
      </c>
    </row>
    <row r="39" spans="1:6" x14ac:dyDescent="0.25">
      <c r="A39" s="36" t="s">
        <v>100</v>
      </c>
    </row>
    <row r="40" spans="1:6" x14ac:dyDescent="0.25">
      <c r="A40" s="36" t="s">
        <v>99</v>
      </c>
    </row>
    <row r="42" spans="1:6" x14ac:dyDescent="0.25">
      <c r="A42" s="36" t="s">
        <v>98</v>
      </c>
    </row>
    <row r="43" spans="1:6" x14ac:dyDescent="0.25">
      <c r="A43" s="28" t="s">
        <v>94</v>
      </c>
      <c r="B43" s="28">
        <f>(26+1)*50/100</f>
        <v>13.5</v>
      </c>
    </row>
    <row r="44" spans="1:6" x14ac:dyDescent="0.25">
      <c r="A44" s="36" t="s">
        <v>97</v>
      </c>
    </row>
    <row r="45" spans="1:6" x14ac:dyDescent="0.25">
      <c r="A45" s="36" t="s">
        <v>96</v>
      </c>
    </row>
    <row r="47" spans="1:6" x14ac:dyDescent="0.25">
      <c r="A47" s="36" t="s">
        <v>95</v>
      </c>
    </row>
    <row r="48" spans="1:6" x14ac:dyDescent="0.25">
      <c r="A48" s="28" t="s">
        <v>94</v>
      </c>
      <c r="B48" s="28">
        <f>(26+1)*90/100</f>
        <v>24.3</v>
      </c>
    </row>
    <row r="49" spans="1:16" x14ac:dyDescent="0.25">
      <c r="A49" s="36" t="s">
        <v>93</v>
      </c>
    </row>
    <row r="50" spans="1:16" x14ac:dyDescent="0.25">
      <c r="A50" s="36" t="s">
        <v>92</v>
      </c>
    </row>
    <row r="52" spans="1:16" x14ac:dyDescent="0.25">
      <c r="A52" s="34" t="s">
        <v>91</v>
      </c>
      <c r="B52" s="36" t="s">
        <v>90</v>
      </c>
    </row>
    <row r="53" spans="1:16" x14ac:dyDescent="0.25">
      <c r="A53" s="37" t="s">
        <v>89</v>
      </c>
      <c r="B53" s="37"/>
      <c r="C53" s="37"/>
      <c r="D53" s="37"/>
      <c r="E53" s="28">
        <f>SUM(A1:F5)/$B$7</f>
        <v>15.615384615384615</v>
      </c>
    </row>
    <row r="54" spans="1:16" x14ac:dyDescent="0.25">
      <c r="A54" s="37" t="s">
        <v>88</v>
      </c>
      <c r="B54" s="37"/>
      <c r="C54" s="37"/>
      <c r="D54" s="37"/>
      <c r="E54" s="28">
        <f>(10.5*J3+13.5*K3+16.5*L3+19.5*M3+22.5*N3+25.5*O3)</f>
        <v>16.038461538461537</v>
      </c>
    </row>
    <row r="56" spans="1:16" x14ac:dyDescent="0.25">
      <c r="A56" s="34" t="s">
        <v>87</v>
      </c>
    </row>
    <row r="57" spans="1:16" x14ac:dyDescent="0.25">
      <c r="A57" s="28" t="s">
        <v>86</v>
      </c>
      <c r="B57" s="28">
        <v>14</v>
      </c>
      <c r="C57" s="36" t="s">
        <v>85</v>
      </c>
      <c r="P57" s="36"/>
    </row>
    <row r="58" spans="1:16" x14ac:dyDescent="0.25">
      <c r="A58" s="28" t="s">
        <v>84</v>
      </c>
      <c r="B58" s="28">
        <v>15</v>
      </c>
      <c r="C58" s="36" t="s">
        <v>83</v>
      </c>
    </row>
    <row r="60" spans="1:16" x14ac:dyDescent="0.25">
      <c r="A60" s="36" t="s">
        <v>82</v>
      </c>
    </row>
    <row r="61" spans="1:16" x14ac:dyDescent="0.25">
      <c r="A61" s="33" t="s">
        <v>81</v>
      </c>
      <c r="B61" s="33"/>
      <c r="C61" s="33"/>
      <c r="D61" s="33"/>
      <c r="E61" s="33"/>
      <c r="F61" s="33"/>
      <c r="G61" s="33"/>
      <c r="H61" s="35"/>
    </row>
    <row r="62" spans="1:16" x14ac:dyDescent="0.25">
      <c r="A62" s="33"/>
      <c r="B62" s="33"/>
      <c r="C62" s="33"/>
      <c r="D62" s="33"/>
      <c r="E62" s="33"/>
      <c r="F62" s="33"/>
      <c r="G62" s="33"/>
      <c r="H62" s="35"/>
    </row>
    <row r="63" spans="1:16" x14ac:dyDescent="0.25">
      <c r="A63" s="33"/>
      <c r="B63" s="33"/>
      <c r="C63" s="33"/>
      <c r="D63" s="33"/>
      <c r="E63" s="33"/>
      <c r="F63" s="33"/>
      <c r="G63" s="33"/>
      <c r="H63" s="35"/>
    </row>
    <row r="64" spans="1:16" x14ac:dyDescent="0.25">
      <c r="A64" s="33" t="s">
        <v>80</v>
      </c>
      <c r="B64" s="33"/>
      <c r="C64" s="33"/>
      <c r="D64" s="33"/>
      <c r="E64" s="33"/>
      <c r="F64" s="33"/>
      <c r="G64" s="33"/>
      <c r="H64" s="33"/>
    </row>
    <row r="65" spans="1:12" x14ac:dyDescent="0.25">
      <c r="A65" s="33"/>
      <c r="B65" s="33"/>
      <c r="C65" s="33"/>
      <c r="D65" s="33"/>
      <c r="E65" s="33"/>
      <c r="F65" s="33"/>
      <c r="G65" s="33"/>
      <c r="H65" s="33"/>
    </row>
    <row r="66" spans="1:12" x14ac:dyDescent="0.25">
      <c r="A66" s="35"/>
      <c r="B66" s="35"/>
      <c r="C66" s="35"/>
      <c r="D66" s="35"/>
      <c r="E66" s="35"/>
      <c r="F66" s="35"/>
      <c r="G66" s="35"/>
      <c r="H66" s="35"/>
    </row>
    <row r="68" spans="1:12" x14ac:dyDescent="0.25">
      <c r="A68" s="34" t="s">
        <v>79</v>
      </c>
    </row>
    <row r="69" spans="1:12" x14ac:dyDescent="0.25">
      <c r="A69" s="33" t="s">
        <v>78</v>
      </c>
      <c r="B69" s="33"/>
      <c r="C69" s="33"/>
      <c r="D69" s="33"/>
      <c r="E69" s="33"/>
      <c r="F69" s="33"/>
      <c r="G69" s="33"/>
      <c r="H69" s="33"/>
    </row>
    <row r="70" spans="1:12" x14ac:dyDescent="0.25">
      <c r="A70" s="33"/>
      <c r="B70" s="33"/>
      <c r="C70" s="33"/>
      <c r="D70" s="33"/>
      <c r="E70" s="33"/>
      <c r="F70" s="33"/>
      <c r="G70" s="33"/>
      <c r="H70" s="33"/>
    </row>
    <row r="71" spans="1:12" x14ac:dyDescent="0.25">
      <c r="A71" s="33"/>
      <c r="B71" s="33"/>
      <c r="C71" s="33"/>
      <c r="D71" s="33"/>
      <c r="E71" s="33"/>
      <c r="F71" s="33"/>
      <c r="G71" s="33"/>
      <c r="H71" s="33"/>
    </row>
    <row r="72" spans="1:12" x14ac:dyDescent="0.25">
      <c r="A72" s="28" t="s">
        <v>77</v>
      </c>
    </row>
    <row r="73" spans="1:12" x14ac:dyDescent="0.25">
      <c r="A73" s="32">
        <v>16</v>
      </c>
      <c r="B73" s="32">
        <v>12</v>
      </c>
      <c r="C73" s="32">
        <v>15</v>
      </c>
      <c r="D73" s="32">
        <v>15</v>
      </c>
      <c r="E73" s="32">
        <v>23</v>
      </c>
      <c r="F73" s="32">
        <v>9</v>
      </c>
    </row>
    <row r="74" spans="1:12" x14ac:dyDescent="0.25">
      <c r="A74" s="32">
        <v>16</v>
      </c>
      <c r="B74" s="32">
        <v>13</v>
      </c>
      <c r="C74" s="32">
        <v>14</v>
      </c>
      <c r="D74" s="32">
        <v>14</v>
      </c>
      <c r="E74" s="32">
        <v>21</v>
      </c>
      <c r="F74" s="32">
        <v>14</v>
      </c>
    </row>
    <row r="75" spans="1:12" x14ac:dyDescent="0.25">
      <c r="A75" s="32">
        <v>14</v>
      </c>
      <c r="B75" s="32">
        <v>17</v>
      </c>
      <c r="C75" s="32">
        <v>27</v>
      </c>
      <c r="D75" s="32">
        <v>15</v>
      </c>
      <c r="E75" s="32">
        <v>16</v>
      </c>
      <c r="F75" s="32">
        <v>12</v>
      </c>
    </row>
    <row r="76" spans="1:12" x14ac:dyDescent="0.25">
      <c r="A76" s="32">
        <v>16</v>
      </c>
      <c r="B76" s="32">
        <v>19</v>
      </c>
      <c r="C76" s="32">
        <v>14</v>
      </c>
      <c r="D76" s="32">
        <v>16</v>
      </c>
      <c r="E76" s="32">
        <v>17</v>
      </c>
      <c r="F76" s="32">
        <v>13</v>
      </c>
    </row>
    <row r="78" spans="1:12" x14ac:dyDescent="0.25">
      <c r="A78" s="32" t="s">
        <v>65</v>
      </c>
      <c r="B78" s="32">
        <v>9</v>
      </c>
      <c r="C78" s="32">
        <v>12</v>
      </c>
      <c r="D78" s="32">
        <v>13</v>
      </c>
      <c r="E78" s="32">
        <v>14</v>
      </c>
      <c r="F78" s="32">
        <v>15</v>
      </c>
      <c r="G78" s="32">
        <v>16</v>
      </c>
      <c r="H78" s="32">
        <v>17</v>
      </c>
      <c r="I78" s="32">
        <v>19</v>
      </c>
      <c r="J78" s="32">
        <v>21</v>
      </c>
      <c r="K78" s="32">
        <v>23</v>
      </c>
      <c r="L78" s="32">
        <v>27</v>
      </c>
    </row>
    <row r="79" spans="1:12" x14ac:dyDescent="0.25">
      <c r="A79" s="32" t="s">
        <v>76</v>
      </c>
      <c r="B79" s="32">
        <f>COUNTIF($A$73:$F$76,"=9")</f>
        <v>1</v>
      </c>
      <c r="C79" s="32">
        <f>COUNTIF($A$73:$F$76,"=12")</f>
        <v>2</v>
      </c>
      <c r="D79" s="32">
        <f>COUNTIF($A$73:$F$76,"=13")</f>
        <v>2</v>
      </c>
      <c r="E79" s="32">
        <f>COUNTIF($A$73:$F$76,"=14")</f>
        <v>5</v>
      </c>
      <c r="F79" s="32">
        <f>COUNTIF($A$73:$F$76,"=15")</f>
        <v>3</v>
      </c>
      <c r="G79" s="32">
        <f>COUNTIF($A$73:$F$76,"=16")</f>
        <v>5</v>
      </c>
      <c r="H79" s="32">
        <f>COUNTIF($A$73:$F$76,"=17")</f>
        <v>2</v>
      </c>
      <c r="I79" s="32">
        <f>COUNTIF($A$73:$F$76,"=19")</f>
        <v>1</v>
      </c>
      <c r="J79" s="32">
        <f>COUNTIF($A$73:$F$76,"=21")</f>
        <v>1</v>
      </c>
      <c r="K79" s="32">
        <f>COUNTIF($A$73:$F$76,"=23")</f>
        <v>1</v>
      </c>
      <c r="L79" s="32">
        <f>COUNTIF($A$73:$F$76,"=27")</f>
        <v>1</v>
      </c>
    </row>
    <row r="80" spans="1:12" x14ac:dyDescent="0.25">
      <c r="A80" s="31" t="s">
        <v>75</v>
      </c>
      <c r="B80" s="30"/>
      <c r="C80" s="30"/>
      <c r="D80" s="30"/>
      <c r="E80" s="30"/>
      <c r="F80" s="30"/>
      <c r="G80" s="30"/>
      <c r="H80" s="30"/>
    </row>
    <row r="81" spans="1:8" x14ac:dyDescent="0.25">
      <c r="A81" s="29"/>
      <c r="B81" s="29"/>
      <c r="C81" s="29"/>
      <c r="D81" s="29"/>
      <c r="E81" s="29"/>
      <c r="F81" s="29"/>
      <c r="G81" s="29"/>
      <c r="H81" s="29"/>
    </row>
  </sheetData>
  <mergeCells count="6">
    <mergeCell ref="A64:H66"/>
    <mergeCell ref="A69:H71"/>
    <mergeCell ref="A80:H81"/>
    <mergeCell ref="A53:D53"/>
    <mergeCell ref="A54:D54"/>
    <mergeCell ref="A61:H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28DC-79EE-4EBC-9442-ADF5FFBE72A7}">
  <dimension ref="A1:P62"/>
  <sheetViews>
    <sheetView tabSelected="1" topLeftCell="A35" workbookViewId="0">
      <selection activeCell="K11" sqref="K11"/>
    </sheetView>
  </sheetViews>
  <sheetFormatPr defaultColWidth="8.85546875" defaultRowHeight="15" x14ac:dyDescent="0.25"/>
  <cols>
    <col min="1" max="1" width="12.28515625" style="28" customWidth="1"/>
    <col min="2" max="7" width="9.7109375" style="28" customWidth="1"/>
    <col min="8" max="16384" width="8.85546875" style="28"/>
  </cols>
  <sheetData>
    <row r="1" spans="1:16" ht="31.15" customHeight="1" x14ac:dyDescent="0.25">
      <c r="A1" s="43" t="s">
        <v>146</v>
      </c>
      <c r="B1" s="32" t="s">
        <v>145</v>
      </c>
      <c r="C1" s="32" t="s">
        <v>144</v>
      </c>
      <c r="D1" s="32" t="s">
        <v>143</v>
      </c>
      <c r="E1" s="32" t="s">
        <v>142</v>
      </c>
      <c r="F1" s="32" t="s">
        <v>141</v>
      </c>
      <c r="G1" s="32" t="s">
        <v>140</v>
      </c>
    </row>
    <row r="2" spans="1:16" ht="45" x14ac:dyDescent="0.25">
      <c r="A2" s="43" t="s">
        <v>139</v>
      </c>
      <c r="B2" s="32">
        <v>30</v>
      </c>
      <c r="C2" s="32">
        <v>38</v>
      </c>
      <c r="D2" s="32">
        <v>50</v>
      </c>
      <c r="E2" s="32">
        <v>31</v>
      </c>
      <c r="F2" s="32">
        <v>22</v>
      </c>
      <c r="G2" s="32">
        <v>13</v>
      </c>
    </row>
    <row r="3" spans="1:16" ht="45" x14ac:dyDescent="0.25">
      <c r="A3" s="43" t="s">
        <v>138</v>
      </c>
      <c r="B3" s="39">
        <f>B2/$K$4</f>
        <v>0.16304347826086957</v>
      </c>
      <c r="C3" s="39">
        <f>C2/$K$4</f>
        <v>0.20652173913043478</v>
      </c>
      <c r="D3" s="39">
        <f>D2/$K$4</f>
        <v>0.27173913043478259</v>
      </c>
      <c r="E3" s="39">
        <f>E2/$K$4</f>
        <v>0.16847826086956522</v>
      </c>
      <c r="F3" s="38">
        <f>F2/$K$4</f>
        <v>0.11956521739130435</v>
      </c>
      <c r="G3" s="39">
        <f>G2/$K$4</f>
        <v>7.0652173913043473E-2</v>
      </c>
    </row>
    <row r="4" spans="1:16" x14ac:dyDescent="0.25">
      <c r="A4" s="32" t="s">
        <v>137</v>
      </c>
      <c r="B4" s="32">
        <v>100</v>
      </c>
      <c r="C4" s="32">
        <v>300</v>
      </c>
      <c r="D4" s="32">
        <v>500</v>
      </c>
      <c r="E4" s="32">
        <v>700</v>
      </c>
      <c r="F4" s="32">
        <v>900</v>
      </c>
      <c r="G4" s="32">
        <v>1100</v>
      </c>
      <c r="H4" s="34" t="s">
        <v>135</v>
      </c>
      <c r="J4" s="42" t="s">
        <v>109</v>
      </c>
      <c r="K4" s="42">
        <v>184</v>
      </c>
    </row>
    <row r="5" spans="1:16" x14ac:dyDescent="0.25">
      <c r="A5" s="32" t="s">
        <v>136</v>
      </c>
      <c r="B5" s="32">
        <v>300</v>
      </c>
      <c r="C5" s="32">
        <v>500</v>
      </c>
      <c r="D5" s="32">
        <v>700</v>
      </c>
      <c r="E5" s="32">
        <v>900</v>
      </c>
      <c r="F5" s="32">
        <v>1100</v>
      </c>
      <c r="G5" s="32">
        <v>1300</v>
      </c>
      <c r="H5" s="34" t="s">
        <v>135</v>
      </c>
    </row>
    <row r="6" spans="1:16" ht="14.45" customHeight="1" x14ac:dyDescent="0.25">
      <c r="A6" s="32" t="s">
        <v>74</v>
      </c>
      <c r="B6" s="32">
        <v>100</v>
      </c>
      <c r="C6" s="32">
        <v>300</v>
      </c>
      <c r="D6" s="32">
        <v>500</v>
      </c>
      <c r="E6" s="32">
        <v>700</v>
      </c>
      <c r="F6" s="32">
        <v>900</v>
      </c>
      <c r="G6" s="32">
        <v>1100</v>
      </c>
      <c r="H6" s="32">
        <v>1300</v>
      </c>
    </row>
    <row r="7" spans="1:16" x14ac:dyDescent="0.25">
      <c r="A7" s="32" t="s">
        <v>134</v>
      </c>
      <c r="B7" s="32">
        <f>0</f>
        <v>0</v>
      </c>
      <c r="C7" s="32">
        <f>B7+B2</f>
        <v>30</v>
      </c>
      <c r="D7" s="32">
        <f>C7+C2</f>
        <v>68</v>
      </c>
      <c r="E7" s="32">
        <f>D7+D2</f>
        <v>118</v>
      </c>
      <c r="F7" s="32">
        <f>E7+E2</f>
        <v>149</v>
      </c>
      <c r="G7" s="32">
        <f>F7+F2</f>
        <v>171</v>
      </c>
      <c r="H7" s="32">
        <f>G7+G2</f>
        <v>184</v>
      </c>
      <c r="I7" s="34" t="s">
        <v>133</v>
      </c>
      <c r="J7" s="33" t="s">
        <v>132</v>
      </c>
      <c r="K7" s="29"/>
      <c r="L7" s="29"/>
      <c r="M7" s="29"/>
      <c r="N7" s="29"/>
      <c r="O7" s="29"/>
      <c r="P7" s="29"/>
    </row>
    <row r="8" spans="1:16" x14ac:dyDescent="0.25">
      <c r="A8" s="32" t="s">
        <v>131</v>
      </c>
      <c r="B8" s="32">
        <f>K4</f>
        <v>184</v>
      </c>
      <c r="C8" s="32">
        <f>B8-B2</f>
        <v>154</v>
      </c>
      <c r="D8" s="32">
        <f>C8-C2</f>
        <v>116</v>
      </c>
      <c r="E8" s="32">
        <f>D8-D2</f>
        <v>66</v>
      </c>
      <c r="F8" s="32">
        <f>E8-E2</f>
        <v>35</v>
      </c>
      <c r="G8" s="32">
        <f>F8-F2</f>
        <v>13</v>
      </c>
      <c r="H8" s="32">
        <f>G8-G2</f>
        <v>0</v>
      </c>
      <c r="J8" s="29"/>
      <c r="K8" s="29"/>
      <c r="L8" s="29"/>
      <c r="M8" s="29"/>
      <c r="N8" s="29"/>
      <c r="O8" s="29"/>
      <c r="P8" s="29"/>
    </row>
    <row r="9" spans="1:16" x14ac:dyDescent="0.25">
      <c r="J9" s="33" t="s">
        <v>130</v>
      </c>
      <c r="K9" s="29"/>
      <c r="L9" s="29"/>
      <c r="M9" s="29"/>
      <c r="N9" s="29"/>
      <c r="O9" s="29"/>
      <c r="P9" s="29"/>
    </row>
    <row r="10" spans="1:16" x14ac:dyDescent="0.25">
      <c r="A10" s="34" t="s">
        <v>129</v>
      </c>
      <c r="B10" s="36" t="s">
        <v>128</v>
      </c>
      <c r="J10" s="29"/>
      <c r="K10" s="29"/>
      <c r="L10" s="29"/>
      <c r="M10" s="29"/>
      <c r="N10" s="29"/>
      <c r="O10" s="29"/>
      <c r="P10" s="29"/>
    </row>
    <row r="41" spans="1:1" x14ac:dyDescent="0.25">
      <c r="A41" s="34" t="s">
        <v>127</v>
      </c>
    </row>
    <row r="58" spans="1:2" x14ac:dyDescent="0.25">
      <c r="A58" s="34" t="s">
        <v>126</v>
      </c>
      <c r="B58" s="36" t="s">
        <v>125</v>
      </c>
    </row>
    <row r="59" spans="1:2" x14ac:dyDescent="0.25">
      <c r="A59" s="28" t="s">
        <v>84</v>
      </c>
      <c r="B59" s="28">
        <f>500+200*(0.5*$K$4-$D$7)/$D$2</f>
        <v>596</v>
      </c>
    </row>
    <row r="61" spans="1:2" x14ac:dyDescent="0.25">
      <c r="A61" s="34" t="s">
        <v>124</v>
      </c>
      <c r="B61" s="36" t="s">
        <v>123</v>
      </c>
    </row>
    <row r="62" spans="1:2" x14ac:dyDescent="0.25">
      <c r="A62" s="28" t="s">
        <v>86</v>
      </c>
      <c r="B62" s="41">
        <f>500+200*((D2-C2)/((D2-C2)+(D2-E2)))</f>
        <v>577.41935483870964</v>
      </c>
    </row>
  </sheetData>
  <mergeCells count="2">
    <mergeCell ref="J7:P8"/>
    <mergeCell ref="J9:P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78F4-7D65-402E-B07C-A2E8E81B7F99}">
  <dimension ref="A1:G11"/>
  <sheetViews>
    <sheetView workbookViewId="0">
      <selection activeCell="C14" sqref="C14"/>
    </sheetView>
  </sheetViews>
  <sheetFormatPr defaultColWidth="8.85546875" defaultRowHeight="15" x14ac:dyDescent="0.25"/>
  <cols>
    <col min="1" max="1" width="10.5703125" style="28" customWidth="1"/>
    <col min="2" max="7" width="10.42578125" style="28" customWidth="1"/>
    <col min="8" max="16384" width="8.85546875" style="28"/>
  </cols>
  <sheetData>
    <row r="1" spans="1:7" ht="30.6" customHeight="1" x14ac:dyDescent="0.25">
      <c r="A1" s="32" t="s">
        <v>121</v>
      </c>
      <c r="B1" s="32" t="s">
        <v>159</v>
      </c>
      <c r="C1" s="32" t="s">
        <v>158</v>
      </c>
      <c r="D1" s="32" t="s">
        <v>157</v>
      </c>
      <c r="E1" s="32" t="s">
        <v>156</v>
      </c>
      <c r="F1" s="32" t="s">
        <v>155</v>
      </c>
      <c r="G1" s="32" t="s">
        <v>154</v>
      </c>
    </row>
    <row r="2" spans="1:7" ht="30" x14ac:dyDescent="0.25">
      <c r="A2" s="43" t="s">
        <v>153</v>
      </c>
      <c r="B2" s="32">
        <v>10</v>
      </c>
      <c r="C2" s="32">
        <v>29</v>
      </c>
      <c r="D2" s="32">
        <v>2</v>
      </c>
      <c r="E2" s="32">
        <v>13</v>
      </c>
      <c r="F2" s="32" t="s">
        <v>152</v>
      </c>
      <c r="G2" s="32">
        <v>6</v>
      </c>
    </row>
    <row r="4" spans="1:7" x14ac:dyDescent="0.25">
      <c r="A4" s="34" t="s">
        <v>151</v>
      </c>
      <c r="B4" s="33" t="s">
        <v>150</v>
      </c>
      <c r="C4" s="29"/>
      <c r="D4" s="29"/>
      <c r="E4" s="29"/>
      <c r="F4" s="29"/>
      <c r="G4" s="29"/>
    </row>
    <row r="5" spans="1:7" x14ac:dyDescent="0.25">
      <c r="B5" s="29"/>
      <c r="C5" s="29"/>
      <c r="D5" s="29"/>
      <c r="E5" s="29"/>
      <c r="F5" s="29"/>
      <c r="G5" s="29"/>
    </row>
    <row r="6" spans="1:7" x14ac:dyDescent="0.25">
      <c r="B6" s="29"/>
      <c r="C6" s="29"/>
      <c r="D6" s="29"/>
      <c r="E6" s="29"/>
      <c r="F6" s="29"/>
      <c r="G6" s="29"/>
    </row>
    <row r="7" spans="1:7" x14ac:dyDescent="0.25">
      <c r="B7" s="46"/>
      <c r="C7" s="46"/>
      <c r="D7" s="46"/>
      <c r="E7" s="46"/>
      <c r="F7" s="46"/>
      <c r="G7" s="46"/>
    </row>
    <row r="8" spans="1:7" x14ac:dyDescent="0.25">
      <c r="A8" s="28" t="s">
        <v>149</v>
      </c>
      <c r="B8" s="36" t="s">
        <v>148</v>
      </c>
    </row>
    <row r="9" spans="1:7" x14ac:dyDescent="0.25">
      <c r="A9" s="45"/>
      <c r="B9" s="36" t="s">
        <v>147</v>
      </c>
    </row>
    <row r="11" spans="1:7" x14ac:dyDescent="0.25">
      <c r="A11" s="44"/>
    </row>
  </sheetData>
  <mergeCells count="1">
    <mergeCell ref="B4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2.1</vt:lpstr>
      <vt:lpstr>2.2</vt:lpstr>
      <vt:lpstr>2.3</vt:lpstr>
      <vt:lpstr>3.1</vt:lpstr>
      <vt:lpstr>Задание 1 вопросы</vt:lpstr>
      <vt:lpstr>Задание 2 вопросы</vt:lpstr>
      <vt:lpstr>Задание 3 вопросы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Амира Зухир</dc:creator>
  <cp:lastModifiedBy>Денис Каргаполов</cp:lastModifiedBy>
  <dcterms:created xsi:type="dcterms:W3CDTF">2022-12-01T15:40:52Z</dcterms:created>
  <dcterms:modified xsi:type="dcterms:W3CDTF">2022-12-08T20:52:56Z</dcterms:modified>
</cp:coreProperties>
</file>