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ed\Downloads\SBC5-Hardware\"/>
    </mc:Choice>
  </mc:AlternateContent>
  <xr:revisionPtr revIDLastSave="0" documentId="13_ncr:1_{DBB56111-4372-4991-A152-CD17079C241F}" xr6:coauthVersionLast="45" xr6:coauthVersionMax="45" xr10:uidLastSave="{00000000-0000-0000-0000-000000000000}"/>
  <bookViews>
    <workbookView xWindow="25080" yWindow="-120" windowWidth="25440" windowHeight="15390" xr2:uid="{D55AB5B1-4BC1-429F-82B8-F59F2B41C856}"/>
  </bookViews>
  <sheets>
    <sheet name="5V" sheetId="1" r:id="rId1"/>
    <sheet name="3V7" sheetId="2" r:id="rId2"/>
    <sheet name="3V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4" i="3" l="1"/>
  <c r="E82" i="3"/>
  <c r="E81" i="3"/>
  <c r="E80" i="3"/>
  <c r="E79" i="3"/>
  <c r="E78" i="3"/>
  <c r="E77" i="3"/>
  <c r="E76" i="3"/>
  <c r="E84" i="3" s="1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D40" i="3"/>
  <c r="A40" i="3"/>
  <c r="C28" i="3"/>
  <c r="F24" i="3"/>
  <c r="E24" i="3"/>
  <c r="C24" i="3"/>
  <c r="D24" i="3" s="1"/>
  <c r="F20" i="3"/>
  <c r="G20" i="3" s="1"/>
  <c r="C20" i="3"/>
  <c r="B20" i="3"/>
  <c r="G16" i="3"/>
  <c r="F16" i="3"/>
  <c r="C16" i="3"/>
  <c r="B16" i="3"/>
  <c r="G12" i="3"/>
  <c r="F12" i="3"/>
  <c r="B12" i="3"/>
  <c r="E12" i="3" s="1"/>
  <c r="J12" i="3" s="1"/>
  <c r="E8" i="3"/>
  <c r="D8" i="3"/>
  <c r="C8" i="3"/>
  <c r="G8" i="3" s="1"/>
  <c r="G4" i="3"/>
  <c r="E32" i="3" s="1"/>
  <c r="F32" i="3" s="1"/>
  <c r="D28" i="3" l="1"/>
  <c r="E28" i="3"/>
  <c r="B40" i="3"/>
  <c r="E40" i="3" s="1"/>
  <c r="B36" i="3"/>
  <c r="H8" i="3"/>
  <c r="F28" i="3"/>
  <c r="M12" i="3"/>
  <c r="K12" i="3"/>
  <c r="L12" i="3" s="1"/>
  <c r="I12" i="3"/>
  <c r="I8" i="3"/>
  <c r="D12" i="3"/>
  <c r="H12" i="3" s="1"/>
  <c r="F8" i="3"/>
  <c r="J8" i="3" s="1"/>
  <c r="E74" i="1"/>
  <c r="M8" i="3" l="1"/>
  <c r="K8" i="3"/>
  <c r="L8" i="3" s="1"/>
  <c r="A44" i="3"/>
  <c r="B44" i="3" s="1"/>
  <c r="G40" i="3"/>
  <c r="E78" i="1"/>
  <c r="C82" i="1"/>
  <c r="C84" i="2"/>
  <c r="B69" i="2"/>
  <c r="B70" i="2"/>
  <c r="B71" i="2"/>
  <c r="B72" i="2"/>
  <c r="G4" i="1"/>
  <c r="E32" i="1" s="1"/>
  <c r="F32" i="1" s="1"/>
  <c r="E80" i="1"/>
  <c r="E79" i="1"/>
  <c r="E77" i="1"/>
  <c r="E76" i="1"/>
  <c r="E75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D40" i="1"/>
  <c r="A40" i="1"/>
  <c r="C28" i="1"/>
  <c r="F24" i="1"/>
  <c r="E24" i="1"/>
  <c r="C24" i="1"/>
  <c r="D24" i="1" s="1"/>
  <c r="F20" i="1"/>
  <c r="G20" i="1" s="1"/>
  <c r="C20" i="1"/>
  <c r="B20" i="1"/>
  <c r="G16" i="1"/>
  <c r="F16" i="1"/>
  <c r="C16" i="1"/>
  <c r="B16" i="1"/>
  <c r="G12" i="1"/>
  <c r="F12" i="1"/>
  <c r="B12" i="1"/>
  <c r="E12" i="1" s="1"/>
  <c r="E8" i="1"/>
  <c r="D8" i="1"/>
  <c r="C8" i="1"/>
  <c r="I8" i="1" s="1"/>
  <c r="E82" i="2"/>
  <c r="E81" i="2"/>
  <c r="C28" i="2"/>
  <c r="E82" i="1" l="1"/>
  <c r="D44" i="3"/>
  <c r="C44" i="3"/>
  <c r="C48" i="3" s="1"/>
  <c r="J12" i="1"/>
  <c r="M12" i="1" s="1"/>
  <c r="D28" i="1"/>
  <c r="I12" i="1"/>
  <c r="F8" i="1"/>
  <c r="J8" i="1" s="1"/>
  <c r="M8" i="1" s="1"/>
  <c r="B36" i="1"/>
  <c r="B40" i="1"/>
  <c r="E40" i="1" s="1"/>
  <c r="G8" i="1"/>
  <c r="H8" i="1" s="1"/>
  <c r="D12" i="1"/>
  <c r="H12" i="1" s="1"/>
  <c r="K12" i="1" s="1"/>
  <c r="L12" i="1" s="1"/>
  <c r="E28" i="1"/>
  <c r="F28" i="1" l="1"/>
  <c r="K8" i="1"/>
  <c r="L8" i="1" s="1"/>
  <c r="A44" i="1"/>
  <c r="B44" i="1" s="1"/>
  <c r="G40" i="1"/>
  <c r="C44" i="1" l="1"/>
  <c r="C48" i="1" s="1"/>
  <c r="D44" i="1"/>
  <c r="C24" i="2" l="1"/>
  <c r="D24" i="2" s="1"/>
  <c r="E80" i="2"/>
  <c r="E84" i="2" s="1"/>
  <c r="E79" i="2"/>
  <c r="E78" i="2"/>
  <c r="E77" i="2"/>
  <c r="E76" i="2"/>
  <c r="E8" i="2"/>
  <c r="D8" i="2"/>
  <c r="B68" i="2" l="1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D40" i="2"/>
  <c r="A40" i="2"/>
  <c r="F24" i="2"/>
  <c r="E24" i="2"/>
  <c r="C20" i="2"/>
  <c r="B20" i="2"/>
  <c r="F20" i="2" s="1"/>
  <c r="G16" i="2"/>
  <c r="C16" i="2"/>
  <c r="B16" i="2"/>
  <c r="F16" i="2" s="1"/>
  <c r="B12" i="2"/>
  <c r="C8" i="2"/>
  <c r="G4" i="2"/>
  <c r="E32" i="2" s="1"/>
  <c r="F32" i="2" s="1"/>
  <c r="G12" i="2" l="1"/>
  <c r="G8" i="2"/>
  <c r="H8" i="2" s="1"/>
  <c r="F8" i="2"/>
  <c r="J8" i="2" s="1"/>
  <c r="I8" i="2"/>
  <c r="D28" i="2"/>
  <c r="G20" i="2"/>
  <c r="E28" i="2"/>
  <c r="D12" i="2"/>
  <c r="E12" i="2"/>
  <c r="I12" i="2" l="1"/>
  <c r="M8" i="2"/>
  <c r="K8" i="2"/>
  <c r="L8" i="2" s="1"/>
  <c r="H12" i="2"/>
  <c r="F12" i="2"/>
  <c r="J12" i="2" s="1"/>
  <c r="M12" i="2" s="1"/>
  <c r="B40" i="2"/>
  <c r="E40" i="2" s="1"/>
  <c r="B36" i="2"/>
  <c r="F28" i="2" l="1"/>
  <c r="K12" i="2"/>
  <c r="L12" i="2" s="1"/>
  <c r="A44" i="2"/>
  <c r="B44" i="2" s="1"/>
  <c r="G40" i="2"/>
  <c r="C44" i="2" l="1"/>
  <c r="C48" i="2" s="1"/>
  <c r="D44" i="2"/>
</calcChain>
</file>

<file path=xl/sharedStrings.xml><?xml version="1.0" encoding="utf-8"?>
<sst xmlns="http://schemas.openxmlformats.org/spreadsheetml/2006/main" count="381" uniqueCount="97">
  <si>
    <t>R1</t>
  </si>
  <si>
    <t>R2</t>
  </si>
  <si>
    <t>Tolerance</t>
  </si>
  <si>
    <t>Min</t>
  </si>
  <si>
    <t>Nominal</t>
  </si>
  <si>
    <t>Max</t>
  </si>
  <si>
    <t>Cin</t>
  </si>
  <si>
    <t>L</t>
  </si>
  <si>
    <t>Co</t>
  </si>
  <si>
    <t>Max error</t>
  </si>
  <si>
    <t>Duty cycle</t>
  </si>
  <si>
    <t>Efficiency</t>
  </si>
  <si>
    <t>N</t>
  </si>
  <si>
    <t>Converter parameters</t>
  </si>
  <si>
    <t>Actual voltage divider</t>
  </si>
  <si>
    <t>Targeted feedback voltage divider</t>
  </si>
  <si>
    <t>Targeted input voltage ripple</t>
  </si>
  <si>
    <t>Actual input voltage ripple</t>
  </si>
  <si>
    <t>Actual inductor current ripple</t>
  </si>
  <si>
    <t>Targeted inductor current ripple</t>
  </si>
  <si>
    <t>Targeted output voltage ripple</t>
  </si>
  <si>
    <t>Actual output voltage ripple</t>
  </si>
  <si>
    <t>Diode power loss</t>
  </si>
  <si>
    <t>Inductor power loss</t>
  </si>
  <si>
    <t>IC power loss</t>
  </si>
  <si>
    <t>Converter output calculations</t>
  </si>
  <si>
    <t>Converter efficiency</t>
  </si>
  <si>
    <t>Feedback voltage
(V)</t>
  </si>
  <si>
    <t>Output voltage
(V)</t>
  </si>
  <si>
    <t>Input voltage
(V)</t>
  </si>
  <si>
    <t>Switching frequency
(Hz)</t>
  </si>
  <si>
    <t>R1
(Ohms)</t>
  </si>
  <si>
    <t>Min R1
(Ohms)</t>
  </si>
  <si>
    <t>Max R1
(Ohms)</t>
  </si>
  <si>
    <t>Min R2
(Ohms)</t>
  </si>
  <si>
    <t>Max R2
(Ohms)</t>
  </si>
  <si>
    <t>Min Vo
(V)</t>
  </si>
  <si>
    <t>Nominal Vo
(V)</t>
  </si>
  <si>
    <t>Max Vo
(V)</t>
  </si>
  <si>
    <t>Max deviation
(V)</t>
  </si>
  <si>
    <t>Max power loss
(W)</t>
  </si>
  <si>
    <t>Input voltage ripple
(V)</t>
  </si>
  <si>
    <t>Output current
(Amps)</t>
  </si>
  <si>
    <t>Input capacitance
(F)</t>
  </si>
  <si>
    <t>Input capacitance RMS current
(Amps)</t>
  </si>
  <si>
    <t>Peak inductor current
(Amps)</t>
  </si>
  <si>
    <t>Inductance
(Henry)</t>
  </si>
  <si>
    <t>Inductor current ripple
(Amps)</t>
  </si>
  <si>
    <t>Output voltage ripple
(V)</t>
  </si>
  <si>
    <t>ESR
(Ohms)</t>
  </si>
  <si>
    <t>Output capacitance
(F)</t>
  </si>
  <si>
    <t>Output capacitor RMS current
(Amps)</t>
  </si>
  <si>
    <t>Peak output voltage
(V)</t>
  </si>
  <si>
    <t>Diode forward voltage
(V)</t>
  </si>
  <si>
    <t>Max reverse voltage
(V)</t>
  </si>
  <si>
    <t>Max load current
(Amps)</t>
  </si>
  <si>
    <t>Thermal resistance
(°C/W)</t>
  </si>
  <si>
    <t>Diode loss
(W)</t>
  </si>
  <si>
    <t>Temperature rise
(°C)</t>
  </si>
  <si>
    <t>Inductor ESR
(Ohms)</t>
  </si>
  <si>
    <t>Inductor loss
(W)</t>
  </si>
  <si>
    <t>RDS(On)
(Ohms)</t>
  </si>
  <si>
    <t>RDS loss
(W)</t>
  </si>
  <si>
    <t>Input current
(Amps)</t>
  </si>
  <si>
    <t>Control loss
(W)</t>
  </si>
  <si>
    <t>IC loss
(W)</t>
  </si>
  <si>
    <t>Total converter loss
(W)</t>
  </si>
  <si>
    <t>Total input power
(W)</t>
  </si>
  <si>
    <t>Load current
(Amps)</t>
  </si>
  <si>
    <t>Parts list</t>
  </si>
  <si>
    <t>Part number</t>
  </si>
  <si>
    <t>Value</t>
  </si>
  <si>
    <t>Quantity</t>
  </si>
  <si>
    <t>Price/unit</t>
  </si>
  <si>
    <t>Price</t>
  </si>
  <si>
    <t>R2
(Ohms)</t>
  </si>
  <si>
    <t>13.8k</t>
  </si>
  <si>
    <t>49.9k</t>
  </si>
  <si>
    <t>ERJ-PB3B1372V</t>
  </si>
  <si>
    <t>Purpose</t>
  </si>
  <si>
    <t>CL31A106MBHNNNE</t>
  </si>
  <si>
    <t>10u</t>
  </si>
  <si>
    <t>AOZ1281DI</t>
  </si>
  <si>
    <t>Converter IC</t>
  </si>
  <si>
    <t>220u</t>
  </si>
  <si>
    <t>Dissipation factor
(tan(delta))</t>
  </si>
  <si>
    <t>Diode</t>
  </si>
  <si>
    <t>SRR1210-221M</t>
  </si>
  <si>
    <t>Total</t>
  </si>
  <si>
    <t>ERA-3AEB4992V</t>
  </si>
  <si>
    <t>ERA-3AEB9531V</t>
  </si>
  <si>
    <t>9.53k</t>
  </si>
  <si>
    <t>CL21A106KOQNNNE</t>
  </si>
  <si>
    <t>MBR230LSTR</t>
  </si>
  <si>
    <t>500mV</t>
  </si>
  <si>
    <t>16k</t>
  </si>
  <si>
    <t>RMCF0603FT16K0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</si>
</sst>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0"/>
    <numFmt numFmtId="165" formatCode="0.000"/>
    <numFmt numFmtId="166" formatCode="0.0"/>
    <numFmt numFmtId="167" formatCode="0.000E+00"/>
    <numFmt numFmtId="168" formatCode="0.0%"/>
    <numFmt numFmtId="169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67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2" xfId="0" applyBorder="1"/>
    <xf numFmtId="0" fontId="0" fillId="0" borderId="6" xfId="0" applyBorder="1"/>
    <xf numFmtId="0" fontId="0" fillId="0" borderId="7" xfId="0" applyBorder="1"/>
    <xf numFmtId="9" fontId="0" fillId="0" borderId="7" xfId="1" applyFont="1" applyBorder="1"/>
    <xf numFmtId="0" fontId="0" fillId="0" borderId="8" xfId="0" applyBorder="1"/>
    <xf numFmtId="0" fontId="0" fillId="0" borderId="9" xfId="0" applyBorder="1"/>
    <xf numFmtId="9" fontId="0" fillId="0" borderId="10" xfId="1" applyFont="1" applyBorder="1"/>
    <xf numFmtId="0" fontId="3" fillId="3" borderId="9" xfId="4" applyBorder="1"/>
    <xf numFmtId="9" fontId="3" fillId="3" borderId="9" xfId="4" applyNumberFormat="1" applyBorder="1"/>
    <xf numFmtId="0" fontId="3" fillId="3" borderId="10" xfId="4" applyBorder="1"/>
    <xf numFmtId="0" fontId="3" fillId="3" borderId="8" xfId="4" applyBorder="1"/>
    <xf numFmtId="0" fontId="2" fillId="2" borderId="8" xfId="3" applyBorder="1"/>
    <xf numFmtId="0" fontId="2" fillId="2" borderId="9" xfId="3" applyBorder="1"/>
    <xf numFmtId="167" fontId="3" fillId="3" borderId="9" xfId="4" applyNumberFormat="1" applyBorder="1"/>
    <xf numFmtId="167" fontId="2" fillId="2" borderId="8" xfId="3" applyNumberFormat="1" applyBorder="1"/>
    <xf numFmtId="1" fontId="2" fillId="2" borderId="9" xfId="3" applyNumberFormat="1" applyBorder="1"/>
    <xf numFmtId="166" fontId="3" fillId="3" borderId="9" xfId="4" applyNumberFormat="1" applyBorder="1"/>
    <xf numFmtId="165" fontId="3" fillId="3" borderId="9" xfId="4" applyNumberFormat="1" applyBorder="1"/>
    <xf numFmtId="168" fontId="3" fillId="3" borderId="9" xfId="4" applyNumberFormat="1" applyBorder="1"/>
    <xf numFmtId="10" fontId="2" fillId="2" borderId="8" xfId="3" applyNumberFormat="1" applyBorder="1"/>
    <xf numFmtId="1" fontId="3" fillId="3" borderId="9" xfId="4" applyNumberFormat="1" applyBorder="1"/>
    <xf numFmtId="168" fontId="3" fillId="3" borderId="9" xfId="1" applyNumberFormat="1" applyFont="1" applyFill="1" applyBorder="1"/>
    <xf numFmtId="9" fontId="2" fillId="2" borderId="10" xfId="1" applyFont="1" applyFill="1" applyBorder="1"/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/>
    </xf>
    <xf numFmtId="169" fontId="3" fillId="3" borderId="9" xfId="4" applyNumberFormat="1" applyBorder="1"/>
    <xf numFmtId="169" fontId="3" fillId="3" borderId="10" xfId="4" applyNumberFormat="1" applyBorder="1"/>
    <xf numFmtId="165" fontId="3" fillId="3" borderId="10" xfId="4" applyNumberFormat="1" applyBorder="1"/>
    <xf numFmtId="11" fontId="2" fillId="2" borderId="8" xfId="3" applyNumberFormat="1" applyBorder="1"/>
    <xf numFmtId="10" fontId="2" fillId="2" borderId="9" xfId="3" applyNumberFormat="1" applyBorder="1"/>
    <xf numFmtId="165" fontId="3" fillId="3" borderId="14" xfId="4" applyNumberFormat="1" applyBorder="1"/>
    <xf numFmtId="165" fontId="0" fillId="0" borderId="2" xfId="0" applyNumberFormat="1" applyBorder="1"/>
    <xf numFmtId="165" fontId="0" fillId="0" borderId="9" xfId="0" applyNumberFormat="1" applyBorder="1"/>
    <xf numFmtId="9" fontId="3" fillId="3" borderId="14" xfId="4" applyNumberFormat="1" applyBorder="1"/>
    <xf numFmtId="165" fontId="3" fillId="3" borderId="8" xfId="4" applyNumberFormat="1" applyBorder="1"/>
    <xf numFmtId="168" fontId="2" fillId="2" borderId="9" xfId="3" applyNumberFormat="1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44" fontId="0" fillId="0" borderId="0" xfId="2" applyFont="1" applyBorder="1"/>
    <xf numFmtId="0" fontId="0" fillId="0" borderId="17" xfId="0" applyBorder="1"/>
    <xf numFmtId="0" fontId="0" fillId="0" borderId="18" xfId="0" applyBorder="1"/>
    <xf numFmtId="44" fontId="0" fillId="0" borderId="0" xfId="2" applyNumberFormat="1" applyFont="1" applyBorder="1"/>
    <xf numFmtId="44" fontId="0" fillId="0" borderId="9" xfId="0" applyNumberFormat="1" applyBorder="1"/>
    <xf numFmtId="0" fontId="4" fillId="0" borderId="0" xfId="0" applyFont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5">
    <cellStyle name="Calculation" xfId="4" builtinId="22"/>
    <cellStyle name="Currency" xfId="2" builtinId="4"/>
    <cellStyle name="Input" xfId="3" builtinId="20"/>
    <cellStyle name="Normal" xfId="0" builtinId="0"/>
    <cellStyle name="Percent" xfId="1" builtinId="5"/>
  </cellStyles>
  <dxfs count="24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Converter</a:t>
            </a:r>
            <a:r>
              <a:rPr lang="en-US" baseline="0"/>
              <a:t> efficiency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'5V'!$B$49:$B$70</c:f>
              <c:numCache>
                <c:formatCode>0.000</c:formatCode>
                <c:ptCount val="22"/>
                <c:pt idx="0">
                  <c:v>0.01</c:v>
                </c:pt>
                <c:pt idx="1">
                  <c:v>1.2589254117941664E-2</c:v>
                </c:pt>
                <c:pt idx="2">
                  <c:v>1.5848931924611124E-2</c:v>
                </c:pt>
                <c:pt idx="3">
                  <c:v>1.9952623149688792E-2</c:v>
                </c:pt>
                <c:pt idx="4">
                  <c:v>2.511886431509578E-2</c:v>
                </c:pt>
                <c:pt idx="5">
                  <c:v>3.1622776601683784E-2</c:v>
                </c:pt>
                <c:pt idx="6">
                  <c:v>3.9810717055349727E-2</c:v>
                </c:pt>
                <c:pt idx="7">
                  <c:v>5.0118723362727206E-2</c:v>
                </c:pt>
                <c:pt idx="8">
                  <c:v>6.3095734448019317E-2</c:v>
                </c:pt>
                <c:pt idx="9">
                  <c:v>7.9432823472428096E-2</c:v>
                </c:pt>
                <c:pt idx="10">
                  <c:v>0.1</c:v>
                </c:pt>
                <c:pt idx="11">
                  <c:v>0.12589254117941667</c:v>
                </c:pt>
                <c:pt idx="12">
                  <c:v>0.15848931924611132</c:v>
                </c:pt>
                <c:pt idx="13">
                  <c:v>0.19952623149688795</c:v>
                </c:pt>
                <c:pt idx="14">
                  <c:v>0.25118864315095801</c:v>
                </c:pt>
                <c:pt idx="15">
                  <c:v>0.31622776601683794</c:v>
                </c:pt>
                <c:pt idx="16">
                  <c:v>0.3981071705534972</c:v>
                </c:pt>
                <c:pt idx="17">
                  <c:v>0.50118723362727224</c:v>
                </c:pt>
                <c:pt idx="18">
                  <c:v>0.63095734448019325</c:v>
                </c:pt>
                <c:pt idx="19">
                  <c:v>0.79432823472428149</c:v>
                </c:pt>
                <c:pt idx="20">
                  <c:v>1</c:v>
                </c:pt>
                <c:pt idx="21">
                  <c:v>1.2589254117941673</c:v>
                </c:pt>
              </c:numCache>
            </c:numRef>
          </c:xVal>
          <c:yVal>
            <c:numRef>
              <c:f>'5V'!$C$49:$C$70</c:f>
              <c:numCache>
                <c:formatCode>0%</c:formatCode>
                <c:ptCount val="22"/>
                <c:pt idx="0">
                  <c:v>0.68796144368040457</c:v>
                </c:pt>
                <c:pt idx="1">
                  <c:v>0.72565841564890254</c:v>
                </c:pt>
                <c:pt idx="2">
                  <c:v>0.75858913479286583</c:v>
                </c:pt>
                <c:pt idx="3">
                  <c:v>0.78683314060841636</c:v>
                </c:pt>
                <c:pt idx="4">
                  <c:v>0.81064772924535222</c:v>
                </c:pt>
                <c:pt idx="5">
                  <c:v>0.83039908659056849</c:v>
                </c:pt>
                <c:pt idx="6">
                  <c:v>0.8465025459682527</c:v>
                </c:pt>
                <c:pt idx="7">
                  <c:v>0.85937615782215837</c:v>
                </c:pt>
                <c:pt idx="8">
                  <c:v>0.86940784649076053</c:v>
                </c:pt>
                <c:pt idx="9">
                  <c:v>0.87693418491977115</c:v>
                </c:pt>
                <c:pt idx="10">
                  <c:v>0.88222794563366036</c:v>
                </c:pt>
                <c:pt idx="11">
                  <c:v>0.88549159897513474</c:v>
                </c:pt>
                <c:pt idx="12">
                  <c:v>0.88685439742453465</c:v>
                </c:pt>
                <c:pt idx="13">
                  <c:v>0.88637132073878222</c:v>
                </c:pt>
                <c:pt idx="14">
                  <c:v>0.88402281183909759</c:v>
                </c:pt>
                <c:pt idx="15">
                  <c:v>0.87971485829539897</c:v>
                </c:pt>
                <c:pt idx="16">
                  <c:v>0.87327957699602976</c:v>
                </c:pt>
                <c:pt idx="17">
                  <c:v>0.86447707083421754</c:v>
                </c:pt>
                <c:pt idx="18">
                  <c:v>0.85299996877927298</c:v>
                </c:pt>
                <c:pt idx="19">
                  <c:v>0.8384827172270144</c:v>
                </c:pt>
                <c:pt idx="20">
                  <c:v>0.82051826483691459</c:v>
                </c:pt>
                <c:pt idx="21">
                  <c:v>0.79868505756637986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8C-4F61-B815-282329883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188808"/>
        <c:axId val="411186512"/>
      </c:scatterChart>
      <c:valAx>
        <c:axId val="411188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6512"/>
        <c:crosses val="autoZero"/>
        <c:crossBetween val="midCat"/>
      </c:valAx>
      <c:valAx>
        <c:axId val="41118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8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Converter</a:t>
            </a:r>
            <a:r>
              <a:rPr lang="en-US" baseline="0"/>
              <a:t> efficiency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'3V7'!$B$49:$B$72</c:f>
              <c:numCache>
                <c:formatCode>0.000</c:formatCode>
                <c:ptCount val="24"/>
                <c:pt idx="0">
                  <c:v>0.01</c:v>
                </c:pt>
                <c:pt idx="1">
                  <c:v>1.2589254117941664E-2</c:v>
                </c:pt>
                <c:pt idx="2">
                  <c:v>1.5848931924611124E-2</c:v>
                </c:pt>
                <c:pt idx="3">
                  <c:v>1.9952623149688792E-2</c:v>
                </c:pt>
                <c:pt idx="4">
                  <c:v>2.511886431509578E-2</c:v>
                </c:pt>
                <c:pt idx="5">
                  <c:v>3.1622776601683784E-2</c:v>
                </c:pt>
                <c:pt idx="6">
                  <c:v>3.9810717055349727E-2</c:v>
                </c:pt>
                <c:pt idx="7">
                  <c:v>5.0118723362727206E-2</c:v>
                </c:pt>
                <c:pt idx="8">
                  <c:v>6.3095734448019317E-2</c:v>
                </c:pt>
                <c:pt idx="9">
                  <c:v>7.9432823472428096E-2</c:v>
                </c:pt>
                <c:pt idx="10">
                  <c:v>0.1</c:v>
                </c:pt>
                <c:pt idx="11">
                  <c:v>0.12589254117941667</c:v>
                </c:pt>
                <c:pt idx="12">
                  <c:v>0.15848931924611132</c:v>
                </c:pt>
                <c:pt idx="13">
                  <c:v>0.19952623149688795</c:v>
                </c:pt>
                <c:pt idx="14">
                  <c:v>0.25118864315095801</c:v>
                </c:pt>
                <c:pt idx="15">
                  <c:v>0.31622776601683794</c:v>
                </c:pt>
                <c:pt idx="16">
                  <c:v>0.3981071705534972</c:v>
                </c:pt>
                <c:pt idx="17">
                  <c:v>0.50118723362727224</c:v>
                </c:pt>
                <c:pt idx="18">
                  <c:v>0.63095734448019325</c:v>
                </c:pt>
                <c:pt idx="19">
                  <c:v>0.79432823472428149</c:v>
                </c:pt>
                <c:pt idx="20">
                  <c:v>1</c:v>
                </c:pt>
                <c:pt idx="21">
                  <c:v>1.2589254117941673</c:v>
                </c:pt>
                <c:pt idx="22">
                  <c:v>1.5848931924611136</c:v>
                </c:pt>
                <c:pt idx="23">
                  <c:v>1.9952623149688797</c:v>
                </c:pt>
              </c:numCache>
            </c:numRef>
          </c:xVal>
          <c:yVal>
            <c:numRef>
              <c:f>'3V7'!$C$49:$C$72</c:f>
              <c:numCache>
                <c:formatCode>0%</c:formatCode>
                <c:ptCount val="24"/>
                <c:pt idx="0">
                  <c:v>0.62240619702935862</c:v>
                </c:pt>
                <c:pt idx="1">
                  <c:v>0.66412682063428197</c:v>
                </c:pt>
                <c:pt idx="2">
                  <c:v>0.70138296650231557</c:v>
                </c:pt>
                <c:pt idx="3">
                  <c:v>0.73396499657999337</c:v>
                </c:pt>
                <c:pt idx="4">
                  <c:v>0.76191025850561611</c:v>
                </c:pt>
                <c:pt idx="5">
                  <c:v>0.78543698075365709</c:v>
                </c:pt>
                <c:pt idx="6">
                  <c:v>0.80487597113032094</c:v>
                </c:pt>
                <c:pt idx="7">
                  <c:v>0.82061010469092444</c:v>
                </c:pt>
                <c:pt idx="8">
                  <c:v>0.83302635349491971</c:v>
                </c:pt>
                <c:pt idx="9">
                  <c:v>0.8424810761986421</c:v>
                </c:pt>
                <c:pt idx="10">
                  <c:v>0.84927688713019533</c:v>
                </c:pt>
                <c:pt idx="11">
                  <c:v>0.85364843514519362</c:v>
                </c:pt>
                <c:pt idx="12">
                  <c:v>0.85575438106203394</c:v>
                </c:pt>
                <c:pt idx="13">
                  <c:v>0.85567334030054398</c:v>
                </c:pt>
                <c:pt idx="14">
                  <c:v>0.85340226119018003</c:v>
                </c:pt>
                <c:pt idx="15">
                  <c:v>0.84885648322503338</c:v>
                </c:pt>
                <c:pt idx="16">
                  <c:v>0.84187150452944892</c:v>
                </c:pt>
                <c:pt idx="17">
                  <c:v>0.83220727263234118</c:v>
                </c:pt>
                <c:pt idx="18">
                  <c:v>0.81955658418054633</c:v>
                </c:pt>
                <c:pt idx="19">
                  <c:v>0.80355987310932908</c:v>
                </c:pt>
                <c:pt idx="20">
                  <c:v>0.78382911787222842</c:v>
                </c:pt>
                <c:pt idx="21">
                  <c:v>0.75998350232147471</c:v>
                </c:pt>
                <c:pt idx="22">
                  <c:v>0.73169838553975253</c:v>
                </c:pt>
                <c:pt idx="23">
                  <c:v>0.69876661812551233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8E-47CF-8799-9258D7C8F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188808"/>
        <c:axId val="411186512"/>
      </c:scatterChart>
      <c:valAx>
        <c:axId val="411188808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6512"/>
        <c:crosses val="autoZero"/>
        <c:crossBetween val="midCat"/>
      </c:valAx>
      <c:valAx>
        <c:axId val="41118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8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Converter</a:t>
            </a:r>
            <a:r>
              <a:rPr lang="en-US" baseline="0"/>
              <a:t> efficiency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'3V3'!$B$49:$B$72</c:f>
              <c:numCache>
                <c:formatCode>0.000</c:formatCode>
                <c:ptCount val="24"/>
                <c:pt idx="0">
                  <c:v>0.01</c:v>
                </c:pt>
                <c:pt idx="1">
                  <c:v>1.2589254117941664E-2</c:v>
                </c:pt>
                <c:pt idx="2">
                  <c:v>1.5848931924611124E-2</c:v>
                </c:pt>
                <c:pt idx="3">
                  <c:v>1.9952623149688792E-2</c:v>
                </c:pt>
                <c:pt idx="4">
                  <c:v>2.511886431509578E-2</c:v>
                </c:pt>
                <c:pt idx="5">
                  <c:v>3.1622776601683784E-2</c:v>
                </c:pt>
                <c:pt idx="6">
                  <c:v>3.9810717055349727E-2</c:v>
                </c:pt>
                <c:pt idx="7">
                  <c:v>5.0118723362727206E-2</c:v>
                </c:pt>
                <c:pt idx="8">
                  <c:v>6.3095734448019317E-2</c:v>
                </c:pt>
                <c:pt idx="9">
                  <c:v>7.9432823472428096E-2</c:v>
                </c:pt>
                <c:pt idx="10">
                  <c:v>0.1</c:v>
                </c:pt>
                <c:pt idx="11">
                  <c:v>0.12589254117941667</c:v>
                </c:pt>
                <c:pt idx="12">
                  <c:v>0.15848931924611132</c:v>
                </c:pt>
                <c:pt idx="13">
                  <c:v>0.19952623149688795</c:v>
                </c:pt>
                <c:pt idx="14">
                  <c:v>0.25118864315095801</c:v>
                </c:pt>
                <c:pt idx="15">
                  <c:v>0.31622776601683794</c:v>
                </c:pt>
                <c:pt idx="16">
                  <c:v>0.3981071705534972</c:v>
                </c:pt>
                <c:pt idx="17">
                  <c:v>0.50118723362727224</c:v>
                </c:pt>
                <c:pt idx="18">
                  <c:v>0.63095734448019325</c:v>
                </c:pt>
                <c:pt idx="19">
                  <c:v>0.79432823472428149</c:v>
                </c:pt>
                <c:pt idx="20">
                  <c:v>1</c:v>
                </c:pt>
                <c:pt idx="21">
                  <c:v>1.2589254117941673</c:v>
                </c:pt>
                <c:pt idx="22">
                  <c:v>1.5848931924611136</c:v>
                </c:pt>
                <c:pt idx="23">
                  <c:v>1.9952623149688797</c:v>
                </c:pt>
              </c:numCache>
            </c:numRef>
          </c:xVal>
          <c:yVal>
            <c:numRef>
              <c:f>'3V3'!$C$49:$C$72</c:f>
              <c:numCache>
                <c:formatCode>0%</c:formatCode>
                <c:ptCount val="24"/>
                <c:pt idx="0">
                  <c:v>0.59578607412179208</c:v>
                </c:pt>
                <c:pt idx="1">
                  <c:v>0.63872216746454036</c:v>
                </c:pt>
                <c:pt idx="2">
                  <c:v>0.67740736624075792</c:v>
                </c:pt>
                <c:pt idx="3">
                  <c:v>0.71150809415891203</c:v>
                </c:pt>
                <c:pt idx="4">
                  <c:v>0.74095778606822471</c:v>
                </c:pt>
                <c:pt idx="5">
                  <c:v>0.76589658875390043</c:v>
                </c:pt>
                <c:pt idx="6">
                  <c:v>0.78660297107672672</c:v>
                </c:pt>
                <c:pt idx="7">
                  <c:v>0.80342937743270559</c:v>
                </c:pt>
                <c:pt idx="8">
                  <c:v>0.81674877066109941</c:v>
                </c:pt>
                <c:pt idx="9">
                  <c:v>0.82691430949605194</c:v>
                </c:pt>
                <c:pt idx="10">
                  <c:v>0.83423134821864409</c:v>
                </c:pt>
                <c:pt idx="11">
                  <c:v>0.83893943602332588</c:v>
                </c:pt>
                <c:pt idx="12">
                  <c:v>0.84120163497250633</c:v>
                </c:pt>
                <c:pt idx="13">
                  <c:v>0.84109881375795825</c:v>
                </c:pt>
                <c:pt idx="14">
                  <c:v>0.83862726105884511</c:v>
                </c:pt>
                <c:pt idx="15">
                  <c:v>0.83369878880873438</c:v>
                </c:pt>
                <c:pt idx="16">
                  <c:v>0.8261433635025377</c:v>
                </c:pt>
                <c:pt idx="17">
                  <c:v>0.81571516999636562</c:v>
                </c:pt>
                <c:pt idx="18">
                  <c:v>0.80210383171876265</c:v>
                </c:pt>
                <c:pt idx="19">
                  <c:v>0.78495317758155125</c:v>
                </c:pt>
                <c:pt idx="20">
                  <c:v>0.76389023925664745</c:v>
                </c:pt>
                <c:pt idx="21">
                  <c:v>0.73856672208597696</c:v>
                </c:pt>
                <c:pt idx="22">
                  <c:v>0.70871356038854971</c:v>
                </c:pt>
                <c:pt idx="23">
                  <c:v>0.67420596628980245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94-4877-849A-0E508FF86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188808"/>
        <c:axId val="411186512"/>
      </c:scatterChart>
      <c:valAx>
        <c:axId val="411188808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6512"/>
        <c:crosses val="autoZero"/>
        <c:crossBetween val="midCat"/>
      </c:valAx>
      <c:valAx>
        <c:axId val="41118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8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47</xdr:row>
      <xdr:rowOff>100012</xdr:rowOff>
    </xdr:from>
    <xdr:to>
      <xdr:col>6</xdr:col>
      <xdr:colOff>1209675</xdr:colOff>
      <xdr:row>61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DCEFD3-0D8B-49C6-8FC4-DB98BE8967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47</xdr:row>
      <xdr:rowOff>14287</xdr:rowOff>
    </xdr:from>
    <xdr:to>
      <xdr:col>6</xdr:col>
      <xdr:colOff>1028700</xdr:colOff>
      <xdr:row>61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F4C696-E9B9-4DF1-A41C-069DF7F12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47</xdr:row>
      <xdr:rowOff>14287</xdr:rowOff>
    </xdr:from>
    <xdr:to>
      <xdr:col>6</xdr:col>
      <xdr:colOff>1028700</xdr:colOff>
      <xdr:row>61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D876C7-775A-4265-B4F4-CE07BC320D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C006DC-B008-4A4E-AA27-302B054904D9}" name="Table2" displayName="Table2" ref="A73:F80" totalsRowShown="0" tableBorderDxfId="23">
  <autoFilter ref="A73:F80" xr:uid="{4A76F8AC-30FC-48AB-B944-DEC569310B19}"/>
  <tableColumns count="6">
    <tableColumn id="1" xr3:uid="{CF3750E9-62E5-4A4E-A1A2-AC66A60CB49D}" name="Part number"/>
    <tableColumn id="2" xr3:uid="{9632C3C5-3C60-4B07-A1BE-20A4EABCF0CF}" name="Value"/>
    <tableColumn id="3" xr3:uid="{BE0EEA55-FC51-4E80-8ACA-578D9E3696A8}" name="Quantity"/>
    <tableColumn id="4" xr3:uid="{EF27F1FA-C129-4822-A127-F216B7281EE2}" name="Price/unit" dataCellStyle="Currency"/>
    <tableColumn id="5" xr3:uid="{B4721B88-624D-4B67-890E-03CA1AA1958B}" name="Price" dataDxfId="22" dataCellStyle="Currency">
      <calculatedColumnFormula>D74*C74</calculatedColumnFormula>
    </tableColumn>
    <tableColumn id="6" xr3:uid="{9A72E529-A5B4-4DCF-A857-F53DDAC6CE49}" name="Purpos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AC3C4-D3B0-4392-B28C-49333C198959}" name="Table1" displayName="Table1" ref="A75:F82" totalsRowShown="0" tableBorderDxfId="21">
  <autoFilter ref="A75:F82" xr:uid="{EB5E68EE-CBD9-4C56-AA00-C93F9EBD892A}"/>
  <tableColumns count="6">
    <tableColumn id="1" xr3:uid="{4E26CB2C-D447-4F24-AF3E-EED540EF7026}" name="Part number"/>
    <tableColumn id="2" xr3:uid="{37C3BFF4-D988-49F4-90C8-412925F683D8}" name="Value"/>
    <tableColumn id="3" xr3:uid="{B54A28A7-C6D7-42A7-9475-6EAA259F41CE}" name="Quantity"/>
    <tableColumn id="4" xr3:uid="{490048DC-F491-4B3B-9B4F-80E7EE88E6A1}" name="Price/unit" dataCellStyle="Currency"/>
    <tableColumn id="5" xr3:uid="{44D7CBAB-E8E8-4CF5-B9B7-6D2EBA64816F}" name="Price" dataDxfId="20" dataCellStyle="Currency">
      <calculatedColumnFormula>D76*C76</calculatedColumnFormula>
    </tableColumn>
    <tableColumn id="6" xr3:uid="{957B4911-2007-4EAD-A0FF-C82F5429E22B}" name="Purpos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D0DAA-3162-4C0C-8D8B-D6455FF7B38A}" name="Table14" displayName="Table14" ref="A75:F82" totalsRowShown="0" tableBorderDxfId="19">
  <autoFilter ref="A75:F82" xr:uid="{EB5E68EE-CBD9-4C56-AA00-C93F9EBD892A}"/>
  <tableColumns count="6">
    <tableColumn id="1" xr3:uid="{406AF1D0-F757-479E-9805-BAFEB4AF475F}" name="Part number"/>
    <tableColumn id="2" xr3:uid="{2F363E85-BB91-4334-A4FB-824BCB24B42F}" name="Value"/>
    <tableColumn id="3" xr3:uid="{7462BA53-93B8-4332-B67F-B3068793F6A3}" name="Quantity"/>
    <tableColumn id="4" xr3:uid="{BB60F329-21F2-4758-9B89-3B0C82452C96}" name="Price/unit" dataCellStyle="Currency"/>
    <tableColumn id="5" xr3:uid="{4BF27B93-DB09-4DC5-A099-23C9310249BC}" name="Price" dataDxfId="18" dataCellStyle="Currency">
      <calculatedColumnFormula>D76*C76</calculatedColumnFormula>
    </tableColumn>
    <tableColumn id="6" xr3:uid="{D2709E11-BEA6-41F9-BE6A-83E2C5421A38}" name="Purpo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B6F2-6B73-4D3E-A725-031E596F7E06}">
  <sheetPr codeName="Sheet1"/>
  <dimension ref="A1:M82"/>
  <sheetViews>
    <sheetView tabSelected="1" topLeftCell="A49" workbookViewId="0">
      <selection activeCell="F69" sqref="F69"/>
    </sheetView>
  </sheetViews>
  <sheetFormatPr defaultRowHeight="15" x14ac:dyDescent="0.25"/>
  <cols>
    <col min="1" max="1" width="21.42578125" bestFit="1" customWidth="1"/>
    <col min="2" max="2" width="19.140625" bestFit="1" customWidth="1"/>
    <col min="3" max="3" width="28.140625" bestFit="1" customWidth="1"/>
    <col min="4" max="4" width="20.28515625" bestFit="1" customWidth="1"/>
    <col min="5" max="5" width="27.42578125" bestFit="1" customWidth="1"/>
    <col min="6" max="6" width="21.42578125" bestFit="1" customWidth="1"/>
    <col min="7" max="7" width="28.140625" bestFit="1" customWidth="1"/>
    <col min="8" max="8" width="7.28515625" bestFit="1" customWidth="1"/>
    <col min="9" max="9" width="11.42578125" bestFit="1" customWidth="1"/>
    <col min="10" max="10" width="7.5703125" bestFit="1" customWidth="1"/>
    <col min="11" max="11" width="13.7109375" bestFit="1" customWidth="1"/>
    <col min="12" max="12" width="9.5703125" bestFit="1" customWidth="1"/>
    <col min="13" max="13" width="14.85546875" bestFit="1" customWidth="1"/>
    <col min="14" max="14" width="13.7109375" bestFit="1" customWidth="1"/>
    <col min="15" max="15" width="9.5703125" bestFit="1" customWidth="1"/>
    <col min="16" max="19" width="14.85546875" bestFit="1" customWidth="1"/>
    <col min="21" max="21" width="16.5703125" bestFit="1" customWidth="1"/>
    <col min="22" max="22" width="14.42578125" bestFit="1" customWidth="1"/>
    <col min="23" max="23" width="12.7109375" bestFit="1" customWidth="1"/>
    <col min="24" max="24" width="14.28515625" bestFit="1" customWidth="1"/>
    <col min="25" max="25" width="19.28515625" bestFit="1" customWidth="1"/>
  </cols>
  <sheetData>
    <row r="1" spans="1:13" x14ac:dyDescent="0.25">
      <c r="A1" s="56" t="s">
        <v>13</v>
      </c>
      <c r="B1" s="57"/>
      <c r="C1" s="57"/>
      <c r="D1" s="57"/>
      <c r="E1" s="57"/>
      <c r="F1" s="57"/>
      <c r="G1" s="58"/>
    </row>
    <row r="2" spans="1:13" ht="30" x14ac:dyDescent="0.25">
      <c r="A2" s="27" t="s">
        <v>27</v>
      </c>
      <c r="B2" s="30" t="s">
        <v>28</v>
      </c>
      <c r="C2" s="30" t="s">
        <v>29</v>
      </c>
      <c r="D2" s="30" t="s">
        <v>42</v>
      </c>
      <c r="E2" s="65" t="s">
        <v>30</v>
      </c>
      <c r="F2" s="66"/>
      <c r="G2" s="29" t="s">
        <v>10</v>
      </c>
    </row>
    <row r="3" spans="1:13" x14ac:dyDescent="0.25">
      <c r="A3" s="5" t="s">
        <v>4</v>
      </c>
      <c r="B3" s="4" t="s">
        <v>4</v>
      </c>
      <c r="C3" s="4" t="s">
        <v>4</v>
      </c>
      <c r="D3" s="4" t="s">
        <v>5</v>
      </c>
      <c r="E3" s="4" t="s">
        <v>3</v>
      </c>
      <c r="F3" s="4" t="s">
        <v>5</v>
      </c>
      <c r="G3" s="6" t="s">
        <v>3</v>
      </c>
    </row>
    <row r="4" spans="1:13" ht="15.75" thickBot="1" x14ac:dyDescent="0.3">
      <c r="A4" s="15">
        <v>0.8</v>
      </c>
      <c r="B4" s="16">
        <v>5</v>
      </c>
      <c r="C4" s="16">
        <v>12</v>
      </c>
      <c r="D4" s="16">
        <v>1</v>
      </c>
      <c r="E4" s="16">
        <v>1200000</v>
      </c>
      <c r="F4" s="16">
        <v>1800000</v>
      </c>
      <c r="G4" s="26">
        <f>F4*0.0000001</f>
        <v>0.18</v>
      </c>
    </row>
    <row r="5" spans="1:13" ht="15.75" thickBot="1" x14ac:dyDescent="0.3"/>
    <row r="6" spans="1:13" x14ac:dyDescent="0.25">
      <c r="A6" s="56" t="s">
        <v>15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</row>
    <row r="7" spans="1:13" ht="30" x14ac:dyDescent="0.25">
      <c r="A7" s="31" t="s">
        <v>2</v>
      </c>
      <c r="B7" s="30" t="s">
        <v>31</v>
      </c>
      <c r="C7" s="30" t="s">
        <v>75</v>
      </c>
      <c r="D7" s="30" t="s">
        <v>32</v>
      </c>
      <c r="E7" s="30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38</v>
      </c>
      <c r="K7" s="30" t="s">
        <v>39</v>
      </c>
      <c r="L7" s="28" t="s">
        <v>9</v>
      </c>
      <c r="M7" s="32" t="s">
        <v>40</v>
      </c>
    </row>
    <row r="8" spans="1:13" ht="15.75" thickBot="1" x14ac:dyDescent="0.3">
      <c r="A8" s="23">
        <v>1E-3</v>
      </c>
      <c r="B8" s="16">
        <v>49900</v>
      </c>
      <c r="C8" s="24">
        <f>A4*B8/(B4-A4)</f>
        <v>9504.7619047619046</v>
      </c>
      <c r="D8" s="11">
        <f>B8*(1-A8)</f>
        <v>49850.1</v>
      </c>
      <c r="E8" s="11">
        <f>B8*(1+A8)</f>
        <v>49949.899999999994</v>
      </c>
      <c r="F8" s="20">
        <f>C8*(1-A8)</f>
        <v>9495.2571428571428</v>
      </c>
      <c r="G8" s="20">
        <f>C8*(1+A8)</f>
        <v>9514.2666666666646</v>
      </c>
      <c r="H8" s="21">
        <f>A4*(1+D8/G8)</f>
        <v>4.9916083916083931</v>
      </c>
      <c r="I8" s="21">
        <f>A4*(1+B8/C8)</f>
        <v>5</v>
      </c>
      <c r="J8" s="21">
        <f>A4*(1+E8/F8)</f>
        <v>5.0084084084084086</v>
      </c>
      <c r="K8" s="21">
        <f>ABS(MAX(J8, H8)-B4)</f>
        <v>8.4084084084086186E-3</v>
      </c>
      <c r="L8" s="25">
        <f>K8/B4</f>
        <v>1.6816816816817236E-3</v>
      </c>
      <c r="M8" s="35">
        <f>J8^2/(E8+F8)</f>
        <v>4.2197137649303254E-4</v>
      </c>
    </row>
    <row r="9" spans="1:13" ht="15.75" thickBot="1" x14ac:dyDescent="0.3"/>
    <row r="10" spans="1:13" x14ac:dyDescent="0.25">
      <c r="A10" s="56" t="s">
        <v>14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</row>
    <row r="11" spans="1:13" ht="30" x14ac:dyDescent="0.25">
      <c r="A11" s="31" t="s">
        <v>2</v>
      </c>
      <c r="B11" s="30" t="s">
        <v>31</v>
      </c>
      <c r="C11" s="30" t="s">
        <v>75</v>
      </c>
      <c r="D11" s="30" t="s">
        <v>32</v>
      </c>
      <c r="E11" s="30" t="s">
        <v>33</v>
      </c>
      <c r="F11" s="30" t="s">
        <v>34</v>
      </c>
      <c r="G11" s="30" t="s">
        <v>35</v>
      </c>
      <c r="H11" s="30" t="s">
        <v>36</v>
      </c>
      <c r="I11" s="30" t="s">
        <v>37</v>
      </c>
      <c r="J11" s="30" t="s">
        <v>38</v>
      </c>
      <c r="K11" s="30" t="s">
        <v>39</v>
      </c>
      <c r="L11" s="28" t="s">
        <v>9</v>
      </c>
      <c r="M11" s="32" t="s">
        <v>40</v>
      </c>
    </row>
    <row r="12" spans="1:13" ht="15.75" thickBot="1" x14ac:dyDescent="0.3">
      <c r="A12" s="23">
        <v>1E-3</v>
      </c>
      <c r="B12" s="16">
        <f>B8</f>
        <v>49900</v>
      </c>
      <c r="C12" s="19">
        <v>9530</v>
      </c>
      <c r="D12" s="11">
        <f>B12*(1-A12)</f>
        <v>49850.1</v>
      </c>
      <c r="E12" s="11">
        <f>B12*(1+A12)</f>
        <v>49949.899999999994</v>
      </c>
      <c r="F12" s="20">
        <f>C12*(1-A12)</f>
        <v>9520.4699999999993</v>
      </c>
      <c r="G12" s="20">
        <f>C12*(1+A12)</f>
        <v>9539.5299999999988</v>
      </c>
      <c r="H12" s="21">
        <f>A4*(1+D12/G12)</f>
        <v>4.9805078447261035</v>
      </c>
      <c r="I12" s="21">
        <f>A4*(1+B12/C12)</f>
        <v>4.9888772298006296</v>
      </c>
      <c r="J12" s="21">
        <f>A4*(1+E12/F12)</f>
        <v>4.9972633704008311</v>
      </c>
      <c r="K12" s="21">
        <f>ABS(MAX(J12, H12)-B4)</f>
        <v>2.7366295991688716E-3</v>
      </c>
      <c r="L12" s="22">
        <f>K12/B4</f>
        <v>5.4732591983377434E-4</v>
      </c>
      <c r="M12" s="35">
        <f>J12*J12/(E12+F12)</f>
        <v>4.1991736713845696E-4</v>
      </c>
    </row>
    <row r="13" spans="1:13" ht="15.75" thickBot="1" x14ac:dyDescent="0.3"/>
    <row r="14" spans="1:13" x14ac:dyDescent="0.25">
      <c r="A14" s="56" t="s">
        <v>16</v>
      </c>
      <c r="B14" s="57"/>
      <c r="C14" s="58"/>
      <c r="E14" s="56" t="s">
        <v>17</v>
      </c>
      <c r="F14" s="57"/>
      <c r="G14" s="58"/>
    </row>
    <row r="15" spans="1:13" ht="30" x14ac:dyDescent="0.25">
      <c r="A15" s="27" t="s">
        <v>41</v>
      </c>
      <c r="B15" s="30" t="s">
        <v>43</v>
      </c>
      <c r="C15" s="32" t="s">
        <v>44</v>
      </c>
      <c r="E15" s="27" t="s">
        <v>43</v>
      </c>
      <c r="F15" s="27" t="s">
        <v>41</v>
      </c>
      <c r="G15" s="32" t="s">
        <v>44</v>
      </c>
    </row>
    <row r="16" spans="1:13" ht="15.75" thickBot="1" x14ac:dyDescent="0.3">
      <c r="A16" s="15">
        <v>0.01</v>
      </c>
      <c r="B16" s="17">
        <f>(D4/(E4*A16))*(1-B4/C4)*(B4/C4)</f>
        <v>2.0254629629629626E-5</v>
      </c>
      <c r="C16" s="36">
        <f>D4*SQRT((B4/C4)*(1-B4/C4))</f>
        <v>0.49300664859163462</v>
      </c>
      <c r="D16" s="1"/>
      <c r="E16" s="18">
        <v>1.1E-4</v>
      </c>
      <c r="F16" s="21">
        <f>(D4/(E4*E16))*(1-B4/C4)*(B4/C4)</f>
        <v>1.8413299663299664E-3</v>
      </c>
      <c r="G16" s="36">
        <f>D4*SQRT((B4/C4)*(1-B4/C4))</f>
        <v>0.49300664859163462</v>
      </c>
    </row>
    <row r="17" spans="1:7" ht="15.75" thickBot="1" x14ac:dyDescent="0.3"/>
    <row r="18" spans="1:7" x14ac:dyDescent="0.25">
      <c r="A18" s="56" t="s">
        <v>19</v>
      </c>
      <c r="B18" s="57"/>
      <c r="C18" s="58"/>
      <c r="E18" s="56" t="s">
        <v>18</v>
      </c>
      <c r="F18" s="57"/>
      <c r="G18" s="58"/>
    </row>
    <row r="19" spans="1:7" ht="30" x14ac:dyDescent="0.25">
      <c r="A19" s="27" t="s">
        <v>47</v>
      </c>
      <c r="B19" s="30" t="s">
        <v>46</v>
      </c>
      <c r="C19" s="32" t="s">
        <v>45</v>
      </c>
      <c r="E19" s="27" t="s">
        <v>46</v>
      </c>
      <c r="F19" s="30" t="s">
        <v>47</v>
      </c>
      <c r="G19" s="32" t="s">
        <v>45</v>
      </c>
    </row>
    <row r="20" spans="1:7" ht="15.75" thickBot="1" x14ac:dyDescent="0.3">
      <c r="A20" s="15">
        <v>0.01</v>
      </c>
      <c r="B20" s="34">
        <f>(B4/(E4*A20))*(1-B4/C4)</f>
        <v>2.4305555555555555E-4</v>
      </c>
      <c r="C20" s="13">
        <f>D4+A20/2</f>
        <v>1.0049999999999999</v>
      </c>
      <c r="E20" s="15">
        <v>2.2000000000000001E-4</v>
      </c>
      <c r="F20" s="21">
        <f>(B4/(E4*E20))*(1-B4/C4)</f>
        <v>1.1047979797979796E-2</v>
      </c>
      <c r="G20" s="36">
        <f>D4+F20/2</f>
        <v>1.0055239898989898</v>
      </c>
    </row>
    <row r="21" spans="1:7" ht="15.75" thickBot="1" x14ac:dyDescent="0.3"/>
    <row r="22" spans="1:7" x14ac:dyDescent="0.25">
      <c r="A22" s="62" t="s">
        <v>20</v>
      </c>
      <c r="B22" s="63"/>
      <c r="C22" s="63"/>
      <c r="D22" s="63"/>
      <c r="E22" s="63"/>
      <c r="F22" s="64"/>
    </row>
    <row r="23" spans="1:7" ht="30" x14ac:dyDescent="0.25">
      <c r="A23" s="27" t="s">
        <v>48</v>
      </c>
      <c r="B23" s="30" t="s">
        <v>85</v>
      </c>
      <c r="C23" s="30" t="s">
        <v>49</v>
      </c>
      <c r="D23" s="30" t="s">
        <v>50</v>
      </c>
      <c r="E23" s="30" t="s">
        <v>51</v>
      </c>
      <c r="F23" s="32" t="s">
        <v>52</v>
      </c>
    </row>
    <row r="24" spans="1:7" ht="15.75" thickBot="1" x14ac:dyDescent="0.3">
      <c r="A24" s="15">
        <v>0.01</v>
      </c>
      <c r="B24" s="38">
        <v>0.125</v>
      </c>
      <c r="C24" s="21">
        <f>B24/(2*PI()*E4*A20/(8*E4*A24))</f>
        <v>0.15915494309189535</v>
      </c>
      <c r="D24" s="17">
        <f>A20/(8*E4*(A24-A20*C24))</f>
        <v>1.2388330740707554E-7</v>
      </c>
      <c r="E24" s="21">
        <f>A20/SQRT(12)</f>
        <v>2.886751345948129E-3</v>
      </c>
      <c r="F24" s="36">
        <f>A24+B4</f>
        <v>5.01</v>
      </c>
    </row>
    <row r="25" spans="1:7" ht="15.75" thickBot="1" x14ac:dyDescent="0.3"/>
    <row r="26" spans="1:7" x14ac:dyDescent="0.25">
      <c r="A26" s="62" t="s">
        <v>21</v>
      </c>
      <c r="B26" s="63"/>
      <c r="C26" s="63"/>
      <c r="D26" s="63"/>
      <c r="E26" s="63"/>
      <c r="F26" s="64"/>
    </row>
    <row r="27" spans="1:7" ht="30" x14ac:dyDescent="0.25">
      <c r="A27" s="27" t="s">
        <v>50</v>
      </c>
      <c r="B27" s="30" t="s">
        <v>85</v>
      </c>
      <c r="C27" s="30" t="s">
        <v>49</v>
      </c>
      <c r="D27" s="30" t="s">
        <v>48</v>
      </c>
      <c r="E27" s="30" t="s">
        <v>51</v>
      </c>
      <c r="F27" s="32" t="s">
        <v>52</v>
      </c>
    </row>
    <row r="28" spans="1:7" ht="15.75" thickBot="1" x14ac:dyDescent="0.3">
      <c r="A28" s="37">
        <v>1.0000000000000001E-5</v>
      </c>
      <c r="B28" s="38">
        <v>0.05</v>
      </c>
      <c r="C28" s="39">
        <f>B28/(2*PI()*E4*A28)</f>
        <v>6.6314559621623065E-4</v>
      </c>
      <c r="D28" s="21">
        <f>F20*(C28+1/(8*E4*A28))</f>
        <v>1.2240954204573905E-4</v>
      </c>
      <c r="E28" s="21">
        <f>F20/SQRT(12)</f>
        <v>3.1892770551825915E-3</v>
      </c>
      <c r="F28" s="36">
        <f>D28+J12</f>
        <v>4.9973857799428769</v>
      </c>
    </row>
    <row r="29" spans="1:7" ht="15.75" thickBot="1" x14ac:dyDescent="0.3"/>
    <row r="30" spans="1:7" x14ac:dyDescent="0.25">
      <c r="A30" s="56" t="s">
        <v>22</v>
      </c>
      <c r="B30" s="57"/>
      <c r="C30" s="57"/>
      <c r="D30" s="57"/>
      <c r="E30" s="57"/>
      <c r="F30" s="58"/>
    </row>
    <row r="31" spans="1:7" ht="30" x14ac:dyDescent="0.25">
      <c r="A31" s="27" t="s">
        <v>53</v>
      </c>
      <c r="B31" s="30" t="s">
        <v>54</v>
      </c>
      <c r="C31" s="30" t="s">
        <v>55</v>
      </c>
      <c r="D31" s="30" t="s">
        <v>56</v>
      </c>
      <c r="E31" s="30" t="s">
        <v>57</v>
      </c>
      <c r="F31" s="32" t="s">
        <v>58</v>
      </c>
    </row>
    <row r="32" spans="1:7" ht="15.75" thickBot="1" x14ac:dyDescent="0.3">
      <c r="A32" s="15">
        <v>0.5</v>
      </c>
      <c r="B32" s="16">
        <v>30</v>
      </c>
      <c r="C32" s="16">
        <v>2</v>
      </c>
      <c r="D32" s="16">
        <v>80</v>
      </c>
      <c r="E32" s="11">
        <f>D4*(1-G4)*A32</f>
        <v>0.41000000000000003</v>
      </c>
      <c r="F32" s="13">
        <f>E32*D32</f>
        <v>32.800000000000004</v>
      </c>
    </row>
    <row r="33" spans="1:8" ht="15.75" thickBot="1" x14ac:dyDescent="0.3"/>
    <row r="34" spans="1:8" x14ac:dyDescent="0.25">
      <c r="A34" s="56" t="s">
        <v>23</v>
      </c>
      <c r="B34" s="58"/>
    </row>
    <row r="35" spans="1:8" ht="30" x14ac:dyDescent="0.25">
      <c r="A35" s="27" t="s">
        <v>59</v>
      </c>
      <c r="B35" s="32" t="s">
        <v>60</v>
      </c>
    </row>
    <row r="36" spans="1:8" ht="15.75" thickBot="1" x14ac:dyDescent="0.3">
      <c r="A36" s="15">
        <v>0.38</v>
      </c>
      <c r="B36" s="36">
        <f>1.1*G20^2*A36</f>
        <v>0.42263081060167651</v>
      </c>
    </row>
    <row r="37" spans="1:8" ht="15.75" thickBot="1" x14ac:dyDescent="0.3"/>
    <row r="38" spans="1:8" x14ac:dyDescent="0.25">
      <c r="A38" s="56" t="s">
        <v>24</v>
      </c>
      <c r="B38" s="57"/>
      <c r="C38" s="57"/>
      <c r="D38" s="57"/>
      <c r="E38" s="57"/>
      <c r="F38" s="57"/>
      <c r="G38" s="58"/>
    </row>
    <row r="39" spans="1:8" ht="30" x14ac:dyDescent="0.25">
      <c r="A39" s="27" t="s">
        <v>61</v>
      </c>
      <c r="B39" s="30" t="s">
        <v>62</v>
      </c>
      <c r="C39" s="30" t="s">
        <v>63</v>
      </c>
      <c r="D39" s="30" t="s">
        <v>64</v>
      </c>
      <c r="E39" s="30" t="s">
        <v>65</v>
      </c>
      <c r="F39" s="30" t="s">
        <v>56</v>
      </c>
      <c r="G39" s="32" t="s">
        <v>58</v>
      </c>
    </row>
    <row r="40" spans="1:8" ht="15.75" thickBot="1" x14ac:dyDescent="0.3">
      <c r="A40" s="14">
        <f>0.38+(C4-3.3)*(0.24-0.38)/(12-3.3)</f>
        <v>0.24</v>
      </c>
      <c r="B40" s="21">
        <f>G20^2*A40</f>
        <v>0.24265883862297211</v>
      </c>
      <c r="C40" s="11">
        <v>1.5E-3</v>
      </c>
      <c r="D40" s="11">
        <f>C40*C4</f>
        <v>1.8000000000000002E-2</v>
      </c>
      <c r="E40" s="21">
        <f>D40+B40</f>
        <v>0.26065883862297212</v>
      </c>
      <c r="F40" s="11">
        <v>55</v>
      </c>
      <c r="G40" s="13">
        <f>F40*E40</f>
        <v>14.336236124263467</v>
      </c>
    </row>
    <row r="41" spans="1:8" ht="15.75" thickBot="1" x14ac:dyDescent="0.3"/>
    <row r="42" spans="1:8" x14ac:dyDescent="0.25">
      <c r="A42" s="56" t="s">
        <v>25</v>
      </c>
      <c r="B42" s="57"/>
      <c r="C42" s="57"/>
      <c r="D42" s="58"/>
    </row>
    <row r="43" spans="1:8" ht="30" x14ac:dyDescent="0.25">
      <c r="A43" s="27" t="s">
        <v>66</v>
      </c>
      <c r="B43" s="30" t="s">
        <v>67</v>
      </c>
      <c r="C43" s="28" t="s">
        <v>11</v>
      </c>
      <c r="D43" s="32" t="s">
        <v>63</v>
      </c>
    </row>
    <row r="44" spans="1:8" ht="15.75" thickBot="1" x14ac:dyDescent="0.3">
      <c r="A44" s="43">
        <f>E40+B36+E32+M12</f>
        <v>1.0937095665917871</v>
      </c>
      <c r="B44" s="21">
        <f>B4*D4+A44</f>
        <v>6.0937095665917873</v>
      </c>
      <c r="C44" s="42">
        <f>B4*D4/B44</f>
        <v>0.82051826483691459</v>
      </c>
      <c r="D44" s="36">
        <f>B44/C4</f>
        <v>0.50780913054931565</v>
      </c>
    </row>
    <row r="45" spans="1:8" ht="15.75" thickBot="1" x14ac:dyDescent="0.3"/>
    <row r="46" spans="1:8" x14ac:dyDescent="0.25">
      <c r="A46" s="56" t="s">
        <v>26</v>
      </c>
      <c r="B46" s="57"/>
      <c r="C46" s="58"/>
      <c r="D46" s="2"/>
      <c r="E46" s="2"/>
      <c r="F46" s="2"/>
      <c r="G46" s="2"/>
      <c r="H46" s="2"/>
    </row>
    <row r="47" spans="1:8" ht="30" x14ac:dyDescent="0.25">
      <c r="A47" s="33" t="s">
        <v>12</v>
      </c>
      <c r="B47" s="30" t="s">
        <v>68</v>
      </c>
      <c r="C47" s="29" t="s">
        <v>11</v>
      </c>
    </row>
    <row r="48" spans="1:8" x14ac:dyDescent="0.25">
      <c r="A48" s="5"/>
      <c r="B48" s="4"/>
      <c r="C48" s="7">
        <f>C44</f>
        <v>0.82051826483691459</v>
      </c>
      <c r="D48" s="3"/>
    </row>
    <row r="49" spans="1:3" x14ac:dyDescent="0.25">
      <c r="A49" s="5">
        <v>-20</v>
      </c>
      <c r="B49" s="40">
        <f>10^(A49/10)</f>
        <v>0.01</v>
      </c>
      <c r="C49" s="7">
        <f t="dataTable" ref="C49:C70" dt2D="0" dtr="0" r1="D4"/>
        <v>0.68796144368040457</v>
      </c>
    </row>
    <row r="50" spans="1:3" x14ac:dyDescent="0.25">
      <c r="A50" s="5">
        <v>-19</v>
      </c>
      <c r="B50" s="40">
        <f t="shared" ref="B50:B70" si="0">10^(A50/10)</f>
        <v>1.2589254117941664E-2</v>
      </c>
      <c r="C50" s="7">
        <v>0.72565841564890254</v>
      </c>
    </row>
    <row r="51" spans="1:3" x14ac:dyDescent="0.25">
      <c r="A51" s="5">
        <v>-18</v>
      </c>
      <c r="B51" s="40">
        <f t="shared" si="0"/>
        <v>1.5848931924611124E-2</v>
      </c>
      <c r="C51" s="7">
        <v>0.75858913479286583</v>
      </c>
    </row>
    <row r="52" spans="1:3" x14ac:dyDescent="0.25">
      <c r="A52" s="5">
        <v>-17</v>
      </c>
      <c r="B52" s="40">
        <f t="shared" si="0"/>
        <v>1.9952623149688792E-2</v>
      </c>
      <c r="C52" s="7">
        <v>0.78683314060841636</v>
      </c>
    </row>
    <row r="53" spans="1:3" x14ac:dyDescent="0.25">
      <c r="A53" s="5">
        <v>-16</v>
      </c>
      <c r="B53" s="40">
        <f t="shared" si="0"/>
        <v>2.511886431509578E-2</v>
      </c>
      <c r="C53" s="7">
        <v>0.81064772924535222</v>
      </c>
    </row>
    <row r="54" spans="1:3" x14ac:dyDescent="0.25">
      <c r="A54" s="5">
        <v>-15</v>
      </c>
      <c r="B54" s="40">
        <f t="shared" si="0"/>
        <v>3.1622776601683784E-2</v>
      </c>
      <c r="C54" s="7">
        <v>0.83039908659056849</v>
      </c>
    </row>
    <row r="55" spans="1:3" x14ac:dyDescent="0.25">
      <c r="A55" s="5">
        <v>-14</v>
      </c>
      <c r="B55" s="40">
        <f t="shared" si="0"/>
        <v>3.9810717055349727E-2</v>
      </c>
      <c r="C55" s="7">
        <v>0.8465025459682527</v>
      </c>
    </row>
    <row r="56" spans="1:3" x14ac:dyDescent="0.25">
      <c r="A56" s="5">
        <v>-13</v>
      </c>
      <c r="B56" s="40">
        <f t="shared" si="0"/>
        <v>5.0118723362727206E-2</v>
      </c>
      <c r="C56" s="7">
        <v>0.85937615782215837</v>
      </c>
    </row>
    <row r="57" spans="1:3" x14ac:dyDescent="0.25">
      <c r="A57" s="5">
        <v>-12</v>
      </c>
      <c r="B57" s="40">
        <f t="shared" si="0"/>
        <v>6.3095734448019317E-2</v>
      </c>
      <c r="C57" s="7">
        <v>0.86940784649076053</v>
      </c>
    </row>
    <row r="58" spans="1:3" x14ac:dyDescent="0.25">
      <c r="A58" s="5">
        <v>-11</v>
      </c>
      <c r="B58" s="40">
        <f t="shared" si="0"/>
        <v>7.9432823472428096E-2</v>
      </c>
      <c r="C58" s="7">
        <v>0.87693418491977115</v>
      </c>
    </row>
    <row r="59" spans="1:3" x14ac:dyDescent="0.25">
      <c r="A59" s="5">
        <v>-10</v>
      </c>
      <c r="B59" s="40">
        <f t="shared" si="0"/>
        <v>0.1</v>
      </c>
      <c r="C59" s="7">
        <v>0.88222794563366036</v>
      </c>
    </row>
    <row r="60" spans="1:3" x14ac:dyDescent="0.25">
      <c r="A60" s="5">
        <v>-9</v>
      </c>
      <c r="B60" s="40">
        <f t="shared" si="0"/>
        <v>0.12589254117941667</v>
      </c>
      <c r="C60" s="7">
        <v>0.88549159897513474</v>
      </c>
    </row>
    <row r="61" spans="1:3" x14ac:dyDescent="0.25">
      <c r="A61" s="5">
        <v>-8</v>
      </c>
      <c r="B61" s="40">
        <f t="shared" si="0"/>
        <v>0.15848931924611132</v>
      </c>
      <c r="C61" s="7">
        <v>0.88685439742453465</v>
      </c>
    </row>
    <row r="62" spans="1:3" x14ac:dyDescent="0.25">
      <c r="A62" s="5">
        <v>-7</v>
      </c>
      <c r="B62" s="40">
        <f t="shared" si="0"/>
        <v>0.19952623149688795</v>
      </c>
      <c r="C62" s="7">
        <v>0.88637132073878222</v>
      </c>
    </row>
    <row r="63" spans="1:3" x14ac:dyDescent="0.25">
      <c r="A63" s="5">
        <v>-6</v>
      </c>
      <c r="B63" s="40">
        <f t="shared" si="0"/>
        <v>0.25118864315095801</v>
      </c>
      <c r="C63" s="7">
        <v>0.88402281183909759</v>
      </c>
    </row>
    <row r="64" spans="1:3" x14ac:dyDescent="0.25">
      <c r="A64" s="5">
        <v>-5</v>
      </c>
      <c r="B64" s="40">
        <f t="shared" si="0"/>
        <v>0.31622776601683794</v>
      </c>
      <c r="C64" s="7">
        <v>0.87971485829539897</v>
      </c>
    </row>
    <row r="65" spans="1:6" x14ac:dyDescent="0.25">
      <c r="A65" s="5">
        <v>-4</v>
      </c>
      <c r="B65" s="40">
        <f t="shared" si="0"/>
        <v>0.3981071705534972</v>
      </c>
      <c r="C65" s="7">
        <v>0.87327957699602976</v>
      </c>
    </row>
    <row r="66" spans="1:6" x14ac:dyDescent="0.25">
      <c r="A66" s="5">
        <v>-3</v>
      </c>
      <c r="B66" s="40">
        <f t="shared" si="0"/>
        <v>0.50118723362727224</v>
      </c>
      <c r="C66" s="7">
        <v>0.86447707083421754</v>
      </c>
    </row>
    <row r="67" spans="1:6" x14ac:dyDescent="0.25">
      <c r="A67" s="5">
        <v>-2</v>
      </c>
      <c r="B67" s="40">
        <f t="shared" si="0"/>
        <v>0.63095734448019325</v>
      </c>
      <c r="C67" s="7">
        <v>0.85299996877927298</v>
      </c>
    </row>
    <row r="68" spans="1:6" x14ac:dyDescent="0.25">
      <c r="A68" s="5">
        <v>-1</v>
      </c>
      <c r="B68" s="40">
        <f t="shared" si="0"/>
        <v>0.79432823472428149</v>
      </c>
      <c r="C68" s="7">
        <v>0.8384827172270144</v>
      </c>
    </row>
    <row r="69" spans="1:6" x14ac:dyDescent="0.25">
      <c r="A69" s="5">
        <v>0</v>
      </c>
      <c r="B69" s="40">
        <f t="shared" si="0"/>
        <v>1</v>
      </c>
      <c r="C69" s="7">
        <v>0.82051826483691459</v>
      </c>
    </row>
    <row r="70" spans="1:6" ht="15.75" thickBot="1" x14ac:dyDescent="0.3">
      <c r="A70" s="8">
        <v>1</v>
      </c>
      <c r="B70" s="41">
        <f t="shared" si="0"/>
        <v>1.2589254117941673</v>
      </c>
      <c r="C70" s="10">
        <v>0.79868505756637986</v>
      </c>
    </row>
    <row r="71" spans="1:6" ht="15.75" thickBot="1" x14ac:dyDescent="0.3">
      <c r="C71" s="1"/>
    </row>
    <row r="72" spans="1:6" x14ac:dyDescent="0.25">
      <c r="A72" s="59" t="s">
        <v>69</v>
      </c>
      <c r="B72" s="60"/>
      <c r="C72" s="60"/>
      <c r="D72" s="60"/>
      <c r="E72" s="60"/>
      <c r="F72" s="61"/>
    </row>
    <row r="73" spans="1:6" x14ac:dyDescent="0.25">
      <c r="A73" s="45" t="s">
        <v>70</v>
      </c>
      <c r="B73" s="46" t="s">
        <v>71</v>
      </c>
      <c r="C73" s="46" t="s">
        <v>72</v>
      </c>
      <c r="D73" s="46" t="s">
        <v>73</v>
      </c>
      <c r="E73" s="46" t="s">
        <v>74</v>
      </c>
      <c r="F73" s="47" t="s">
        <v>79</v>
      </c>
    </row>
    <row r="74" spans="1:6" x14ac:dyDescent="0.25">
      <c r="A74" s="53" t="s">
        <v>89</v>
      </c>
      <c r="B74" s="46" t="s">
        <v>77</v>
      </c>
      <c r="C74" s="46">
        <v>1</v>
      </c>
      <c r="D74" s="48">
        <v>0.31</v>
      </c>
      <c r="E74" s="48">
        <f>D74*C74</f>
        <v>0.31</v>
      </c>
      <c r="F74" s="47" t="s">
        <v>0</v>
      </c>
    </row>
    <row r="75" spans="1:6" x14ac:dyDescent="0.25">
      <c r="A75" s="45" t="s">
        <v>90</v>
      </c>
      <c r="B75" s="46" t="s">
        <v>91</v>
      </c>
      <c r="C75" s="46">
        <v>1</v>
      </c>
      <c r="D75" s="48">
        <v>0.31</v>
      </c>
      <c r="E75" s="48">
        <f>D75*C75</f>
        <v>0.31</v>
      </c>
      <c r="F75" s="47" t="s">
        <v>1</v>
      </c>
    </row>
    <row r="76" spans="1:6" x14ac:dyDescent="0.25">
      <c r="A76" s="45" t="s">
        <v>80</v>
      </c>
      <c r="B76" s="46" t="s">
        <v>81</v>
      </c>
      <c r="C76" s="46">
        <v>1</v>
      </c>
      <c r="D76" s="48">
        <v>0.28999999999999998</v>
      </c>
      <c r="E76" s="48">
        <f t="shared" ref="E76:E80" si="1">D76*C76</f>
        <v>0.28999999999999998</v>
      </c>
      <c r="F76" s="47" t="s">
        <v>6</v>
      </c>
    </row>
    <row r="77" spans="1:6" x14ac:dyDescent="0.25">
      <c r="A77" s="45" t="s">
        <v>82</v>
      </c>
      <c r="B77" s="46"/>
      <c r="C77" s="46">
        <v>1</v>
      </c>
      <c r="D77" s="48">
        <v>0.69299999999999995</v>
      </c>
      <c r="E77" s="48">
        <f t="shared" si="1"/>
        <v>0.69299999999999995</v>
      </c>
      <c r="F77" s="47" t="s">
        <v>83</v>
      </c>
    </row>
    <row r="78" spans="1:6" x14ac:dyDescent="0.25">
      <c r="A78" s="45" t="s">
        <v>87</v>
      </c>
      <c r="B78" s="46" t="s">
        <v>84</v>
      </c>
      <c r="C78" s="46">
        <v>1</v>
      </c>
      <c r="D78" s="48">
        <v>1.1599999999999999</v>
      </c>
      <c r="E78" s="48">
        <f t="shared" si="1"/>
        <v>1.1599999999999999</v>
      </c>
      <c r="F78" s="47" t="s">
        <v>7</v>
      </c>
    </row>
    <row r="79" spans="1:6" x14ac:dyDescent="0.25">
      <c r="A79" s="45" t="s">
        <v>92</v>
      </c>
      <c r="B79" s="46" t="s">
        <v>81</v>
      </c>
      <c r="C79" s="46">
        <v>1</v>
      </c>
      <c r="D79" s="48">
        <v>0.12</v>
      </c>
      <c r="E79" s="48">
        <f t="shared" si="1"/>
        <v>0.12</v>
      </c>
      <c r="F79" s="47" t="s">
        <v>8</v>
      </c>
    </row>
    <row r="80" spans="1:6" x14ac:dyDescent="0.25">
      <c r="A80" s="45" t="s">
        <v>93</v>
      </c>
      <c r="B80" s="46" t="s">
        <v>94</v>
      </c>
      <c r="C80" s="46">
        <v>1</v>
      </c>
      <c r="D80" s="48">
        <v>0.33</v>
      </c>
      <c r="E80" s="51">
        <f t="shared" si="1"/>
        <v>0.33</v>
      </c>
      <c r="F80" s="47" t="s">
        <v>86</v>
      </c>
    </row>
    <row r="81" spans="1:6" x14ac:dyDescent="0.25">
      <c r="A81" s="45"/>
      <c r="B81" s="46"/>
      <c r="C81" s="46"/>
      <c r="D81" s="46"/>
      <c r="E81" s="46"/>
      <c r="F81" s="47"/>
    </row>
    <row r="82" spans="1:6" ht="15.75" thickBot="1" x14ac:dyDescent="0.3">
      <c r="A82" s="49"/>
      <c r="B82" s="9" t="s">
        <v>88</v>
      </c>
      <c r="C82" s="9">
        <f>SUM(Table2[Quantity])</f>
        <v>7</v>
      </c>
      <c r="D82" s="9"/>
      <c r="E82" s="52">
        <f>SUM(Table2[Price])</f>
        <v>3.2130000000000001</v>
      </c>
      <c r="F82" s="50"/>
    </row>
  </sheetData>
  <mergeCells count="16">
    <mergeCell ref="A1:G1"/>
    <mergeCell ref="E2:F2"/>
    <mergeCell ref="A6:M6"/>
    <mergeCell ref="A10:M10"/>
    <mergeCell ref="A14:C14"/>
    <mergeCell ref="E14:G14"/>
    <mergeCell ref="A18:C18"/>
    <mergeCell ref="E18:G18"/>
    <mergeCell ref="A42:D42"/>
    <mergeCell ref="A46:C46"/>
    <mergeCell ref="A72:F72"/>
    <mergeCell ref="A22:F22"/>
    <mergeCell ref="A26:F26"/>
    <mergeCell ref="A30:F30"/>
    <mergeCell ref="A34:B34"/>
    <mergeCell ref="A38:G38"/>
  </mergeCells>
  <conditionalFormatting sqref="G40">
    <cfRule type="colorScale" priority="1">
      <colorScale>
        <cfvo type="num" val="0"/>
        <cfvo type="num" val="127"/>
        <color rgb="FF92D050"/>
        <color rgb="FFFF0000"/>
      </colorScale>
    </cfRule>
  </conditionalFormatting>
  <conditionalFormatting sqref="C32">
    <cfRule type="cellIs" dxfId="17" priority="2" stopIfTrue="1" operator="lessThanOrEqual">
      <formula>$G$20</formula>
    </cfRule>
    <cfRule type="cellIs" dxfId="16" priority="3" operator="between">
      <formula>$G$20</formula>
      <formula>1.2*$G$20</formula>
    </cfRule>
    <cfRule type="cellIs" dxfId="15" priority="4" operator="greaterThan">
      <formula>1.2*$G$20</formula>
    </cfRule>
  </conditionalFormatting>
  <conditionalFormatting sqref="B32">
    <cfRule type="cellIs" dxfId="14" priority="5" stopIfTrue="1" operator="lessThanOrEqual">
      <formula>$F$28</formula>
    </cfRule>
    <cfRule type="cellIs" dxfId="13" priority="6" operator="between">
      <formula>$F$28</formula>
      <formula>1.2*$F$28</formula>
    </cfRule>
    <cfRule type="cellIs" dxfId="12" priority="7" operator="greaterThan">
      <formula>1.2*$F$28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CAF6-20E4-4B67-AE88-D57C6FEB2845}">
  <dimension ref="A1:M84"/>
  <sheetViews>
    <sheetView topLeftCell="A53" zoomScaleNormal="100" workbookViewId="0">
      <selection activeCell="A78" sqref="A78:XFD78"/>
    </sheetView>
  </sheetViews>
  <sheetFormatPr defaultRowHeight="15" x14ac:dyDescent="0.25"/>
  <cols>
    <col min="1" max="1" width="21.42578125" bestFit="1" customWidth="1"/>
    <col min="2" max="2" width="19.140625" bestFit="1" customWidth="1"/>
    <col min="3" max="3" width="28.140625" bestFit="1" customWidth="1"/>
    <col min="4" max="4" width="20.28515625" bestFit="1" customWidth="1"/>
    <col min="5" max="5" width="27.42578125" bestFit="1" customWidth="1"/>
    <col min="6" max="6" width="21.42578125" bestFit="1" customWidth="1"/>
    <col min="7" max="7" width="28.140625" bestFit="1" customWidth="1"/>
    <col min="8" max="8" width="7.28515625" bestFit="1" customWidth="1"/>
    <col min="9" max="9" width="11.42578125" bestFit="1" customWidth="1"/>
    <col min="10" max="10" width="7.5703125" bestFit="1" customWidth="1"/>
    <col min="11" max="11" width="13.7109375" bestFit="1" customWidth="1"/>
    <col min="12" max="12" width="9.5703125" bestFit="1" customWidth="1"/>
    <col min="13" max="13" width="14.85546875" bestFit="1" customWidth="1"/>
    <col min="14" max="14" width="13.7109375" bestFit="1" customWidth="1"/>
    <col min="15" max="15" width="9.5703125" bestFit="1" customWidth="1"/>
    <col min="16" max="19" width="14.85546875" bestFit="1" customWidth="1"/>
    <col min="21" max="21" width="16.5703125" bestFit="1" customWidth="1"/>
    <col min="22" max="22" width="14.42578125" bestFit="1" customWidth="1"/>
    <col min="23" max="23" width="12.7109375" bestFit="1" customWidth="1"/>
    <col min="24" max="24" width="14.28515625" bestFit="1" customWidth="1"/>
    <col min="25" max="25" width="19.28515625" bestFit="1" customWidth="1"/>
  </cols>
  <sheetData>
    <row r="1" spans="1:13" x14ac:dyDescent="0.25">
      <c r="A1" s="56" t="s">
        <v>13</v>
      </c>
      <c r="B1" s="57"/>
      <c r="C1" s="57"/>
      <c r="D1" s="57"/>
      <c r="E1" s="57"/>
      <c r="F1" s="57"/>
      <c r="G1" s="58"/>
    </row>
    <row r="2" spans="1:13" ht="30" x14ac:dyDescent="0.25">
      <c r="A2" s="27" t="s">
        <v>27</v>
      </c>
      <c r="B2" s="30" t="s">
        <v>28</v>
      </c>
      <c r="C2" s="30" t="s">
        <v>29</v>
      </c>
      <c r="D2" s="30" t="s">
        <v>42</v>
      </c>
      <c r="E2" s="65" t="s">
        <v>30</v>
      </c>
      <c r="F2" s="66"/>
      <c r="G2" s="29" t="s">
        <v>10</v>
      </c>
    </row>
    <row r="3" spans="1:13" x14ac:dyDescent="0.25">
      <c r="A3" s="5" t="s">
        <v>4</v>
      </c>
      <c r="B3" s="4" t="s">
        <v>4</v>
      </c>
      <c r="C3" s="4" t="s">
        <v>4</v>
      </c>
      <c r="D3" s="4" t="s">
        <v>5</v>
      </c>
      <c r="E3" s="4" t="s">
        <v>3</v>
      </c>
      <c r="F3" s="4" t="s">
        <v>5</v>
      </c>
      <c r="G3" s="6" t="s">
        <v>3</v>
      </c>
    </row>
    <row r="4" spans="1:13" ht="15.75" thickBot="1" x14ac:dyDescent="0.3">
      <c r="A4" s="15">
        <v>0.8</v>
      </c>
      <c r="B4" s="16">
        <v>3.7</v>
      </c>
      <c r="C4" s="16">
        <v>12</v>
      </c>
      <c r="D4" s="16">
        <v>1.4950000000000001</v>
      </c>
      <c r="E4" s="16">
        <v>1200000</v>
      </c>
      <c r="F4" s="16">
        <v>1800000</v>
      </c>
      <c r="G4" s="26">
        <f>F4*0.0000001</f>
        <v>0.18</v>
      </c>
    </row>
    <row r="5" spans="1:13" ht="15.75" thickBot="1" x14ac:dyDescent="0.3"/>
    <row r="6" spans="1:13" x14ac:dyDescent="0.25">
      <c r="A6" s="56" t="s">
        <v>15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</row>
    <row r="7" spans="1:13" ht="30" x14ac:dyDescent="0.25">
      <c r="A7" s="31" t="s">
        <v>2</v>
      </c>
      <c r="B7" s="30" t="s">
        <v>31</v>
      </c>
      <c r="C7" s="30" t="s">
        <v>75</v>
      </c>
      <c r="D7" s="30" t="s">
        <v>32</v>
      </c>
      <c r="E7" s="30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38</v>
      </c>
      <c r="K7" s="30" t="s">
        <v>39</v>
      </c>
      <c r="L7" s="28" t="s">
        <v>9</v>
      </c>
      <c r="M7" s="32" t="s">
        <v>40</v>
      </c>
    </row>
    <row r="8" spans="1:13" ht="15.75" thickBot="1" x14ac:dyDescent="0.3">
      <c r="A8" s="23">
        <v>1E-3</v>
      </c>
      <c r="B8" s="16">
        <v>49900</v>
      </c>
      <c r="C8" s="24">
        <f>A4*B8/(B4-A4)</f>
        <v>13765.517241379308</v>
      </c>
      <c r="D8" s="11">
        <f>B8*(1-A8)</f>
        <v>49850.1</v>
      </c>
      <c r="E8" s="11">
        <f>B8*(1+A8)</f>
        <v>49949.899999999994</v>
      </c>
      <c r="F8" s="20">
        <f>C8*(1-A8)</f>
        <v>13751.751724137928</v>
      </c>
      <c r="G8" s="20">
        <f>C8*(1+A8)</f>
        <v>13779.282758620686</v>
      </c>
      <c r="H8" s="21">
        <f>A4*(1+D8/G8)</f>
        <v>3.6942057942057951</v>
      </c>
      <c r="I8" s="21">
        <f>A4*(1+B8/C8)</f>
        <v>3.7</v>
      </c>
      <c r="J8" s="21">
        <f>A4*(1+E8/F8)</f>
        <v>3.7058058058058068</v>
      </c>
      <c r="K8" s="21">
        <f>ABS(MAX(J8, H8)-B4)</f>
        <v>5.8058058058065853E-3</v>
      </c>
      <c r="L8" s="25">
        <f>K8/B4</f>
        <v>1.56913670427205E-3</v>
      </c>
      <c r="M8" s="35">
        <f>J8^2/(E8+F8)</f>
        <v>2.1558305473483194E-4</v>
      </c>
    </row>
    <row r="9" spans="1:13" ht="15.75" thickBot="1" x14ac:dyDescent="0.3"/>
    <row r="10" spans="1:13" x14ac:dyDescent="0.25">
      <c r="A10" s="56" t="s">
        <v>14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</row>
    <row r="11" spans="1:13" ht="30" x14ac:dyDescent="0.25">
      <c r="A11" s="31" t="s">
        <v>2</v>
      </c>
      <c r="B11" s="30" t="s">
        <v>31</v>
      </c>
      <c r="C11" s="30" t="s">
        <v>75</v>
      </c>
      <c r="D11" s="30" t="s">
        <v>32</v>
      </c>
      <c r="E11" s="30" t="s">
        <v>33</v>
      </c>
      <c r="F11" s="30" t="s">
        <v>34</v>
      </c>
      <c r="G11" s="30" t="s">
        <v>35</v>
      </c>
      <c r="H11" s="30" t="s">
        <v>36</v>
      </c>
      <c r="I11" s="30" t="s">
        <v>37</v>
      </c>
      <c r="J11" s="30" t="s">
        <v>38</v>
      </c>
      <c r="K11" s="30" t="s">
        <v>39</v>
      </c>
      <c r="L11" s="28" t="s">
        <v>9</v>
      </c>
      <c r="M11" s="32" t="s">
        <v>40</v>
      </c>
    </row>
    <row r="12" spans="1:13" ht="15.75" thickBot="1" x14ac:dyDescent="0.3">
      <c r="A12" s="23">
        <v>1E-3</v>
      </c>
      <c r="B12" s="16">
        <f>B8</f>
        <v>49900</v>
      </c>
      <c r="C12" s="19">
        <v>13700</v>
      </c>
      <c r="D12" s="11">
        <f>B12*(1-A12)</f>
        <v>49850.1</v>
      </c>
      <c r="E12" s="11">
        <f>B12*(1+A12)</f>
        <v>49949.899999999994</v>
      </c>
      <c r="F12" s="20">
        <f>C12*(1-A12)</f>
        <v>13686.3</v>
      </c>
      <c r="G12" s="20">
        <f>C12*(1+A12)</f>
        <v>13713.699999999999</v>
      </c>
      <c r="H12" s="21">
        <f>A4*(1+D12/G12)</f>
        <v>3.7080466978277205</v>
      </c>
      <c r="I12" s="21">
        <f>A4*(1+B12/C12)</f>
        <v>3.7138686131386862</v>
      </c>
      <c r="J12" s="21">
        <f>A4*(1+E12/F12)</f>
        <v>3.7197021839357607</v>
      </c>
      <c r="K12" s="21">
        <f>ABS(MAX(J12, H12)-B4)</f>
        <v>1.9702183935760509E-2</v>
      </c>
      <c r="L12" s="22">
        <f>K12/B4</f>
        <v>5.3249145772325699E-3</v>
      </c>
      <c r="M12" s="35">
        <f>J12*J12/(E12+F12)</f>
        <v>2.1742631296614928E-4</v>
      </c>
    </row>
    <row r="13" spans="1:13" ht="15.75" thickBot="1" x14ac:dyDescent="0.3"/>
    <row r="14" spans="1:13" x14ac:dyDescent="0.25">
      <c r="A14" s="56" t="s">
        <v>16</v>
      </c>
      <c r="B14" s="57"/>
      <c r="C14" s="58"/>
      <c r="E14" s="56" t="s">
        <v>17</v>
      </c>
      <c r="F14" s="57"/>
      <c r="G14" s="58"/>
    </row>
    <row r="15" spans="1:13" ht="30" x14ac:dyDescent="0.25">
      <c r="A15" s="27" t="s">
        <v>41</v>
      </c>
      <c r="B15" s="30" t="s">
        <v>43</v>
      </c>
      <c r="C15" s="32" t="s">
        <v>44</v>
      </c>
      <c r="E15" s="27" t="s">
        <v>43</v>
      </c>
      <c r="F15" s="27" t="s">
        <v>41</v>
      </c>
      <c r="G15" s="32" t="s">
        <v>44</v>
      </c>
    </row>
    <row r="16" spans="1:13" ht="15.75" thickBot="1" x14ac:dyDescent="0.3">
      <c r="A16" s="15">
        <v>0.01</v>
      </c>
      <c r="B16" s="17">
        <f>(D4/(E4*A16))*(1-B4/C4)*(B4/C4)</f>
        <v>2.6569126157407413E-5</v>
      </c>
      <c r="C16" s="36">
        <f>D4*SQRT((B4/C4)*(1-B4/C4))</f>
        <v>0.69039852495778764</v>
      </c>
      <c r="D16" s="1"/>
      <c r="E16" s="18">
        <v>1.1E-4</v>
      </c>
      <c r="F16" s="21">
        <f>(D4/(E4*E16))*(1-B4/C4)*(B4/C4)</f>
        <v>2.4153751052188553E-3</v>
      </c>
      <c r="G16" s="36">
        <f>D4*SQRT((B4/C4)*(1-B4/C4))</f>
        <v>0.69039852495778764</v>
      </c>
    </row>
    <row r="17" spans="1:7" ht="15.75" thickBot="1" x14ac:dyDescent="0.3"/>
    <row r="18" spans="1:7" x14ac:dyDescent="0.25">
      <c r="A18" s="56" t="s">
        <v>19</v>
      </c>
      <c r="B18" s="57"/>
      <c r="C18" s="58"/>
      <c r="E18" s="56" t="s">
        <v>18</v>
      </c>
      <c r="F18" s="57"/>
      <c r="G18" s="58"/>
    </row>
    <row r="19" spans="1:7" ht="30" x14ac:dyDescent="0.25">
      <c r="A19" s="27" t="s">
        <v>47</v>
      </c>
      <c r="B19" s="30" t="s">
        <v>46</v>
      </c>
      <c r="C19" s="32" t="s">
        <v>45</v>
      </c>
      <c r="E19" s="27" t="s">
        <v>46</v>
      </c>
      <c r="F19" s="30" t="s">
        <v>47</v>
      </c>
      <c r="G19" s="32" t="s">
        <v>45</v>
      </c>
    </row>
    <row r="20" spans="1:7" ht="15.75" thickBot="1" x14ac:dyDescent="0.3">
      <c r="A20" s="15">
        <v>0.01</v>
      </c>
      <c r="B20" s="34">
        <f>(B4/(E4*A20))*(1-B4/C4)</f>
        <v>2.1326388888888889E-4</v>
      </c>
      <c r="C20" s="13">
        <f>D4+A20/2</f>
        <v>1.5</v>
      </c>
      <c r="E20" s="15">
        <v>2.2000000000000001E-4</v>
      </c>
      <c r="F20" s="21">
        <f>(B4/(E4*E20))*(1-B4/C4)</f>
        <v>9.6938131313131313E-3</v>
      </c>
      <c r="G20" s="36">
        <f>D4+F20/2</f>
        <v>1.4998469065656568</v>
      </c>
    </row>
    <row r="21" spans="1:7" ht="15.75" thickBot="1" x14ac:dyDescent="0.3"/>
    <row r="22" spans="1:7" x14ac:dyDescent="0.25">
      <c r="A22" s="62" t="s">
        <v>20</v>
      </c>
      <c r="B22" s="63"/>
      <c r="C22" s="63"/>
      <c r="D22" s="63"/>
      <c r="E22" s="63"/>
      <c r="F22" s="64"/>
    </row>
    <row r="23" spans="1:7" ht="30" x14ac:dyDescent="0.25">
      <c r="A23" s="27" t="s">
        <v>48</v>
      </c>
      <c r="B23" s="30" t="s">
        <v>85</v>
      </c>
      <c r="C23" s="30" t="s">
        <v>49</v>
      </c>
      <c r="D23" s="30" t="s">
        <v>50</v>
      </c>
      <c r="E23" s="30" t="s">
        <v>51</v>
      </c>
      <c r="F23" s="32" t="s">
        <v>52</v>
      </c>
    </row>
    <row r="24" spans="1:7" ht="15.75" thickBot="1" x14ac:dyDescent="0.3">
      <c r="A24" s="15">
        <v>0.01</v>
      </c>
      <c r="B24" s="44">
        <v>0.125</v>
      </c>
      <c r="C24" s="21">
        <f>B24/(2*PI()*E4*A20/(8*E4*A24))</f>
        <v>0.15915494309189535</v>
      </c>
      <c r="D24" s="11">
        <f>A20/(8*E4*(A24-A20*C24))</f>
        <v>1.2388330740707554E-7</v>
      </c>
      <c r="E24" s="21">
        <f>A20/SQRT(12)</f>
        <v>2.886751345948129E-3</v>
      </c>
      <c r="F24" s="13">
        <f>A24+B4</f>
        <v>3.71</v>
      </c>
    </row>
    <row r="25" spans="1:7" ht="15.75" thickBot="1" x14ac:dyDescent="0.3"/>
    <row r="26" spans="1:7" x14ac:dyDescent="0.25">
      <c r="A26" s="62" t="s">
        <v>21</v>
      </c>
      <c r="B26" s="63"/>
      <c r="C26" s="63"/>
      <c r="D26" s="63"/>
      <c r="E26" s="63"/>
      <c r="F26" s="64"/>
    </row>
    <row r="27" spans="1:7" ht="30" x14ac:dyDescent="0.25">
      <c r="A27" s="27" t="s">
        <v>50</v>
      </c>
      <c r="B27" s="30" t="s">
        <v>85</v>
      </c>
      <c r="C27" s="30" t="s">
        <v>49</v>
      </c>
      <c r="D27" s="30" t="s">
        <v>48</v>
      </c>
      <c r="E27" s="30" t="s">
        <v>51</v>
      </c>
      <c r="F27" s="32" t="s">
        <v>52</v>
      </c>
    </row>
    <row r="28" spans="1:7" ht="15.75" thickBot="1" x14ac:dyDescent="0.3">
      <c r="A28" s="37">
        <v>1.0000000000000001E-5</v>
      </c>
      <c r="B28" s="44">
        <v>0.05</v>
      </c>
      <c r="C28" s="39">
        <f>B28/(2*PI()*E4*A28)</f>
        <v>6.6314559621623065E-4</v>
      </c>
      <c r="D28" s="21">
        <f>F20*(C28+1/(8*E4*A28))</f>
        <v>1.0740562960641848E-4</v>
      </c>
      <c r="E28" s="21">
        <f>F20/SQRT(12)</f>
        <v>2.7983628104187828E-3</v>
      </c>
      <c r="F28" s="36">
        <f>D28+J12</f>
        <v>3.7198095895653669</v>
      </c>
    </row>
    <row r="29" spans="1:7" ht="15.75" thickBot="1" x14ac:dyDescent="0.3"/>
    <row r="30" spans="1:7" x14ac:dyDescent="0.25">
      <c r="A30" s="56" t="s">
        <v>22</v>
      </c>
      <c r="B30" s="57"/>
      <c r="C30" s="57"/>
      <c r="D30" s="57"/>
      <c r="E30" s="57"/>
      <c r="F30" s="58"/>
    </row>
    <row r="31" spans="1:7" ht="30" x14ac:dyDescent="0.25">
      <c r="A31" s="27" t="s">
        <v>53</v>
      </c>
      <c r="B31" s="30" t="s">
        <v>54</v>
      </c>
      <c r="C31" s="30" t="s">
        <v>55</v>
      </c>
      <c r="D31" s="30" t="s">
        <v>56</v>
      </c>
      <c r="E31" s="30" t="s">
        <v>57</v>
      </c>
      <c r="F31" s="32" t="s">
        <v>58</v>
      </c>
    </row>
    <row r="32" spans="1:7" ht="15.75" thickBot="1" x14ac:dyDescent="0.3">
      <c r="A32" s="15">
        <v>0.5</v>
      </c>
      <c r="B32" s="16">
        <v>30</v>
      </c>
      <c r="C32" s="16">
        <v>2</v>
      </c>
      <c r="D32" s="16">
        <v>80</v>
      </c>
      <c r="E32" s="21">
        <f>D4*(1-G4)*A32</f>
        <v>0.61295000000000011</v>
      </c>
      <c r="F32" s="13">
        <f>E32*D32</f>
        <v>49.036000000000008</v>
      </c>
    </row>
    <row r="33" spans="1:8" ht="15.75" thickBot="1" x14ac:dyDescent="0.3"/>
    <row r="34" spans="1:8" x14ac:dyDescent="0.25">
      <c r="A34" s="56" t="s">
        <v>23</v>
      </c>
      <c r="B34" s="58"/>
    </row>
    <row r="35" spans="1:8" ht="30" x14ac:dyDescent="0.25">
      <c r="A35" s="27" t="s">
        <v>59</v>
      </c>
      <c r="B35" s="32" t="s">
        <v>60</v>
      </c>
    </row>
    <row r="36" spans="1:8" ht="15.75" thickBot="1" x14ac:dyDescent="0.3">
      <c r="A36" s="15">
        <v>0.315</v>
      </c>
      <c r="B36" s="36">
        <f>1.1*G20^2*A36</f>
        <v>0.77946586749612856</v>
      </c>
    </row>
    <row r="37" spans="1:8" ht="15.75" thickBot="1" x14ac:dyDescent="0.3"/>
    <row r="38" spans="1:8" x14ac:dyDescent="0.25">
      <c r="A38" s="56" t="s">
        <v>24</v>
      </c>
      <c r="B38" s="57"/>
      <c r="C38" s="57"/>
      <c r="D38" s="57"/>
      <c r="E38" s="57"/>
      <c r="F38" s="57"/>
      <c r="G38" s="58"/>
    </row>
    <row r="39" spans="1:8" ht="30" x14ac:dyDescent="0.25">
      <c r="A39" s="27" t="s">
        <v>61</v>
      </c>
      <c r="B39" s="30" t="s">
        <v>62</v>
      </c>
      <c r="C39" s="30" t="s">
        <v>63</v>
      </c>
      <c r="D39" s="30" t="s">
        <v>64</v>
      </c>
      <c r="E39" s="30" t="s">
        <v>65</v>
      </c>
      <c r="F39" s="30" t="s">
        <v>56</v>
      </c>
      <c r="G39" s="32" t="s">
        <v>58</v>
      </c>
    </row>
    <row r="40" spans="1:8" ht="15.75" thickBot="1" x14ac:dyDescent="0.3">
      <c r="A40" s="14">
        <f>0.38+(C4-3.3)*(0.24-0.38)/(12-3.3)</f>
        <v>0.24</v>
      </c>
      <c r="B40" s="21">
        <f>G20^2*A40</f>
        <v>0.53988977835229679</v>
      </c>
      <c r="C40" s="21">
        <v>1.5E-3</v>
      </c>
      <c r="D40" s="11">
        <f>C40*C4</f>
        <v>1.8000000000000002E-2</v>
      </c>
      <c r="E40" s="21">
        <f>D40+B40</f>
        <v>0.55788977835229681</v>
      </c>
      <c r="F40" s="11">
        <v>55</v>
      </c>
      <c r="G40" s="13">
        <f>F40*E40</f>
        <v>30.683937809376324</v>
      </c>
    </row>
    <row r="41" spans="1:8" ht="15.75" thickBot="1" x14ac:dyDescent="0.3"/>
    <row r="42" spans="1:8" x14ac:dyDescent="0.25">
      <c r="A42" s="56" t="s">
        <v>25</v>
      </c>
      <c r="B42" s="57"/>
      <c r="C42" s="57"/>
      <c r="D42" s="58"/>
    </row>
    <row r="43" spans="1:8" ht="30" x14ac:dyDescent="0.25">
      <c r="A43" s="27" t="s">
        <v>66</v>
      </c>
      <c r="B43" s="30" t="s">
        <v>67</v>
      </c>
      <c r="C43" s="28" t="s">
        <v>11</v>
      </c>
      <c r="D43" s="32" t="s">
        <v>63</v>
      </c>
    </row>
    <row r="44" spans="1:8" ht="15.75" thickBot="1" x14ac:dyDescent="0.3">
      <c r="A44" s="43">
        <f>E40+B36+E32+M12</f>
        <v>1.9505230721613918</v>
      </c>
      <c r="B44" s="21">
        <f>B4*D4+A44</f>
        <v>7.4820230721613923</v>
      </c>
      <c r="C44" s="12">
        <f>B4*D4/B44</f>
        <v>0.73930539195758871</v>
      </c>
      <c r="D44" s="36">
        <f>B44/C4</f>
        <v>0.62350192268011606</v>
      </c>
    </row>
    <row r="45" spans="1:8" ht="15.75" thickBot="1" x14ac:dyDescent="0.3"/>
    <row r="46" spans="1:8" x14ac:dyDescent="0.25">
      <c r="A46" s="56" t="s">
        <v>26</v>
      </c>
      <c r="B46" s="57"/>
      <c r="C46" s="58"/>
      <c r="D46" s="2"/>
      <c r="E46" s="2"/>
      <c r="F46" s="2"/>
      <c r="G46" s="2"/>
      <c r="H46" s="2"/>
    </row>
    <row r="47" spans="1:8" ht="30" x14ac:dyDescent="0.25">
      <c r="A47" s="33" t="s">
        <v>12</v>
      </c>
      <c r="B47" s="30" t="s">
        <v>68</v>
      </c>
      <c r="C47" s="29" t="s">
        <v>11</v>
      </c>
    </row>
    <row r="48" spans="1:8" x14ac:dyDescent="0.25">
      <c r="A48" s="5"/>
      <c r="B48" s="4"/>
      <c r="C48" s="7">
        <f>C44</f>
        <v>0.73930539195758871</v>
      </c>
      <c r="D48" s="3"/>
    </row>
    <row r="49" spans="1:3" x14ac:dyDescent="0.25">
      <c r="A49" s="5">
        <v>-20</v>
      </c>
      <c r="B49" s="40">
        <f>10^(A49/10)</f>
        <v>0.01</v>
      </c>
      <c r="C49" s="7">
        <f t="dataTable" ref="C49:C72" dt2D="0" dtr="0" r1="D4"/>
        <v>0.62240619702935862</v>
      </c>
    </row>
    <row r="50" spans="1:3" x14ac:dyDescent="0.25">
      <c r="A50" s="5">
        <v>-19</v>
      </c>
      <c r="B50" s="40">
        <f t="shared" ref="B50:B72" si="0">10^(A50/10)</f>
        <v>1.2589254117941664E-2</v>
      </c>
      <c r="C50" s="7">
        <v>0.66412682063428197</v>
      </c>
    </row>
    <row r="51" spans="1:3" x14ac:dyDescent="0.25">
      <c r="A51" s="5">
        <v>-18</v>
      </c>
      <c r="B51" s="40">
        <f t="shared" si="0"/>
        <v>1.5848931924611124E-2</v>
      </c>
      <c r="C51" s="7">
        <v>0.70138296650231557</v>
      </c>
    </row>
    <row r="52" spans="1:3" x14ac:dyDescent="0.25">
      <c r="A52" s="5">
        <v>-17</v>
      </c>
      <c r="B52" s="40">
        <f t="shared" si="0"/>
        <v>1.9952623149688792E-2</v>
      </c>
      <c r="C52" s="7">
        <v>0.73396499657999337</v>
      </c>
    </row>
    <row r="53" spans="1:3" x14ac:dyDescent="0.25">
      <c r="A53" s="5">
        <v>-16</v>
      </c>
      <c r="B53" s="40">
        <f t="shared" si="0"/>
        <v>2.511886431509578E-2</v>
      </c>
      <c r="C53" s="7">
        <v>0.76191025850561611</v>
      </c>
    </row>
    <row r="54" spans="1:3" x14ac:dyDescent="0.25">
      <c r="A54" s="5">
        <v>-15</v>
      </c>
      <c r="B54" s="40">
        <f t="shared" si="0"/>
        <v>3.1622776601683784E-2</v>
      </c>
      <c r="C54" s="7">
        <v>0.78543698075365709</v>
      </c>
    </row>
    <row r="55" spans="1:3" x14ac:dyDescent="0.25">
      <c r="A55" s="5">
        <v>-14</v>
      </c>
      <c r="B55" s="40">
        <f t="shared" si="0"/>
        <v>3.9810717055349727E-2</v>
      </c>
      <c r="C55" s="7">
        <v>0.80487597113032094</v>
      </c>
    </row>
    <row r="56" spans="1:3" x14ac:dyDescent="0.25">
      <c r="A56" s="5">
        <v>-13</v>
      </c>
      <c r="B56" s="40">
        <f t="shared" si="0"/>
        <v>5.0118723362727206E-2</v>
      </c>
      <c r="C56" s="7">
        <v>0.82061010469092444</v>
      </c>
    </row>
    <row r="57" spans="1:3" x14ac:dyDescent="0.25">
      <c r="A57" s="5">
        <v>-12</v>
      </c>
      <c r="B57" s="40">
        <f t="shared" si="0"/>
        <v>6.3095734448019317E-2</v>
      </c>
      <c r="C57" s="7">
        <v>0.83302635349491971</v>
      </c>
    </row>
    <row r="58" spans="1:3" x14ac:dyDescent="0.25">
      <c r="A58" s="5">
        <v>-11</v>
      </c>
      <c r="B58" s="40">
        <f t="shared" si="0"/>
        <v>7.9432823472428096E-2</v>
      </c>
      <c r="C58" s="7">
        <v>0.8424810761986421</v>
      </c>
    </row>
    <row r="59" spans="1:3" x14ac:dyDescent="0.25">
      <c r="A59" s="5">
        <v>-10</v>
      </c>
      <c r="B59" s="40">
        <f t="shared" si="0"/>
        <v>0.1</v>
      </c>
      <c r="C59" s="7">
        <v>0.84927688713019533</v>
      </c>
    </row>
    <row r="60" spans="1:3" x14ac:dyDescent="0.25">
      <c r="A60" s="5">
        <v>-9</v>
      </c>
      <c r="B60" s="40">
        <f t="shared" si="0"/>
        <v>0.12589254117941667</v>
      </c>
      <c r="C60" s="7">
        <v>0.85364843514519362</v>
      </c>
    </row>
    <row r="61" spans="1:3" x14ac:dyDescent="0.25">
      <c r="A61" s="5">
        <v>-8</v>
      </c>
      <c r="B61" s="40">
        <f t="shared" si="0"/>
        <v>0.15848931924611132</v>
      </c>
      <c r="C61" s="7">
        <v>0.85575438106203394</v>
      </c>
    </row>
    <row r="62" spans="1:3" x14ac:dyDescent="0.25">
      <c r="A62" s="5">
        <v>-7</v>
      </c>
      <c r="B62" s="40">
        <f t="shared" si="0"/>
        <v>0.19952623149688795</v>
      </c>
      <c r="C62" s="7">
        <v>0.85567334030054398</v>
      </c>
    </row>
    <row r="63" spans="1:3" x14ac:dyDescent="0.25">
      <c r="A63" s="5">
        <v>-6</v>
      </c>
      <c r="B63" s="40">
        <f t="shared" si="0"/>
        <v>0.25118864315095801</v>
      </c>
      <c r="C63" s="7">
        <v>0.85340226119018003</v>
      </c>
    </row>
    <row r="64" spans="1:3" x14ac:dyDescent="0.25">
      <c r="A64" s="5">
        <v>-5</v>
      </c>
      <c r="B64" s="40">
        <f t="shared" si="0"/>
        <v>0.31622776601683794</v>
      </c>
      <c r="C64" s="7">
        <v>0.84885648322503338</v>
      </c>
    </row>
    <row r="65" spans="1:6" x14ac:dyDescent="0.25">
      <c r="A65" s="5">
        <v>-4</v>
      </c>
      <c r="B65" s="40">
        <f t="shared" si="0"/>
        <v>0.3981071705534972</v>
      </c>
      <c r="C65" s="7">
        <v>0.84187150452944892</v>
      </c>
    </row>
    <row r="66" spans="1:6" x14ac:dyDescent="0.25">
      <c r="A66" s="5">
        <v>-3</v>
      </c>
      <c r="B66" s="40">
        <f t="shared" si="0"/>
        <v>0.50118723362727224</v>
      </c>
      <c r="C66" s="7">
        <v>0.83220727263234118</v>
      </c>
    </row>
    <row r="67" spans="1:6" x14ac:dyDescent="0.25">
      <c r="A67" s="5">
        <v>-2</v>
      </c>
      <c r="B67" s="40">
        <f t="shared" si="0"/>
        <v>0.63095734448019325</v>
      </c>
      <c r="C67" s="7">
        <v>0.81955658418054633</v>
      </c>
    </row>
    <row r="68" spans="1:6" x14ac:dyDescent="0.25">
      <c r="A68" s="5">
        <v>-1</v>
      </c>
      <c r="B68" s="40">
        <f t="shared" si="0"/>
        <v>0.79432823472428149</v>
      </c>
      <c r="C68" s="7">
        <v>0.80355987310932908</v>
      </c>
    </row>
    <row r="69" spans="1:6" x14ac:dyDescent="0.25">
      <c r="A69" s="5">
        <v>0</v>
      </c>
      <c r="B69" s="40">
        <f t="shared" si="0"/>
        <v>1</v>
      </c>
      <c r="C69" s="7">
        <v>0.78382911787222842</v>
      </c>
    </row>
    <row r="70" spans="1:6" x14ac:dyDescent="0.25">
      <c r="A70" s="5">
        <v>1</v>
      </c>
      <c r="B70" s="40">
        <f t="shared" si="0"/>
        <v>1.2589254117941673</v>
      </c>
      <c r="C70" s="7">
        <v>0.75998350232147471</v>
      </c>
    </row>
    <row r="71" spans="1:6" x14ac:dyDescent="0.25">
      <c r="A71" s="5">
        <v>2</v>
      </c>
      <c r="B71" s="40">
        <f t="shared" si="0"/>
        <v>1.5848931924611136</v>
      </c>
      <c r="C71" s="7">
        <v>0.73169838553975253</v>
      </c>
    </row>
    <row r="72" spans="1:6" ht="15.75" thickBot="1" x14ac:dyDescent="0.3">
      <c r="A72" s="8">
        <v>3</v>
      </c>
      <c r="B72" s="41">
        <f t="shared" si="0"/>
        <v>1.9952623149688797</v>
      </c>
      <c r="C72" s="10">
        <v>0.69876661812551233</v>
      </c>
    </row>
    <row r="73" spans="1:6" ht="15.75" thickBot="1" x14ac:dyDescent="0.3">
      <c r="C73" s="1"/>
    </row>
    <row r="74" spans="1:6" x14ac:dyDescent="0.25">
      <c r="A74" s="56" t="s">
        <v>69</v>
      </c>
      <c r="B74" s="57"/>
      <c r="C74" s="57"/>
      <c r="D74" s="57"/>
      <c r="E74" s="57"/>
      <c r="F74" s="58"/>
    </row>
    <row r="75" spans="1:6" x14ac:dyDescent="0.25">
      <c r="A75" s="45" t="s">
        <v>70</v>
      </c>
      <c r="B75" s="46" t="s">
        <v>71</v>
      </c>
      <c r="C75" s="46" t="s">
        <v>72</v>
      </c>
      <c r="D75" s="46" t="s">
        <v>73</v>
      </c>
      <c r="E75" s="46" t="s">
        <v>74</v>
      </c>
      <c r="F75" s="47" t="s">
        <v>79</v>
      </c>
    </row>
    <row r="76" spans="1:6" x14ac:dyDescent="0.25">
      <c r="A76" s="53" t="s">
        <v>89</v>
      </c>
      <c r="B76" s="46" t="s">
        <v>77</v>
      </c>
      <c r="C76" s="46">
        <v>1</v>
      </c>
      <c r="D76" s="48">
        <v>0.31</v>
      </c>
      <c r="E76" s="48">
        <f>D76*C76</f>
        <v>0.31</v>
      </c>
      <c r="F76" s="47" t="s">
        <v>0</v>
      </c>
    </row>
    <row r="77" spans="1:6" x14ac:dyDescent="0.25">
      <c r="A77" s="45" t="s">
        <v>78</v>
      </c>
      <c r="B77" s="46" t="s">
        <v>76</v>
      </c>
      <c r="C77" s="46">
        <v>1</v>
      </c>
      <c r="D77" s="48">
        <v>0.23</v>
      </c>
      <c r="E77" s="48">
        <f>D77*C77</f>
        <v>0.23</v>
      </c>
      <c r="F77" s="47" t="s">
        <v>1</v>
      </c>
    </row>
    <row r="78" spans="1:6" x14ac:dyDescent="0.25">
      <c r="A78" s="45" t="s">
        <v>80</v>
      </c>
      <c r="B78" s="46" t="s">
        <v>81</v>
      </c>
      <c r="C78" s="46">
        <v>1</v>
      </c>
      <c r="D78" s="48">
        <v>0.28999999999999998</v>
      </c>
      <c r="E78" s="48">
        <f t="shared" ref="E78:E82" si="1">D78*C78</f>
        <v>0.28999999999999998</v>
      </c>
      <c r="F78" s="47" t="s">
        <v>6</v>
      </c>
    </row>
    <row r="79" spans="1:6" x14ac:dyDescent="0.25">
      <c r="A79" s="45" t="s">
        <v>82</v>
      </c>
      <c r="B79" s="46"/>
      <c r="C79" s="46">
        <v>1</v>
      </c>
      <c r="D79" s="48">
        <v>0.69299999999999995</v>
      </c>
      <c r="E79" s="48">
        <f t="shared" si="1"/>
        <v>0.69299999999999995</v>
      </c>
      <c r="F79" s="47" t="s">
        <v>83</v>
      </c>
    </row>
    <row r="80" spans="1:6" x14ac:dyDescent="0.25">
      <c r="A80" s="45" t="s">
        <v>87</v>
      </c>
      <c r="B80" s="46" t="s">
        <v>84</v>
      </c>
      <c r="C80" s="46">
        <v>1</v>
      </c>
      <c r="D80" s="48">
        <v>1.1599999999999999</v>
      </c>
      <c r="E80" s="48">
        <f t="shared" si="1"/>
        <v>1.1599999999999999</v>
      </c>
      <c r="F80" s="47" t="s">
        <v>7</v>
      </c>
    </row>
    <row r="81" spans="1:6" x14ac:dyDescent="0.25">
      <c r="A81" s="45" t="s">
        <v>92</v>
      </c>
      <c r="B81" s="46" t="s">
        <v>81</v>
      </c>
      <c r="C81" s="46">
        <v>1</v>
      </c>
      <c r="D81" s="48">
        <v>0.12</v>
      </c>
      <c r="E81" s="48">
        <f t="shared" si="1"/>
        <v>0.12</v>
      </c>
      <c r="F81" s="47" t="s">
        <v>8</v>
      </c>
    </row>
    <row r="82" spans="1:6" x14ac:dyDescent="0.25">
      <c r="A82" s="45" t="s">
        <v>93</v>
      </c>
      <c r="B82" s="46" t="s">
        <v>94</v>
      </c>
      <c r="C82" s="46">
        <v>1</v>
      </c>
      <c r="D82" s="48">
        <v>0.33</v>
      </c>
      <c r="E82" s="51">
        <f t="shared" si="1"/>
        <v>0.33</v>
      </c>
      <c r="F82" s="47" t="s">
        <v>86</v>
      </c>
    </row>
    <row r="83" spans="1:6" x14ac:dyDescent="0.25">
      <c r="A83" s="45"/>
      <c r="B83" s="46"/>
      <c r="C83" s="46"/>
      <c r="D83" s="46"/>
      <c r="E83" s="46"/>
      <c r="F83" s="47"/>
    </row>
    <row r="84" spans="1:6" ht="15.75" thickBot="1" x14ac:dyDescent="0.3">
      <c r="A84" s="49"/>
      <c r="B84" s="9" t="s">
        <v>88</v>
      </c>
      <c r="C84" s="9">
        <f>SUM(Table1[Quantity])</f>
        <v>7</v>
      </c>
      <c r="D84" s="9"/>
      <c r="E84" s="52">
        <f>SUM(Table1[Price])</f>
        <v>3.133</v>
      </c>
      <c r="F84" s="50"/>
    </row>
  </sheetData>
  <mergeCells count="16">
    <mergeCell ref="E2:F2"/>
    <mergeCell ref="A1:G1"/>
    <mergeCell ref="A10:M10"/>
    <mergeCell ref="A14:C14"/>
    <mergeCell ref="E14:G14"/>
    <mergeCell ref="A46:C46"/>
    <mergeCell ref="A26:F26"/>
    <mergeCell ref="A74:F74"/>
    <mergeCell ref="A6:M6"/>
    <mergeCell ref="A30:F30"/>
    <mergeCell ref="A38:G38"/>
    <mergeCell ref="A42:D42"/>
    <mergeCell ref="A18:C18"/>
    <mergeCell ref="E18:G18"/>
    <mergeCell ref="A22:F22"/>
    <mergeCell ref="A34:B34"/>
  </mergeCells>
  <conditionalFormatting sqref="G40">
    <cfRule type="colorScale" priority="1">
      <colorScale>
        <cfvo type="num" val="0"/>
        <cfvo type="num" val="127"/>
        <color rgb="FF92D050"/>
        <color rgb="FFFF0000"/>
      </colorScale>
    </cfRule>
  </conditionalFormatting>
  <conditionalFormatting sqref="C32">
    <cfRule type="cellIs" dxfId="11" priority="5" stopIfTrue="1" operator="lessThanOrEqual">
      <formula>$G$20</formula>
    </cfRule>
    <cfRule type="cellIs" dxfId="10" priority="6" operator="between">
      <formula>$G$20</formula>
      <formula>1.2*$G$20</formula>
    </cfRule>
    <cfRule type="cellIs" dxfId="9" priority="7" operator="greaterThan">
      <formula>1.2*$G$20</formula>
    </cfRule>
  </conditionalFormatting>
  <conditionalFormatting sqref="B32">
    <cfRule type="cellIs" dxfId="8" priority="20" stopIfTrue="1" operator="lessThanOrEqual">
      <formula>$F$28</formula>
    </cfRule>
    <cfRule type="cellIs" dxfId="7" priority="21" operator="between">
      <formula>$F$28</formula>
      <formula>1.2*$F$28</formula>
    </cfRule>
    <cfRule type="cellIs" dxfId="6" priority="22" operator="greaterThan">
      <formula>1.2*$F$28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E7B0-5D79-4492-9369-A99074ACCD24}">
  <dimension ref="A1:M84"/>
  <sheetViews>
    <sheetView topLeftCell="A50" zoomScaleNormal="100" workbookViewId="0">
      <selection activeCell="A78" sqref="A78:XFD78"/>
    </sheetView>
  </sheetViews>
  <sheetFormatPr defaultRowHeight="15" x14ac:dyDescent="0.25"/>
  <cols>
    <col min="1" max="1" width="21.42578125" bestFit="1" customWidth="1"/>
    <col min="2" max="2" width="19.140625" bestFit="1" customWidth="1"/>
    <col min="3" max="3" width="28.140625" bestFit="1" customWidth="1"/>
    <col min="4" max="4" width="20.28515625" bestFit="1" customWidth="1"/>
    <col min="5" max="5" width="27.42578125" bestFit="1" customWidth="1"/>
    <col min="6" max="6" width="21.42578125" bestFit="1" customWidth="1"/>
    <col min="7" max="7" width="28.140625" bestFit="1" customWidth="1"/>
    <col min="8" max="8" width="7.28515625" bestFit="1" customWidth="1"/>
    <col min="9" max="9" width="11.42578125" bestFit="1" customWidth="1"/>
    <col min="10" max="10" width="7.5703125" bestFit="1" customWidth="1"/>
    <col min="11" max="11" width="13.7109375" bestFit="1" customWidth="1"/>
    <col min="12" max="12" width="9.5703125" bestFit="1" customWidth="1"/>
    <col min="13" max="13" width="14.85546875" bestFit="1" customWidth="1"/>
    <col min="14" max="14" width="13.7109375" bestFit="1" customWidth="1"/>
    <col min="15" max="15" width="9.5703125" bestFit="1" customWidth="1"/>
    <col min="16" max="19" width="14.85546875" bestFit="1" customWidth="1"/>
    <col min="21" max="21" width="16.5703125" bestFit="1" customWidth="1"/>
    <col min="22" max="22" width="14.42578125" bestFit="1" customWidth="1"/>
    <col min="23" max="23" width="12.7109375" bestFit="1" customWidth="1"/>
    <col min="24" max="24" width="14.28515625" bestFit="1" customWidth="1"/>
    <col min="25" max="25" width="19.28515625" bestFit="1" customWidth="1"/>
  </cols>
  <sheetData>
    <row r="1" spans="1:13" x14ac:dyDescent="0.25">
      <c r="A1" s="56" t="s">
        <v>13</v>
      </c>
      <c r="B1" s="57"/>
      <c r="C1" s="57"/>
      <c r="D1" s="57"/>
      <c r="E1" s="57"/>
      <c r="F1" s="57"/>
      <c r="G1" s="58"/>
    </row>
    <row r="2" spans="1:13" ht="30" x14ac:dyDescent="0.25">
      <c r="A2" s="27" t="s">
        <v>27</v>
      </c>
      <c r="B2" s="54" t="s">
        <v>28</v>
      </c>
      <c r="C2" s="54" t="s">
        <v>29</v>
      </c>
      <c r="D2" s="54" t="s">
        <v>42</v>
      </c>
      <c r="E2" s="65" t="s">
        <v>30</v>
      </c>
      <c r="F2" s="66"/>
      <c r="G2" s="29" t="s">
        <v>10</v>
      </c>
    </row>
    <row r="3" spans="1:13" x14ac:dyDescent="0.25">
      <c r="A3" s="5" t="s">
        <v>4</v>
      </c>
      <c r="B3" s="4" t="s">
        <v>4</v>
      </c>
      <c r="C3" s="4" t="s">
        <v>4</v>
      </c>
      <c r="D3" s="4" t="s">
        <v>5</v>
      </c>
      <c r="E3" s="4" t="s">
        <v>3</v>
      </c>
      <c r="F3" s="4" t="s">
        <v>5</v>
      </c>
      <c r="G3" s="6" t="s">
        <v>3</v>
      </c>
    </row>
    <row r="4" spans="1:13" ht="15.75" thickBot="1" x14ac:dyDescent="0.3">
      <c r="A4" s="15">
        <v>0.8</v>
      </c>
      <c r="B4" s="16">
        <v>3.3</v>
      </c>
      <c r="C4" s="16">
        <v>12</v>
      </c>
      <c r="D4" s="16">
        <v>1</v>
      </c>
      <c r="E4" s="16">
        <v>1200000</v>
      </c>
      <c r="F4" s="16">
        <v>1800000</v>
      </c>
      <c r="G4" s="26">
        <f>F4*0.0000001</f>
        <v>0.18</v>
      </c>
    </row>
    <row r="5" spans="1:13" ht="15.75" thickBot="1" x14ac:dyDescent="0.3"/>
    <row r="6" spans="1:13" x14ac:dyDescent="0.25">
      <c r="A6" s="56" t="s">
        <v>15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</row>
    <row r="7" spans="1:13" ht="30" x14ac:dyDescent="0.25">
      <c r="A7" s="31" t="s">
        <v>2</v>
      </c>
      <c r="B7" s="54" t="s">
        <v>31</v>
      </c>
      <c r="C7" s="54" t="s">
        <v>75</v>
      </c>
      <c r="D7" s="54" t="s">
        <v>32</v>
      </c>
      <c r="E7" s="54" t="s">
        <v>33</v>
      </c>
      <c r="F7" s="54" t="s">
        <v>34</v>
      </c>
      <c r="G7" s="54" t="s">
        <v>35</v>
      </c>
      <c r="H7" s="54" t="s">
        <v>36</v>
      </c>
      <c r="I7" s="54" t="s">
        <v>37</v>
      </c>
      <c r="J7" s="54" t="s">
        <v>38</v>
      </c>
      <c r="K7" s="54" t="s">
        <v>39</v>
      </c>
      <c r="L7" s="55" t="s">
        <v>9</v>
      </c>
      <c r="M7" s="32" t="s">
        <v>40</v>
      </c>
    </row>
    <row r="8" spans="1:13" ht="15.75" thickBot="1" x14ac:dyDescent="0.3">
      <c r="A8" s="23">
        <v>1E-3</v>
      </c>
      <c r="B8" s="16">
        <v>49900</v>
      </c>
      <c r="C8" s="24">
        <f>A4*B8/(B4-A4)</f>
        <v>15968</v>
      </c>
      <c r="D8" s="11">
        <f>B8*(1-A8)</f>
        <v>49850.1</v>
      </c>
      <c r="E8" s="11">
        <f>B8*(1+A8)</f>
        <v>49949.899999999994</v>
      </c>
      <c r="F8" s="20">
        <f>C8*(1-A8)</f>
        <v>15952.031999999999</v>
      </c>
      <c r="G8" s="20">
        <f>C8*(1+A8)</f>
        <v>15983.967999999999</v>
      </c>
      <c r="H8" s="21">
        <f>A4*(1+D8/G8)</f>
        <v>3.2950049950049953</v>
      </c>
      <c r="I8" s="21">
        <f>A4*(1+B8/C8)</f>
        <v>3.3000000000000003</v>
      </c>
      <c r="J8" s="21">
        <f>A4*(1+E8/F8)</f>
        <v>3.3050050050050048</v>
      </c>
      <c r="K8" s="21">
        <f>ABS(MAX(J8, H8)-B4)</f>
        <v>5.0050050050050032E-3</v>
      </c>
      <c r="L8" s="25">
        <f>K8/B4</f>
        <v>1.5166681833348496E-3</v>
      </c>
      <c r="M8" s="35">
        <f>J8^2/(E8+F8)</f>
        <v>1.6574716023663966E-4</v>
      </c>
    </row>
    <row r="9" spans="1:13" ht="15.75" thickBot="1" x14ac:dyDescent="0.3"/>
    <row r="10" spans="1:13" x14ac:dyDescent="0.25">
      <c r="A10" s="56" t="s">
        <v>14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</row>
    <row r="11" spans="1:13" ht="30" x14ac:dyDescent="0.25">
      <c r="A11" s="31" t="s">
        <v>2</v>
      </c>
      <c r="B11" s="54" t="s">
        <v>31</v>
      </c>
      <c r="C11" s="54" t="s">
        <v>75</v>
      </c>
      <c r="D11" s="54" t="s">
        <v>32</v>
      </c>
      <c r="E11" s="54" t="s">
        <v>33</v>
      </c>
      <c r="F11" s="54" t="s">
        <v>34</v>
      </c>
      <c r="G11" s="54" t="s">
        <v>35</v>
      </c>
      <c r="H11" s="54" t="s">
        <v>36</v>
      </c>
      <c r="I11" s="54" t="s">
        <v>37</v>
      </c>
      <c r="J11" s="54" t="s">
        <v>38</v>
      </c>
      <c r="K11" s="54" t="s">
        <v>39</v>
      </c>
      <c r="L11" s="55" t="s">
        <v>9</v>
      </c>
      <c r="M11" s="32" t="s">
        <v>40</v>
      </c>
    </row>
    <row r="12" spans="1:13" ht="15.75" thickBot="1" x14ac:dyDescent="0.3">
      <c r="A12" s="23">
        <v>1E-3</v>
      </c>
      <c r="B12" s="16">
        <f>B8</f>
        <v>49900</v>
      </c>
      <c r="C12" s="19">
        <v>16000</v>
      </c>
      <c r="D12" s="11">
        <f>B12*(1-A12)</f>
        <v>49850.1</v>
      </c>
      <c r="E12" s="11">
        <f>B12*(1+A12)</f>
        <v>49949.899999999994</v>
      </c>
      <c r="F12" s="20">
        <f>C12*(1-A12)</f>
        <v>15984</v>
      </c>
      <c r="G12" s="20">
        <f>C12*(1+A12)</f>
        <v>16015.999999999998</v>
      </c>
      <c r="H12" s="21">
        <f>A4*(1+D12/G12)</f>
        <v>3.2900149850149853</v>
      </c>
      <c r="I12" s="21">
        <f>A4*(1+B12/C12)</f>
        <v>3.2950000000000004</v>
      </c>
      <c r="J12" s="21">
        <f>A4*(1+E12/F12)</f>
        <v>3.2999949949949952</v>
      </c>
      <c r="K12" s="21">
        <f>ABS(MAX(J12, H12)-B4)</f>
        <v>5.0050050046657191E-6</v>
      </c>
      <c r="L12" s="22">
        <f>K12/B4</f>
        <v>1.5166681832320361E-6</v>
      </c>
      <c r="M12" s="35">
        <f>J12*J12/(E12+F12)</f>
        <v>1.651649146644142E-4</v>
      </c>
    </row>
    <row r="13" spans="1:13" ht="15.75" thickBot="1" x14ac:dyDescent="0.3"/>
    <row r="14" spans="1:13" x14ac:dyDescent="0.25">
      <c r="A14" s="56" t="s">
        <v>16</v>
      </c>
      <c r="B14" s="57"/>
      <c r="C14" s="58"/>
      <c r="E14" s="56" t="s">
        <v>17</v>
      </c>
      <c r="F14" s="57"/>
      <c r="G14" s="58"/>
    </row>
    <row r="15" spans="1:13" ht="30" x14ac:dyDescent="0.25">
      <c r="A15" s="27" t="s">
        <v>41</v>
      </c>
      <c r="B15" s="54" t="s">
        <v>43</v>
      </c>
      <c r="C15" s="32" t="s">
        <v>44</v>
      </c>
      <c r="E15" s="27" t="s">
        <v>43</v>
      </c>
      <c r="F15" s="27" t="s">
        <v>41</v>
      </c>
      <c r="G15" s="32" t="s">
        <v>44</v>
      </c>
    </row>
    <row r="16" spans="1:13" ht="15.75" thickBot="1" x14ac:dyDescent="0.3">
      <c r="A16" s="15">
        <v>0.01</v>
      </c>
      <c r="B16" s="17">
        <f>(D4/(E4*A16))*(1-B4/C4)*(B4/C4)</f>
        <v>1.6614583333333332E-5</v>
      </c>
      <c r="C16" s="36">
        <f>D4*SQRT((B4/C4)*(1-B4/C4))</f>
        <v>0.44651427748729378</v>
      </c>
      <c r="D16" s="1"/>
      <c r="E16" s="18">
        <v>1.1E-4</v>
      </c>
      <c r="F16" s="21">
        <f>(D4/(E4*E16))*(1-B4/C4)*(B4/C4)</f>
        <v>1.5104166666666666E-3</v>
      </c>
      <c r="G16" s="36">
        <f>D4*SQRT((B4/C4)*(1-B4/C4))</f>
        <v>0.44651427748729378</v>
      </c>
    </row>
    <row r="17" spans="1:7" ht="15.75" thickBot="1" x14ac:dyDescent="0.3"/>
    <row r="18" spans="1:7" x14ac:dyDescent="0.25">
      <c r="A18" s="56" t="s">
        <v>19</v>
      </c>
      <c r="B18" s="57"/>
      <c r="C18" s="58"/>
      <c r="E18" s="56" t="s">
        <v>18</v>
      </c>
      <c r="F18" s="57"/>
      <c r="G18" s="58"/>
    </row>
    <row r="19" spans="1:7" ht="30" x14ac:dyDescent="0.25">
      <c r="A19" s="27" t="s">
        <v>47</v>
      </c>
      <c r="B19" s="54" t="s">
        <v>46</v>
      </c>
      <c r="C19" s="32" t="s">
        <v>45</v>
      </c>
      <c r="E19" s="27" t="s">
        <v>46</v>
      </c>
      <c r="F19" s="54" t="s">
        <v>47</v>
      </c>
      <c r="G19" s="32" t="s">
        <v>45</v>
      </c>
    </row>
    <row r="20" spans="1:7" ht="15.75" thickBot="1" x14ac:dyDescent="0.3">
      <c r="A20" s="15">
        <v>0.01</v>
      </c>
      <c r="B20" s="34">
        <f>(B4/(E4*A20))*(1-B4/C4)</f>
        <v>1.9937500000000001E-4</v>
      </c>
      <c r="C20" s="13">
        <f>D4+A20/2</f>
        <v>1.0049999999999999</v>
      </c>
      <c r="E20" s="15">
        <v>2.2000000000000001E-4</v>
      </c>
      <c r="F20" s="21">
        <f>(B4/(E4*E20))*(1-B4/C4)</f>
        <v>9.0625000000000011E-3</v>
      </c>
      <c r="G20" s="36">
        <f>D4+F20/2</f>
        <v>1.0045312500000001</v>
      </c>
    </row>
    <row r="21" spans="1:7" ht="15.75" thickBot="1" x14ac:dyDescent="0.3"/>
    <row r="22" spans="1:7" x14ac:dyDescent="0.25">
      <c r="A22" s="62" t="s">
        <v>20</v>
      </c>
      <c r="B22" s="63"/>
      <c r="C22" s="63"/>
      <c r="D22" s="63"/>
      <c r="E22" s="63"/>
      <c r="F22" s="64"/>
    </row>
    <row r="23" spans="1:7" ht="30" x14ac:dyDescent="0.25">
      <c r="A23" s="27" t="s">
        <v>48</v>
      </c>
      <c r="B23" s="54" t="s">
        <v>85</v>
      </c>
      <c r="C23" s="54" t="s">
        <v>49</v>
      </c>
      <c r="D23" s="54" t="s">
        <v>50</v>
      </c>
      <c r="E23" s="54" t="s">
        <v>51</v>
      </c>
      <c r="F23" s="32" t="s">
        <v>52</v>
      </c>
    </row>
    <row r="24" spans="1:7" ht="15.75" thickBot="1" x14ac:dyDescent="0.3">
      <c r="A24" s="15">
        <v>0.01</v>
      </c>
      <c r="B24" s="44">
        <v>0.125</v>
      </c>
      <c r="C24" s="21">
        <f>B24/(2*PI()*E4*A20/(8*E4*A24))</f>
        <v>0.15915494309189535</v>
      </c>
      <c r="D24" s="11">
        <f>A20/(8*E4*(A24-A20*C24))</f>
        <v>1.2388330740707554E-7</v>
      </c>
      <c r="E24" s="21">
        <f>A20/SQRT(12)</f>
        <v>2.886751345948129E-3</v>
      </c>
      <c r="F24" s="13">
        <f>A24+B4</f>
        <v>3.3099999999999996</v>
      </c>
    </row>
    <row r="25" spans="1:7" ht="15.75" thickBot="1" x14ac:dyDescent="0.3"/>
    <row r="26" spans="1:7" x14ac:dyDescent="0.25">
      <c r="A26" s="62" t="s">
        <v>21</v>
      </c>
      <c r="B26" s="63"/>
      <c r="C26" s="63"/>
      <c r="D26" s="63"/>
      <c r="E26" s="63"/>
      <c r="F26" s="64"/>
    </row>
    <row r="27" spans="1:7" ht="30" x14ac:dyDescent="0.25">
      <c r="A27" s="27" t="s">
        <v>50</v>
      </c>
      <c r="B27" s="54" t="s">
        <v>85</v>
      </c>
      <c r="C27" s="54" t="s">
        <v>49</v>
      </c>
      <c r="D27" s="54" t="s">
        <v>48</v>
      </c>
      <c r="E27" s="54" t="s">
        <v>51</v>
      </c>
      <c r="F27" s="32" t="s">
        <v>52</v>
      </c>
    </row>
    <row r="28" spans="1:7" ht="15.75" thickBot="1" x14ac:dyDescent="0.3">
      <c r="A28" s="37">
        <v>1.0000000000000001E-5</v>
      </c>
      <c r="B28" s="44">
        <v>0.05</v>
      </c>
      <c r="C28" s="39">
        <f>B28/(2*PI()*E4*A28)</f>
        <v>6.6314559621623065E-4</v>
      </c>
      <c r="D28" s="21">
        <f>F20*(C28+1/(8*E4*A28))</f>
        <v>1.0041079863237625E-4</v>
      </c>
      <c r="E28" s="21">
        <f>F20/SQRT(12)</f>
        <v>2.6161184072654923E-3</v>
      </c>
      <c r="F28" s="36">
        <f>D28+J12</f>
        <v>3.3000954057936274</v>
      </c>
    </row>
    <row r="29" spans="1:7" ht="15.75" thickBot="1" x14ac:dyDescent="0.3"/>
    <row r="30" spans="1:7" x14ac:dyDescent="0.25">
      <c r="A30" s="56" t="s">
        <v>22</v>
      </c>
      <c r="B30" s="57"/>
      <c r="C30" s="57"/>
      <c r="D30" s="57"/>
      <c r="E30" s="57"/>
      <c r="F30" s="58"/>
    </row>
    <row r="31" spans="1:7" ht="30" x14ac:dyDescent="0.25">
      <c r="A31" s="27" t="s">
        <v>53</v>
      </c>
      <c r="B31" s="54" t="s">
        <v>54</v>
      </c>
      <c r="C31" s="54" t="s">
        <v>55</v>
      </c>
      <c r="D31" s="54" t="s">
        <v>56</v>
      </c>
      <c r="E31" s="54" t="s">
        <v>57</v>
      </c>
      <c r="F31" s="32" t="s">
        <v>58</v>
      </c>
    </row>
    <row r="32" spans="1:7" ht="15.75" thickBot="1" x14ac:dyDescent="0.3">
      <c r="A32" s="15">
        <v>0.5</v>
      </c>
      <c r="B32" s="16">
        <v>30</v>
      </c>
      <c r="C32" s="16">
        <v>2</v>
      </c>
      <c r="D32" s="16">
        <v>80</v>
      </c>
      <c r="E32" s="21">
        <f>D4*(1-G4)*A32</f>
        <v>0.41000000000000003</v>
      </c>
      <c r="F32" s="13">
        <f>E32*D32</f>
        <v>32.800000000000004</v>
      </c>
    </row>
    <row r="33" spans="1:8" ht="15.75" thickBot="1" x14ac:dyDescent="0.3"/>
    <row r="34" spans="1:8" x14ac:dyDescent="0.25">
      <c r="A34" s="56" t="s">
        <v>23</v>
      </c>
      <c r="B34" s="58"/>
    </row>
    <row r="35" spans="1:8" ht="30" x14ac:dyDescent="0.25">
      <c r="A35" s="27" t="s">
        <v>59</v>
      </c>
      <c r="B35" s="32" t="s">
        <v>60</v>
      </c>
    </row>
    <row r="36" spans="1:8" ht="15.75" thickBot="1" x14ac:dyDescent="0.3">
      <c r="A36" s="15">
        <v>0.315</v>
      </c>
      <c r="B36" s="36">
        <f>1.1*G20^2*A36</f>
        <v>0.34964727066650397</v>
      </c>
    </row>
    <row r="37" spans="1:8" ht="15.75" thickBot="1" x14ac:dyDescent="0.3"/>
    <row r="38" spans="1:8" x14ac:dyDescent="0.25">
      <c r="A38" s="56" t="s">
        <v>24</v>
      </c>
      <c r="B38" s="57"/>
      <c r="C38" s="57"/>
      <c r="D38" s="57"/>
      <c r="E38" s="57"/>
      <c r="F38" s="57"/>
      <c r="G38" s="58"/>
    </row>
    <row r="39" spans="1:8" ht="30" x14ac:dyDescent="0.25">
      <c r="A39" s="27" t="s">
        <v>61</v>
      </c>
      <c r="B39" s="54" t="s">
        <v>62</v>
      </c>
      <c r="C39" s="54" t="s">
        <v>63</v>
      </c>
      <c r="D39" s="54" t="s">
        <v>64</v>
      </c>
      <c r="E39" s="54" t="s">
        <v>65</v>
      </c>
      <c r="F39" s="54" t="s">
        <v>56</v>
      </c>
      <c r="G39" s="32" t="s">
        <v>58</v>
      </c>
    </row>
    <row r="40" spans="1:8" ht="15.75" thickBot="1" x14ac:dyDescent="0.3">
      <c r="A40" s="14">
        <f>0.38+(C4-3.3)*(0.24-0.38)/(12-3.3)</f>
        <v>0.24</v>
      </c>
      <c r="B40" s="21">
        <f>G20^2*A40</f>
        <v>0.24217992773437505</v>
      </c>
      <c r="C40" s="21">
        <v>1.5E-3</v>
      </c>
      <c r="D40" s="11">
        <f>C40*C4</f>
        <v>1.8000000000000002E-2</v>
      </c>
      <c r="E40" s="21">
        <f>D40+B40</f>
        <v>0.26017992773437504</v>
      </c>
      <c r="F40" s="11">
        <v>55</v>
      </c>
      <c r="G40" s="13">
        <f>F40*E40</f>
        <v>14.309896025390627</v>
      </c>
    </row>
    <row r="41" spans="1:8" ht="15.75" thickBot="1" x14ac:dyDescent="0.3"/>
    <row r="42" spans="1:8" x14ac:dyDescent="0.25">
      <c r="A42" s="56" t="s">
        <v>25</v>
      </c>
      <c r="B42" s="57"/>
      <c r="C42" s="57"/>
      <c r="D42" s="58"/>
    </row>
    <row r="43" spans="1:8" ht="30" x14ac:dyDescent="0.25">
      <c r="A43" s="27" t="s">
        <v>66</v>
      </c>
      <c r="B43" s="54" t="s">
        <v>67</v>
      </c>
      <c r="C43" s="55" t="s">
        <v>11</v>
      </c>
      <c r="D43" s="32" t="s">
        <v>63</v>
      </c>
    </row>
    <row r="44" spans="1:8" ht="15.75" thickBot="1" x14ac:dyDescent="0.3">
      <c r="A44" s="43">
        <f>E40+B36+E32+M12</f>
        <v>1.0199923633155434</v>
      </c>
      <c r="B44" s="21">
        <f>B4*D4+A44</f>
        <v>4.319992363315543</v>
      </c>
      <c r="C44" s="12">
        <f>B4*D4/B44</f>
        <v>0.76389023925664745</v>
      </c>
      <c r="D44" s="36">
        <f>B44/C4</f>
        <v>0.35999936360962859</v>
      </c>
    </row>
    <row r="45" spans="1:8" ht="15.75" thickBot="1" x14ac:dyDescent="0.3"/>
    <row r="46" spans="1:8" x14ac:dyDescent="0.25">
      <c r="A46" s="56" t="s">
        <v>26</v>
      </c>
      <c r="B46" s="57"/>
      <c r="C46" s="58"/>
      <c r="D46" s="2"/>
      <c r="E46" s="2"/>
      <c r="F46" s="2"/>
      <c r="G46" s="2"/>
      <c r="H46" s="2"/>
    </row>
    <row r="47" spans="1:8" ht="30" x14ac:dyDescent="0.25">
      <c r="A47" s="33" t="s">
        <v>12</v>
      </c>
      <c r="B47" s="54" t="s">
        <v>68</v>
      </c>
      <c r="C47" s="29" t="s">
        <v>11</v>
      </c>
    </row>
    <row r="48" spans="1:8" x14ac:dyDescent="0.25">
      <c r="A48" s="5"/>
      <c r="B48" s="4"/>
      <c r="C48" s="7">
        <f>C44</f>
        <v>0.76389023925664745</v>
      </c>
      <c r="D48" s="3"/>
    </row>
    <row r="49" spans="1:3" x14ac:dyDescent="0.25">
      <c r="A49" s="5">
        <v>-20</v>
      </c>
      <c r="B49" s="40">
        <f>10^(A49/10)</f>
        <v>0.01</v>
      </c>
      <c r="C49" s="7">
        <f t="dataTable" ref="C49:C72" dt2D="0" dtr="0" r1="D4"/>
        <v>0.59578607412179208</v>
      </c>
    </row>
    <row r="50" spans="1:3" x14ac:dyDescent="0.25">
      <c r="A50" s="5">
        <v>-19</v>
      </c>
      <c r="B50" s="40">
        <f t="shared" ref="B50:B72" si="0">10^(A50/10)</f>
        <v>1.2589254117941664E-2</v>
      </c>
      <c r="C50" s="7">
        <v>0.63872216746454036</v>
      </c>
    </row>
    <row r="51" spans="1:3" x14ac:dyDescent="0.25">
      <c r="A51" s="5">
        <v>-18</v>
      </c>
      <c r="B51" s="40">
        <f t="shared" si="0"/>
        <v>1.5848931924611124E-2</v>
      </c>
      <c r="C51" s="7">
        <v>0.67740736624075792</v>
      </c>
    </row>
    <row r="52" spans="1:3" x14ac:dyDescent="0.25">
      <c r="A52" s="5">
        <v>-17</v>
      </c>
      <c r="B52" s="40">
        <f t="shared" si="0"/>
        <v>1.9952623149688792E-2</v>
      </c>
      <c r="C52" s="7">
        <v>0.71150809415891203</v>
      </c>
    </row>
    <row r="53" spans="1:3" x14ac:dyDescent="0.25">
      <c r="A53" s="5">
        <v>-16</v>
      </c>
      <c r="B53" s="40">
        <f t="shared" si="0"/>
        <v>2.511886431509578E-2</v>
      </c>
      <c r="C53" s="7">
        <v>0.74095778606822471</v>
      </c>
    </row>
    <row r="54" spans="1:3" x14ac:dyDescent="0.25">
      <c r="A54" s="5">
        <v>-15</v>
      </c>
      <c r="B54" s="40">
        <f t="shared" si="0"/>
        <v>3.1622776601683784E-2</v>
      </c>
      <c r="C54" s="7">
        <v>0.76589658875390043</v>
      </c>
    </row>
    <row r="55" spans="1:3" x14ac:dyDescent="0.25">
      <c r="A55" s="5">
        <v>-14</v>
      </c>
      <c r="B55" s="40">
        <f t="shared" si="0"/>
        <v>3.9810717055349727E-2</v>
      </c>
      <c r="C55" s="7">
        <v>0.78660297107672672</v>
      </c>
    </row>
    <row r="56" spans="1:3" x14ac:dyDescent="0.25">
      <c r="A56" s="5">
        <v>-13</v>
      </c>
      <c r="B56" s="40">
        <f t="shared" si="0"/>
        <v>5.0118723362727206E-2</v>
      </c>
      <c r="C56" s="7">
        <v>0.80342937743270559</v>
      </c>
    </row>
    <row r="57" spans="1:3" x14ac:dyDescent="0.25">
      <c r="A57" s="5">
        <v>-12</v>
      </c>
      <c r="B57" s="40">
        <f t="shared" si="0"/>
        <v>6.3095734448019317E-2</v>
      </c>
      <c r="C57" s="7">
        <v>0.81674877066109941</v>
      </c>
    </row>
    <row r="58" spans="1:3" x14ac:dyDescent="0.25">
      <c r="A58" s="5">
        <v>-11</v>
      </c>
      <c r="B58" s="40">
        <f t="shared" si="0"/>
        <v>7.9432823472428096E-2</v>
      </c>
      <c r="C58" s="7">
        <v>0.82691430949605194</v>
      </c>
    </row>
    <row r="59" spans="1:3" x14ac:dyDescent="0.25">
      <c r="A59" s="5">
        <v>-10</v>
      </c>
      <c r="B59" s="40">
        <f t="shared" si="0"/>
        <v>0.1</v>
      </c>
      <c r="C59" s="7">
        <v>0.83423134821864409</v>
      </c>
    </row>
    <row r="60" spans="1:3" x14ac:dyDescent="0.25">
      <c r="A60" s="5">
        <v>-9</v>
      </c>
      <c r="B60" s="40">
        <f t="shared" si="0"/>
        <v>0.12589254117941667</v>
      </c>
      <c r="C60" s="7">
        <v>0.83893943602332588</v>
      </c>
    </row>
    <row r="61" spans="1:3" x14ac:dyDescent="0.25">
      <c r="A61" s="5">
        <v>-8</v>
      </c>
      <c r="B61" s="40">
        <f t="shared" si="0"/>
        <v>0.15848931924611132</v>
      </c>
      <c r="C61" s="7">
        <v>0.84120163497250633</v>
      </c>
    </row>
    <row r="62" spans="1:3" x14ac:dyDescent="0.25">
      <c r="A62" s="5">
        <v>-7</v>
      </c>
      <c r="B62" s="40">
        <f t="shared" si="0"/>
        <v>0.19952623149688795</v>
      </c>
      <c r="C62" s="7">
        <v>0.84109881375795825</v>
      </c>
    </row>
    <row r="63" spans="1:3" x14ac:dyDescent="0.25">
      <c r="A63" s="5">
        <v>-6</v>
      </c>
      <c r="B63" s="40">
        <f t="shared" si="0"/>
        <v>0.25118864315095801</v>
      </c>
      <c r="C63" s="7">
        <v>0.83862726105884511</v>
      </c>
    </row>
    <row r="64" spans="1:3" x14ac:dyDescent="0.25">
      <c r="A64" s="5">
        <v>-5</v>
      </c>
      <c r="B64" s="40">
        <f t="shared" si="0"/>
        <v>0.31622776601683794</v>
      </c>
      <c r="C64" s="7">
        <v>0.83369878880873438</v>
      </c>
    </row>
    <row r="65" spans="1:6" x14ac:dyDescent="0.25">
      <c r="A65" s="5">
        <v>-4</v>
      </c>
      <c r="B65" s="40">
        <f t="shared" si="0"/>
        <v>0.3981071705534972</v>
      </c>
      <c r="C65" s="7">
        <v>0.8261433635025377</v>
      </c>
    </row>
    <row r="66" spans="1:6" x14ac:dyDescent="0.25">
      <c r="A66" s="5">
        <v>-3</v>
      </c>
      <c r="B66" s="40">
        <f t="shared" si="0"/>
        <v>0.50118723362727224</v>
      </c>
      <c r="C66" s="7">
        <v>0.81571516999636562</v>
      </c>
    </row>
    <row r="67" spans="1:6" x14ac:dyDescent="0.25">
      <c r="A67" s="5">
        <v>-2</v>
      </c>
      <c r="B67" s="40">
        <f t="shared" si="0"/>
        <v>0.63095734448019325</v>
      </c>
      <c r="C67" s="7">
        <v>0.80210383171876265</v>
      </c>
    </row>
    <row r="68" spans="1:6" x14ac:dyDescent="0.25">
      <c r="A68" s="5">
        <v>-1</v>
      </c>
      <c r="B68" s="40">
        <f t="shared" si="0"/>
        <v>0.79432823472428149</v>
      </c>
      <c r="C68" s="7">
        <v>0.78495317758155125</v>
      </c>
    </row>
    <row r="69" spans="1:6" x14ac:dyDescent="0.25">
      <c r="A69" s="5">
        <v>0</v>
      </c>
      <c r="B69" s="40">
        <f t="shared" si="0"/>
        <v>1</v>
      </c>
      <c r="C69" s="7">
        <v>0.76389023925664745</v>
      </c>
    </row>
    <row r="70" spans="1:6" x14ac:dyDescent="0.25">
      <c r="A70" s="5">
        <v>1</v>
      </c>
      <c r="B70" s="40">
        <f t="shared" si="0"/>
        <v>1.2589254117941673</v>
      </c>
      <c r="C70" s="7">
        <v>0.73856672208597696</v>
      </c>
    </row>
    <row r="71" spans="1:6" x14ac:dyDescent="0.25">
      <c r="A71" s="5">
        <v>2</v>
      </c>
      <c r="B71" s="40">
        <f t="shared" si="0"/>
        <v>1.5848931924611136</v>
      </c>
      <c r="C71" s="7">
        <v>0.70871356038854971</v>
      </c>
    </row>
    <row r="72" spans="1:6" ht="15.75" thickBot="1" x14ac:dyDescent="0.3">
      <c r="A72" s="8">
        <v>3</v>
      </c>
      <c r="B72" s="41">
        <f t="shared" si="0"/>
        <v>1.9952623149688797</v>
      </c>
      <c r="C72" s="10">
        <v>0.67420596628980245</v>
      </c>
    </row>
    <row r="73" spans="1:6" ht="15.75" thickBot="1" x14ac:dyDescent="0.3">
      <c r="C73" s="1"/>
    </row>
    <row r="74" spans="1:6" x14ac:dyDescent="0.25">
      <c r="A74" s="56" t="s">
        <v>69</v>
      </c>
      <c r="B74" s="57"/>
      <c r="C74" s="57"/>
      <c r="D74" s="57"/>
      <c r="E74" s="57"/>
      <c r="F74" s="58"/>
    </row>
    <row r="75" spans="1:6" x14ac:dyDescent="0.25">
      <c r="A75" s="45" t="s">
        <v>70</v>
      </c>
      <c r="B75" s="46" t="s">
        <v>71</v>
      </c>
      <c r="C75" s="46" t="s">
        <v>72</v>
      </c>
      <c r="D75" s="46" t="s">
        <v>73</v>
      </c>
      <c r="E75" s="46" t="s">
        <v>74</v>
      </c>
      <c r="F75" s="47" t="s">
        <v>79</v>
      </c>
    </row>
    <row r="76" spans="1:6" x14ac:dyDescent="0.25">
      <c r="A76" s="53" t="s">
        <v>89</v>
      </c>
      <c r="B76" s="46" t="s">
        <v>77</v>
      </c>
      <c r="C76" s="46">
        <v>1</v>
      </c>
      <c r="D76" s="48">
        <v>0.31</v>
      </c>
      <c r="E76" s="48">
        <f>D76*C76</f>
        <v>0.31</v>
      </c>
      <c r="F76" s="47" t="s">
        <v>0</v>
      </c>
    </row>
    <row r="77" spans="1:6" x14ac:dyDescent="0.25">
      <c r="A77" s="45" t="s">
        <v>96</v>
      </c>
      <c r="B77" s="46" t="s">
        <v>95</v>
      </c>
      <c r="C77" s="46">
        <v>1</v>
      </c>
      <c r="D77" s="48">
        <v>0.1</v>
      </c>
      <c r="E77" s="48">
        <f>D77*C77</f>
        <v>0.1</v>
      </c>
      <c r="F77" s="47" t="s">
        <v>1</v>
      </c>
    </row>
    <row r="78" spans="1:6" x14ac:dyDescent="0.25">
      <c r="A78" s="45" t="s">
        <v>80</v>
      </c>
      <c r="B78" s="46" t="s">
        <v>81</v>
      </c>
      <c r="C78" s="46">
        <v>1</v>
      </c>
      <c r="D78" s="48">
        <v>0.28999999999999998</v>
      </c>
      <c r="E78" s="48">
        <f t="shared" ref="E78:E82" si="1">D78*C78</f>
        <v>0.28999999999999998</v>
      </c>
      <c r="F78" s="47" t="s">
        <v>6</v>
      </c>
    </row>
    <row r="79" spans="1:6" x14ac:dyDescent="0.25">
      <c r="A79" s="45" t="s">
        <v>82</v>
      </c>
      <c r="B79" s="46"/>
      <c r="C79" s="46">
        <v>1</v>
      </c>
      <c r="D79" s="48">
        <v>0.69299999999999995</v>
      </c>
      <c r="E79" s="48">
        <f t="shared" si="1"/>
        <v>0.69299999999999995</v>
      </c>
      <c r="F79" s="47" t="s">
        <v>83</v>
      </c>
    </row>
    <row r="80" spans="1:6" x14ac:dyDescent="0.25">
      <c r="A80" s="45" t="s">
        <v>87</v>
      </c>
      <c r="B80" s="46" t="s">
        <v>84</v>
      </c>
      <c r="C80" s="46">
        <v>1</v>
      </c>
      <c r="D80" s="48">
        <v>1.1599999999999999</v>
      </c>
      <c r="E80" s="48">
        <f t="shared" si="1"/>
        <v>1.1599999999999999</v>
      </c>
      <c r="F80" s="47" t="s">
        <v>7</v>
      </c>
    </row>
    <row r="81" spans="1:6" x14ac:dyDescent="0.25">
      <c r="A81" s="45" t="s">
        <v>92</v>
      </c>
      <c r="B81" s="46" t="s">
        <v>81</v>
      </c>
      <c r="C81" s="46">
        <v>1</v>
      </c>
      <c r="D81" s="48">
        <v>0.12</v>
      </c>
      <c r="E81" s="48">
        <f t="shared" si="1"/>
        <v>0.12</v>
      </c>
      <c r="F81" s="47" t="s">
        <v>8</v>
      </c>
    </row>
    <row r="82" spans="1:6" x14ac:dyDescent="0.25">
      <c r="A82" s="45" t="s">
        <v>93</v>
      </c>
      <c r="B82" s="46" t="s">
        <v>94</v>
      </c>
      <c r="C82" s="46">
        <v>1</v>
      </c>
      <c r="D82" s="48">
        <v>0.33</v>
      </c>
      <c r="E82" s="51">
        <f t="shared" si="1"/>
        <v>0.33</v>
      </c>
      <c r="F82" s="47" t="s">
        <v>86</v>
      </c>
    </row>
    <row r="83" spans="1:6" x14ac:dyDescent="0.25">
      <c r="A83" s="45"/>
      <c r="B83" s="46"/>
      <c r="C83" s="46"/>
      <c r="D83" s="46"/>
      <c r="E83" s="46"/>
      <c r="F83" s="47"/>
    </row>
    <row r="84" spans="1:6" ht="15.75" thickBot="1" x14ac:dyDescent="0.3">
      <c r="A84" s="49"/>
      <c r="B84" s="9" t="s">
        <v>88</v>
      </c>
      <c r="C84" s="9">
        <f>SUM(Table14[Quantity])</f>
        <v>7</v>
      </c>
      <c r="D84" s="9"/>
      <c r="E84" s="52">
        <f>SUM(Table14[Price])</f>
        <v>3.0030000000000001</v>
      </c>
      <c r="F84" s="50"/>
    </row>
  </sheetData>
  <mergeCells count="16">
    <mergeCell ref="A38:G38"/>
    <mergeCell ref="A42:D42"/>
    <mergeCell ref="A46:C46"/>
    <mergeCell ref="A74:F74"/>
    <mergeCell ref="A18:C18"/>
    <mergeCell ref="E18:G18"/>
    <mergeCell ref="A22:F22"/>
    <mergeCell ref="A26:F26"/>
    <mergeCell ref="A30:F30"/>
    <mergeCell ref="A34:B34"/>
    <mergeCell ref="A1:G1"/>
    <mergeCell ref="E2:F2"/>
    <mergeCell ref="A6:M6"/>
    <mergeCell ref="A10:M10"/>
    <mergeCell ref="A14:C14"/>
    <mergeCell ref="E14:G14"/>
  </mergeCells>
  <conditionalFormatting sqref="G40">
    <cfRule type="colorScale" priority="1">
      <colorScale>
        <cfvo type="num" val="0"/>
        <cfvo type="num" val="127"/>
        <color rgb="FF92D050"/>
        <color rgb="FFFF0000"/>
      </colorScale>
    </cfRule>
  </conditionalFormatting>
  <conditionalFormatting sqref="C32">
    <cfRule type="cellIs" dxfId="5" priority="2" stopIfTrue="1" operator="lessThanOrEqual">
      <formula>$G$20</formula>
    </cfRule>
    <cfRule type="cellIs" dxfId="4" priority="3" operator="between">
      <formula>$G$20</formula>
      <formula>1.2*$G$20</formula>
    </cfRule>
    <cfRule type="cellIs" dxfId="3" priority="4" operator="greaterThan">
      <formula>1.2*$G$20</formula>
    </cfRule>
  </conditionalFormatting>
  <conditionalFormatting sqref="B32">
    <cfRule type="cellIs" dxfId="2" priority="5" stopIfTrue="1" operator="lessThanOrEqual">
      <formula>$F$28</formula>
    </cfRule>
    <cfRule type="cellIs" dxfId="1" priority="6" operator="between">
      <formula>$F$28</formula>
      <formula>1.2*$F$28</formula>
    </cfRule>
    <cfRule type="cellIs" dxfId="0" priority="7" operator="greaterThan">
      <formula>1.2*$F$28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5V</vt:lpstr>
      <vt:lpstr>3V7</vt:lpstr>
      <vt:lpstr>3V3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2020-12-24T19:24:45Z</dcterms:created>
  <dcterms:modified xsi:type="dcterms:W3CDTF">2021-02-04T15:11:10Z</dcterms:modified>
</cp:coreProperties>
</file>