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92DECBFF-98E4-4823-A661-0FB51C39D0EB}" xr6:coauthVersionLast="45" xr6:coauthVersionMax="45" xr10:uidLastSave="{00000000-0000-0000-0000-000000000000}"/>
  <bookViews>
    <workbookView xWindow="25080" yWindow="-120" windowWidth="25440" windowHeight="15390" xr2:uid="{E72A3546-5772-4171-86E1-18A31D0176B6}"/>
  </bookViews>
  <sheets>
    <sheet name="Buck converters" sheetId="4" r:id="rId1"/>
    <sheet name="PMIC" sheetId="2" r:id="rId2"/>
    <sheet name="Ethernet PHY" sheetId="5" r:id="rId3"/>
    <sheet name="CPU" sheetId="1" r:id="rId4"/>
    <sheet name="DDR3L" sheetId="3" r:id="rId5"/>
    <sheet name="MIP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4" l="1" a="1"/>
  <c r="H4" i="4" s="1"/>
  <c r="I4" i="4" s="1"/>
  <c r="C4" i="4" s="1"/>
  <c r="D8" i="6"/>
  <c r="E2" i="6"/>
  <c r="E3" i="6"/>
  <c r="F2" i="6"/>
  <c r="D4" i="4" l="1"/>
  <c r="C6" i="4"/>
  <c r="J4" i="4"/>
  <c r="J6" i="4" s="1"/>
  <c r="I6" i="4"/>
  <c r="E8" i="6"/>
  <c r="F8" i="6" s="1"/>
  <c r="F3" i="6"/>
  <c r="F5" i="6" s="1"/>
  <c r="E5" i="6"/>
  <c r="O14" i="2"/>
  <c r="D6" i="4" l="1"/>
  <c r="E4" i="4"/>
  <c r="E10" i="6"/>
  <c r="F10" i="6"/>
  <c r="O11" i="2"/>
  <c r="E4" i="5" a="1"/>
  <c r="E4" i="5" s="1"/>
  <c r="F4" i="5" a="1"/>
  <c r="F4" i="5"/>
  <c r="D4" i="5" a="1"/>
  <c r="D4" i="5" s="1"/>
  <c r="C9" i="3"/>
  <c r="C8" i="3"/>
  <c r="E2" i="5"/>
  <c r="F2" i="5" s="1"/>
  <c r="G2" i="4"/>
  <c r="E6" i="4" l="1"/>
  <c r="K4" i="4"/>
  <c r="K6" i="4" s="1"/>
  <c r="I3" i="4"/>
  <c r="C3" i="4" s="1"/>
  <c r="D3" i="4" s="1"/>
  <c r="E3" i="4" s="1"/>
  <c r="E21" i="2"/>
  <c r="E20" i="2"/>
  <c r="G20" i="2" s="1"/>
  <c r="E13" i="2"/>
  <c r="R13" i="2" s="1"/>
  <c r="E12" i="2"/>
  <c r="E11" i="2"/>
  <c r="E10" i="2"/>
  <c r="E8" i="2"/>
  <c r="E7" i="2"/>
  <c r="E5" i="2"/>
  <c r="E4" i="2"/>
  <c r="E3" i="2"/>
  <c r="E2" i="2"/>
  <c r="L21" i="2"/>
  <c r="L20" i="2"/>
  <c r="N20" i="2"/>
  <c r="O20" i="2" s="1"/>
  <c r="M20" i="2"/>
  <c r="G23" i="2"/>
  <c r="H23" i="2" s="1"/>
  <c r="O12" i="2"/>
  <c r="D30" i="1"/>
  <c r="F11" i="2" s="1"/>
  <c r="D27" i="1"/>
  <c r="G21" i="2"/>
  <c r="H21" i="2" s="1"/>
  <c r="R9" i="2"/>
  <c r="P13" i="2"/>
  <c r="Q13" i="2"/>
  <c r="P9" i="2"/>
  <c r="Q9" i="2" s="1"/>
  <c r="N14" i="2"/>
  <c r="N12" i="2"/>
  <c r="C13" i="2" s="1"/>
  <c r="F12" i="2"/>
  <c r="C20" i="2"/>
  <c r="F9" i="2"/>
  <c r="F13" i="2"/>
  <c r="G6" i="2"/>
  <c r="H6" i="2" s="1"/>
  <c r="J6" i="2"/>
  <c r="R6" i="2"/>
  <c r="G19" i="2"/>
  <c r="H19" i="2" s="1"/>
  <c r="J9" i="2"/>
  <c r="J3" i="2"/>
  <c r="J4" i="2"/>
  <c r="J5" i="2"/>
  <c r="J8" i="2"/>
  <c r="J2" i="2"/>
  <c r="O7" i="2"/>
  <c r="F7" i="2" s="1"/>
  <c r="O10" i="2"/>
  <c r="F10" i="2" s="1"/>
  <c r="O8" i="2"/>
  <c r="F8" i="2" s="1"/>
  <c r="F14" i="2"/>
  <c r="O5" i="2" s="1"/>
  <c r="O4" i="2"/>
  <c r="O3" i="2"/>
  <c r="N2" i="2"/>
  <c r="P2" i="2" s="1"/>
  <c r="Q2" i="2" s="1"/>
  <c r="N3" i="2"/>
  <c r="N4" i="2"/>
  <c r="N5" i="2"/>
  <c r="M14" i="2" s="1"/>
  <c r="N8" i="2"/>
  <c r="N10" i="2"/>
  <c r="N7" i="2"/>
  <c r="N11" i="2"/>
  <c r="D23" i="1"/>
  <c r="D25" i="1"/>
  <c r="E27" i="1"/>
  <c r="F27" i="1" s="1"/>
  <c r="E29" i="1"/>
  <c r="F29" i="1" s="1"/>
  <c r="D29" i="1"/>
  <c r="C29" i="1"/>
  <c r="C30" i="1"/>
  <c r="C28" i="1"/>
  <c r="C26" i="1"/>
  <c r="D26" i="1"/>
  <c r="C25" i="1"/>
  <c r="D24" i="1"/>
  <c r="C24" i="1"/>
  <c r="D21" i="1"/>
  <c r="D22" i="1"/>
  <c r="C23" i="1"/>
  <c r="C22" i="1"/>
  <c r="C21" i="1"/>
  <c r="C13" i="1"/>
  <c r="E13" i="1" s="1"/>
  <c r="F13" i="1" s="1"/>
  <c r="D9" i="3"/>
  <c r="E9" i="3" s="1"/>
  <c r="D8" i="3"/>
  <c r="E8" i="3" s="1"/>
  <c r="F5" i="3"/>
  <c r="E5" i="3"/>
  <c r="D2" i="3"/>
  <c r="E3" i="3"/>
  <c r="F3" i="3" s="1"/>
  <c r="F2" i="3"/>
  <c r="C3" i="3"/>
  <c r="M21" i="2" l="1"/>
  <c r="N21" i="2" s="1"/>
  <c r="O21" i="2" s="1"/>
  <c r="J3" i="4"/>
  <c r="G8" i="2"/>
  <c r="H8" i="2" s="1"/>
  <c r="R12" i="2"/>
  <c r="L14" i="2"/>
  <c r="E22" i="2"/>
  <c r="G22" i="2" s="1"/>
  <c r="H22" i="2" s="1"/>
  <c r="G7" i="2"/>
  <c r="H7" i="2" s="1"/>
  <c r="R4" i="2"/>
  <c r="H20" i="2"/>
  <c r="H25" i="2" s="1"/>
  <c r="G25" i="2"/>
  <c r="R3" i="2"/>
  <c r="R5" i="2"/>
  <c r="R8" i="2"/>
  <c r="G10" i="2"/>
  <c r="H10" i="2" s="1"/>
  <c r="T10" i="2" s="1"/>
  <c r="G13" i="2"/>
  <c r="H13" i="2" s="1"/>
  <c r="G9" i="2"/>
  <c r="H9" i="2" s="1"/>
  <c r="T9" i="2" s="1"/>
  <c r="G12" i="2"/>
  <c r="H12" i="2" s="1"/>
  <c r="C12" i="2"/>
  <c r="P12" i="2"/>
  <c r="Q12" i="2" s="1"/>
  <c r="C8" i="2"/>
  <c r="G11" i="2"/>
  <c r="H11" i="2" s="1"/>
  <c r="T11" i="2" s="1"/>
  <c r="P6" i="2"/>
  <c r="Q6" i="2" s="1"/>
  <c r="P7" i="2"/>
  <c r="Q7" i="2" s="1"/>
  <c r="P10" i="2"/>
  <c r="Q10" i="2" s="1"/>
  <c r="E14" i="2"/>
  <c r="R14" i="2" s="1"/>
  <c r="R10" i="2"/>
  <c r="P11" i="2"/>
  <c r="Q11" i="2" s="1"/>
  <c r="R11" i="2"/>
  <c r="R7" i="2"/>
  <c r="P4" i="2"/>
  <c r="E26" i="1"/>
  <c r="F26" i="1" s="1"/>
  <c r="E25" i="1"/>
  <c r="F25" i="1" s="1"/>
  <c r="E11" i="3"/>
  <c r="K3" i="4" l="1"/>
  <c r="T7" i="2"/>
  <c r="Q4" i="2"/>
  <c r="F4" i="2"/>
  <c r="T12" i="2"/>
  <c r="S9" i="2"/>
  <c r="T13" i="2"/>
  <c r="S13" i="2"/>
  <c r="S12" i="2"/>
  <c r="S6" i="2"/>
  <c r="G14" i="2"/>
  <c r="H14" i="2" s="1"/>
  <c r="T14" i="2" s="1"/>
  <c r="S11" i="2"/>
  <c r="S10" i="2"/>
  <c r="S7" i="2"/>
  <c r="P14" i="2"/>
  <c r="Q14" i="2" s="1"/>
  <c r="P8" i="2"/>
  <c r="Q8" i="2" s="1"/>
  <c r="T8" i="2" s="1"/>
  <c r="G4" i="2" l="1"/>
  <c r="H4" i="2" s="1"/>
  <c r="S4" i="2" s="1"/>
  <c r="S14" i="2"/>
  <c r="S8" i="2"/>
  <c r="E14" i="1" l="1"/>
  <c r="F14" i="1" s="1"/>
  <c r="E15" i="1"/>
  <c r="F15" i="1"/>
  <c r="C15" i="1"/>
  <c r="E23" i="1"/>
  <c r="F23" i="1" s="1"/>
  <c r="L12" i="1"/>
  <c r="D5" i="1" s="1"/>
  <c r="O3" i="1"/>
  <c r="O12" i="1" s="1"/>
  <c r="O4" i="1"/>
  <c r="O5" i="1"/>
  <c r="O6" i="1"/>
  <c r="O7" i="1"/>
  <c r="O8" i="1"/>
  <c r="O9" i="1"/>
  <c r="O10" i="1"/>
  <c r="O2" i="1"/>
  <c r="M3" i="1"/>
  <c r="N3" i="1" s="1"/>
  <c r="M4" i="1"/>
  <c r="N4" i="1" s="1"/>
  <c r="M5" i="1"/>
  <c r="N5" i="1" s="1"/>
  <c r="P5" i="1" s="1"/>
  <c r="M6" i="1"/>
  <c r="N6" i="1" s="1"/>
  <c r="M7" i="1"/>
  <c r="M8" i="1"/>
  <c r="N8" i="1" s="1"/>
  <c r="M9" i="1"/>
  <c r="N9" i="1" s="1"/>
  <c r="P9" i="1" s="1"/>
  <c r="M10" i="1"/>
  <c r="M2" i="1"/>
  <c r="N2" i="1" s="1"/>
  <c r="P2" i="1" s="1"/>
  <c r="N18" i="1"/>
  <c r="O18" i="1" s="1"/>
  <c r="P18" i="1" s="1"/>
  <c r="N19" i="1"/>
  <c r="N20" i="1"/>
  <c r="O20" i="1" s="1"/>
  <c r="P20" i="1" s="1"/>
  <c r="N21" i="1"/>
  <c r="N22" i="1"/>
  <c r="O22" i="1" s="1"/>
  <c r="P22" i="1" s="1"/>
  <c r="N23" i="1"/>
  <c r="O23" i="1" s="1"/>
  <c r="P23" i="1" s="1"/>
  <c r="N24" i="1"/>
  <c r="O24" i="1" s="1"/>
  <c r="P24" i="1" s="1"/>
  <c r="N25" i="1"/>
  <c r="O25" i="1" s="1"/>
  <c r="P25" i="1" s="1"/>
  <c r="N26" i="1"/>
  <c r="O26" i="1" s="1"/>
  <c r="P26" i="1" s="1"/>
  <c r="N27" i="1"/>
  <c r="O27" i="1" s="1"/>
  <c r="P27" i="1" s="1"/>
  <c r="N28" i="1"/>
  <c r="O28" i="1" s="1"/>
  <c r="P28" i="1" s="1"/>
  <c r="N29" i="1"/>
  <c r="O29" i="1" s="1"/>
  <c r="P29" i="1" s="1"/>
  <c r="N30" i="1"/>
  <c r="O30" i="1" s="1"/>
  <c r="P30" i="1" s="1"/>
  <c r="N17" i="1"/>
  <c r="E3" i="1"/>
  <c r="E4" i="1"/>
  <c r="F4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N10" i="1"/>
  <c r="P10" i="1" s="1"/>
  <c r="N7" i="1"/>
  <c r="P7" i="1" s="1"/>
  <c r="E2" i="1"/>
  <c r="F2" i="1" s="1"/>
  <c r="O21" i="1" l="1"/>
  <c r="P21" i="1" s="1"/>
  <c r="D28" i="1"/>
  <c r="E28" i="1" s="1"/>
  <c r="F28" i="1" s="1"/>
  <c r="O17" i="1"/>
  <c r="P17" i="1" s="1"/>
  <c r="N32" i="1"/>
  <c r="D16" i="1" s="1"/>
  <c r="O19" i="1"/>
  <c r="P19" i="1" s="1"/>
  <c r="E22" i="1"/>
  <c r="F22" i="1" s="1"/>
  <c r="P3" i="2"/>
  <c r="E24" i="1"/>
  <c r="F24" i="1" s="1"/>
  <c r="E21" i="1"/>
  <c r="F21" i="1"/>
  <c r="P8" i="1"/>
  <c r="P6" i="1"/>
  <c r="P4" i="1"/>
  <c r="P3" i="1"/>
  <c r="P32" i="1"/>
  <c r="O32" i="1"/>
  <c r="N12" i="1"/>
  <c r="P12" i="1" s="1"/>
  <c r="M12" i="1"/>
  <c r="F3" i="1"/>
  <c r="Q3" i="2" l="1"/>
  <c r="F3" i="2"/>
  <c r="E16" i="1"/>
  <c r="E18" i="1" s="1"/>
  <c r="E30" i="1"/>
  <c r="F16" i="1"/>
  <c r="E5" i="1"/>
  <c r="G3" i="2" l="1"/>
  <c r="H3" i="2" s="1"/>
  <c r="S3" i="2" s="1"/>
  <c r="F30" i="1"/>
  <c r="F32" i="1" s="1"/>
  <c r="E32" i="1"/>
  <c r="F5" i="1"/>
  <c r="F18" i="1" s="1"/>
  <c r="F8" i="3" l="1"/>
  <c r="F9" i="3"/>
  <c r="P5" i="2"/>
  <c r="F2" i="2"/>
  <c r="G2" i="2" s="1"/>
  <c r="R2" i="2"/>
  <c r="F11" i="3" l="1"/>
  <c r="P16" i="2"/>
  <c r="F5" i="2"/>
  <c r="G5" i="2" s="1"/>
  <c r="H5" i="2" s="1"/>
  <c r="Q5" i="2"/>
  <c r="Q16" i="2" s="1"/>
  <c r="H2" i="2"/>
  <c r="M19" i="2" l="1"/>
  <c r="G16" i="2"/>
  <c r="S5" i="2"/>
  <c r="S2" i="2"/>
  <c r="H16" i="2"/>
  <c r="T16" i="2" s="1"/>
  <c r="N19" i="2" l="1"/>
  <c r="O19" i="2" s="1"/>
  <c r="O23" i="2" s="1"/>
  <c r="H2" i="4"/>
  <c r="I2" i="4" s="1"/>
  <c r="S16" i="2"/>
  <c r="J2" i="4" l="1"/>
  <c r="C2" i="4"/>
  <c r="N23" i="2"/>
  <c r="D2" i="4" l="1"/>
  <c r="E2" i="4" l="1"/>
  <c r="K2" i="4" l="1"/>
  <c r="L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<sst xmlns="http://schemas.openxmlformats.org/spreadsheetml/2006/main" count="227" uniqueCount="129">
  <si>
    <t>Source</t>
  </si>
  <si>
    <t>Sink</t>
  </si>
  <si>
    <t>VDD_ARM</t>
  </si>
  <si>
    <t>Current (mA)</t>
  </si>
  <si>
    <t>Voltage (V)</t>
  </si>
  <si>
    <t>Power (mW)</t>
  </si>
  <si>
    <t>Power (W)</t>
  </si>
  <si>
    <t>VDD_SOC</t>
  </si>
  <si>
    <t>VDDA_1P8_IN</t>
  </si>
  <si>
    <t>VDD_SNVS_IN</t>
  </si>
  <si>
    <t>VDD_XTAL_1P8</t>
  </si>
  <si>
    <t>VDD_LPSR_IN</t>
  </si>
  <si>
    <t>VDD_TEMPSENSOR_1P8</t>
  </si>
  <si>
    <t>VDDA_ADC1_1P8</t>
  </si>
  <si>
    <t>VDDA_ADC2_1P8</t>
  </si>
  <si>
    <t>FUSE_FSOURCE</t>
  </si>
  <si>
    <t>VDD_MIPI_1P0</t>
  </si>
  <si>
    <t>PCIE_VP</t>
  </si>
  <si>
    <t>PCIE_VP_RX</t>
  </si>
  <si>
    <t>PCIE_VP_TX</t>
  </si>
  <si>
    <t>PCIE_VPH</t>
  </si>
  <si>
    <t>PCIE_VPH_RX</t>
  </si>
  <si>
    <t>PCIE_VPH_TX</t>
  </si>
  <si>
    <t>From VDDA_1P8_IN</t>
  </si>
  <si>
    <t>VDD_USB_H_1P2</t>
  </si>
  <si>
    <t>VDDA_MIPI_1P8</t>
  </si>
  <si>
    <t>Total</t>
  </si>
  <si>
    <t>Efficiency</t>
  </si>
  <si>
    <t>NVCC_GPIO1</t>
  </si>
  <si>
    <t>NVCC_GPIO2</t>
  </si>
  <si>
    <t>NVCC_SD2</t>
  </si>
  <si>
    <t>NVCC_SD3</t>
  </si>
  <si>
    <t>NVCC_SD1</t>
  </si>
  <si>
    <t>NVCC_ENET1</t>
  </si>
  <si>
    <t>NVCC_EPDC1</t>
  </si>
  <si>
    <t>NVCC_EPDC2</t>
  </si>
  <si>
    <t>NVCC_SAI</t>
  </si>
  <si>
    <t>NVCC_LCD</t>
  </si>
  <si>
    <t>NVCC_SPI</t>
  </si>
  <si>
    <t>NVCC_ECSPI</t>
  </si>
  <si>
    <t>NVCC_I2C</t>
  </si>
  <si>
    <t>NVCC_UART</t>
  </si>
  <si>
    <t>Number of pins</t>
  </si>
  <si>
    <t>Capacitance (F)</t>
  </si>
  <si>
    <t>Frequency (Hz)</t>
  </si>
  <si>
    <t xml:space="preserve"> - Internal LDOs</t>
  </si>
  <si>
    <t>Source voltage (V)</t>
  </si>
  <si>
    <t>LDO power lost (W)</t>
  </si>
  <si>
    <t>Peripheral power</t>
  </si>
  <si>
    <t>Source requirements</t>
  </si>
  <si>
    <t>Voltage out (V)</t>
  </si>
  <si>
    <t>DRAM_VREF</t>
  </si>
  <si>
    <t>NVCC_DRAM</t>
  </si>
  <si>
    <t>VDD</t>
  </si>
  <si>
    <t>VIN</t>
  </si>
  <si>
    <t>VREF</t>
  </si>
  <si>
    <t>Notes</t>
  </si>
  <si>
    <t>Estimated</t>
  </si>
  <si>
    <t>From Micron calculator worksheet</t>
  </si>
  <si>
    <t>Per DRAM IC</t>
  </si>
  <si>
    <t>NVCC_DRAM_CKE</t>
  </si>
  <si>
    <t>Peripherals</t>
  </si>
  <si>
    <t>SW1A</t>
  </si>
  <si>
    <t>SW2</t>
  </si>
  <si>
    <t>SW3</t>
  </si>
  <si>
    <t>SD</t>
  </si>
  <si>
    <t>3V3 LP</t>
  </si>
  <si>
    <t>CPU 1V8</t>
  </si>
  <si>
    <t>CPU power by input</t>
  </si>
  <si>
    <t>CPU power by source (sinks grouped)</t>
  </si>
  <si>
    <t>Current out (mA)</t>
  </si>
  <si>
    <t>Power out (mW)</t>
  </si>
  <si>
    <t>Power out (W)</t>
  </si>
  <si>
    <t>SW1B</t>
  </si>
  <si>
    <t>VCC_SD</t>
  </si>
  <si>
    <t>VLDO3</t>
  </si>
  <si>
    <t>VSNVS</t>
  </si>
  <si>
    <t>V33</t>
  </si>
  <si>
    <t>Voltage in (V)</t>
  </si>
  <si>
    <t>Current in (mA)</t>
  </si>
  <si>
    <t>Voltage drop (V)</t>
  </si>
  <si>
    <t>Power in (W)</t>
  </si>
  <si>
    <t>Power in (mW)</t>
  </si>
  <si>
    <t>Heat loss (W)</t>
  </si>
  <si>
    <t>Max current out (mA)</t>
  </si>
  <si>
    <t>Regulators</t>
  </si>
  <si>
    <t>VDDIO</t>
  </si>
  <si>
    <t>Output</t>
  </si>
  <si>
    <t>VLDO2</t>
  </si>
  <si>
    <t>VLDO1</t>
  </si>
  <si>
    <t>VLDO4</t>
  </si>
  <si>
    <t>VLDO34IN</t>
  </si>
  <si>
    <t>VPWR</t>
  </si>
  <si>
    <t>SWBST</t>
  </si>
  <si>
    <t>VIN2</t>
  </si>
  <si>
    <t>None</t>
  </si>
  <si>
    <t>VDDOTP</t>
  </si>
  <si>
    <t>Max voltage in (V)</t>
  </si>
  <si>
    <t>Max voltage out (V)</t>
  </si>
  <si>
    <t>SW1A/B operating in independent mode</t>
  </si>
  <si>
    <t>Not taking int account quiescent current (uA range)</t>
  </si>
  <si>
    <t>VINREFDDR</t>
  </si>
  <si>
    <t>Min voltage out (V)</t>
  </si>
  <si>
    <t>VREFDDR</t>
  </si>
  <si>
    <t>3V3 LP, VDDIO</t>
  </si>
  <si>
    <t>Internal</t>
  </si>
  <si>
    <t>Min voltage in (V)</t>
  </si>
  <si>
    <t>PMIC Inputs</t>
  </si>
  <si>
    <t>Sinks</t>
  </si>
  <si>
    <t>Primary power in</t>
  </si>
  <si>
    <t>PMIC</t>
  </si>
  <si>
    <t>USB</t>
  </si>
  <si>
    <t>VDDIO, VDDCR, VDD1A, VDD2A</t>
  </si>
  <si>
    <t>Peripherals, Ethernet PHY</t>
  </si>
  <si>
    <t>System input power</t>
  </si>
  <si>
    <t>Input voltage
(V)</t>
  </si>
  <si>
    <t>Current in
(mA)</t>
  </si>
  <si>
    <t>Power in
(mW)</t>
  </si>
  <si>
    <t>Power in
(W)</t>
  </si>
  <si>
    <t>Output voltage
(V)</t>
  </si>
  <si>
    <t>Current out
(mA)</t>
  </si>
  <si>
    <t>Power out
(mW)</t>
  </si>
  <si>
    <t>Power out
(W)</t>
  </si>
  <si>
    <t>Heat loss
(W)</t>
  </si>
  <si>
    <t>NVCC_DRAM, VINREFDDR, DDR3L</t>
  </si>
  <si>
    <t>CSI</t>
  </si>
  <si>
    <t>DSI</t>
  </si>
  <si>
    <t>3V3</t>
  </si>
  <si>
    <t>MIPI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</si>
</sst>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1" fontId="0" fillId="0" borderId="7" xfId="0" applyNumberFormat="1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164" fontId="0" fillId="0" borderId="4" xfId="0" applyNumberFormat="1" applyBorder="1"/>
    <xf numFmtId="165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9" fontId="0" fillId="0" borderId="4" xfId="1" applyFont="1" applyBorder="1"/>
    <xf numFmtId="11" fontId="0" fillId="0" borderId="0" xfId="0" applyNumberFormat="1" applyBorder="1"/>
    <xf numFmtId="166" fontId="0" fillId="0" borderId="4" xfId="0" applyNumberFormat="1" applyBorder="1"/>
    <xf numFmtId="0" fontId="0" fillId="0" borderId="10" xfId="0" applyBorder="1"/>
    <xf numFmtId="9" fontId="0" fillId="0" borderId="6" xfId="1" applyFont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15" xfId="0" applyNumberFormat="1" applyBorder="1"/>
    <xf numFmtId="164" fontId="0" fillId="0" borderId="15" xfId="0" applyNumberFormat="1" applyBorder="1"/>
    <xf numFmtId="0" fontId="0" fillId="0" borderId="16" xfId="0" applyBorder="1"/>
    <xf numFmtId="1" fontId="0" fillId="0" borderId="16" xfId="0" applyNumberFormat="1" applyBorder="1"/>
    <xf numFmtId="164" fontId="0" fillId="0" borderId="17" xfId="0" applyNumberFormat="1" applyBorder="1"/>
    <xf numFmtId="0" fontId="0" fillId="0" borderId="8" xfId="0" applyFont="1" applyBorder="1"/>
    <xf numFmtId="0" fontId="0" fillId="0" borderId="9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8" xfId="0" applyBorder="1"/>
    <xf numFmtId="164" fontId="0" fillId="0" borderId="16" xfId="0" applyNumberFormat="1" applyBorder="1"/>
    <xf numFmtId="2" fontId="0" fillId="0" borderId="16" xfId="0" applyNumberFormat="1" applyBorder="1"/>
    <xf numFmtId="9" fontId="0" fillId="0" borderId="17" xfId="1" applyFont="1" applyBorder="1"/>
    <xf numFmtId="0" fontId="0" fillId="0" borderId="0" xfId="0"/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2" fontId="0" fillId="0" borderId="15" xfId="0" applyNumberFormat="1" applyBorder="1"/>
    <xf numFmtId="1" fontId="0" fillId="0" borderId="15" xfId="0" applyNumberFormat="1" applyBorder="1"/>
    <xf numFmtId="2" fontId="0" fillId="0" borderId="17" xfId="0" applyNumberFormat="1" applyBorder="1"/>
  </cellXfs>
  <cellStyles count="2">
    <cellStyle name="Normal" xfId="0" builtinId="0"/>
    <cellStyle name="Percent" xfId="1" builtinId="5"/>
  </cellStyles>
  <dxfs count="6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fgColor auto="1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" formatCode="0"/>
    </dxf>
    <dxf>
      <numFmt numFmtId="164" formatCode="0.000"/>
    </dxf>
    <dxf>
      <numFmt numFmtId="164" formatCode="0.000"/>
    </dxf>
    <dxf>
      <numFmt numFmtId="1" formatCode="0"/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alignment horizontal="center" vertical="bottom" textRotation="0" wrapText="1" indent="0" justifyLastLine="0" shrinkToFit="0" readingOrder="0"/>
    </dxf>
    <dxf>
      <numFmt numFmtId="164" formatCode="0.000"/>
    </dxf>
    <dxf>
      <numFmt numFmtId="164" formatCode="0.0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00"/>
    </dxf>
    <dxf>
      <numFmt numFmtId="164" formatCode="0.000"/>
    </dxf>
    <dxf>
      <numFmt numFmtId="1" formatCode="0"/>
    </dxf>
    <dxf>
      <numFmt numFmtId="164" formatCode="0.000"/>
    </dxf>
    <dxf>
      <numFmt numFmtId="1" formatCode="0"/>
    </dxf>
    <dxf>
      <numFmt numFmtId="1" formatCode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29884-83E4-4CB9-941E-86581A7C7D24}" name="Table9" displayName="Table9" ref="B1:L4" totalsRowShown="0" headerRowDxfId="62">
  <autoFilter ref="B1:L4" xr:uid="{8837DF0B-F947-47F6-BAB2-639251F47D32}"/>
  <tableColumns count="11">
    <tableColumn id="1" xr3:uid="{64AF6BF8-06D8-456B-B292-58F47ECF9BF9}" name="Input voltage_x000a_(V)"/>
    <tableColumn id="2" xr3:uid="{875EC177-152A-4041-9ECC-8D9CABF22856}" name="Current in_x000a_(mA)" dataDxfId="61">
      <calculatedColumnFormula>I2/B2/L2</calculatedColumnFormula>
    </tableColumn>
    <tableColumn id="3" xr3:uid="{C290F034-A301-4C58-9CBE-BBFFA79FEBF9}" name="Power in_x000a_(mW)" dataDxfId="60">
      <calculatedColumnFormula>B2*C2</calculatedColumnFormula>
    </tableColumn>
    <tableColumn id="4" xr3:uid="{215BC251-9678-4D00-A85C-B906B9DF625D}" name="Power in_x000a_(W)" dataDxfId="59">
      <calculatedColumnFormula>D2/1000</calculatedColumnFormula>
    </tableColumn>
    <tableColumn id="5" xr3:uid="{1C531A31-A671-4CEA-98D0-048400BE54C9}" name="Sink"/>
    <tableColumn id="6" xr3:uid="{A7C731B7-F2F9-4285-B64D-072DE649CF9E}" name="Output voltage_x000a_(V)"/>
    <tableColumn id="7" xr3:uid="{FB4AAEE5-7DF8-4806-866E-FF20D7AFDFBC}" name="Current out_x000a_(mA)"/>
    <tableColumn id="8" xr3:uid="{648F6602-28B0-4537-AE22-5CC1B9E6F90C}" name="Power out_x000a_(mW)" dataDxfId="58">
      <calculatedColumnFormula>G2*H2</calculatedColumnFormula>
    </tableColumn>
    <tableColumn id="9" xr3:uid="{460B383B-76D0-4DB4-9FCE-9AF75B108791}" name="Power out_x000a_(W)" dataDxfId="57">
      <calculatedColumnFormula>I2/1000</calculatedColumnFormula>
    </tableColumn>
    <tableColumn id="10" xr3:uid="{1B8CC755-9B2B-49E4-8D96-E8F4ED827615}" name="Heat loss_x000a_(W)" dataDxfId="56">
      <calculatedColumnFormula>E2-J2</calculatedColumnFormula>
    </tableColumn>
    <tableColumn id="11" xr3:uid="{8DA88ED1-BA42-4B1B-9AC4-C6709E7CC53A}" name="Efficiency" dataDxfId="55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8C2D89-6433-4009-ABEA-301F2EE0BDA6}" name="Table10" displayName="Table10" ref="B1:T14" totalsRowShown="0" headerRowDxfId="54">
  <autoFilter ref="B1:T14" xr:uid="{660142C1-230E-4338-B7F9-2B1ABCB59A99}"/>
  <tableColumns count="19">
    <tableColumn id="1" xr3:uid="{C32C9119-92FB-4C2B-B78D-96AA99DBA12F}" name="Source"/>
    <tableColumn id="2" xr3:uid="{1AB1B7EE-AC5E-4407-BCEB-5825830C3B86}" name="Min voltage in (V)"/>
    <tableColumn id="3" xr3:uid="{7E8842C1-993F-40B3-B9B3-93430011103F}" name="Max voltage in (V)"/>
    <tableColumn id="4" xr3:uid="{FF16302E-4F34-4DE9-A9FF-B2948BBC328C}" name="Voltage in (V)"/>
    <tableColumn id="5" xr3:uid="{317C6DA6-006D-4E68-87A7-44DCA77A817B}" name="Current in (mA)">
      <calculatedColumnFormula>O2</calculatedColumnFormula>
    </tableColumn>
    <tableColumn id="6" xr3:uid="{FE486BB4-7D80-47E4-B777-07DDD266AECC}" name="Power in (mW)" dataDxfId="53">
      <calculatedColumnFormula>E2*F2</calculatedColumnFormula>
    </tableColumn>
    <tableColumn id="7" xr3:uid="{0133FC51-05E5-4966-8DCD-0A90CF67BB88}" name="Power in (W)" dataDxfId="52">
      <calculatedColumnFormula>G2/1000</calculatedColumnFormula>
    </tableColumn>
    <tableColumn id="8" xr3:uid="{1C09D616-C725-4140-B7DE-6B6580E5CD8C}" name="Max current out (mA)" dataDxfId="51"/>
    <tableColumn id="9" xr3:uid="{9D26CC57-EE4B-4296-B55A-0316411A369B}" name="Output" dataDxfId="50"/>
    <tableColumn id="10" xr3:uid="{B957A170-8C95-4B29-B00B-C973C936787E}" name="Sink"/>
    <tableColumn id="11" xr3:uid="{EE32E27A-BD83-4BCA-8589-554F25AC8715}" name="Min voltage out (V)"/>
    <tableColumn id="12" xr3:uid="{3AF01889-8D2D-4EAC-97B9-547901DCCAFE}" name="Max voltage out (V)"/>
    <tableColumn id="13" xr3:uid="{173A4E0F-633C-4FF3-B73F-718616C6BC8F}" name="Voltage out (V)"/>
    <tableColumn id="14" xr3:uid="{5E1BB9C2-59E5-4565-AEF8-6C592777FF6B}" name="Current out (mA)" dataDxfId="49"/>
    <tableColumn id="15" xr3:uid="{DC560683-4A87-4E70-8DC8-8096A3C362C3}" name="Power out (mW)" dataDxfId="48">
      <calculatedColumnFormula>N2*O2</calculatedColumnFormula>
    </tableColumn>
    <tableColumn id="16" xr3:uid="{855B29C6-554F-46B9-94DB-149D10271BD4}" name="Power out (W)" dataDxfId="47">
      <calculatedColumnFormula>P2/1000</calculatedColumnFormula>
    </tableColumn>
    <tableColumn id="17" xr3:uid="{6FBB9F3C-240D-4933-9B15-D15CD70B30DB}" name="Voltage drop (V)">
      <calculatedColumnFormula>E2-N2</calculatedColumnFormula>
    </tableColumn>
    <tableColumn id="18" xr3:uid="{D283933F-6F5F-4BA8-9367-4D75B51F4D5D}" name="Heat loss (W)" dataDxfId="46">
      <calculatedColumnFormula>H2-Q2</calculatedColumnFormula>
    </tableColumn>
    <tableColumn id="19" xr3:uid="{02EC7941-E4D9-4CDB-97EC-81FDC39262D7}" name="Efficiency" dataDxfId="45" dataCellStyle="Percent">
      <calculatedColumnFormula>IF(H2=0,1,Q2/H2)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86B533-7364-4BB7-AAAA-D8DEE6FBB573}" name="Table11" displayName="Table11" ref="B18:H23" totalsRowShown="0" headerRowDxfId="44">
  <autoFilter ref="B18:H23" xr:uid="{DB6740D6-ABDF-4DE8-998E-29F3E18761F9}"/>
  <tableColumns count="7">
    <tableColumn id="1" xr3:uid="{2D34AD4E-9D3F-49AA-ABF6-FEFD15E0CF5F}" name="Source"/>
    <tableColumn id="2" xr3:uid="{1FB90865-2342-4119-9A11-14F8CB4DAE88}" name="Min voltage in (V)"/>
    <tableColumn id="3" xr3:uid="{7AB22D95-8FD0-4E90-A14A-CC6508DC5FDD}" name="Max voltage in (V)"/>
    <tableColumn id="4" xr3:uid="{1169AF06-C16B-4030-942F-D01A16E4157B}" name="Voltage in (V)"/>
    <tableColumn id="5" xr3:uid="{F5AB428D-CAB8-494D-9165-72BB2FBF89CB}" name="Current in (mA)"/>
    <tableColumn id="6" xr3:uid="{E63A8BCE-0EE7-4654-B919-65E9385046AB}" name="Power in (mW)" dataDxfId="43">
      <calculatedColumnFormula>E19*F19</calculatedColumnFormula>
    </tableColumn>
    <tableColumn id="7" xr3:uid="{DE9D0662-A10B-4C04-A663-1C90DCA5B981}" name="Power in (W)" dataDxfId="42">
      <calculatedColumnFormula>G19/1000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9CCFC3-5F07-45CA-9386-336DA9DCEC0D}" name="Table12" displayName="Table12" ref="K18:O21" totalsRowShown="0" headerRowDxfId="41">
  <autoFilter ref="K18:O21" xr:uid="{C020B84F-A046-4B5B-B5F1-18402570AC4C}"/>
  <tableColumns count="5">
    <tableColumn id="1" xr3:uid="{9DC3A4C0-E85B-48A0-AEE7-6AAA4C8B63C0}" name="Sinks"/>
    <tableColumn id="2" xr3:uid="{D654CBB0-7086-443F-98C4-D828B6CD3DEF}" name="Voltage in (V)"/>
    <tableColumn id="3" xr3:uid="{0788F4AD-6965-48FC-BC76-842338E2F353}" name="Current in (mA)"/>
    <tableColumn id="4" xr3:uid="{31999E69-D6D9-46B0-BFFB-EFB189C1EAB6}" name="Power in (mW)">
      <calculatedColumnFormula>L19*M19</calculatedColumnFormula>
    </tableColumn>
    <tableColumn id="5" xr3:uid="{9C3C5FE4-08C2-4E0C-8305-98BC461454F5}" name="Power in (W)" dataDxfId="40">
      <calculatedColumnFormula>N19/1000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4EC46-03A0-4ED4-9517-32D73F2DBAFD}" name="Table5" displayName="Table5" ref="B1:F2" totalsRowShown="0" headerRowDxfId="39" headerRowBorderDxfId="38" tableBorderDxfId="37">
  <autoFilter ref="B1:F2" xr:uid="{3A6101FE-8D0D-4071-A18D-7C3560B79C30}"/>
  <tableColumns count="5">
    <tableColumn id="1" xr3:uid="{72E3BD3C-CA2B-4657-A05C-D072C6C7961C}" name="Sink" dataDxfId="36"/>
    <tableColumn id="2" xr3:uid="{570C98D0-73CD-4B61-B4B6-B3C077CEA15C}" name="Voltage (V)"/>
    <tableColumn id="3" xr3:uid="{B4FD65A7-DDF3-44D8-81EC-C1A94FEA0D8E}" name="Current (mA)"/>
    <tableColumn id="4" xr3:uid="{F8A0947B-24CF-4BB9-AA30-CC6EDBB5E178}" name="Power (mW)" dataDxfId="35">
      <calculatedColumnFormula>D2*C2</calculatedColumnFormula>
    </tableColumn>
    <tableColumn id="5" xr3:uid="{BD83BC3A-DAAD-4274-832F-3FD01B430CA6}" name="Power (W)" dataDxfId="34">
      <calculatedColumnFormula>E2/1000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6E51B9-7944-4543-AA05-9D0495620B89}" name="Table1" displayName="Table1" ref="B1:F16" totalsRowShown="0">
  <autoFilter ref="B1:F16" xr:uid="{15FF9113-A392-4DB2-A6AD-A3E47A98D3A0}"/>
  <tableColumns count="5">
    <tableColumn id="1" xr3:uid="{DCCB5735-D475-4A27-A0BF-95DDC9EAE990}" name="Sink"/>
    <tableColumn id="2" xr3:uid="{F50F894B-AB63-4B3A-A49A-F65D5ABB32D9}" name="Voltage (V)"/>
    <tableColumn id="3" xr3:uid="{73310900-DEBA-4348-8E3A-39A10BBA45AA}" name="Current (mA)"/>
    <tableColumn id="4" xr3:uid="{008C10E9-8D15-4037-8C66-5232AD8F1671}" name="Power (mW)"/>
    <tableColumn id="5" xr3:uid="{DD05115D-C945-4C00-AABD-0E5D5C38B729}" name="Power (W)" dataDxfId="33">
      <calculatedColumnFormula>E2/1000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35CE0-6075-4A73-8824-9897DC91F38A}" name="Table2" displayName="Table2" ref="B20:F30" totalsRowShown="0">
  <autoFilter ref="B20:F30" xr:uid="{1FAAC9C6-6796-4431-BF53-09FEB50EE390}"/>
  <tableColumns count="5">
    <tableColumn id="1" xr3:uid="{C2B77D68-610C-45C2-A1E7-DADE40229038}" name="Sink"/>
    <tableColumn id="2" xr3:uid="{B2A67EEF-BED3-40E4-A057-6360AC85B1D4}" name="Voltage (V)"/>
    <tableColumn id="3" xr3:uid="{E54580B1-0317-42DA-AAAC-8A874DFF8997}" name="Current (mA)"/>
    <tableColumn id="4" xr3:uid="{51960A38-2E5D-4C0C-815F-860C62579BFD}" name="Power (mW)" dataDxfId="32">
      <calculatedColumnFormula>C21*D21</calculatedColumnFormula>
    </tableColumn>
    <tableColumn id="5" xr3:uid="{26AC31C2-EB8A-40E3-9D81-D5CCCFB3A51E}" name="Power (W)" dataDxfId="31">
      <calculatedColumnFormula>E21/1000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A20D8-44CF-40F8-89DD-5971C90E1E2E}" name="Table3" displayName="Table3" ref="I1:P10" totalsRowShown="0">
  <autoFilter ref="I1:P10" xr:uid="{3AFCE96B-4FE0-46FD-9046-EA9DF9CA50CB}"/>
  <tableColumns count="8">
    <tableColumn id="1" xr3:uid="{8F43373A-81CE-48AA-996A-4BBB771CA7F0}" name="Sink"/>
    <tableColumn id="2" xr3:uid="{9E427C59-7EB4-41F8-8F18-A177B001CB97}" name="Voltage (V)"/>
    <tableColumn id="3" xr3:uid="{B02060C2-221B-40C6-838F-23E55F63C152}" name="Source voltage (V)"/>
    <tableColumn id="4" xr3:uid="{5C44B74F-D496-4B71-ACA4-64E83A25D348}" name="Current (mA)"/>
    <tableColumn id="5" xr3:uid="{27E91C3D-861E-4C99-B05C-3AC97E8120B8}" name="Power (mW)">
      <calculatedColumnFormula>K2*L2</calculatedColumnFormula>
    </tableColumn>
    <tableColumn id="6" xr3:uid="{843B31CD-9D5F-4D7E-BD73-7957A70C8899}" name="Power (W)">
      <calculatedColumnFormula>M2/1000</calculatedColumnFormula>
    </tableColumn>
    <tableColumn id="7" xr3:uid="{6CBD30A4-777A-4B77-BCC3-AA2D89C0E42C}" name="LDO power lost (W)">
      <calculatedColumnFormula>(K2-J2)*L2/1000</calculatedColumnFormula>
    </tableColumn>
    <tableColumn id="8" xr3:uid="{623667BF-2457-4802-B8CD-2579388158E0}" name="Efficiency" dataDxfId="30" dataCellStyle="Percent">
      <calculatedColumnFormula>(N2-O2)/N2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C175ED-7E81-4F71-88EC-6B87251AE443}" name="Table4" displayName="Table4" ref="I16:P30" totalsRowShown="0">
  <autoFilter ref="I16:P30" xr:uid="{A57BA318-A482-4EFA-89DC-841AFFF6B725}"/>
  <tableColumns count="8">
    <tableColumn id="1" xr3:uid="{0655E15C-2445-44F5-8DFB-8932359691AD}" name="Sink"/>
    <tableColumn id="2" xr3:uid="{75AC5B89-4231-41FE-873D-325BA0B5DB7F}" name="Voltage (V)"/>
    <tableColumn id="3" xr3:uid="{C32987F5-324A-4AAB-BC93-AC8BE297E733}" name="Number of pins"/>
    <tableColumn id="4" xr3:uid="{34192BDA-FC9C-44A3-9D3B-16ABFD0528C4}" name="Capacitance (F)" dataDxfId="29"/>
    <tableColumn id="5" xr3:uid="{3A4A1471-8852-4C33-AB93-9F503D480C58}" name="Frequency (Hz)"/>
    <tableColumn id="6" xr3:uid="{1E36DBC9-59AA-45A2-9136-FE0DB7C1010C}" name="Current (mA)" dataDxfId="28">
      <calculatedColumnFormula>1000*K17*L17*J17*0.5*M17</calculatedColumnFormula>
    </tableColumn>
    <tableColumn id="7" xr3:uid="{B52E8B41-12A9-4440-A949-A9CDEC8E10B8}" name="Power (mW)">
      <calculatedColumnFormula>N17*J17</calculatedColumnFormula>
    </tableColumn>
    <tableColumn id="8" xr3:uid="{5BE8F425-50C2-4312-9CFB-998B85428B40}" name="Power (W)">
      <calculatedColumnFormula>O17/1000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976DDEC-149E-4D75-B6F3-FE2F1B8B4B49}" name="Table7" displayName="Table7" ref="B1:G3" totalsRowShown="0">
  <autoFilter ref="B1:G3" xr:uid="{D1F2DD2C-0A32-4997-ABAE-405C749C2180}"/>
  <tableColumns count="6">
    <tableColumn id="1" xr3:uid="{CCD5072F-1168-45F7-AA2F-4BC064CBDE28}" name="Sink"/>
    <tableColumn id="2" xr3:uid="{47075CC8-388E-49B2-9580-771FF11982F5}" name="Voltage (V)">
      <calculatedColumnFormula>C1/2</calculatedColumnFormula>
    </tableColumn>
    <tableColumn id="3" xr3:uid="{8A564D3B-7B57-4AC3-88E0-F4283426C95F}" name="Current (mA)"/>
    <tableColumn id="4" xr3:uid="{0271ACA7-FDC7-4BD6-B2DC-FE9153093DF3}" name="Power (mW)">
      <calculatedColumnFormula>D2*C2</calculatedColumnFormula>
    </tableColumn>
    <tableColumn id="5" xr3:uid="{840AFCD8-3A08-4AE3-ACED-C3EE1359E98C}" name="Power (W)">
      <calculatedColumnFormula>E2/1000</calculatedColumnFormula>
    </tableColumn>
    <tableColumn id="6" xr3:uid="{70431354-B7C7-4258-A492-637CA4559D18}" name="Not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52996C-EFBB-441D-8341-084F34FF4BF3}" name="Table8" displayName="Table8" ref="B7:F9" totalsRowShown="0">
  <autoFilter ref="B7:F9" xr:uid="{B590B994-F24D-43D5-AAE1-AB5C0F39A5D2}"/>
  <tableColumns count="5">
    <tableColumn id="1" xr3:uid="{3D41CA9D-FB20-4377-96AD-31856310779A}" name="Sink"/>
    <tableColumn id="2" xr3:uid="{ECD64578-F73E-4642-8F0B-D740A4556471}" name="Voltage (V)" dataDxfId="27">
      <calculatedColumnFormula>C2</calculatedColumnFormula>
    </tableColumn>
    <tableColumn id="3" xr3:uid="{E99D08CC-593B-447B-BB41-7CEC089F938A}" name="Current (mA)">
      <calculatedColumnFormula>2*SUMIF($C$2:$C$3, $C8, $D$2:$D$3)</calculatedColumnFormula>
    </tableColumn>
    <tableColumn id="4" xr3:uid="{4E90C8AD-2135-4B45-ADAA-697F9B6DF302}" name="Power (mW)">
      <calculatedColumnFormula>D8*C8</calculatedColumnFormula>
    </tableColumn>
    <tableColumn id="5" xr3:uid="{5FA36D9F-1D37-4745-AF66-DB20EE7D246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FF3E4E-5D4D-4ED7-908A-714C1B20C600}" name="Table77" displayName="Table77" ref="B1:G3" totalsRowShown="0">
  <autoFilter ref="B1:G3" xr:uid="{BF3C7FDE-F377-4FBE-8F8A-CF133325352B}"/>
  <tableColumns count="6">
    <tableColumn id="1" xr3:uid="{54AA7E35-806F-41DE-A830-E4AB6E471D82}" name="Sink"/>
    <tableColumn id="2" xr3:uid="{E6AF541C-006F-4E6F-B417-05942D62348B}" name="Voltage (V)">
      <calculatedColumnFormula>C1/2</calculatedColumnFormula>
    </tableColumn>
    <tableColumn id="3" xr3:uid="{D3BD0D5C-B030-4022-9506-3C8A256C8B3F}" name="Current (mA)"/>
    <tableColumn id="4" xr3:uid="{6D70F6C0-88F6-4DE7-BC6B-C5C564AD3468}" name="Power (mW)">
      <calculatedColumnFormula>D2*C2</calculatedColumnFormula>
    </tableColumn>
    <tableColumn id="5" xr3:uid="{E7569DBF-A22B-48A7-B5B0-BBD2E3BD9DAC}" name="Power (W)">
      <calculatedColumnFormula>E2/1000</calculatedColumnFormula>
    </tableColumn>
    <tableColumn id="6" xr3:uid="{17EA0BC4-87A6-45FB-AA64-D9DD17BE4739}" name="Not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C62C8E-B877-4B8B-A3E9-EE15CC2B2D27}" name="Table814" displayName="Table814" ref="B7:F8" totalsRowShown="0">
  <autoFilter ref="B7:F8" xr:uid="{6F9C7015-03CA-4070-BC30-EC18C93C5385}"/>
  <tableColumns count="5">
    <tableColumn id="1" xr3:uid="{1E921FC4-E489-4108-A012-3CE4DA9C1809}" name="Sink"/>
    <tableColumn id="2" xr3:uid="{188E42A0-EBE4-4030-B862-498C14AB7DD1}" name="Voltage (V)" dataDxfId="26"/>
    <tableColumn id="3" xr3:uid="{1E53EB1B-2053-4396-BCD1-24CF9059EB06}" name="Current (mA)">
      <calculatedColumnFormula>SUMIF($C$2:$C$3, $C8, $D$2:$D$3)</calculatedColumnFormula>
    </tableColumn>
    <tableColumn id="4" xr3:uid="{FA303577-9170-4E67-BA85-038C23B78CC6}" name="Power (mW)">
      <calculatedColumnFormula>D8*C8</calculatedColumnFormula>
    </tableColumn>
    <tableColumn id="5" xr3:uid="{CE860785-92A8-45CB-A0EF-15F4839374B4}" name="Power (W)">
      <calculatedColumnFormula>E8/1000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912-AAF4-43C0-A76F-CA791995FA7C}">
  <dimension ref="A1:L6"/>
  <sheetViews>
    <sheetView tabSelected="1" workbookViewId="0">
      <selection activeCell="F5" sqref="F5"/>
    </sheetView>
  </sheetViews>
  <sheetFormatPr defaultRowHeight="15" x14ac:dyDescent="0.25"/>
  <cols>
    <col min="1" max="1" width="8.140625" customWidth="1"/>
    <col min="2" max="2" width="17.28515625" bestFit="1" customWidth="1"/>
    <col min="3" max="3" width="14.42578125" bestFit="1" customWidth="1"/>
    <col min="4" max="5" width="13.42578125" bestFit="1" customWidth="1"/>
    <col min="6" max="6" width="9.28515625" bestFit="1" customWidth="1"/>
    <col min="7" max="7" width="19" bestFit="1" customWidth="1"/>
    <col min="8" max="8" width="15.7109375" bestFit="1" customWidth="1"/>
    <col min="9" max="10" width="14.7109375" bestFit="1" customWidth="1"/>
    <col min="11" max="11" width="13.5703125" bestFit="1" customWidth="1"/>
    <col min="12" max="12" width="14.140625" bestFit="1" customWidth="1"/>
  </cols>
  <sheetData>
    <row r="1" spans="1:12" ht="30" x14ac:dyDescent="0.25">
      <c r="A1" s="50" t="s">
        <v>114</v>
      </c>
      <c r="B1" s="43" t="s">
        <v>115</v>
      </c>
      <c r="C1" s="43" t="s">
        <v>116</v>
      </c>
      <c r="D1" s="43" t="s">
        <v>117</v>
      </c>
      <c r="E1" s="43" t="s">
        <v>118</v>
      </c>
      <c r="F1" s="43" t="s">
        <v>1</v>
      </c>
      <c r="G1" s="43" t="s">
        <v>119</v>
      </c>
      <c r="H1" s="43" t="s">
        <v>120</v>
      </c>
      <c r="I1" s="43" t="s">
        <v>121</v>
      </c>
      <c r="J1" s="43" t="s">
        <v>122</v>
      </c>
      <c r="K1" s="43" t="s">
        <v>123</v>
      </c>
      <c r="L1" s="44" t="s">
        <v>27</v>
      </c>
    </row>
    <row r="2" spans="1:12" x14ac:dyDescent="0.25">
      <c r="A2" s="51"/>
      <c r="B2" s="8">
        <v>12</v>
      </c>
      <c r="C2" s="20">
        <f>I2/B2/L2</f>
        <v>664.70064091812867</v>
      </c>
      <c r="D2" s="20">
        <f>B2*C2</f>
        <v>7976.4076910175445</v>
      </c>
      <c r="E2" s="18">
        <f>D2/1000</f>
        <v>7.9764076910175445</v>
      </c>
      <c r="F2" s="8" t="s">
        <v>110</v>
      </c>
      <c r="G2" s="8">
        <f>PMIC!L19</f>
        <v>3.7</v>
      </c>
      <c r="H2" s="20">
        <f>PMIC!M19</f>
        <v>1638.3972554522522</v>
      </c>
      <c r="I2" s="20">
        <f>G2*H2</f>
        <v>6062.0698451733333</v>
      </c>
      <c r="J2" s="18">
        <f>I2/1000</f>
        <v>6.0620698451733332</v>
      </c>
      <c r="K2" s="18">
        <f>E2-J2</f>
        <v>1.9143378458442113</v>
      </c>
      <c r="L2" s="21">
        <v>0.76</v>
      </c>
    </row>
    <row r="3" spans="1:12" x14ac:dyDescent="0.25">
      <c r="A3" s="51"/>
      <c r="B3" s="8">
        <v>12</v>
      </c>
      <c r="C3" s="20">
        <f>I3/B3/L3</f>
        <v>508.13008130081306</v>
      </c>
      <c r="D3" s="20">
        <f>B3*C3</f>
        <v>6097.5609756097565</v>
      </c>
      <c r="E3" s="18">
        <f>D3/1000</f>
        <v>6.0975609756097562</v>
      </c>
      <c r="F3" s="8" t="s">
        <v>111</v>
      </c>
      <c r="G3" s="8">
        <v>5</v>
      </c>
      <c r="H3" s="8">
        <v>1000</v>
      </c>
      <c r="I3" s="20">
        <f>G3*H3</f>
        <v>5000</v>
      </c>
      <c r="J3" s="18">
        <f>I3/1000</f>
        <v>5</v>
      </c>
      <c r="K3" s="18">
        <f>E3-J3</f>
        <v>1.0975609756097562</v>
      </c>
      <c r="L3" s="21">
        <v>0.82</v>
      </c>
    </row>
    <row r="4" spans="1:12" s="49" customFormat="1" x14ac:dyDescent="0.25">
      <c r="A4" s="51"/>
      <c r="B4" s="8">
        <v>12</v>
      </c>
      <c r="C4" s="20">
        <f>I4/B4/L4</f>
        <v>361.84210526315792</v>
      </c>
      <c r="D4" s="20">
        <f>B4*C4</f>
        <v>4342.105263157895</v>
      </c>
      <c r="E4" s="18">
        <f>D4/1000</f>
        <v>4.3421052631578947</v>
      </c>
      <c r="F4" s="8" t="s">
        <v>128</v>
      </c>
      <c r="G4" s="8">
        <v>3.3</v>
      </c>
      <c r="H4" s="20" cm="1">
        <f t="array" ref="H4">Table814[Current (mA)]</f>
        <v>1000</v>
      </c>
      <c r="I4" s="20">
        <f>G4*H4</f>
        <v>3300</v>
      </c>
      <c r="J4" s="18">
        <f>I4/1000</f>
        <v>3.3</v>
      </c>
      <c r="K4" s="18">
        <f>E4-J4</f>
        <v>1.0421052631578949</v>
      </c>
      <c r="L4" s="21">
        <v>0.76</v>
      </c>
    </row>
    <row r="5" spans="1:12" x14ac:dyDescent="0.25">
      <c r="A5" s="51"/>
      <c r="B5" s="8"/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ht="15.75" thickBot="1" x14ac:dyDescent="0.3">
      <c r="A6" s="52"/>
      <c r="B6" s="45" t="s">
        <v>26</v>
      </c>
      <c r="C6" s="39">
        <f>SUM(C2:C4)</f>
        <v>1534.6728274820996</v>
      </c>
      <c r="D6" s="39">
        <f>SUM(D2:D4)</f>
        <v>18416.073929785198</v>
      </c>
      <c r="E6" s="46">
        <f>SUM(E2:E4)</f>
        <v>18.416073929785195</v>
      </c>
      <c r="F6" s="38"/>
      <c r="G6" s="38"/>
      <c r="H6" s="38"/>
      <c r="I6" s="39">
        <f>SUM(I2:I4)</f>
        <v>14362.069845173333</v>
      </c>
      <c r="J6" s="46">
        <f>SUM(J2:J4)</f>
        <v>14.362069845173334</v>
      </c>
      <c r="K6" s="47">
        <f>SUM(K2:K4)</f>
        <v>4.0540040846118623</v>
      </c>
      <c r="L6" s="48">
        <f>J6/E6</f>
        <v>0.779865996407892</v>
      </c>
    </row>
  </sheetData>
  <mergeCells count="1">
    <mergeCell ref="A1:A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DEB-B0EF-42F6-83FA-977A66B7512F}">
  <dimension ref="A1:T33"/>
  <sheetViews>
    <sheetView workbookViewId="0">
      <selection activeCell="G27" sqref="G27"/>
    </sheetView>
  </sheetViews>
  <sheetFormatPr defaultRowHeight="15" x14ac:dyDescent="0.25"/>
  <cols>
    <col min="1" max="1" width="3.7109375" bestFit="1" customWidth="1"/>
    <col min="2" max="2" width="11.5703125" bestFit="1" customWidth="1"/>
    <col min="3" max="3" width="21.5703125" bestFit="1" customWidth="1"/>
    <col min="4" max="4" width="22" bestFit="1" customWidth="1"/>
    <col min="5" max="5" width="17.85546875" bestFit="1" customWidth="1"/>
    <col min="6" max="6" width="19.42578125" bestFit="1" customWidth="1"/>
    <col min="7" max="7" width="19.140625" bestFit="1" customWidth="1"/>
    <col min="8" max="8" width="17.28515625" bestFit="1" customWidth="1"/>
    <col min="9" max="9" width="24.85546875" bestFit="1" customWidth="1"/>
    <col min="10" max="10" width="11.85546875" bestFit="1" customWidth="1"/>
    <col min="11" max="11" width="30.85546875" bestFit="1" customWidth="1"/>
    <col min="12" max="12" width="23" bestFit="1" customWidth="1"/>
    <col min="13" max="13" width="23.28515625" bestFit="1" customWidth="1"/>
    <col min="14" max="14" width="19.140625" bestFit="1" customWidth="1"/>
    <col min="15" max="15" width="20.7109375" bestFit="1" customWidth="1"/>
    <col min="16" max="16" width="20.42578125" bestFit="1" customWidth="1"/>
    <col min="17" max="17" width="18.7109375" bestFit="1" customWidth="1"/>
    <col min="18" max="18" width="20.28515625" bestFit="1" customWidth="1"/>
    <col min="19" max="19" width="17.42578125" bestFit="1" customWidth="1"/>
    <col min="20" max="20" width="14.140625" bestFit="1" customWidth="1"/>
  </cols>
  <sheetData>
    <row r="1" spans="1:20" s="28" customFormat="1" x14ac:dyDescent="0.25">
      <c r="A1" s="54" t="s">
        <v>85</v>
      </c>
      <c r="B1" s="43" t="s">
        <v>0</v>
      </c>
      <c r="C1" s="43" t="s">
        <v>106</v>
      </c>
      <c r="D1" s="43" t="s">
        <v>97</v>
      </c>
      <c r="E1" s="43" t="s">
        <v>78</v>
      </c>
      <c r="F1" s="43" t="s">
        <v>79</v>
      </c>
      <c r="G1" s="43" t="s">
        <v>82</v>
      </c>
      <c r="H1" s="43" t="s">
        <v>81</v>
      </c>
      <c r="I1" s="43" t="s">
        <v>84</v>
      </c>
      <c r="J1" s="43" t="s">
        <v>87</v>
      </c>
      <c r="K1" s="43" t="s">
        <v>1</v>
      </c>
      <c r="L1" s="43" t="s">
        <v>102</v>
      </c>
      <c r="M1" s="43" t="s">
        <v>98</v>
      </c>
      <c r="N1" s="43" t="s">
        <v>50</v>
      </c>
      <c r="O1" s="43" t="s">
        <v>70</v>
      </c>
      <c r="P1" s="43" t="s">
        <v>71</v>
      </c>
      <c r="Q1" s="43" t="s">
        <v>72</v>
      </c>
      <c r="R1" s="43" t="s">
        <v>80</v>
      </c>
      <c r="S1" s="43" t="s">
        <v>83</v>
      </c>
      <c r="T1" s="44" t="s">
        <v>27</v>
      </c>
    </row>
    <row r="2" spans="1:20" x14ac:dyDescent="0.25">
      <c r="A2" s="55"/>
      <c r="B2" s="8" t="s">
        <v>62</v>
      </c>
      <c r="C2" s="8">
        <v>2.8</v>
      </c>
      <c r="D2" s="8">
        <v>4.5</v>
      </c>
      <c r="E2" s="8">
        <f>L19</f>
        <v>3.7</v>
      </c>
      <c r="F2" s="17">
        <f>P2/E2/T2</f>
        <v>206.92567567567565</v>
      </c>
      <c r="G2" s="19">
        <f t="shared" ref="G2:G14" si="0">E2*F2</f>
        <v>765.62499999999989</v>
      </c>
      <c r="H2" s="19">
        <f t="shared" ref="H2:H14" si="1">G2/1000</f>
        <v>0.76562499999999989</v>
      </c>
      <c r="I2" s="20">
        <v>1000</v>
      </c>
      <c r="J2" s="20" t="str">
        <f>B2</f>
        <v>SW1A</v>
      </c>
      <c r="K2" s="8" t="s">
        <v>2</v>
      </c>
      <c r="L2" s="8">
        <v>0.7</v>
      </c>
      <c r="M2" s="8">
        <v>1.425</v>
      </c>
      <c r="N2" s="8">
        <f>CPU!C21</f>
        <v>1.2250000000000001</v>
      </c>
      <c r="O2" s="8">
        <v>500</v>
      </c>
      <c r="P2" s="8">
        <f>N2*O2</f>
        <v>612.5</v>
      </c>
      <c r="Q2" s="18">
        <f>P2/1000</f>
        <v>0.61250000000000004</v>
      </c>
      <c r="R2" s="8">
        <f t="shared" ref="R2:R14" si="2">E2-N2</f>
        <v>2.4750000000000001</v>
      </c>
      <c r="S2" s="18">
        <f t="shared" ref="S2:S14" si="3">H2-Q2</f>
        <v>0.15312499999999984</v>
      </c>
      <c r="T2" s="21">
        <v>0.8</v>
      </c>
    </row>
    <row r="3" spans="1:20" x14ac:dyDescent="0.25">
      <c r="A3" s="55"/>
      <c r="B3" s="8" t="s">
        <v>73</v>
      </c>
      <c r="C3" s="8">
        <v>2.8</v>
      </c>
      <c r="D3" s="8">
        <v>4.5</v>
      </c>
      <c r="E3" s="8">
        <f>L19</f>
        <v>3.7</v>
      </c>
      <c r="F3" s="17">
        <f t="shared" ref="F3:F5" si="4">P3/E3/T3</f>
        <v>360.36036036036035</v>
      </c>
      <c r="G3" s="19">
        <f t="shared" si="0"/>
        <v>1333.3333333333333</v>
      </c>
      <c r="H3" s="19">
        <f t="shared" si="1"/>
        <v>1.3333333333333333</v>
      </c>
      <c r="I3" s="20">
        <v>1750</v>
      </c>
      <c r="J3" s="20" t="str">
        <f>B3</f>
        <v>SW1B</v>
      </c>
      <c r="K3" s="8" t="s">
        <v>7</v>
      </c>
      <c r="L3" s="8">
        <v>7.0000000000000007E-2</v>
      </c>
      <c r="M3" s="8">
        <v>1.4750000000000001</v>
      </c>
      <c r="N3" s="8">
        <f>CPU!C22</f>
        <v>1</v>
      </c>
      <c r="O3" s="8">
        <f>CPU!D22</f>
        <v>1000</v>
      </c>
      <c r="P3" s="8">
        <f t="shared" ref="P3:P14" si="5">N3*O3</f>
        <v>1000</v>
      </c>
      <c r="Q3" s="18">
        <f t="shared" ref="Q3:Q14" si="6">P3/1000</f>
        <v>1</v>
      </c>
      <c r="R3" s="8">
        <f t="shared" si="2"/>
        <v>2.7</v>
      </c>
      <c r="S3" s="18">
        <f t="shared" si="3"/>
        <v>0.33333333333333326</v>
      </c>
      <c r="T3" s="21">
        <v>0.75</v>
      </c>
    </row>
    <row r="4" spans="1:20" x14ac:dyDescent="0.25">
      <c r="A4" s="55"/>
      <c r="B4" s="8" t="s">
        <v>63</v>
      </c>
      <c r="C4" s="8">
        <v>2.8</v>
      </c>
      <c r="D4" s="8">
        <v>4.5</v>
      </c>
      <c r="E4" s="8">
        <f>L19</f>
        <v>3.7</v>
      </c>
      <c r="F4" s="17">
        <f t="shared" si="4"/>
        <v>374.59459459459458</v>
      </c>
      <c r="G4" s="19">
        <f t="shared" si="0"/>
        <v>1386</v>
      </c>
      <c r="H4" s="19">
        <f t="shared" si="1"/>
        <v>1.3859999999999999</v>
      </c>
      <c r="I4" s="20">
        <v>1250</v>
      </c>
      <c r="J4" s="20" t="str">
        <f>B4</f>
        <v>SW2</v>
      </c>
      <c r="K4" s="8" t="s">
        <v>67</v>
      </c>
      <c r="L4" s="8">
        <v>1.5</v>
      </c>
      <c r="M4" s="8">
        <v>1.85</v>
      </c>
      <c r="N4" s="8">
        <f>CPU!C23</f>
        <v>1.8</v>
      </c>
      <c r="O4" s="8">
        <f>CPU!D23</f>
        <v>616</v>
      </c>
      <c r="P4" s="20">
        <f t="shared" si="5"/>
        <v>1108.8</v>
      </c>
      <c r="Q4" s="18">
        <f t="shared" si="6"/>
        <v>1.1088</v>
      </c>
      <c r="R4" s="8">
        <f t="shared" si="2"/>
        <v>1.9000000000000001</v>
      </c>
      <c r="S4" s="18">
        <f t="shared" si="3"/>
        <v>0.27719999999999989</v>
      </c>
      <c r="T4" s="21">
        <v>0.8</v>
      </c>
    </row>
    <row r="5" spans="1:20" x14ac:dyDescent="0.25">
      <c r="A5" s="55"/>
      <c r="B5" s="8" t="s">
        <v>64</v>
      </c>
      <c r="C5" s="8">
        <v>2.8</v>
      </c>
      <c r="D5" s="8">
        <v>4.5</v>
      </c>
      <c r="E5" s="8">
        <f>L19</f>
        <v>3.7</v>
      </c>
      <c r="F5" s="19">
        <f t="shared" si="4"/>
        <v>398.49662162162161</v>
      </c>
      <c r="G5" s="19">
        <f t="shared" si="0"/>
        <v>1474.4375</v>
      </c>
      <c r="H5" s="19">
        <f t="shared" si="1"/>
        <v>1.4744375000000001</v>
      </c>
      <c r="I5" s="20">
        <v>1500</v>
      </c>
      <c r="J5" s="20" t="str">
        <f>B5</f>
        <v>SW3</v>
      </c>
      <c r="K5" s="8" t="s">
        <v>124</v>
      </c>
      <c r="L5" s="8">
        <v>0.9</v>
      </c>
      <c r="M5" s="8">
        <v>1.65</v>
      </c>
      <c r="N5" s="8">
        <f>CPU!C24</f>
        <v>1.35</v>
      </c>
      <c r="O5" s="17">
        <f>CPU!D24+SUMIF(E2:E14, N5, F2:F14)+DDR3L!D8</f>
        <v>873.74074074074065</v>
      </c>
      <c r="P5" s="18">
        <f t="shared" si="5"/>
        <v>1179.55</v>
      </c>
      <c r="Q5" s="8">
        <f t="shared" si="6"/>
        <v>1.1795499999999999</v>
      </c>
      <c r="R5" s="8">
        <f t="shared" si="2"/>
        <v>2.35</v>
      </c>
      <c r="S5" s="18">
        <f t="shared" si="3"/>
        <v>0.29488750000000019</v>
      </c>
      <c r="T5" s="21">
        <v>0.8</v>
      </c>
    </row>
    <row r="6" spans="1:20" x14ac:dyDescent="0.25">
      <c r="A6" s="55"/>
      <c r="B6" s="8" t="s">
        <v>93</v>
      </c>
      <c r="C6" s="8">
        <v>2.8</v>
      </c>
      <c r="D6" s="8">
        <v>4.5</v>
      </c>
      <c r="E6" s="8">
        <v>0</v>
      </c>
      <c r="F6" s="8">
        <v>0</v>
      </c>
      <c r="G6" s="19">
        <f t="shared" ref="G6" si="7">E6*F6</f>
        <v>0</v>
      </c>
      <c r="H6" s="19">
        <f t="shared" ref="H6:H13" si="8">G6/1000</f>
        <v>0</v>
      </c>
      <c r="I6" s="20">
        <v>600</v>
      </c>
      <c r="J6" s="20" t="str">
        <f>B6</f>
        <v>SWBST</v>
      </c>
      <c r="K6" s="8" t="s">
        <v>95</v>
      </c>
      <c r="L6" s="8">
        <v>5</v>
      </c>
      <c r="M6" s="8">
        <v>5.15</v>
      </c>
      <c r="N6" s="8">
        <v>5</v>
      </c>
      <c r="O6" s="8">
        <v>0</v>
      </c>
      <c r="P6" s="8">
        <f>N6*O6</f>
        <v>0</v>
      </c>
      <c r="Q6" s="18">
        <f t="shared" ref="Q6:Q13" si="9">P6/1000</f>
        <v>0</v>
      </c>
      <c r="R6" s="8">
        <f t="shared" si="2"/>
        <v>-5</v>
      </c>
      <c r="S6" s="18">
        <f t="shared" si="3"/>
        <v>0</v>
      </c>
      <c r="T6" s="21">
        <v>0.6</v>
      </c>
    </row>
    <row r="7" spans="1:20" x14ac:dyDescent="0.25">
      <c r="A7" s="55"/>
      <c r="B7" s="8" t="s">
        <v>54</v>
      </c>
      <c r="C7" s="8">
        <v>2.25</v>
      </c>
      <c r="D7" s="8">
        <v>4.5</v>
      </c>
      <c r="E7" s="8">
        <f>L19</f>
        <v>3.7</v>
      </c>
      <c r="F7" s="8">
        <f>O7</f>
        <v>1</v>
      </c>
      <c r="G7" s="19">
        <f>E7*F7</f>
        <v>3.7</v>
      </c>
      <c r="H7" s="19">
        <f t="shared" si="8"/>
        <v>3.7000000000000002E-3</v>
      </c>
      <c r="I7" s="20">
        <v>1</v>
      </c>
      <c r="J7" s="20" t="s">
        <v>76</v>
      </c>
      <c r="K7" s="8" t="s">
        <v>9</v>
      </c>
      <c r="L7" s="8">
        <v>3</v>
      </c>
      <c r="M7" s="8">
        <v>3</v>
      </c>
      <c r="N7" s="8">
        <f>CPU!C29</f>
        <v>3</v>
      </c>
      <c r="O7" s="8">
        <f>CPU!D29</f>
        <v>1</v>
      </c>
      <c r="P7" s="20">
        <f>N7*O7</f>
        <v>3</v>
      </c>
      <c r="Q7" s="18">
        <f t="shared" si="9"/>
        <v>3.0000000000000001E-3</v>
      </c>
      <c r="R7" s="8">
        <f t="shared" si="2"/>
        <v>0.70000000000000018</v>
      </c>
      <c r="S7" s="18">
        <f t="shared" si="3"/>
        <v>7.000000000000001E-4</v>
      </c>
      <c r="T7" s="21">
        <f t="shared" ref="T7:T14" si="10">IF(H7=0,1,Q7/H7)</f>
        <v>0.81081081081081074</v>
      </c>
    </row>
    <row r="8" spans="1:20" x14ac:dyDescent="0.25">
      <c r="A8" s="55"/>
      <c r="B8" s="8" t="s">
        <v>89</v>
      </c>
      <c r="C8" s="8">
        <f>N8+0.25</f>
        <v>2.0499999999999998</v>
      </c>
      <c r="D8" s="8">
        <v>4.5</v>
      </c>
      <c r="E8" s="8">
        <f>L19</f>
        <v>3.7</v>
      </c>
      <c r="F8" s="8">
        <f>O8</f>
        <v>5</v>
      </c>
      <c r="G8" s="19">
        <f>E8*F8</f>
        <v>18.5</v>
      </c>
      <c r="H8" s="19">
        <f t="shared" si="8"/>
        <v>1.8499999999999999E-2</v>
      </c>
      <c r="I8" s="20">
        <v>100</v>
      </c>
      <c r="J8" s="20" t="str">
        <f>B8</f>
        <v>VLDO1</v>
      </c>
      <c r="K8" s="8" t="s">
        <v>11</v>
      </c>
      <c r="L8" s="8">
        <v>1.8</v>
      </c>
      <c r="M8" s="8">
        <v>3.3</v>
      </c>
      <c r="N8" s="8">
        <f>CPU!C26</f>
        <v>1.8</v>
      </c>
      <c r="O8" s="8">
        <f>CPU!D26</f>
        <v>5</v>
      </c>
      <c r="P8" s="8">
        <f>N8*O8</f>
        <v>9</v>
      </c>
      <c r="Q8" s="18">
        <f t="shared" si="9"/>
        <v>8.9999999999999993E-3</v>
      </c>
      <c r="R8" s="8">
        <f t="shared" si="2"/>
        <v>1.9000000000000001</v>
      </c>
      <c r="S8" s="18">
        <f t="shared" si="3"/>
        <v>9.4999999999999998E-3</v>
      </c>
      <c r="T8" s="21">
        <f t="shared" si="10"/>
        <v>0.48648648648648646</v>
      </c>
    </row>
    <row r="9" spans="1:20" x14ac:dyDescent="0.25">
      <c r="A9" s="55"/>
      <c r="B9" s="8" t="s">
        <v>88</v>
      </c>
      <c r="C9" s="8">
        <v>1.75</v>
      </c>
      <c r="D9" s="8">
        <v>3.4</v>
      </c>
      <c r="E9" s="8">
        <v>0</v>
      </c>
      <c r="F9" s="8">
        <f>O9</f>
        <v>0</v>
      </c>
      <c r="G9" s="19">
        <f t="shared" ref="G9:G13" si="11">E9*F9</f>
        <v>0</v>
      </c>
      <c r="H9" s="19">
        <f t="shared" si="8"/>
        <v>0</v>
      </c>
      <c r="I9" s="20">
        <v>250</v>
      </c>
      <c r="J9" s="20" t="str">
        <f>B9</f>
        <v>VLDO2</v>
      </c>
      <c r="K9" s="8" t="s">
        <v>95</v>
      </c>
      <c r="L9" s="8">
        <v>0.8</v>
      </c>
      <c r="M9" s="8">
        <v>1.55</v>
      </c>
      <c r="N9" s="8">
        <v>1.5</v>
      </c>
      <c r="O9" s="8">
        <v>0</v>
      </c>
      <c r="P9" s="8">
        <f>N9*O9</f>
        <v>0</v>
      </c>
      <c r="Q9" s="18">
        <f t="shared" si="9"/>
        <v>0</v>
      </c>
      <c r="R9" s="8">
        <f t="shared" si="2"/>
        <v>-1.5</v>
      </c>
      <c r="S9" s="18">
        <f t="shared" si="3"/>
        <v>0</v>
      </c>
      <c r="T9" s="21">
        <f t="shared" si="10"/>
        <v>1</v>
      </c>
    </row>
    <row r="10" spans="1:20" x14ac:dyDescent="0.25">
      <c r="A10" s="55"/>
      <c r="B10" s="8" t="s">
        <v>94</v>
      </c>
      <c r="C10" s="8">
        <v>2.8</v>
      </c>
      <c r="D10" s="8">
        <v>4.5</v>
      </c>
      <c r="E10" s="8">
        <f>L19</f>
        <v>3.7</v>
      </c>
      <c r="F10" s="8">
        <f t="shared" ref="F10" si="12">O10</f>
        <v>5.9399999999999995</v>
      </c>
      <c r="G10" s="19">
        <f>E10*F10</f>
        <v>21.977999999999998</v>
      </c>
      <c r="H10" s="19">
        <f t="shared" si="8"/>
        <v>2.1977999999999998E-2</v>
      </c>
      <c r="I10" s="20">
        <v>100</v>
      </c>
      <c r="J10" s="20" t="s">
        <v>74</v>
      </c>
      <c r="K10" s="8" t="s">
        <v>65</v>
      </c>
      <c r="L10" s="8">
        <v>1.8</v>
      </c>
      <c r="M10" s="8">
        <v>3.3</v>
      </c>
      <c r="N10" s="8">
        <f>CPU!C28</f>
        <v>3.3</v>
      </c>
      <c r="O10" s="8">
        <f>CPU!D28</f>
        <v>5.9399999999999995</v>
      </c>
      <c r="P10" s="20">
        <f t="shared" ref="P10" si="13">N10*O10</f>
        <v>19.601999999999997</v>
      </c>
      <c r="Q10" s="18">
        <f t="shared" si="9"/>
        <v>1.9601999999999998E-2</v>
      </c>
      <c r="R10" s="8">
        <f t="shared" si="2"/>
        <v>0.40000000000000036</v>
      </c>
      <c r="S10" s="18">
        <f t="shared" si="3"/>
        <v>2.3759999999999996E-3</v>
      </c>
      <c r="T10" s="21">
        <f t="shared" si="10"/>
        <v>0.89189189189189189</v>
      </c>
    </row>
    <row r="11" spans="1:20" x14ac:dyDescent="0.25">
      <c r="A11" s="55"/>
      <c r="B11" s="8" t="s">
        <v>94</v>
      </c>
      <c r="C11" s="8">
        <v>2.8</v>
      </c>
      <c r="D11" s="8">
        <v>4.5</v>
      </c>
      <c r="E11" s="8">
        <f>L19</f>
        <v>3.7</v>
      </c>
      <c r="F11" s="19">
        <f>O11</f>
        <v>277.73200320000001</v>
      </c>
      <c r="G11" s="19">
        <f>E11*F11</f>
        <v>1027.6084118400001</v>
      </c>
      <c r="H11" s="19">
        <f t="shared" si="8"/>
        <v>1.0276084118400002</v>
      </c>
      <c r="I11" s="20">
        <v>350</v>
      </c>
      <c r="J11" s="8" t="s">
        <v>77</v>
      </c>
      <c r="K11" s="8" t="s">
        <v>113</v>
      </c>
      <c r="L11" s="8">
        <v>2.85</v>
      </c>
      <c r="M11" s="8">
        <v>3.3</v>
      </c>
      <c r="N11" s="8">
        <f>CPU!C30</f>
        <v>3.3</v>
      </c>
      <c r="O11" s="19">
        <f>CPU!D30+'Ethernet PHY'!D4</f>
        <v>277.73200320000001</v>
      </c>
      <c r="P11" s="20">
        <f>N11*O11</f>
        <v>916.51561056000003</v>
      </c>
      <c r="Q11" s="18">
        <f t="shared" si="9"/>
        <v>0.91651561056000008</v>
      </c>
      <c r="R11" s="8">
        <f t="shared" si="2"/>
        <v>0.40000000000000036</v>
      </c>
      <c r="S11" s="18">
        <f t="shared" si="3"/>
        <v>0.1110928012800001</v>
      </c>
      <c r="T11" s="21">
        <f t="shared" si="10"/>
        <v>0.89189189189189177</v>
      </c>
    </row>
    <row r="12" spans="1:20" x14ac:dyDescent="0.25">
      <c r="A12" s="55"/>
      <c r="B12" s="8" t="s">
        <v>91</v>
      </c>
      <c r="C12" s="8">
        <f>MAX($N$12, $N$13) +0.25</f>
        <v>3.55</v>
      </c>
      <c r="D12" s="8">
        <v>3.6</v>
      </c>
      <c r="E12" s="8">
        <f>L19</f>
        <v>3.7</v>
      </c>
      <c r="F12" s="8">
        <f>O12</f>
        <v>6.1479999999999997</v>
      </c>
      <c r="G12" s="19">
        <f t="shared" si="11"/>
        <v>22.747599999999998</v>
      </c>
      <c r="H12" s="19">
        <f t="shared" si="8"/>
        <v>2.27476E-2</v>
      </c>
      <c r="I12" s="20">
        <v>100</v>
      </c>
      <c r="J12" s="20" t="s">
        <v>75</v>
      </c>
      <c r="K12" s="8" t="s">
        <v>104</v>
      </c>
      <c r="L12" s="8">
        <v>1.8</v>
      </c>
      <c r="M12" s="8">
        <v>3.3</v>
      </c>
      <c r="N12" s="8">
        <f>CPU!C27</f>
        <v>3.3</v>
      </c>
      <c r="O12" s="17">
        <f>CPU!D27+F22</f>
        <v>6.1479999999999997</v>
      </c>
      <c r="P12" s="20">
        <f>N12*O12</f>
        <v>20.288399999999999</v>
      </c>
      <c r="Q12" s="18">
        <f t="shared" si="9"/>
        <v>2.0288399999999998E-2</v>
      </c>
      <c r="R12" s="8">
        <f t="shared" si="2"/>
        <v>0.40000000000000036</v>
      </c>
      <c r="S12" s="18">
        <f t="shared" si="3"/>
        <v>2.4592000000000017E-3</v>
      </c>
      <c r="T12" s="21">
        <f t="shared" si="10"/>
        <v>0.89189189189189177</v>
      </c>
    </row>
    <row r="13" spans="1:20" x14ac:dyDescent="0.25">
      <c r="A13" s="55"/>
      <c r="B13" s="8" t="s">
        <v>91</v>
      </c>
      <c r="C13" s="8">
        <f>MAX($N$12, $N$13) +0.25</f>
        <v>3.55</v>
      </c>
      <c r="D13" s="8">
        <v>3.6</v>
      </c>
      <c r="E13" s="8">
        <f>L19</f>
        <v>3.7</v>
      </c>
      <c r="F13" s="20">
        <f>O13</f>
        <v>0</v>
      </c>
      <c r="G13" s="19">
        <f t="shared" si="11"/>
        <v>0</v>
      </c>
      <c r="H13" s="19">
        <f t="shared" si="8"/>
        <v>0</v>
      </c>
      <c r="I13" s="20">
        <v>350</v>
      </c>
      <c r="J13" s="20" t="s">
        <v>90</v>
      </c>
      <c r="K13" s="8" t="s">
        <v>95</v>
      </c>
      <c r="L13" s="8">
        <v>1.8</v>
      </c>
      <c r="M13" s="8">
        <v>3.3</v>
      </c>
      <c r="N13" s="8">
        <v>3.3</v>
      </c>
      <c r="O13" s="17">
        <v>0</v>
      </c>
      <c r="P13" s="20">
        <f>N13*O13</f>
        <v>0</v>
      </c>
      <c r="Q13" s="18">
        <f t="shared" si="9"/>
        <v>0</v>
      </c>
      <c r="R13" s="8">
        <f t="shared" si="2"/>
        <v>0.40000000000000036</v>
      </c>
      <c r="S13" s="18">
        <f t="shared" si="3"/>
        <v>0</v>
      </c>
      <c r="T13" s="21">
        <f t="shared" si="10"/>
        <v>1</v>
      </c>
    </row>
    <row r="14" spans="1:20" x14ac:dyDescent="0.25">
      <c r="A14" s="55"/>
      <c r="B14" s="8" t="s">
        <v>101</v>
      </c>
      <c r="C14" s="8">
        <v>1.2</v>
      </c>
      <c r="D14" s="8">
        <v>1.65</v>
      </c>
      <c r="E14" s="8">
        <f>N5</f>
        <v>1.35</v>
      </c>
      <c r="F14" s="8">
        <f>O14</f>
        <v>3</v>
      </c>
      <c r="G14" s="19">
        <f t="shared" si="0"/>
        <v>4.0500000000000007</v>
      </c>
      <c r="H14" s="19">
        <f t="shared" si="1"/>
        <v>4.0500000000000006E-3</v>
      </c>
      <c r="I14" s="20">
        <v>10</v>
      </c>
      <c r="J14" s="20" t="s">
        <v>103</v>
      </c>
      <c r="K14" s="8" t="s">
        <v>51</v>
      </c>
      <c r="L14" s="8">
        <f>0.5*N5</f>
        <v>0.67500000000000004</v>
      </c>
      <c r="M14" s="8">
        <f>0.5*N5</f>
        <v>0.67500000000000004</v>
      </c>
      <c r="N14" s="8">
        <f>CPU!C25</f>
        <v>0.67500000000000004</v>
      </c>
      <c r="O14" s="17">
        <f>CPU!D25+DDR3L!D9</f>
        <v>3</v>
      </c>
      <c r="P14" s="20">
        <f t="shared" si="5"/>
        <v>2.0250000000000004</v>
      </c>
      <c r="Q14" s="18">
        <f t="shared" si="6"/>
        <v>2.0250000000000003E-3</v>
      </c>
      <c r="R14" s="8">
        <f t="shared" si="2"/>
        <v>0.67500000000000004</v>
      </c>
      <c r="S14" s="18">
        <f t="shared" si="3"/>
        <v>2.0250000000000003E-3</v>
      </c>
      <c r="T14" s="21">
        <f t="shared" si="10"/>
        <v>0.5</v>
      </c>
    </row>
    <row r="15" spans="1:20" x14ac:dyDescent="0.25">
      <c r="A15" s="5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</row>
    <row r="16" spans="1:20" ht="15.75" thickBot="1" x14ac:dyDescent="0.3">
      <c r="A16" s="56"/>
      <c r="B16" s="45" t="s">
        <v>26</v>
      </c>
      <c r="C16" s="38"/>
      <c r="D16" s="38"/>
      <c r="E16" s="38"/>
      <c r="F16" s="38"/>
      <c r="G16" s="39">
        <f>SUM(G2:G14)</f>
        <v>6057.9798451733332</v>
      </c>
      <c r="H16" s="46">
        <f>SUM(H2:H14)</f>
        <v>6.0579798451733344</v>
      </c>
      <c r="I16" s="38"/>
      <c r="J16" s="38"/>
      <c r="K16" s="38"/>
      <c r="L16" s="38"/>
      <c r="M16" s="38"/>
      <c r="N16" s="38"/>
      <c r="O16" s="38"/>
      <c r="P16" s="39">
        <f>SUM(P2:P14)</f>
        <v>4871.2810105600001</v>
      </c>
      <c r="Q16" s="46">
        <f>SUM(Q2:Q14)</f>
        <v>4.8712810105599997</v>
      </c>
      <c r="R16" s="38"/>
      <c r="S16" s="46">
        <f>SUM(S2:S14)</f>
        <v>1.1866988346133331</v>
      </c>
      <c r="T16" s="48">
        <f>Q16/H16</f>
        <v>0.80410980806434484</v>
      </c>
    </row>
    <row r="17" spans="1:15" ht="15.75" thickBot="1" x14ac:dyDescent="0.3"/>
    <row r="18" spans="1:15" ht="30" customHeight="1" thickBot="1" x14ac:dyDescent="0.3">
      <c r="A18" s="31"/>
      <c r="B18" s="43" t="s">
        <v>0</v>
      </c>
      <c r="C18" s="43" t="s">
        <v>106</v>
      </c>
      <c r="D18" s="43" t="s">
        <v>97</v>
      </c>
      <c r="E18" s="43" t="s">
        <v>78</v>
      </c>
      <c r="F18" s="43" t="s">
        <v>79</v>
      </c>
      <c r="G18" s="43" t="s">
        <v>82</v>
      </c>
      <c r="H18" s="44" t="s">
        <v>81</v>
      </c>
      <c r="J18" s="54" t="s">
        <v>107</v>
      </c>
      <c r="K18" s="43" t="s">
        <v>108</v>
      </c>
      <c r="L18" s="43" t="s">
        <v>78</v>
      </c>
      <c r="M18" s="43" t="s">
        <v>79</v>
      </c>
      <c r="N18" s="43" t="s">
        <v>82</v>
      </c>
      <c r="O18" s="44" t="s">
        <v>81</v>
      </c>
    </row>
    <row r="19" spans="1:15" x14ac:dyDescent="0.25">
      <c r="A19" s="54" t="s">
        <v>105</v>
      </c>
      <c r="B19" s="8" t="s">
        <v>92</v>
      </c>
      <c r="C19" s="8">
        <v>3.7</v>
      </c>
      <c r="D19" s="8">
        <v>5.5</v>
      </c>
      <c r="E19" s="8">
        <v>0</v>
      </c>
      <c r="F19" s="8">
        <v>0</v>
      </c>
      <c r="G19" s="18">
        <f t="shared" ref="G19" si="14">E19*F19</f>
        <v>0</v>
      </c>
      <c r="H19" s="16">
        <f t="shared" ref="H19:H23" si="15">G19/1000</f>
        <v>0</v>
      </c>
      <c r="J19" s="55"/>
      <c r="K19" s="8" t="s">
        <v>109</v>
      </c>
      <c r="L19" s="8">
        <v>3.7</v>
      </c>
      <c r="M19" s="20">
        <f>SUMIF(E2:E14, L19, F2:F14) +SUMIF(E19:E23, L19, F19:F23)</f>
        <v>1638.3972554522522</v>
      </c>
      <c r="N19" s="17">
        <f>L19*M19</f>
        <v>6062.0698451733333</v>
      </c>
      <c r="O19" s="16">
        <f>N19/1000</f>
        <v>6.0620698451733332</v>
      </c>
    </row>
    <row r="20" spans="1:15" x14ac:dyDescent="0.25">
      <c r="A20" s="55"/>
      <c r="B20" s="8" t="s">
        <v>54</v>
      </c>
      <c r="C20" s="8">
        <f>C7</f>
        <v>2.25</v>
      </c>
      <c r="D20" s="8">
        <v>4.5</v>
      </c>
      <c r="E20" s="8">
        <f>L19</f>
        <v>3.7</v>
      </c>
      <c r="F20" s="8">
        <v>1.2</v>
      </c>
      <c r="G20" s="18">
        <f t="shared" ref="G20" si="16">E20*F20</f>
        <v>4.4400000000000004</v>
      </c>
      <c r="H20" s="16">
        <f t="shared" si="15"/>
        <v>4.4400000000000004E-3</v>
      </c>
      <c r="J20" s="55"/>
      <c r="K20" s="8" t="s">
        <v>86</v>
      </c>
      <c r="L20" s="8">
        <f>E22</f>
        <v>3.3</v>
      </c>
      <c r="M20" s="8">
        <f>F22</f>
        <v>1</v>
      </c>
      <c r="N20" s="18">
        <f>L20*M20</f>
        <v>3.3</v>
      </c>
      <c r="O20" s="16">
        <f>N20/1000</f>
        <v>3.3E-3</v>
      </c>
    </row>
    <row r="21" spans="1:15" x14ac:dyDescent="0.25">
      <c r="A21" s="55"/>
      <c r="B21" s="8" t="s">
        <v>94</v>
      </c>
      <c r="C21" s="8">
        <v>2.8</v>
      </c>
      <c r="D21" s="8">
        <v>4.5</v>
      </c>
      <c r="E21" s="8">
        <f>L19</f>
        <v>3.7</v>
      </c>
      <c r="F21" s="8">
        <v>1</v>
      </c>
      <c r="G21" s="18">
        <f t="shared" ref="G21:G23" si="17">E21*F21</f>
        <v>3.7</v>
      </c>
      <c r="H21" s="16">
        <f t="shared" si="15"/>
        <v>3.7000000000000002E-3</v>
      </c>
      <c r="J21" s="55"/>
      <c r="K21" s="8" t="s">
        <v>101</v>
      </c>
      <c r="L21" s="8">
        <f>E14</f>
        <v>1.35</v>
      </c>
      <c r="M21" s="20">
        <f>F14</f>
        <v>3</v>
      </c>
      <c r="N21" s="18">
        <f>L21*M21</f>
        <v>4.0500000000000007</v>
      </c>
      <c r="O21" s="16">
        <f>N21/1000</f>
        <v>4.0500000000000006E-3</v>
      </c>
    </row>
    <row r="22" spans="1:15" x14ac:dyDescent="0.25">
      <c r="A22" s="55"/>
      <c r="B22" s="8" t="s">
        <v>86</v>
      </c>
      <c r="C22" s="8">
        <v>1.7</v>
      </c>
      <c r="D22" s="8">
        <v>3.6</v>
      </c>
      <c r="E22" s="8">
        <f>N12</f>
        <v>3.3</v>
      </c>
      <c r="F22" s="8">
        <v>1</v>
      </c>
      <c r="G22" s="18">
        <f t="shared" si="17"/>
        <v>3.3</v>
      </c>
      <c r="H22" s="16">
        <f t="shared" si="15"/>
        <v>3.3E-3</v>
      </c>
      <c r="J22" s="55"/>
      <c r="K22" s="8"/>
      <c r="L22" s="8"/>
      <c r="M22" s="19"/>
      <c r="N22" s="17"/>
      <c r="O22" s="16"/>
    </row>
    <row r="23" spans="1:15" ht="15.75" thickBot="1" x14ac:dyDescent="0.3">
      <c r="A23" s="55"/>
      <c r="B23" s="8" t="s">
        <v>96</v>
      </c>
      <c r="C23" s="8">
        <v>0</v>
      </c>
      <c r="D23" s="8">
        <v>1.8</v>
      </c>
      <c r="E23" s="8">
        <v>0</v>
      </c>
      <c r="F23" s="8">
        <v>0</v>
      </c>
      <c r="G23" s="18">
        <f t="shared" si="17"/>
        <v>0</v>
      </c>
      <c r="H23" s="16">
        <f t="shared" si="15"/>
        <v>0</v>
      </c>
      <c r="J23" s="56"/>
      <c r="K23" s="10"/>
      <c r="L23" s="10"/>
      <c r="M23" s="38" t="s">
        <v>26</v>
      </c>
      <c r="N23" s="39">
        <f>SUM(N19:N21)</f>
        <v>6069.4198451733337</v>
      </c>
      <c r="O23" s="40">
        <f>SUM(O19:O21)</f>
        <v>6.0694198451733339</v>
      </c>
    </row>
    <row r="24" spans="1:15" x14ac:dyDescent="0.25">
      <c r="A24" s="55"/>
      <c r="B24" s="8"/>
      <c r="C24" s="8"/>
      <c r="D24" s="8"/>
      <c r="E24" s="8"/>
      <c r="F24" s="8"/>
      <c r="G24" s="8"/>
      <c r="H24" s="9"/>
      <c r="J24" s="2"/>
      <c r="N24" s="5"/>
      <c r="O24" s="5"/>
    </row>
    <row r="25" spans="1:15" ht="15.75" thickBot="1" x14ac:dyDescent="0.3">
      <c r="A25" s="56"/>
      <c r="B25" s="45" t="s">
        <v>26</v>
      </c>
      <c r="C25" s="38"/>
      <c r="D25" s="38"/>
      <c r="E25" s="38"/>
      <c r="F25" s="38"/>
      <c r="G25" s="47">
        <f>SUM(G19:G23)</f>
        <v>11.440000000000001</v>
      </c>
      <c r="H25" s="40">
        <f>SUM(H19:H23)</f>
        <v>1.1440000000000002E-2</v>
      </c>
      <c r="J25" s="2"/>
      <c r="N25" s="4"/>
      <c r="O25" s="5"/>
    </row>
    <row r="26" spans="1:15" x14ac:dyDescent="0.25">
      <c r="J26" s="2"/>
      <c r="N26" s="5"/>
      <c r="O26" s="5"/>
    </row>
    <row r="27" spans="1:15" x14ac:dyDescent="0.25">
      <c r="B27" s="57" t="s">
        <v>56</v>
      </c>
      <c r="C27" s="57"/>
      <c r="D27" s="57"/>
      <c r="E27" s="57"/>
      <c r="J27" s="2"/>
      <c r="M27" s="4"/>
      <c r="N27" s="6"/>
      <c r="O27" s="5"/>
    </row>
    <row r="28" spans="1:15" ht="15" customHeight="1" x14ac:dyDescent="0.25">
      <c r="B28" s="53" t="s">
        <v>99</v>
      </c>
      <c r="C28" s="53"/>
      <c r="D28" s="53"/>
      <c r="E28" s="53"/>
      <c r="F28" s="29"/>
      <c r="G28" s="29"/>
      <c r="J28" s="2"/>
      <c r="M28" s="7"/>
      <c r="N28" s="4"/>
      <c r="O28" s="5"/>
    </row>
    <row r="29" spans="1:15" ht="15" customHeight="1" x14ac:dyDescent="0.25">
      <c r="B29" s="53" t="s">
        <v>100</v>
      </c>
      <c r="C29" s="53"/>
      <c r="D29" s="53"/>
      <c r="E29" s="53"/>
      <c r="F29" s="29"/>
      <c r="G29" s="29"/>
      <c r="J29" s="2"/>
      <c r="N29" s="5"/>
      <c r="O29" s="5"/>
    </row>
    <row r="30" spans="1:15" x14ac:dyDescent="0.25">
      <c r="J30" s="2"/>
    </row>
    <row r="31" spans="1:15" x14ac:dyDescent="0.25">
      <c r="J31" s="2"/>
      <c r="N31" s="5"/>
      <c r="O31" s="5"/>
    </row>
    <row r="32" spans="1:15" x14ac:dyDescent="0.25">
      <c r="J32" s="2"/>
    </row>
    <row r="33" spans="10:10" x14ac:dyDescent="0.25">
      <c r="J33" s="2"/>
    </row>
  </sheetData>
  <mergeCells count="6">
    <mergeCell ref="B29:E29"/>
    <mergeCell ref="J18:J23"/>
    <mergeCell ref="A1:A16"/>
    <mergeCell ref="A19:A25"/>
    <mergeCell ref="B27:E27"/>
    <mergeCell ref="B28:E28"/>
  </mergeCells>
  <conditionalFormatting sqref="O2:O14">
    <cfRule type="cellIs" dxfId="25" priority="24" operator="lessThan">
      <formula>0.8*$I2</formula>
    </cfRule>
    <cfRule type="cellIs" dxfId="24" priority="25" operator="between">
      <formula>$I2*0.8</formula>
      <formula>$I2</formula>
    </cfRule>
    <cfRule type="expression" dxfId="23" priority="28">
      <formula>$O2&gt;$I2</formula>
    </cfRule>
  </conditionalFormatting>
  <conditionalFormatting sqref="E2:E14">
    <cfRule type="cellIs" dxfId="22" priority="21" stopIfTrue="1" operator="between">
      <formula>$C2</formula>
      <formula>$D2</formula>
    </cfRule>
    <cfRule type="cellIs" dxfId="21" priority="22" stopIfTrue="1" operator="equal">
      <formula>0</formula>
    </cfRule>
    <cfRule type="expression" dxfId="20" priority="23">
      <formula>TRUE</formula>
    </cfRule>
  </conditionalFormatting>
  <conditionalFormatting sqref="N2:N14">
    <cfRule type="cellIs" dxfId="19" priority="19" stopIfTrue="1" operator="between">
      <formula>$L2</formula>
      <formula>$M2</formula>
    </cfRule>
    <cfRule type="expression" dxfId="18" priority="20">
      <formula>TRUE</formula>
    </cfRule>
  </conditionalFormatting>
  <conditionalFormatting sqref="S2:S14">
    <cfRule type="cellIs" dxfId="17" priority="18" operator="lessThan">
      <formula>0</formula>
    </cfRule>
  </conditionalFormatting>
  <conditionalFormatting sqref="T2:T14 T16">
    <cfRule type="cellIs" dxfId="16" priority="16" operator="greaterThanOrEqual">
      <formula>50%</formula>
    </cfRule>
    <cfRule type="cellIs" dxfId="15" priority="17" operator="lessThan">
      <formula>50%</formula>
    </cfRule>
  </conditionalFormatting>
  <conditionalFormatting sqref="E19">
    <cfRule type="cellIs" dxfId="14" priority="13" stopIfTrue="1" operator="between">
      <formula>$C19</formula>
      <formula>"$D2"</formula>
    </cfRule>
    <cfRule type="cellIs" dxfId="13" priority="14" stopIfTrue="1" operator="equal">
      <formula>0</formula>
    </cfRule>
    <cfRule type="expression" dxfId="12" priority="15">
      <formula>TRUE</formula>
    </cfRule>
  </conditionalFormatting>
  <conditionalFormatting sqref="E20">
    <cfRule type="cellIs" dxfId="11" priority="10" stopIfTrue="1" operator="between">
      <formula>$C20</formula>
      <formula>"$D2"</formula>
    </cfRule>
    <cfRule type="cellIs" dxfId="10" priority="11" stopIfTrue="1" operator="equal">
      <formula>0</formula>
    </cfRule>
    <cfRule type="expression" dxfId="9" priority="12">
      <formula>TRUE</formula>
    </cfRule>
  </conditionalFormatting>
  <conditionalFormatting sqref="E21">
    <cfRule type="cellIs" dxfId="8" priority="7" stopIfTrue="1" operator="between">
      <formula>$C21</formula>
      <formula>"$D2"</formula>
    </cfRule>
    <cfRule type="cellIs" dxfId="7" priority="8" stopIfTrue="1" operator="equal">
      <formula>0</formula>
    </cfRule>
    <cfRule type="expression" dxfId="6" priority="9">
      <formula>TRUE</formula>
    </cfRule>
  </conditionalFormatting>
  <conditionalFormatting sqref="E22">
    <cfRule type="cellIs" dxfId="5" priority="4" stopIfTrue="1" operator="between">
      <formula>$C22</formula>
      <formula>"$D2"</formula>
    </cfRule>
    <cfRule type="cellIs" dxfId="4" priority="5" stopIfTrue="1" operator="equal">
      <formula>0</formula>
    </cfRule>
    <cfRule type="expression" dxfId="3" priority="6">
      <formula>TRUE</formula>
    </cfRule>
  </conditionalFormatting>
  <conditionalFormatting sqref="E23">
    <cfRule type="cellIs" dxfId="2" priority="1" stopIfTrue="1" operator="between">
      <formula>$C23</formula>
      <formula>"$D2"</formula>
    </cfRule>
    <cfRule type="cellIs" dxfId="1" priority="2" stopIfTrue="1" operator="equal">
      <formula>0</formula>
    </cfRule>
    <cfRule type="expression" dxfId="0" priority="3">
      <formula>TRUE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B61-F16E-4560-894E-95A59C5A38A5}">
  <dimension ref="A1:F4"/>
  <sheetViews>
    <sheetView workbookViewId="0">
      <selection activeCell="E4" sqref="E4"/>
    </sheetView>
  </sheetViews>
  <sheetFormatPr defaultRowHeight="15" x14ac:dyDescent="0.25"/>
  <cols>
    <col min="1" max="1" width="6.7109375" customWidth="1"/>
    <col min="2" max="2" width="8.5703125" customWidth="1"/>
    <col min="3" max="3" width="13.140625" customWidth="1"/>
    <col min="4" max="4" width="14.7109375" customWidth="1"/>
    <col min="5" max="5" width="14.28515625" customWidth="1"/>
    <col min="6" max="6" width="12.5703125" customWidth="1"/>
  </cols>
  <sheetData>
    <row r="1" spans="1:6" ht="15" customHeight="1" x14ac:dyDescent="0.25">
      <c r="A1" s="50" t="s">
        <v>49</v>
      </c>
      <c r="B1" s="41" t="s">
        <v>1</v>
      </c>
      <c r="C1" s="41" t="s">
        <v>4</v>
      </c>
      <c r="D1" s="41" t="s">
        <v>3</v>
      </c>
      <c r="E1" s="41" t="s">
        <v>5</v>
      </c>
      <c r="F1" s="42" t="s">
        <v>6</v>
      </c>
    </row>
    <row r="2" spans="1:6" ht="60" x14ac:dyDescent="0.25">
      <c r="A2" s="51"/>
      <c r="B2" s="30" t="s">
        <v>112</v>
      </c>
      <c r="C2" s="8">
        <v>3.3</v>
      </c>
      <c r="D2" s="8">
        <v>195</v>
      </c>
      <c r="E2" s="20">
        <f>D2*C2</f>
        <v>643.5</v>
      </c>
      <c r="F2" s="16">
        <f>E2/1000</f>
        <v>0.64349999999999996</v>
      </c>
    </row>
    <row r="3" spans="1:6" x14ac:dyDescent="0.25">
      <c r="A3" s="51"/>
      <c r="B3" s="8"/>
      <c r="C3" s="8"/>
      <c r="D3" s="8"/>
      <c r="E3" s="8"/>
      <c r="F3" s="9"/>
    </row>
    <row r="4" spans="1:6" ht="15.75" thickBot="1" x14ac:dyDescent="0.3">
      <c r="A4" s="52"/>
      <c r="B4" s="10"/>
      <c r="C4" s="38" t="s">
        <v>26</v>
      </c>
      <c r="D4" s="38" cm="1">
        <f t="array" ref="D4">Table5[Current (mA)]</f>
        <v>195</v>
      </c>
      <c r="E4" s="39" cm="1">
        <f t="array" ref="E4">Table5[Power (mW)]</f>
        <v>643.5</v>
      </c>
      <c r="F4" s="40" cm="1">
        <f t="array" ref="F4">Table5[Power (W)]</f>
        <v>0.64349999999999996</v>
      </c>
    </row>
  </sheetData>
  <mergeCells count="1">
    <mergeCell ref="A1:A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E8FD-9EAF-459F-839D-AF6883546977}">
  <dimension ref="A1:P33"/>
  <sheetViews>
    <sheetView workbookViewId="0">
      <selection activeCell="B1" sqref="B1:F1"/>
    </sheetView>
  </sheetViews>
  <sheetFormatPr defaultRowHeight="15" x14ac:dyDescent="0.25"/>
  <cols>
    <col min="1" max="1" width="3.7109375" bestFit="1" customWidth="1"/>
    <col min="2" max="2" width="22.28515625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8" max="8" width="3.7109375" bestFit="1" customWidth="1"/>
    <col min="9" max="9" width="15.85546875" bestFit="1" customWidth="1"/>
    <col min="10" max="10" width="13.28515625" bestFit="1" customWidth="1"/>
    <col min="11" max="11" width="19.7109375" bestFit="1" customWidth="1"/>
    <col min="12" max="12" width="16.85546875" bestFit="1" customWidth="1"/>
    <col min="13" max="13" width="16.7109375" bestFit="1" customWidth="1"/>
    <col min="14" max="14" width="14.85546875" bestFit="1" customWidth="1"/>
    <col min="15" max="15" width="20.85546875" bestFit="1" customWidth="1"/>
    <col min="16" max="16" width="12.85546875" bestFit="1" customWidth="1"/>
  </cols>
  <sheetData>
    <row r="1" spans="1:16" x14ac:dyDescent="0.25">
      <c r="A1" s="54" t="s">
        <v>68</v>
      </c>
      <c r="B1" s="14" t="s">
        <v>1</v>
      </c>
      <c r="C1" s="14" t="s">
        <v>4</v>
      </c>
      <c r="D1" s="14" t="s">
        <v>3</v>
      </c>
      <c r="E1" s="14" t="s">
        <v>5</v>
      </c>
      <c r="F1" s="15" t="s">
        <v>6</v>
      </c>
      <c r="H1" s="54" t="s">
        <v>23</v>
      </c>
      <c r="I1" s="14" t="s">
        <v>1</v>
      </c>
      <c r="J1" s="14" t="s">
        <v>4</v>
      </c>
      <c r="K1" s="14" t="s">
        <v>46</v>
      </c>
      <c r="L1" s="14" t="s">
        <v>3</v>
      </c>
      <c r="M1" s="14" t="s">
        <v>5</v>
      </c>
      <c r="N1" s="14" t="s">
        <v>6</v>
      </c>
      <c r="O1" s="14" t="s">
        <v>47</v>
      </c>
      <c r="P1" s="15" t="s">
        <v>27</v>
      </c>
    </row>
    <row r="2" spans="1:16" x14ac:dyDescent="0.25">
      <c r="A2" s="55"/>
      <c r="B2" s="8" t="s">
        <v>2</v>
      </c>
      <c r="C2" s="8">
        <v>1.2250000000000001</v>
      </c>
      <c r="D2" s="8">
        <v>500</v>
      </c>
      <c r="E2" s="8">
        <f t="shared" ref="E2:E13" si="0">C2*D2</f>
        <v>612.5</v>
      </c>
      <c r="F2" s="16">
        <f>E2/1000</f>
        <v>0.61250000000000004</v>
      </c>
      <c r="H2" s="55"/>
      <c r="I2" s="8" t="s">
        <v>16</v>
      </c>
      <c r="J2" s="8">
        <v>1</v>
      </c>
      <c r="K2" s="8">
        <v>1.8</v>
      </c>
      <c r="L2" s="8">
        <v>80</v>
      </c>
      <c r="M2" s="8">
        <f>K2*L2</f>
        <v>144</v>
      </c>
      <c r="N2" s="8">
        <f t="shared" ref="N2:N10" si="1">M2/1000</f>
        <v>0.14399999999999999</v>
      </c>
      <c r="O2" s="8">
        <f>(K2-J2)*L2/1000</f>
        <v>6.4000000000000001E-2</v>
      </c>
      <c r="P2" s="21">
        <f>(N2-O2)/N2</f>
        <v>0.55555555555555547</v>
      </c>
    </row>
    <row r="3" spans="1:16" x14ac:dyDescent="0.25">
      <c r="A3" s="55"/>
      <c r="B3" s="8" t="s">
        <v>7</v>
      </c>
      <c r="C3" s="8">
        <v>1</v>
      </c>
      <c r="D3" s="8">
        <v>1000</v>
      </c>
      <c r="E3" s="8">
        <f t="shared" si="0"/>
        <v>1000</v>
      </c>
      <c r="F3" s="16">
        <f t="shared" ref="F3:F5" si="2">E3/1000</f>
        <v>1</v>
      </c>
      <c r="H3" s="55"/>
      <c r="I3" s="8" t="s">
        <v>17</v>
      </c>
      <c r="J3" s="8">
        <v>1</v>
      </c>
      <c r="K3" s="8">
        <v>1.8</v>
      </c>
      <c r="L3" s="8">
        <v>70</v>
      </c>
      <c r="M3" s="8">
        <f t="shared" ref="M3:M10" si="3">K3*L3</f>
        <v>126</v>
      </c>
      <c r="N3" s="8">
        <f t="shared" si="1"/>
        <v>0.126</v>
      </c>
      <c r="O3" s="8">
        <f t="shared" ref="O3:O10" si="4">(K3-J3)*L3/1000</f>
        <v>5.6000000000000001E-2</v>
      </c>
      <c r="P3" s="21">
        <f t="shared" ref="P3:P10" si="5">(N3-O3)/N3</f>
        <v>0.55555555555555558</v>
      </c>
    </row>
    <row r="4" spans="1:16" x14ac:dyDescent="0.25">
      <c r="A4" s="55"/>
      <c r="B4" s="8" t="s">
        <v>8</v>
      </c>
      <c r="C4" s="8">
        <v>1.8</v>
      </c>
      <c r="D4" s="8">
        <v>150</v>
      </c>
      <c r="E4" s="17">
        <f t="shared" si="0"/>
        <v>270</v>
      </c>
      <c r="F4" s="16">
        <f t="shared" si="2"/>
        <v>0.27</v>
      </c>
      <c r="H4" s="55"/>
      <c r="I4" s="8" t="s">
        <v>18</v>
      </c>
      <c r="J4" s="8">
        <v>1</v>
      </c>
      <c r="K4" s="8">
        <v>1.8</v>
      </c>
      <c r="L4" s="8">
        <v>35</v>
      </c>
      <c r="M4" s="8">
        <f t="shared" si="3"/>
        <v>63</v>
      </c>
      <c r="N4" s="8">
        <f t="shared" si="1"/>
        <v>6.3E-2</v>
      </c>
      <c r="O4" s="8">
        <f t="shared" si="4"/>
        <v>2.8000000000000001E-2</v>
      </c>
      <c r="P4" s="21">
        <f t="shared" si="5"/>
        <v>0.55555555555555558</v>
      </c>
    </row>
    <row r="5" spans="1:16" x14ac:dyDescent="0.25">
      <c r="A5" s="55"/>
      <c r="B5" s="8" t="s">
        <v>45</v>
      </c>
      <c r="C5" s="8">
        <v>1.8</v>
      </c>
      <c r="D5" s="8">
        <f>L12</f>
        <v>300</v>
      </c>
      <c r="E5" s="17">
        <f t="shared" si="0"/>
        <v>540</v>
      </c>
      <c r="F5" s="16">
        <f t="shared" si="2"/>
        <v>0.54</v>
      </c>
      <c r="H5" s="55"/>
      <c r="I5" s="8" t="s">
        <v>19</v>
      </c>
      <c r="J5" s="8">
        <v>1</v>
      </c>
      <c r="K5" s="8">
        <v>1.8</v>
      </c>
      <c r="L5" s="8">
        <v>35</v>
      </c>
      <c r="M5" s="8">
        <f t="shared" si="3"/>
        <v>63</v>
      </c>
      <c r="N5" s="8">
        <f t="shared" si="1"/>
        <v>6.3E-2</v>
      </c>
      <c r="O5" s="8">
        <f t="shared" si="4"/>
        <v>2.8000000000000001E-2</v>
      </c>
      <c r="P5" s="21">
        <f t="shared" si="5"/>
        <v>0.55555555555555558</v>
      </c>
    </row>
    <row r="6" spans="1:16" x14ac:dyDescent="0.25">
      <c r="A6" s="55"/>
      <c r="B6" s="8" t="s">
        <v>9</v>
      </c>
      <c r="C6" s="8">
        <v>3</v>
      </c>
      <c r="D6" s="8">
        <v>1</v>
      </c>
      <c r="E6" s="18">
        <f t="shared" si="0"/>
        <v>3</v>
      </c>
      <c r="F6" s="16">
        <f t="shared" ref="F6:F13" si="6">E6/1000</f>
        <v>3.0000000000000001E-3</v>
      </c>
      <c r="H6" s="55"/>
      <c r="I6" s="8" t="s">
        <v>24</v>
      </c>
      <c r="J6" s="8">
        <v>1.2</v>
      </c>
      <c r="K6" s="8">
        <v>1.8</v>
      </c>
      <c r="L6" s="8">
        <v>20</v>
      </c>
      <c r="M6" s="8">
        <f t="shared" si="3"/>
        <v>36</v>
      </c>
      <c r="N6" s="8">
        <f t="shared" si="1"/>
        <v>3.5999999999999997E-2</v>
      </c>
      <c r="O6" s="8">
        <f t="shared" si="4"/>
        <v>1.2000000000000002E-2</v>
      </c>
      <c r="P6" s="21">
        <f t="shared" si="5"/>
        <v>0.66666666666666652</v>
      </c>
    </row>
    <row r="7" spans="1:16" x14ac:dyDescent="0.25">
      <c r="A7" s="55"/>
      <c r="B7" s="8" t="s">
        <v>10</v>
      </c>
      <c r="C7" s="8">
        <v>1.8</v>
      </c>
      <c r="D7" s="8">
        <v>5</v>
      </c>
      <c r="E7" s="18">
        <f t="shared" si="0"/>
        <v>9</v>
      </c>
      <c r="F7" s="9">
        <f t="shared" si="6"/>
        <v>8.9999999999999993E-3</v>
      </c>
      <c r="H7" s="55"/>
      <c r="I7" s="8" t="s">
        <v>20</v>
      </c>
      <c r="J7" s="8">
        <v>1.8</v>
      </c>
      <c r="K7" s="8">
        <v>1.8</v>
      </c>
      <c r="L7" s="8">
        <v>25</v>
      </c>
      <c r="M7" s="8">
        <f t="shared" si="3"/>
        <v>45</v>
      </c>
      <c r="N7" s="8">
        <f t="shared" si="1"/>
        <v>4.4999999999999998E-2</v>
      </c>
      <c r="O7" s="8">
        <f t="shared" si="4"/>
        <v>0</v>
      </c>
      <c r="P7" s="21">
        <f t="shared" si="5"/>
        <v>1</v>
      </c>
    </row>
    <row r="8" spans="1:16" x14ac:dyDescent="0.25">
      <c r="A8" s="55"/>
      <c r="B8" s="8" t="s">
        <v>11</v>
      </c>
      <c r="C8" s="8">
        <v>1.8</v>
      </c>
      <c r="D8" s="8">
        <v>5</v>
      </c>
      <c r="E8" s="18">
        <f t="shared" si="0"/>
        <v>9</v>
      </c>
      <c r="F8" s="9">
        <f t="shared" si="6"/>
        <v>8.9999999999999993E-3</v>
      </c>
      <c r="H8" s="55"/>
      <c r="I8" s="8" t="s">
        <v>21</v>
      </c>
      <c r="J8" s="8">
        <v>1.8</v>
      </c>
      <c r="K8" s="8">
        <v>1.8</v>
      </c>
      <c r="L8" s="8">
        <v>15</v>
      </c>
      <c r="M8" s="8">
        <f t="shared" si="3"/>
        <v>27</v>
      </c>
      <c r="N8" s="8">
        <f t="shared" si="1"/>
        <v>2.7E-2</v>
      </c>
      <c r="O8" s="8">
        <f t="shared" si="4"/>
        <v>0</v>
      </c>
      <c r="P8" s="21">
        <f t="shared" si="5"/>
        <v>1</v>
      </c>
    </row>
    <row r="9" spans="1:16" x14ac:dyDescent="0.25">
      <c r="A9" s="55"/>
      <c r="B9" s="8" t="s">
        <v>12</v>
      </c>
      <c r="C9" s="8">
        <v>1.8</v>
      </c>
      <c r="D9" s="8">
        <v>1</v>
      </c>
      <c r="E9" s="18">
        <f t="shared" si="0"/>
        <v>1.8</v>
      </c>
      <c r="F9" s="16">
        <f t="shared" si="6"/>
        <v>1.8E-3</v>
      </c>
      <c r="H9" s="55"/>
      <c r="I9" s="8" t="s">
        <v>22</v>
      </c>
      <c r="J9" s="8">
        <v>1.8</v>
      </c>
      <c r="K9" s="8">
        <v>1.8</v>
      </c>
      <c r="L9" s="8">
        <v>15</v>
      </c>
      <c r="M9" s="8">
        <f t="shared" si="3"/>
        <v>27</v>
      </c>
      <c r="N9" s="8">
        <f t="shared" si="1"/>
        <v>2.7E-2</v>
      </c>
      <c r="O9" s="8">
        <f t="shared" si="4"/>
        <v>0</v>
      </c>
      <c r="P9" s="21">
        <f t="shared" si="5"/>
        <v>1</v>
      </c>
    </row>
    <row r="10" spans="1:16" x14ac:dyDescent="0.25">
      <c r="A10" s="55"/>
      <c r="B10" s="8" t="s">
        <v>13</v>
      </c>
      <c r="C10" s="8">
        <v>1.8</v>
      </c>
      <c r="D10" s="8">
        <v>5</v>
      </c>
      <c r="E10" s="18">
        <f t="shared" si="0"/>
        <v>9</v>
      </c>
      <c r="F10" s="9">
        <f t="shared" si="6"/>
        <v>8.9999999999999993E-3</v>
      </c>
      <c r="H10" s="55"/>
      <c r="I10" s="8" t="s">
        <v>25</v>
      </c>
      <c r="J10" s="8">
        <v>1.8</v>
      </c>
      <c r="K10" s="8">
        <v>1.8</v>
      </c>
      <c r="L10" s="8">
        <v>5</v>
      </c>
      <c r="M10" s="8">
        <f t="shared" si="3"/>
        <v>9</v>
      </c>
      <c r="N10" s="8">
        <f t="shared" si="1"/>
        <v>8.9999999999999993E-3</v>
      </c>
      <c r="O10" s="8">
        <f t="shared" si="4"/>
        <v>0</v>
      </c>
      <c r="P10" s="21">
        <f t="shared" si="5"/>
        <v>1</v>
      </c>
    </row>
    <row r="11" spans="1:16" x14ac:dyDescent="0.25">
      <c r="A11" s="55"/>
      <c r="B11" s="8" t="s">
        <v>14</v>
      </c>
      <c r="C11" s="8">
        <v>1.8</v>
      </c>
      <c r="D11" s="8">
        <v>5</v>
      </c>
      <c r="E11" s="18">
        <f t="shared" si="0"/>
        <v>9</v>
      </c>
      <c r="F11" s="9">
        <f t="shared" si="6"/>
        <v>8.9999999999999993E-3</v>
      </c>
      <c r="H11" s="55"/>
      <c r="I11" s="8"/>
      <c r="J11" s="8"/>
      <c r="K11" s="8"/>
      <c r="L11" s="8"/>
      <c r="M11" s="8"/>
      <c r="N11" s="8"/>
      <c r="O11" s="8"/>
      <c r="P11" s="9"/>
    </row>
    <row r="12" spans="1:16" ht="15.75" thickBot="1" x14ac:dyDescent="0.3">
      <c r="A12" s="55"/>
      <c r="B12" s="8" t="s">
        <v>15</v>
      </c>
      <c r="C12" s="8">
        <v>1.8</v>
      </c>
      <c r="D12" s="8">
        <v>150</v>
      </c>
      <c r="E12" s="17">
        <f t="shared" si="0"/>
        <v>270</v>
      </c>
      <c r="F12" s="16">
        <f t="shared" si="6"/>
        <v>0.27</v>
      </c>
      <c r="H12" s="56"/>
      <c r="I12" s="10"/>
      <c r="J12" s="10"/>
      <c r="K12" s="24" t="s">
        <v>26</v>
      </c>
      <c r="L12" s="11">
        <f>SUM(L2:L10)</f>
        <v>300</v>
      </c>
      <c r="M12" s="11">
        <f>SUM(M2:M10)</f>
        <v>540</v>
      </c>
      <c r="N12" s="11">
        <f>SUM(N2:N10)</f>
        <v>0.54</v>
      </c>
      <c r="O12" s="11">
        <f>SUM(O2:O10)</f>
        <v>0.188</v>
      </c>
      <c r="P12" s="25">
        <f>(N12-O12)/N12</f>
        <v>0.6518518518518519</v>
      </c>
    </row>
    <row r="13" spans="1:16" x14ac:dyDescent="0.25">
      <c r="A13" s="55"/>
      <c r="B13" s="8" t="s">
        <v>60</v>
      </c>
      <c r="C13" s="8">
        <f>C14</f>
        <v>1.35</v>
      </c>
      <c r="D13" s="8">
        <v>30</v>
      </c>
      <c r="E13" s="19">
        <f t="shared" si="0"/>
        <v>40.5</v>
      </c>
      <c r="F13" s="16">
        <f t="shared" si="6"/>
        <v>4.0500000000000001E-2</v>
      </c>
      <c r="H13" s="1"/>
      <c r="P13" s="3"/>
    </row>
    <row r="14" spans="1:16" x14ac:dyDescent="0.25">
      <c r="A14" s="55"/>
      <c r="B14" s="8" t="s">
        <v>52</v>
      </c>
      <c r="C14" s="8">
        <v>1.35</v>
      </c>
      <c r="D14" s="8">
        <v>100</v>
      </c>
      <c r="E14" s="17">
        <f t="shared" ref="E14:E15" si="7">C14*D14</f>
        <v>135</v>
      </c>
      <c r="F14" s="9">
        <f t="shared" ref="F14:F15" si="8">E14/1000</f>
        <v>0.13500000000000001</v>
      </c>
      <c r="H14" s="1"/>
      <c r="P14" s="3"/>
    </row>
    <row r="15" spans="1:16" ht="15.75" thickBot="1" x14ac:dyDescent="0.3">
      <c r="A15" s="55"/>
      <c r="B15" s="8" t="s">
        <v>51</v>
      </c>
      <c r="C15" s="8">
        <f>C14/2</f>
        <v>0.67500000000000004</v>
      </c>
      <c r="D15" s="8">
        <v>1</v>
      </c>
      <c r="E15" s="8">
        <f t="shared" si="7"/>
        <v>0.67500000000000004</v>
      </c>
      <c r="F15" s="16">
        <f t="shared" si="8"/>
        <v>6.7500000000000004E-4</v>
      </c>
      <c r="H15" s="1"/>
      <c r="P15" s="3"/>
    </row>
    <row r="16" spans="1:16" x14ac:dyDescent="0.25">
      <c r="A16" s="55"/>
      <c r="B16" s="8" t="s">
        <v>48</v>
      </c>
      <c r="C16" s="8">
        <v>3.3</v>
      </c>
      <c r="D16" s="20">
        <f>N32</f>
        <v>93.820003200000002</v>
      </c>
      <c r="E16" s="20">
        <f>D16*C16</f>
        <v>309.60601056000002</v>
      </c>
      <c r="F16" s="16">
        <f>E16/1000</f>
        <v>0.30960601056000003</v>
      </c>
      <c r="H16" s="54" t="s">
        <v>48</v>
      </c>
      <c r="I16" s="14" t="s">
        <v>1</v>
      </c>
      <c r="J16" s="14" t="s">
        <v>4</v>
      </c>
      <c r="K16" s="14" t="s">
        <v>42</v>
      </c>
      <c r="L16" s="14" t="s">
        <v>43</v>
      </c>
      <c r="M16" s="14" t="s">
        <v>44</v>
      </c>
      <c r="N16" s="14" t="s">
        <v>3</v>
      </c>
      <c r="O16" s="14" t="s">
        <v>5</v>
      </c>
      <c r="P16" s="15" t="s">
        <v>6</v>
      </c>
    </row>
    <row r="17" spans="1:16" x14ac:dyDescent="0.25">
      <c r="A17" s="55"/>
      <c r="B17" s="8"/>
      <c r="C17" s="8"/>
      <c r="D17" s="8"/>
      <c r="E17" s="8"/>
      <c r="F17" s="9"/>
      <c r="H17" s="55"/>
      <c r="I17" s="8" t="s">
        <v>28</v>
      </c>
      <c r="J17" s="8">
        <v>3.3</v>
      </c>
      <c r="K17" s="8">
        <v>12</v>
      </c>
      <c r="L17" s="22">
        <v>4.9999999999999997E-12</v>
      </c>
      <c r="M17" s="8">
        <v>24000000</v>
      </c>
      <c r="N17" s="19">
        <f>1000*K17*L17*J17*0.5*M17</f>
        <v>2.3759999999999999</v>
      </c>
      <c r="O17" s="18">
        <f>N17*J17</f>
        <v>7.8407999999999989</v>
      </c>
      <c r="P17" s="16">
        <f>O17/1000</f>
        <v>7.8407999999999985E-3</v>
      </c>
    </row>
    <row r="18" spans="1:16" ht="15.75" thickBot="1" x14ac:dyDescent="0.3">
      <c r="A18" s="56"/>
      <c r="B18" s="10"/>
      <c r="C18" s="10"/>
      <c r="D18" s="24" t="s">
        <v>26</v>
      </c>
      <c r="E18" s="12">
        <f>SUM(E2:E16)</f>
        <v>3219.0810105600003</v>
      </c>
      <c r="F18" s="13">
        <f>SUM(F2:F16)</f>
        <v>3.2190810105600005</v>
      </c>
      <c r="H18" s="55"/>
      <c r="I18" s="8" t="s">
        <v>29</v>
      </c>
      <c r="J18" s="8">
        <v>3.3</v>
      </c>
      <c r="K18" s="8">
        <v>14</v>
      </c>
      <c r="L18" s="22">
        <v>4.9999999999999997E-12</v>
      </c>
      <c r="M18" s="8">
        <v>24000000</v>
      </c>
      <c r="N18" s="19">
        <f t="shared" ref="N18:N30" si="9">1000*K18*L18*J18*0.5*M18</f>
        <v>2.7719999999999994</v>
      </c>
      <c r="O18" s="18">
        <f t="shared" ref="O18:O30" si="10">N18*J18</f>
        <v>9.1475999999999971</v>
      </c>
      <c r="P18" s="16">
        <f t="shared" ref="P18:P30" si="11">O18/1000</f>
        <v>9.1475999999999971E-3</v>
      </c>
    </row>
    <row r="19" spans="1:16" ht="15.75" thickBot="1" x14ac:dyDescent="0.3">
      <c r="H19" s="55"/>
      <c r="I19" s="8" t="s">
        <v>30</v>
      </c>
      <c r="J19" s="8">
        <v>3.3</v>
      </c>
      <c r="K19" s="8">
        <v>9</v>
      </c>
      <c r="L19" s="22">
        <v>4.9999999999999997E-12</v>
      </c>
      <c r="M19" s="8">
        <v>24000000</v>
      </c>
      <c r="N19" s="19">
        <f t="shared" si="9"/>
        <v>1.7819999999999998</v>
      </c>
      <c r="O19" s="18">
        <f t="shared" si="10"/>
        <v>5.8805999999999994</v>
      </c>
      <c r="P19" s="16">
        <f t="shared" si="11"/>
        <v>5.8805999999999997E-3</v>
      </c>
    </row>
    <row r="20" spans="1:16" x14ac:dyDescent="0.25">
      <c r="A20" s="54" t="s">
        <v>69</v>
      </c>
      <c r="B20" s="14" t="s">
        <v>1</v>
      </c>
      <c r="C20" s="14" t="s">
        <v>4</v>
      </c>
      <c r="D20" s="14" t="s">
        <v>3</v>
      </c>
      <c r="E20" s="14" t="s">
        <v>5</v>
      </c>
      <c r="F20" s="15" t="s">
        <v>6</v>
      </c>
      <c r="H20" s="55"/>
      <c r="I20" s="8" t="s">
        <v>31</v>
      </c>
      <c r="J20" s="8">
        <v>3.3</v>
      </c>
      <c r="K20" s="8">
        <v>12</v>
      </c>
      <c r="L20" s="22">
        <v>4.9999999999999997E-12</v>
      </c>
      <c r="M20" s="8">
        <v>24000000</v>
      </c>
      <c r="N20" s="19">
        <f t="shared" si="9"/>
        <v>2.3759999999999999</v>
      </c>
      <c r="O20" s="18">
        <f t="shared" si="10"/>
        <v>7.8407999999999989</v>
      </c>
      <c r="P20" s="16">
        <f t="shared" si="11"/>
        <v>7.8407999999999985E-3</v>
      </c>
    </row>
    <row r="21" spans="1:16" x14ac:dyDescent="0.25">
      <c r="A21" s="55"/>
      <c r="B21" s="8" t="s">
        <v>2</v>
      </c>
      <c r="C21" s="8">
        <f>C2</f>
        <v>1.2250000000000001</v>
      </c>
      <c r="D21" s="8">
        <f>D2</f>
        <v>500</v>
      </c>
      <c r="E21" s="8">
        <f>C21*D21</f>
        <v>612.5</v>
      </c>
      <c r="F21" s="9">
        <f>E21/1000</f>
        <v>0.61250000000000004</v>
      </c>
      <c r="H21" s="55"/>
      <c r="I21" s="8" t="s">
        <v>32</v>
      </c>
      <c r="J21" s="8">
        <v>3.3</v>
      </c>
      <c r="K21" s="8">
        <v>9</v>
      </c>
      <c r="L21" s="22">
        <v>4.9999999999999997E-12</v>
      </c>
      <c r="M21" s="8">
        <v>24000000</v>
      </c>
      <c r="N21" s="19">
        <f t="shared" si="9"/>
        <v>1.7819999999999998</v>
      </c>
      <c r="O21" s="18">
        <f t="shared" si="10"/>
        <v>5.8805999999999994</v>
      </c>
      <c r="P21" s="16">
        <f t="shared" si="11"/>
        <v>5.8805999999999997E-3</v>
      </c>
    </row>
    <row r="22" spans="1:16" x14ac:dyDescent="0.25">
      <c r="A22" s="55"/>
      <c r="B22" s="8" t="s">
        <v>7</v>
      </c>
      <c r="C22" s="8">
        <f>C3</f>
        <v>1</v>
      </c>
      <c r="D22" s="8">
        <f>D3</f>
        <v>1000</v>
      </c>
      <c r="E22" s="8">
        <f t="shared" ref="E22:E24" si="12">C22*D22</f>
        <v>1000</v>
      </c>
      <c r="F22" s="9">
        <f t="shared" ref="F22:F29" si="13">E22/1000</f>
        <v>1</v>
      </c>
      <c r="H22" s="55"/>
      <c r="I22" s="8" t="s">
        <v>33</v>
      </c>
      <c r="J22" s="8">
        <v>3.3</v>
      </c>
      <c r="K22" s="8">
        <v>16</v>
      </c>
      <c r="L22" s="22">
        <v>4.9999999999999997E-12</v>
      </c>
      <c r="M22" s="8">
        <v>500000000</v>
      </c>
      <c r="N22" s="19">
        <f t="shared" si="9"/>
        <v>66</v>
      </c>
      <c r="O22" s="8">
        <f t="shared" si="10"/>
        <v>217.79999999999998</v>
      </c>
      <c r="P22" s="16">
        <f t="shared" si="11"/>
        <v>0.21779999999999999</v>
      </c>
    </row>
    <row r="23" spans="1:16" x14ac:dyDescent="0.25">
      <c r="A23" s="55"/>
      <c r="B23" s="8" t="s">
        <v>67</v>
      </c>
      <c r="C23" s="8">
        <f>C4</f>
        <v>1.8</v>
      </c>
      <c r="D23" s="17">
        <f>SUMIF(C2:C16, 1.8, D2:D16)-D26</f>
        <v>616</v>
      </c>
      <c r="E23" s="8">
        <f t="shared" si="12"/>
        <v>1108.8</v>
      </c>
      <c r="F23" s="9">
        <f t="shared" si="13"/>
        <v>1.1088</v>
      </c>
      <c r="H23" s="55"/>
      <c r="I23" s="8" t="s">
        <v>34</v>
      </c>
      <c r="J23" s="8">
        <v>3.3</v>
      </c>
      <c r="K23" s="8">
        <v>16</v>
      </c>
      <c r="L23" s="22">
        <v>4.9999999999999997E-12</v>
      </c>
      <c r="M23" s="8">
        <v>24000000</v>
      </c>
      <c r="N23" s="19">
        <f t="shared" si="9"/>
        <v>3.1679999999999997</v>
      </c>
      <c r="O23" s="19">
        <f t="shared" si="10"/>
        <v>10.454399999999998</v>
      </c>
      <c r="P23" s="16">
        <f t="shared" si="11"/>
        <v>1.0454399999999997E-2</v>
      </c>
    </row>
    <row r="24" spans="1:16" x14ac:dyDescent="0.25">
      <c r="A24" s="55"/>
      <c r="B24" s="8" t="s">
        <v>52</v>
      </c>
      <c r="C24" s="8">
        <f>C14</f>
        <v>1.35</v>
      </c>
      <c r="D24" s="20">
        <f>D14+D13</f>
        <v>130</v>
      </c>
      <c r="E24" s="20">
        <f t="shared" si="12"/>
        <v>175.5</v>
      </c>
      <c r="F24" s="16">
        <f t="shared" si="13"/>
        <v>0.17549999999999999</v>
      </c>
      <c r="H24" s="55"/>
      <c r="I24" s="8" t="s">
        <v>35</v>
      </c>
      <c r="J24" s="8">
        <v>3.3</v>
      </c>
      <c r="K24" s="8">
        <v>17</v>
      </c>
      <c r="L24" s="22">
        <v>4.9999999999999997E-12</v>
      </c>
      <c r="M24" s="8">
        <v>24000000</v>
      </c>
      <c r="N24" s="19">
        <f t="shared" si="9"/>
        <v>3.3659999999999992</v>
      </c>
      <c r="O24" s="19">
        <f t="shared" si="10"/>
        <v>11.107799999999997</v>
      </c>
      <c r="P24" s="16">
        <f t="shared" si="11"/>
        <v>1.1107799999999998E-2</v>
      </c>
    </row>
    <row r="25" spans="1:16" x14ac:dyDescent="0.25">
      <c r="A25" s="55"/>
      <c r="B25" s="8" t="s">
        <v>51</v>
      </c>
      <c r="C25" s="8">
        <f>C15</f>
        <v>0.67500000000000004</v>
      </c>
      <c r="D25" s="20">
        <f>D15</f>
        <v>1</v>
      </c>
      <c r="E25" s="20">
        <f t="shared" ref="E25:E26" si="14">C25*D25</f>
        <v>0.67500000000000004</v>
      </c>
      <c r="F25" s="16">
        <f t="shared" si="13"/>
        <v>6.7500000000000004E-4</v>
      </c>
      <c r="H25" s="55"/>
      <c r="I25" s="8" t="s">
        <v>36</v>
      </c>
      <c r="J25" s="8">
        <v>3.3</v>
      </c>
      <c r="K25" s="8">
        <v>11</v>
      </c>
      <c r="L25" s="22">
        <v>4.9999999999999997E-12</v>
      </c>
      <c r="M25" s="8">
        <v>24000000</v>
      </c>
      <c r="N25" s="19">
        <f t="shared" si="9"/>
        <v>2.1779999999999999</v>
      </c>
      <c r="O25" s="18">
        <f t="shared" si="10"/>
        <v>7.1873999999999993</v>
      </c>
      <c r="P25" s="16">
        <f t="shared" si="11"/>
        <v>7.1873999999999992E-3</v>
      </c>
    </row>
    <row r="26" spans="1:16" x14ac:dyDescent="0.25">
      <c r="A26" s="55"/>
      <c r="B26" s="8" t="s">
        <v>11</v>
      </c>
      <c r="C26" s="8">
        <f>C8</f>
        <v>1.8</v>
      </c>
      <c r="D26" s="20">
        <f>D8</f>
        <v>5</v>
      </c>
      <c r="E26" s="20">
        <f t="shared" si="14"/>
        <v>9</v>
      </c>
      <c r="F26" s="16">
        <f t="shared" si="13"/>
        <v>8.9999999999999993E-3</v>
      </c>
      <c r="H26" s="55"/>
      <c r="I26" s="8" t="s">
        <v>37</v>
      </c>
      <c r="J26" s="8">
        <v>3.3</v>
      </c>
      <c r="K26" s="8">
        <v>29</v>
      </c>
      <c r="L26" s="22">
        <v>4.9999999999999997E-12</v>
      </c>
      <c r="M26" s="8">
        <v>24000000</v>
      </c>
      <c r="N26" s="19">
        <f t="shared" si="9"/>
        <v>5.7419999999999991</v>
      </c>
      <c r="O26" s="19">
        <f t="shared" si="10"/>
        <v>18.948599999999995</v>
      </c>
      <c r="P26" s="16">
        <f t="shared" si="11"/>
        <v>1.8948599999999996E-2</v>
      </c>
    </row>
    <row r="27" spans="1:16" x14ac:dyDescent="0.25">
      <c r="A27" s="55"/>
      <c r="B27" s="8" t="s">
        <v>66</v>
      </c>
      <c r="C27" s="8">
        <v>3.3</v>
      </c>
      <c r="D27" s="19">
        <f>N17+N18</f>
        <v>5.1479999999999997</v>
      </c>
      <c r="E27" s="20">
        <f t="shared" ref="E27:E29" si="15">C27*D27</f>
        <v>16.988399999999999</v>
      </c>
      <c r="F27" s="16">
        <f t="shared" si="13"/>
        <v>1.6988399999999997E-2</v>
      </c>
      <c r="H27" s="55"/>
      <c r="I27" s="8" t="s">
        <v>38</v>
      </c>
      <c r="J27" s="8">
        <v>3.3</v>
      </c>
      <c r="K27" s="8">
        <v>8</v>
      </c>
      <c r="L27" s="22">
        <v>4.9999999999999997E-12</v>
      </c>
      <c r="M27" s="8">
        <v>10000000</v>
      </c>
      <c r="N27" s="19">
        <f t="shared" si="9"/>
        <v>0.65999999999999992</v>
      </c>
      <c r="O27" s="8">
        <f t="shared" si="10"/>
        <v>2.1779999999999995</v>
      </c>
      <c r="P27" s="16">
        <f t="shared" si="11"/>
        <v>2.1779999999999994E-3</v>
      </c>
    </row>
    <row r="28" spans="1:16" x14ac:dyDescent="0.25">
      <c r="A28" s="55"/>
      <c r="B28" s="8" t="s">
        <v>65</v>
      </c>
      <c r="C28" s="8">
        <f>J21</f>
        <v>3.3</v>
      </c>
      <c r="D28" s="19">
        <f>N21+N20+N19</f>
        <v>5.9399999999999995</v>
      </c>
      <c r="E28" s="20">
        <f t="shared" si="15"/>
        <v>19.601999999999997</v>
      </c>
      <c r="F28" s="16">
        <f t="shared" si="13"/>
        <v>1.9601999999999998E-2</v>
      </c>
      <c r="H28" s="55"/>
      <c r="I28" s="8" t="s">
        <v>39</v>
      </c>
      <c r="J28" s="8">
        <v>3.3</v>
      </c>
      <c r="K28" s="8">
        <v>8</v>
      </c>
      <c r="L28" s="22">
        <v>4.9999999999999997E-12</v>
      </c>
      <c r="M28" s="8">
        <v>24000000</v>
      </c>
      <c r="N28" s="19">
        <f t="shared" si="9"/>
        <v>1.5839999999999999</v>
      </c>
      <c r="O28" s="18">
        <f t="shared" si="10"/>
        <v>5.227199999999999</v>
      </c>
      <c r="P28" s="16">
        <f t="shared" si="11"/>
        <v>5.2271999999999987E-3</v>
      </c>
    </row>
    <row r="29" spans="1:16" x14ac:dyDescent="0.25">
      <c r="A29" s="55"/>
      <c r="B29" s="8" t="s">
        <v>9</v>
      </c>
      <c r="C29" s="8">
        <f>C6</f>
        <v>3</v>
      </c>
      <c r="D29" s="8">
        <f>D6</f>
        <v>1</v>
      </c>
      <c r="E29" s="20">
        <f t="shared" si="15"/>
        <v>3</v>
      </c>
      <c r="F29" s="16">
        <f t="shared" si="13"/>
        <v>3.0000000000000001E-3</v>
      </c>
      <c r="H29" s="55"/>
      <c r="I29" s="8" t="s">
        <v>40</v>
      </c>
      <c r="J29" s="8">
        <v>3.3</v>
      </c>
      <c r="K29" s="8">
        <v>8</v>
      </c>
      <c r="L29" s="22">
        <v>4.9999999999999997E-12</v>
      </c>
      <c r="M29" s="8">
        <v>400000</v>
      </c>
      <c r="N29" s="19">
        <f t="shared" si="9"/>
        <v>2.64E-2</v>
      </c>
      <c r="O29" s="18">
        <f t="shared" si="10"/>
        <v>8.7119999999999989E-2</v>
      </c>
      <c r="P29" s="16">
        <f t="shared" si="11"/>
        <v>8.7119999999999993E-5</v>
      </c>
    </row>
    <row r="30" spans="1:16" x14ac:dyDescent="0.25">
      <c r="A30" s="55"/>
      <c r="B30" s="8" t="s">
        <v>61</v>
      </c>
      <c r="C30" s="8">
        <f>J17</f>
        <v>3.3</v>
      </c>
      <c r="D30" s="20">
        <f>SUMIF($C$2:$C$16, $C30, $D$2:$D$16)-D28-D27</f>
        <v>82.732003200000008</v>
      </c>
      <c r="E30" s="20">
        <f t="shared" ref="E30" si="16">C30*D30</f>
        <v>273.01561056000003</v>
      </c>
      <c r="F30" s="16">
        <f>E30/1000</f>
        <v>0.27301561056000001</v>
      </c>
      <c r="H30" s="55"/>
      <c r="I30" s="8" t="s">
        <v>41</v>
      </c>
      <c r="J30" s="8">
        <v>3.3</v>
      </c>
      <c r="K30" s="8">
        <v>8</v>
      </c>
      <c r="L30" s="22">
        <v>4.9999999999999997E-12</v>
      </c>
      <c r="M30" s="8">
        <v>115200</v>
      </c>
      <c r="N30" s="19">
        <f t="shared" si="9"/>
        <v>7.6031999999999992E-3</v>
      </c>
      <c r="O30" s="18">
        <f t="shared" si="10"/>
        <v>2.5090559999999994E-2</v>
      </c>
      <c r="P30" s="23">
        <f t="shared" si="11"/>
        <v>2.5090559999999994E-5</v>
      </c>
    </row>
    <row r="31" spans="1:16" x14ac:dyDescent="0.25">
      <c r="A31" s="55"/>
      <c r="B31" s="8"/>
      <c r="C31" s="8"/>
      <c r="D31" s="8"/>
      <c r="E31" s="8"/>
      <c r="F31" s="9"/>
      <c r="H31" s="26"/>
      <c r="I31" s="8"/>
      <c r="J31" s="8"/>
      <c r="K31" s="8"/>
      <c r="L31" s="22"/>
      <c r="M31" s="8"/>
      <c r="N31" s="19"/>
      <c r="O31" s="8"/>
      <c r="P31" s="9"/>
    </row>
    <row r="32" spans="1:16" ht="15.75" thickBot="1" x14ac:dyDescent="0.3">
      <c r="A32" s="56"/>
      <c r="B32" s="10"/>
      <c r="C32" s="10"/>
      <c r="D32" s="24" t="s">
        <v>26</v>
      </c>
      <c r="E32" s="12">
        <f>SUM(E21:E30)</f>
        <v>3219.0810105600003</v>
      </c>
      <c r="F32" s="13">
        <f>SUM(F21:F30)</f>
        <v>3.2190810105600001</v>
      </c>
      <c r="H32" s="27"/>
      <c r="I32" s="10"/>
      <c r="J32" s="10"/>
      <c r="K32" s="10"/>
      <c r="L32" s="10"/>
      <c r="M32" s="24" t="s">
        <v>26</v>
      </c>
      <c r="N32" s="12">
        <f>SUM(N17:N31)</f>
        <v>93.820003200000002</v>
      </c>
      <c r="O32" s="12">
        <f>SUM(O17:O31)</f>
        <v>309.60601056000002</v>
      </c>
      <c r="P32" s="13">
        <f>SUM(P17:P31)</f>
        <v>0.30960601055999998</v>
      </c>
    </row>
    <row r="33" spans="5:5" x14ac:dyDescent="0.25">
      <c r="E33" s="7"/>
    </row>
  </sheetData>
  <mergeCells count="4">
    <mergeCell ref="A20:A32"/>
    <mergeCell ref="H16:H30"/>
    <mergeCell ref="H1:H12"/>
    <mergeCell ref="A1:A18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343-48A6-45E0-8AF4-EA6F767E4B37}">
  <dimension ref="A1:G13"/>
  <sheetViews>
    <sheetView workbookViewId="0">
      <selection activeCell="D13" sqref="A1:XFD1048576"/>
    </sheetView>
  </sheetViews>
  <sheetFormatPr defaultColWidth="5.42578125" defaultRowHeight="15" x14ac:dyDescent="0.25"/>
  <cols>
    <col min="1" max="1" width="7.5703125" customWidth="1"/>
    <col min="2" max="2" width="7" bestFit="1" customWidth="1"/>
    <col min="3" max="3" width="13.28515625" bestFit="1" customWidth="1"/>
    <col min="4" max="4" width="14.85546875" bestFit="1" customWidth="1"/>
    <col min="5" max="5" width="14.5703125" bestFit="1" customWidth="1"/>
    <col min="6" max="6" width="12.85546875" bestFit="1" customWidth="1"/>
    <col min="7" max="7" width="31.7109375" bestFit="1" customWidth="1"/>
  </cols>
  <sheetData>
    <row r="1" spans="1:7" x14ac:dyDescent="0.25">
      <c r="A1" s="50" t="s">
        <v>59</v>
      </c>
      <c r="B1" s="31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51"/>
      <c r="B2" s="34" t="s">
        <v>53</v>
      </c>
      <c r="C2" s="8">
        <v>1.35</v>
      </c>
      <c r="D2" s="17">
        <f>E2/C2</f>
        <v>370.37037037037032</v>
      </c>
      <c r="E2" s="8">
        <v>500</v>
      </c>
      <c r="F2" s="8">
        <f>E2/1000</f>
        <v>0.5</v>
      </c>
      <c r="G2" s="9" t="s">
        <v>58</v>
      </c>
    </row>
    <row r="3" spans="1:7" x14ac:dyDescent="0.25">
      <c r="A3" s="51"/>
      <c r="B3" s="34" t="s">
        <v>55</v>
      </c>
      <c r="C3" s="8">
        <f>C2/2</f>
        <v>0.67500000000000004</v>
      </c>
      <c r="D3" s="8">
        <v>1</v>
      </c>
      <c r="E3" s="8">
        <f>D3*C3</f>
        <v>0.67500000000000004</v>
      </c>
      <c r="F3" s="18">
        <f>E3/1000</f>
        <v>6.7500000000000004E-4</v>
      </c>
      <c r="G3" s="9" t="s">
        <v>57</v>
      </c>
    </row>
    <row r="4" spans="1:7" x14ac:dyDescent="0.25">
      <c r="A4" s="51"/>
      <c r="B4" s="34"/>
      <c r="C4" s="8"/>
      <c r="D4" s="8"/>
      <c r="E4" s="8"/>
      <c r="F4" s="8"/>
      <c r="G4" s="9"/>
    </row>
    <row r="5" spans="1:7" ht="15.75" thickBot="1" x14ac:dyDescent="0.3">
      <c r="A5" s="52"/>
      <c r="B5" s="32"/>
      <c r="C5" s="10"/>
      <c r="D5" s="35" t="s">
        <v>26</v>
      </c>
      <c r="E5" s="36">
        <f>SUM(E2:E3)</f>
        <v>500.67500000000001</v>
      </c>
      <c r="F5" s="37">
        <f>SUM(F2:F3)</f>
        <v>0.50067499999999998</v>
      </c>
      <c r="G5" s="33"/>
    </row>
    <row r="6" spans="1:7" ht="15.75" thickBot="1" x14ac:dyDescent="0.3"/>
    <row r="7" spans="1:7" ht="15" customHeight="1" x14ac:dyDescent="0.25">
      <c r="A7" s="50" t="s">
        <v>49</v>
      </c>
      <c r="B7" s="31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51"/>
      <c r="B8" s="34" t="s">
        <v>53</v>
      </c>
      <c r="C8" s="8">
        <f t="shared" ref="C8" si="0">C2</f>
        <v>1.35</v>
      </c>
      <c r="D8" s="17">
        <f>2*SUMIF($C$2:$C$3, $C8, $D$2:$D$3)</f>
        <v>740.74074074074065</v>
      </c>
      <c r="E8" s="8">
        <f>D8*C8</f>
        <v>999.99999999999989</v>
      </c>
      <c r="F8" s="9">
        <f>E8/1000</f>
        <v>0.99999999999999989</v>
      </c>
    </row>
    <row r="9" spans="1:7" x14ac:dyDescent="0.25">
      <c r="A9" s="51"/>
      <c r="B9" s="34" t="s">
        <v>55</v>
      </c>
      <c r="C9" s="8">
        <f>C3</f>
        <v>0.67500000000000004</v>
      </c>
      <c r="D9" s="8">
        <f>2*SUMIF($C$2:$C$3, $C9, $D$2:$D$3)</f>
        <v>2</v>
      </c>
      <c r="E9" s="8">
        <f>D9*C9</f>
        <v>1.35</v>
      </c>
      <c r="F9" s="9">
        <f t="shared" ref="F9" si="1">E9/1000</f>
        <v>1.3500000000000001E-3</v>
      </c>
    </row>
    <row r="10" spans="1:7" x14ac:dyDescent="0.25">
      <c r="A10" s="51"/>
      <c r="B10" s="34"/>
      <c r="C10" s="8"/>
      <c r="D10" s="8"/>
      <c r="E10" s="8"/>
      <c r="F10" s="9"/>
    </row>
    <row r="11" spans="1:7" ht="15.75" thickBot="1" x14ac:dyDescent="0.3">
      <c r="A11" s="52"/>
      <c r="B11" s="32"/>
      <c r="C11" s="10"/>
      <c r="D11" s="38" t="s">
        <v>26</v>
      </c>
      <c r="E11" s="39">
        <f>SUM(E8:E9)</f>
        <v>1001.3499999999999</v>
      </c>
      <c r="F11" s="40">
        <f>SUM(F8:F9)</f>
        <v>1.00135</v>
      </c>
    </row>
    <row r="12" spans="1:7" x14ac:dyDescent="0.25">
      <c r="A12" s="2"/>
    </row>
    <row r="13" spans="1:7" x14ac:dyDescent="0.25">
      <c r="A13" s="2"/>
    </row>
  </sheetData>
  <mergeCells count="2">
    <mergeCell ref="A1:A5"/>
    <mergeCell ref="A7:A1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CBDE-E9EA-4746-89DC-13FE0409413C}">
  <dimension ref="A1:G12"/>
  <sheetViews>
    <sheetView workbookViewId="0">
      <selection activeCell="I6" sqref="I6"/>
    </sheetView>
  </sheetViews>
  <sheetFormatPr defaultColWidth="5.42578125" defaultRowHeight="15" x14ac:dyDescent="0.25"/>
  <cols>
    <col min="1" max="1" width="7.5703125" style="49" customWidth="1"/>
    <col min="2" max="2" width="7" style="49" bestFit="1" customWidth="1"/>
    <col min="3" max="3" width="13.28515625" style="49" bestFit="1" customWidth="1"/>
    <col min="4" max="4" width="14.85546875" style="49" bestFit="1" customWidth="1"/>
    <col min="5" max="5" width="14.5703125" style="49" bestFit="1" customWidth="1"/>
    <col min="6" max="6" width="12.85546875" style="49" bestFit="1" customWidth="1"/>
    <col min="7" max="7" width="31.7109375" style="49" bestFit="1" customWidth="1"/>
    <col min="8" max="16384" width="5.42578125" style="49"/>
  </cols>
  <sheetData>
    <row r="1" spans="1:7" x14ac:dyDescent="0.25">
      <c r="A1" s="50" t="s">
        <v>108</v>
      </c>
      <c r="B1" s="31" t="s">
        <v>1</v>
      </c>
      <c r="C1" s="14" t="s">
        <v>4</v>
      </c>
      <c r="D1" s="14" t="s">
        <v>3</v>
      </c>
      <c r="E1" s="14" t="s">
        <v>5</v>
      </c>
      <c r="F1" s="14" t="s">
        <v>6</v>
      </c>
      <c r="G1" s="15" t="s">
        <v>56</v>
      </c>
    </row>
    <row r="2" spans="1:7" x14ac:dyDescent="0.25">
      <c r="A2" s="51"/>
      <c r="B2" s="34" t="s">
        <v>125</v>
      </c>
      <c r="C2" s="8">
        <v>3.3</v>
      </c>
      <c r="D2" s="20">
        <v>500</v>
      </c>
      <c r="E2" s="8">
        <f>D2*C2</f>
        <v>1650</v>
      </c>
      <c r="F2" s="8">
        <f>E2/1000</f>
        <v>1.65</v>
      </c>
      <c r="G2" s="9" t="s">
        <v>57</v>
      </c>
    </row>
    <row r="3" spans="1:7" x14ac:dyDescent="0.25">
      <c r="A3" s="51"/>
      <c r="B3" s="34" t="s">
        <v>126</v>
      </c>
      <c r="C3" s="8">
        <v>3.3</v>
      </c>
      <c r="D3" s="8">
        <v>500</v>
      </c>
      <c r="E3" s="8">
        <f>D3*C3</f>
        <v>1650</v>
      </c>
      <c r="F3" s="19">
        <f>E3/1000</f>
        <v>1.65</v>
      </c>
      <c r="G3" s="9" t="s">
        <v>57</v>
      </c>
    </row>
    <row r="4" spans="1:7" x14ac:dyDescent="0.25">
      <c r="A4" s="51"/>
      <c r="B4" s="34"/>
      <c r="C4" s="8"/>
      <c r="D4" s="8"/>
      <c r="E4" s="8"/>
      <c r="F4" s="8"/>
      <c r="G4" s="9"/>
    </row>
    <row r="5" spans="1:7" ht="15.75" thickBot="1" x14ac:dyDescent="0.3">
      <c r="A5" s="52"/>
      <c r="B5" s="32"/>
      <c r="C5" s="10"/>
      <c r="D5" s="35" t="s">
        <v>26</v>
      </c>
      <c r="E5" s="59">
        <f>SUM(E2:E3)</f>
        <v>3300</v>
      </c>
      <c r="F5" s="58">
        <f>SUM(F2:F3)</f>
        <v>3.3</v>
      </c>
      <c r="G5" s="33"/>
    </row>
    <row r="6" spans="1:7" ht="15.75" thickBot="1" x14ac:dyDescent="0.3"/>
    <row r="7" spans="1:7" ht="15" customHeight="1" x14ac:dyDescent="0.25">
      <c r="A7" s="50" t="s">
        <v>49</v>
      </c>
      <c r="B7" s="31" t="s">
        <v>1</v>
      </c>
      <c r="C7" s="14" t="s">
        <v>4</v>
      </c>
      <c r="D7" s="14" t="s">
        <v>3</v>
      </c>
      <c r="E7" s="14" t="s">
        <v>5</v>
      </c>
      <c r="F7" s="15" t="s">
        <v>6</v>
      </c>
    </row>
    <row r="8" spans="1:7" x14ac:dyDescent="0.25">
      <c r="A8" s="51"/>
      <c r="B8" s="34" t="s">
        <v>127</v>
      </c>
      <c r="C8" s="8">
        <v>3.3</v>
      </c>
      <c r="D8" s="17">
        <f>SUMIF($C$2:$C$3, $C8, $D$2:$D$3)</f>
        <v>1000</v>
      </c>
      <c r="E8" s="8">
        <f>D8*C8</f>
        <v>3300</v>
      </c>
      <c r="F8" s="9">
        <f>E8/1000</f>
        <v>3.3</v>
      </c>
    </row>
    <row r="9" spans="1:7" x14ac:dyDescent="0.25">
      <c r="A9" s="51"/>
      <c r="B9" s="34"/>
      <c r="C9" s="8"/>
      <c r="D9" s="8"/>
      <c r="E9" s="8"/>
      <c r="F9" s="9"/>
    </row>
    <row r="10" spans="1:7" ht="31.5" customHeight="1" thickBot="1" x14ac:dyDescent="0.3">
      <c r="A10" s="52"/>
      <c r="B10" s="32"/>
      <c r="C10" s="10"/>
      <c r="D10" s="38" t="s">
        <v>26</v>
      </c>
      <c r="E10" s="39">
        <f>SUM(E8:E8)</f>
        <v>3300</v>
      </c>
      <c r="F10" s="60">
        <f>SUM(F8:F8)</f>
        <v>3.3</v>
      </c>
    </row>
    <row r="11" spans="1:7" x14ac:dyDescent="0.25">
      <c r="A11" s="2"/>
    </row>
    <row r="12" spans="1:7" x14ac:dyDescent="0.25">
      <c r="A12" s="2"/>
    </row>
  </sheetData>
  <mergeCells count="2">
    <mergeCell ref="A1:A5"/>
    <mergeCell ref="A7:A1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Buck converters</vt:lpstr>
      <vt:lpstr>PMIC</vt:lpstr>
      <vt:lpstr>Ethernet PHY</vt:lpstr>
      <vt:lpstr>CPU</vt:lpstr>
      <vt:lpstr>DDR3L</vt:lpstr>
      <vt:lpstr>MIPI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2020-12-21T23:27:49Z</dcterms:created>
  <dcterms:modified xsi:type="dcterms:W3CDTF">2021-02-03T18:36:35Z</dcterms:modified>
</cp:coreProperties>
</file>