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SBC5-Hardware\"/>
    </mc:Choice>
  </mc:AlternateContent>
  <xr:revisionPtr revIDLastSave="0" documentId="8_{0F76A849-9B51-4B2D-AA14-2D44C4905682}" xr6:coauthVersionLast="45" xr6:coauthVersionMax="45" xr10:uidLastSave="{00000000-0000-0000-0000-000000000000}"/>
  <bookViews>
    <workbookView xWindow="-120" yWindow="-120" windowWidth="25440" windowHeight="15390" xr2:uid="{E72A3546-5772-4171-86E1-18A31D0176B6}"/>
  </bookViews>
  <sheets>
    <sheet name="Buck converters" sheetId="4" r:id="rId1"/>
    <sheet name="PMIC" sheetId="2" r:id="rId2"/>
    <sheet name="CPU" sheetId="1" r:id="rId3"/>
    <sheet name="DDR3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4" l="1"/>
  <c r="C3" i="4" s="1"/>
  <c r="D3" i="4" s="1"/>
  <c r="E3" i="4" s="1"/>
  <c r="H2" i="4"/>
  <c r="I2" i="4" s="1"/>
  <c r="J2" i="4" s="1"/>
  <c r="E21" i="2"/>
  <c r="E20" i="2"/>
  <c r="E13" i="2"/>
  <c r="E12" i="2"/>
  <c r="E11" i="2"/>
  <c r="E10" i="2"/>
  <c r="E8" i="2"/>
  <c r="E7" i="2"/>
  <c r="E5" i="2"/>
  <c r="E4" i="2"/>
  <c r="E3" i="2"/>
  <c r="E2" i="2"/>
  <c r="N21" i="2"/>
  <c r="O21" i="2" s="1"/>
  <c r="M21" i="2"/>
  <c r="L21" i="2"/>
  <c r="L20" i="2"/>
  <c r="N20" i="2"/>
  <c r="O20" i="2" s="1"/>
  <c r="M20" i="2"/>
  <c r="G23" i="2"/>
  <c r="H23" i="2" s="1"/>
  <c r="O12" i="2"/>
  <c r="D30" i="1"/>
  <c r="O11" i="2" s="1"/>
  <c r="F11" i="2" s="1"/>
  <c r="D27" i="1"/>
  <c r="G21" i="2"/>
  <c r="H21" i="2" s="1"/>
  <c r="G20" i="2"/>
  <c r="R9" i="2"/>
  <c r="R13" i="2"/>
  <c r="P13" i="2"/>
  <c r="Q13" i="2"/>
  <c r="P9" i="2"/>
  <c r="Q9" i="2" s="1"/>
  <c r="N14" i="2"/>
  <c r="N12" i="2"/>
  <c r="C13" i="2" s="1"/>
  <c r="F12" i="2"/>
  <c r="C20" i="2"/>
  <c r="F9" i="2"/>
  <c r="F13" i="2"/>
  <c r="G6" i="2"/>
  <c r="H6" i="2" s="1"/>
  <c r="J6" i="2"/>
  <c r="R6" i="2"/>
  <c r="G19" i="2"/>
  <c r="H19" i="2" s="1"/>
  <c r="J9" i="2"/>
  <c r="J3" i="2"/>
  <c r="J4" i="2"/>
  <c r="J5" i="2"/>
  <c r="J8" i="2"/>
  <c r="J2" i="2"/>
  <c r="O7" i="2"/>
  <c r="F7" i="2" s="1"/>
  <c r="O10" i="2"/>
  <c r="F10" i="2" s="1"/>
  <c r="O8" i="2"/>
  <c r="F8" i="2" s="1"/>
  <c r="O14" i="2"/>
  <c r="F14" i="2" s="1"/>
  <c r="O4" i="2"/>
  <c r="O3" i="2"/>
  <c r="N2" i="2"/>
  <c r="P2" i="2" s="1"/>
  <c r="Q2" i="2" s="1"/>
  <c r="N3" i="2"/>
  <c r="N4" i="2"/>
  <c r="N5" i="2"/>
  <c r="M14" i="2" s="1"/>
  <c r="N8" i="2"/>
  <c r="N10" i="2"/>
  <c r="N7" i="2"/>
  <c r="N11" i="2"/>
  <c r="D23" i="1"/>
  <c r="D25" i="1"/>
  <c r="E27" i="1"/>
  <c r="F27" i="1" s="1"/>
  <c r="E29" i="1"/>
  <c r="F29" i="1" s="1"/>
  <c r="D29" i="1"/>
  <c r="C29" i="1"/>
  <c r="C30" i="1"/>
  <c r="C28" i="1"/>
  <c r="C26" i="1"/>
  <c r="D26" i="1"/>
  <c r="C25" i="1"/>
  <c r="D24" i="1"/>
  <c r="C24" i="1"/>
  <c r="D21" i="1"/>
  <c r="D22" i="1"/>
  <c r="C23" i="1"/>
  <c r="C22" i="1"/>
  <c r="C21" i="1"/>
  <c r="C13" i="1"/>
  <c r="E13" i="1" s="1"/>
  <c r="F13" i="1" s="1"/>
  <c r="D9" i="3"/>
  <c r="E9" i="3" s="1"/>
  <c r="D8" i="3"/>
  <c r="E8" i="3" s="1"/>
  <c r="C8" i="3" a="1"/>
  <c r="C8" i="3" s="1"/>
  <c r="F5" i="3"/>
  <c r="E5" i="3"/>
  <c r="D2" i="3"/>
  <c r="E3" i="3"/>
  <c r="F3" i="3" s="1"/>
  <c r="F2" i="3"/>
  <c r="C3" i="3"/>
  <c r="I5" i="4" l="1"/>
  <c r="J3" i="4"/>
  <c r="C2" i="4"/>
  <c r="G8" i="2"/>
  <c r="H8" i="2" s="1"/>
  <c r="R12" i="2"/>
  <c r="L14" i="2"/>
  <c r="E22" i="2"/>
  <c r="G22" i="2" s="1"/>
  <c r="H22" i="2" s="1"/>
  <c r="G7" i="2"/>
  <c r="H7" i="2" s="1"/>
  <c r="R4" i="2"/>
  <c r="H20" i="2"/>
  <c r="H25" i="2" s="1"/>
  <c r="G25" i="2"/>
  <c r="R3" i="2"/>
  <c r="R5" i="2"/>
  <c r="R8" i="2"/>
  <c r="G10" i="2"/>
  <c r="H10" i="2" s="1"/>
  <c r="T10" i="2" s="1"/>
  <c r="G13" i="2"/>
  <c r="H13" i="2" s="1"/>
  <c r="G9" i="2"/>
  <c r="H9" i="2" s="1"/>
  <c r="T9" i="2" s="1"/>
  <c r="G12" i="2"/>
  <c r="H12" i="2" s="1"/>
  <c r="C12" i="2"/>
  <c r="P12" i="2"/>
  <c r="Q12" i="2" s="1"/>
  <c r="C8" i="2"/>
  <c r="G11" i="2"/>
  <c r="H11" i="2" s="1"/>
  <c r="T11" i="2" s="1"/>
  <c r="P6" i="2"/>
  <c r="Q6" i="2" s="1"/>
  <c r="P7" i="2"/>
  <c r="Q7" i="2" s="1"/>
  <c r="P10" i="2"/>
  <c r="Q10" i="2" s="1"/>
  <c r="E14" i="2"/>
  <c r="R14" i="2" s="1"/>
  <c r="R10" i="2"/>
  <c r="P11" i="2"/>
  <c r="Q11" i="2" s="1"/>
  <c r="R11" i="2"/>
  <c r="R7" i="2"/>
  <c r="P4" i="2"/>
  <c r="E26" i="1"/>
  <c r="F26" i="1" s="1"/>
  <c r="E25" i="1"/>
  <c r="F25" i="1" s="1"/>
  <c r="E11" i="3"/>
  <c r="K3" i="4" l="1"/>
  <c r="J5" i="4"/>
  <c r="D2" i="4"/>
  <c r="C5" i="4"/>
  <c r="T7" i="2"/>
  <c r="Q4" i="2"/>
  <c r="F4" i="2"/>
  <c r="T12" i="2"/>
  <c r="S9" i="2"/>
  <c r="T13" i="2"/>
  <c r="S13" i="2"/>
  <c r="S12" i="2"/>
  <c r="S6" i="2"/>
  <c r="G14" i="2"/>
  <c r="H14" i="2" s="1"/>
  <c r="T14" i="2" s="1"/>
  <c r="S11" i="2"/>
  <c r="S10" i="2"/>
  <c r="S7" i="2"/>
  <c r="P14" i="2"/>
  <c r="Q14" i="2" s="1"/>
  <c r="P8" i="2"/>
  <c r="Q8" i="2" s="1"/>
  <c r="T8" i="2" s="1"/>
  <c r="E2" i="4" l="1"/>
  <c r="D5" i="4"/>
  <c r="G4" i="2"/>
  <c r="H4" i="2" s="1"/>
  <c r="S4" i="2" s="1"/>
  <c r="S14" i="2"/>
  <c r="S8" i="2"/>
  <c r="K2" i="4" l="1"/>
  <c r="K5" i="4" s="1"/>
  <c r="E5" i="4"/>
  <c r="L5" i="4" s="1"/>
  <c r="E14" i="1" l="1"/>
  <c r="F14" i="1" s="1"/>
  <c r="E15" i="1"/>
  <c r="F15" i="1"/>
  <c r="C15" i="1"/>
  <c r="E23" i="1"/>
  <c r="F23" i="1" s="1"/>
  <c r="L12" i="1"/>
  <c r="D5" i="1" s="1"/>
  <c r="O3" i="1"/>
  <c r="O12" i="1" s="1"/>
  <c r="O4" i="1"/>
  <c r="O5" i="1"/>
  <c r="O6" i="1"/>
  <c r="O7" i="1"/>
  <c r="O8" i="1"/>
  <c r="O9" i="1"/>
  <c r="O10" i="1"/>
  <c r="O2" i="1"/>
  <c r="M3" i="1"/>
  <c r="N3" i="1" s="1"/>
  <c r="M4" i="1"/>
  <c r="N4" i="1" s="1"/>
  <c r="M5" i="1"/>
  <c r="N5" i="1" s="1"/>
  <c r="P5" i="1" s="1"/>
  <c r="M6" i="1"/>
  <c r="N6" i="1" s="1"/>
  <c r="M7" i="1"/>
  <c r="M8" i="1"/>
  <c r="N8" i="1" s="1"/>
  <c r="M9" i="1"/>
  <c r="N9" i="1" s="1"/>
  <c r="P9" i="1" s="1"/>
  <c r="M10" i="1"/>
  <c r="M2" i="1"/>
  <c r="N2" i="1" s="1"/>
  <c r="P2" i="1" s="1"/>
  <c r="N18" i="1"/>
  <c r="O18" i="1" s="1"/>
  <c r="P18" i="1" s="1"/>
  <c r="N19" i="1"/>
  <c r="N20" i="1"/>
  <c r="O20" i="1" s="1"/>
  <c r="P20" i="1" s="1"/>
  <c r="N21" i="1"/>
  <c r="N22" i="1"/>
  <c r="O22" i="1" s="1"/>
  <c r="P22" i="1" s="1"/>
  <c r="N23" i="1"/>
  <c r="O23" i="1" s="1"/>
  <c r="P23" i="1" s="1"/>
  <c r="N24" i="1"/>
  <c r="O24" i="1" s="1"/>
  <c r="P24" i="1" s="1"/>
  <c r="N25" i="1"/>
  <c r="O25" i="1" s="1"/>
  <c r="P25" i="1" s="1"/>
  <c r="N26" i="1"/>
  <c r="O26" i="1" s="1"/>
  <c r="P26" i="1" s="1"/>
  <c r="N27" i="1"/>
  <c r="O27" i="1" s="1"/>
  <c r="P27" i="1" s="1"/>
  <c r="N28" i="1"/>
  <c r="O28" i="1" s="1"/>
  <c r="P28" i="1" s="1"/>
  <c r="N29" i="1"/>
  <c r="O29" i="1" s="1"/>
  <c r="P29" i="1" s="1"/>
  <c r="N30" i="1"/>
  <c r="O30" i="1" s="1"/>
  <c r="P30" i="1" s="1"/>
  <c r="N17" i="1"/>
  <c r="E3" i="1"/>
  <c r="E4" i="1"/>
  <c r="F4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N10" i="1"/>
  <c r="P10" i="1" s="1"/>
  <c r="N7" i="1"/>
  <c r="P7" i="1" s="1"/>
  <c r="E2" i="1"/>
  <c r="F2" i="1" s="1"/>
  <c r="O21" i="1" l="1"/>
  <c r="P21" i="1" s="1"/>
  <c r="D28" i="1"/>
  <c r="E28" i="1" s="1"/>
  <c r="F28" i="1" s="1"/>
  <c r="O17" i="1"/>
  <c r="P17" i="1" s="1"/>
  <c r="N32" i="1"/>
  <c r="D16" i="1" s="1"/>
  <c r="O19" i="1"/>
  <c r="P19" i="1" s="1"/>
  <c r="E22" i="1"/>
  <c r="F22" i="1" s="1"/>
  <c r="P3" i="2"/>
  <c r="E24" i="1"/>
  <c r="F24" i="1" s="1"/>
  <c r="E21" i="1"/>
  <c r="F21" i="1"/>
  <c r="P8" i="1"/>
  <c r="P6" i="1"/>
  <c r="P4" i="1"/>
  <c r="P3" i="1"/>
  <c r="P32" i="1"/>
  <c r="O32" i="1"/>
  <c r="N12" i="1"/>
  <c r="P12" i="1" s="1"/>
  <c r="M12" i="1"/>
  <c r="F3" i="1"/>
  <c r="Q3" i="2" l="1"/>
  <c r="F3" i="2"/>
  <c r="E16" i="1"/>
  <c r="E18" i="1" s="1"/>
  <c r="E30" i="1"/>
  <c r="F16" i="1"/>
  <c r="E5" i="1"/>
  <c r="G3" i="2" l="1"/>
  <c r="H3" i="2" s="1"/>
  <c r="S3" i="2" s="1"/>
  <c r="F30" i="1"/>
  <c r="F32" i="1" s="1"/>
  <c r="E32" i="1"/>
  <c r="F5" i="1"/>
  <c r="F18" i="1" s="1"/>
  <c r="F8" i="3" l="1"/>
  <c r="F11" i="3" s="1"/>
  <c r="F9" i="3"/>
  <c r="O5" i="2"/>
  <c r="P5" i="2" s="1"/>
  <c r="F2" i="2"/>
  <c r="G2" i="2" s="1"/>
  <c r="R2" i="2"/>
  <c r="P16" i="2" l="1"/>
  <c r="F5" i="2"/>
  <c r="G5" i="2" s="1"/>
  <c r="H5" i="2" s="1"/>
  <c r="Q5" i="2"/>
  <c r="Q16" i="2" s="1"/>
  <c r="H2" i="2"/>
  <c r="M19" i="2" l="1"/>
  <c r="N19" i="2" s="1"/>
  <c r="O19" i="2" s="1"/>
  <c r="O23" i="2" s="1"/>
  <c r="G16" i="2"/>
  <c r="S5" i="2"/>
  <c r="S2" i="2"/>
  <c r="H16" i="2"/>
  <c r="T16" i="2"/>
  <c r="N23" i="2" l="1"/>
  <c r="S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<sst xmlns="http://schemas.openxmlformats.org/spreadsheetml/2006/main" count="199" uniqueCount="117">
  <si>
    <t>Source</t>
  </si>
  <si>
    <t>Sink</t>
  </si>
  <si>
    <t>VDD_ARM</t>
  </si>
  <si>
    <t>Current (mA)</t>
  </si>
  <si>
    <t>Voltage (V)</t>
  </si>
  <si>
    <t>Power (mW)</t>
  </si>
  <si>
    <t>Power (W)</t>
  </si>
  <si>
    <t>VDD_SOC</t>
  </si>
  <si>
    <t>VDDA_1P8_IN</t>
  </si>
  <si>
    <t>VDD_SNVS_IN</t>
  </si>
  <si>
    <t>VDD_XTAL_1P8</t>
  </si>
  <si>
    <t>VDD_LPSR_IN</t>
  </si>
  <si>
    <t>VDD_TEMPSENSOR_1P8</t>
  </si>
  <si>
    <t>VDDA_ADC1_1P8</t>
  </si>
  <si>
    <t>VDDA_ADC2_1P8</t>
  </si>
  <si>
    <t>FUSE_FSOURCE</t>
  </si>
  <si>
    <t>VDD_MIPI_1P0</t>
  </si>
  <si>
    <t>PCIE_VP</t>
  </si>
  <si>
    <t>PCIE_VP_RX</t>
  </si>
  <si>
    <t>PCIE_VP_TX</t>
  </si>
  <si>
    <t>PCIE_VPH</t>
  </si>
  <si>
    <t>PCIE_VPH_RX</t>
  </si>
  <si>
    <t>PCIE_VPH_TX</t>
  </si>
  <si>
    <t>From VDDA_1P8_IN</t>
  </si>
  <si>
    <t>VDD_USB_H_1P2</t>
  </si>
  <si>
    <t>VDDA_MIPI_1P8</t>
  </si>
  <si>
    <t>Total</t>
  </si>
  <si>
    <t>Efficiency</t>
  </si>
  <si>
    <t>NVCC_GPIO1</t>
  </si>
  <si>
    <t>NVCC_GPIO2</t>
  </si>
  <si>
    <t>NVCC_SD2</t>
  </si>
  <si>
    <t>NVCC_SD3</t>
  </si>
  <si>
    <t>NVCC_SD1</t>
  </si>
  <si>
    <t>NVCC_ENET1</t>
  </si>
  <si>
    <t>NVCC_EPDC1</t>
  </si>
  <si>
    <t>NVCC_EPDC2</t>
  </si>
  <si>
    <t>NVCC_SAI</t>
  </si>
  <si>
    <t>NVCC_LCD</t>
  </si>
  <si>
    <t>NVCC_SPI</t>
  </si>
  <si>
    <t>NVCC_ECSPI</t>
  </si>
  <si>
    <t>NVCC_I2C</t>
  </si>
  <si>
    <t>NVCC_UART</t>
  </si>
  <si>
    <t>Number of pins</t>
  </si>
  <si>
    <t>Capacitance (F)</t>
  </si>
  <si>
    <t>Frequency (Hz)</t>
  </si>
  <si>
    <t xml:space="preserve"> - Internal LDOs</t>
  </si>
  <si>
    <t>Source voltage (V)</t>
  </si>
  <si>
    <t>LDO power lost (W)</t>
  </si>
  <si>
    <t>Peripheral power</t>
  </si>
  <si>
    <t>Source requirements</t>
  </si>
  <si>
    <t>Voltage out (V)</t>
  </si>
  <si>
    <t>DRAM_VREF</t>
  </si>
  <si>
    <t>NVCC_DRAM</t>
  </si>
  <si>
    <t>VDD</t>
  </si>
  <si>
    <t>VIN</t>
  </si>
  <si>
    <t>VREF</t>
  </si>
  <si>
    <t>Notes</t>
  </si>
  <si>
    <t>Estimated</t>
  </si>
  <si>
    <t>From Micron calculator worksheet</t>
  </si>
  <si>
    <t>Per DRAM IC</t>
  </si>
  <si>
    <t>NVCC_DRAM_CKE</t>
  </si>
  <si>
    <t>Peripherals</t>
  </si>
  <si>
    <t>SW1A</t>
  </si>
  <si>
    <t>SW2</t>
  </si>
  <si>
    <t>SW3</t>
  </si>
  <si>
    <t>SD</t>
  </si>
  <si>
    <t>3V3 LP</t>
  </si>
  <si>
    <t>CPU 1V8</t>
  </si>
  <si>
    <t>CPU power by input</t>
  </si>
  <si>
    <t>CPU power by source (sinks grouped)</t>
  </si>
  <si>
    <t>Current out (mA)</t>
  </si>
  <si>
    <t>Power out (mW)</t>
  </si>
  <si>
    <t>Power out (W)</t>
  </si>
  <si>
    <t>SW1B</t>
  </si>
  <si>
    <t>VCC_SD</t>
  </si>
  <si>
    <t>VLDO3</t>
  </si>
  <si>
    <t>VSNVS</t>
  </si>
  <si>
    <t>V33</t>
  </si>
  <si>
    <t>Voltage in (V)</t>
  </si>
  <si>
    <t>Current in (mA)</t>
  </si>
  <si>
    <t>Voltage drop (V)</t>
  </si>
  <si>
    <t>Power in (W)</t>
  </si>
  <si>
    <t>Power in (mW)</t>
  </si>
  <si>
    <t>Heat loss (W)</t>
  </si>
  <si>
    <t>Max current out (mA)</t>
  </si>
  <si>
    <t>Regulators</t>
  </si>
  <si>
    <t>VDDIO</t>
  </si>
  <si>
    <t>Output</t>
  </si>
  <si>
    <t>VLDO2</t>
  </si>
  <si>
    <t>VLDO1</t>
  </si>
  <si>
    <t>VLDO4</t>
  </si>
  <si>
    <t>VLDO34IN</t>
  </si>
  <si>
    <t>VPWR</t>
  </si>
  <si>
    <t>SWBST</t>
  </si>
  <si>
    <t>VIN2</t>
  </si>
  <si>
    <t>None</t>
  </si>
  <si>
    <t>VDDOTP</t>
  </si>
  <si>
    <t>Max voltage in (V)</t>
  </si>
  <si>
    <t>Max voltage out (V)</t>
  </si>
  <si>
    <t>SW1A/B operating in independent mode</t>
  </si>
  <si>
    <t>Not taking int account quiescent current (uA range)</t>
  </si>
  <si>
    <t>VINREFDDR</t>
  </si>
  <si>
    <t>Min voltage out (V)</t>
  </si>
  <si>
    <t>VREFDDR</t>
  </si>
  <si>
    <t>Input voltage</t>
  </si>
  <si>
    <t>NVCC_DRAM, VINREFDDR</t>
  </si>
  <si>
    <t>3V3 LP, VDDIO</t>
  </si>
  <si>
    <t>Internal</t>
  </si>
  <si>
    <t>Min voltage in (V)</t>
  </si>
  <si>
    <t>PMIC Inputs</t>
  </si>
  <si>
    <t>Sinks</t>
  </si>
  <si>
    <t>Primary power in</t>
  </si>
  <si>
    <t>Input voltage (V)</t>
  </si>
  <si>
    <t>Output voltage (V)</t>
  </si>
  <si>
    <t>PMIC</t>
  </si>
  <si>
    <t>USB</t>
  </si>
  <si>
    <t>Note: Estimations, not 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</si>
</sst>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"/>
    <numFmt numFmtId="170" formatCode="0.0"/>
    <numFmt numFmtId="178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9" fontId="0" fillId="0" borderId="0" xfId="1" applyFont="1"/>
    <xf numFmtId="2" fontId="0" fillId="0" borderId="0" xfId="0" applyNumberFormat="1"/>
    <xf numFmtId="169" fontId="0" fillId="0" borderId="0" xfId="0" applyNumberFormat="1"/>
    <xf numFmtId="17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" fontId="0" fillId="0" borderId="7" xfId="0" applyNumberFormat="1" applyBorder="1"/>
    <xf numFmtId="169" fontId="0" fillId="0" borderId="6" xfId="0" applyNumberFormat="1" applyBorder="1"/>
    <xf numFmtId="0" fontId="0" fillId="0" borderId="8" xfId="0" applyBorder="1"/>
    <xf numFmtId="0" fontId="0" fillId="0" borderId="9" xfId="0" applyBorder="1"/>
    <xf numFmtId="169" fontId="0" fillId="0" borderId="4" xfId="0" applyNumberFormat="1" applyBorder="1"/>
    <xf numFmtId="170" fontId="0" fillId="0" borderId="0" xfId="0" applyNumberFormat="1" applyBorder="1"/>
    <xf numFmtId="169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9" fontId="0" fillId="0" borderId="4" xfId="1" applyFont="1" applyBorder="1"/>
    <xf numFmtId="11" fontId="0" fillId="0" borderId="0" xfId="0" applyNumberFormat="1" applyBorder="1"/>
    <xf numFmtId="178" fontId="0" fillId="0" borderId="4" xfId="0" applyNumberFormat="1" applyBorder="1"/>
    <xf numFmtId="0" fontId="0" fillId="0" borderId="10" xfId="0" applyBorder="1"/>
    <xf numFmtId="9" fontId="0" fillId="0" borderId="6" xfId="1" applyFont="1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Percent" xfId="1" builtinId="5"/>
  </cellStyles>
  <dxfs count="32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fgColor auto="1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numFmt numFmtId="2" formatCode="0.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0.000"/>
    </dxf>
    <dxf>
      <numFmt numFmtId="1" formatCode="0"/>
    </dxf>
    <dxf>
      <numFmt numFmtId="169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E51B9-7944-4543-AA05-9D0495620B89}" name="Table1" displayName="Table1" ref="B1:F16" totalsRowShown="0">
  <autoFilter ref="B1:F16" xr:uid="{15FF9113-A392-4DB2-A6AD-A3E47A98D3A0}"/>
  <tableColumns count="5">
    <tableColumn id="1" xr3:uid="{DCCB5735-D475-4A27-A0BF-95DDC9EAE990}" name="Sink"/>
    <tableColumn id="2" xr3:uid="{F50F894B-AB63-4B3A-A49A-F65D5ABB32D9}" name="Voltage (V)"/>
    <tableColumn id="3" xr3:uid="{73310900-DEBA-4348-8E3A-39A10BBA45AA}" name="Current (mA)"/>
    <tableColumn id="4" xr3:uid="{008C10E9-8D15-4037-8C66-5232AD8F1671}" name="Power (mW)"/>
    <tableColumn id="5" xr3:uid="{DD05115D-C945-4C00-AABD-0E5D5C38B729}" name="Power (W)" dataDxfId="31">
      <calculatedColumnFormula>E2/1000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35CE0-6075-4A73-8824-9897DC91F38A}" name="Table2" displayName="Table2" ref="B20:F30" totalsRowShown="0">
  <autoFilter ref="B20:F30" xr:uid="{1FAAC9C6-6796-4431-BF53-09FEB50EE390}"/>
  <tableColumns count="5">
    <tableColumn id="1" xr3:uid="{C2B77D68-610C-45C2-A1E7-DADE40229038}" name="Sink"/>
    <tableColumn id="2" xr3:uid="{B2A67EEF-BED3-40E4-A057-6360AC85B1D4}" name="Voltage (V)"/>
    <tableColumn id="3" xr3:uid="{E54580B1-0317-42DA-AAAC-8A874DFF8997}" name="Current (mA)"/>
    <tableColumn id="4" xr3:uid="{51960A38-2E5D-4C0C-815F-860C62579BFD}" name="Power (mW)" dataDxfId="30">
      <calculatedColumnFormula>C21*D21</calculatedColumnFormula>
    </tableColumn>
    <tableColumn id="5" xr3:uid="{26AC31C2-EB8A-40E3-9D81-D5CCCFB3A51E}" name="Power (W)" dataDxfId="29">
      <calculatedColumnFormula>E21/1000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A20D8-44CF-40F8-89DD-5971C90E1E2E}" name="Table3" displayName="Table3" ref="I1:P10" totalsRowShown="0">
  <autoFilter ref="I1:P10" xr:uid="{3AFCE96B-4FE0-46FD-9046-EA9DF9CA50CB}"/>
  <tableColumns count="8">
    <tableColumn id="1" xr3:uid="{8F43373A-81CE-48AA-996A-4BBB771CA7F0}" name="Sink"/>
    <tableColumn id="2" xr3:uid="{9E427C59-7EB4-41F8-8F18-A177B001CB97}" name="Voltage (V)"/>
    <tableColumn id="3" xr3:uid="{B02060C2-221B-40C6-838F-23E55F63C152}" name="Source voltage (V)"/>
    <tableColumn id="4" xr3:uid="{5C44B74F-D496-4B71-ACA4-64E83A25D348}" name="Current (mA)"/>
    <tableColumn id="5" xr3:uid="{27E91C3D-861E-4C99-B05C-3AC97E8120B8}" name="Power (mW)">
      <calculatedColumnFormula>K2*L2</calculatedColumnFormula>
    </tableColumn>
    <tableColumn id="6" xr3:uid="{843B31CD-9D5F-4D7E-BD73-7957A70C8899}" name="Power (W)">
      <calculatedColumnFormula>M2/1000</calculatedColumnFormula>
    </tableColumn>
    <tableColumn id="7" xr3:uid="{6CBD30A4-777A-4B77-BCC3-AA2D89C0E42C}" name="LDO power lost (W)">
      <calculatedColumnFormula>(K2-J2)*L2/1000</calculatedColumnFormula>
    </tableColumn>
    <tableColumn id="8" xr3:uid="{623667BF-2457-4802-B8CD-2579388158E0}" name="Efficiency" dataDxfId="28" dataCellStyle="Percent">
      <calculatedColumnFormula>(N2-O2)/N2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C175ED-7E81-4F71-88EC-6B87251AE443}" name="Table4" displayName="Table4" ref="I16:P30" totalsRowShown="0">
  <autoFilter ref="I16:P30" xr:uid="{A57BA318-A482-4EFA-89DC-841AFFF6B725}"/>
  <tableColumns count="8">
    <tableColumn id="1" xr3:uid="{0655E15C-2445-44F5-8DFB-8932359691AD}" name="Sink"/>
    <tableColumn id="2" xr3:uid="{75AC5B89-4231-41FE-873D-325BA0B5DB7F}" name="Voltage (V)"/>
    <tableColumn id="3" xr3:uid="{C32987F5-324A-4AAB-BC93-AC8BE297E733}" name="Number of pins"/>
    <tableColumn id="4" xr3:uid="{34192BDA-FC9C-44A3-9D3B-16ABFD0528C4}" name="Capacitance (F)" dataDxfId="27"/>
    <tableColumn id="5" xr3:uid="{3A4A1471-8852-4C33-AB93-9F503D480C58}" name="Frequency (Hz)"/>
    <tableColumn id="6" xr3:uid="{1E36DBC9-59AA-45A2-9136-FE0DB7C1010C}" name="Current (mA)" dataDxfId="26">
      <calculatedColumnFormula>1000*K17*L17*J17*0.5*M17</calculatedColumnFormula>
    </tableColumn>
    <tableColumn id="7" xr3:uid="{B52E8B41-12A9-4440-A949-A9CDEC8E10B8}" name="Power (mW)">
      <calculatedColumnFormula>N17*J17</calculatedColumnFormula>
    </tableColumn>
    <tableColumn id="8" xr3:uid="{5BE8F425-50C2-4312-9CFB-998B85428B40}" name="Power (W)">
      <calculatedColumnFormula>O17/1000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E912-AAF4-43C0-A76F-CA791995FA7C}">
  <dimension ref="B1:L11"/>
  <sheetViews>
    <sheetView tabSelected="1" workbookViewId="0">
      <selection activeCell="G11" sqref="G11"/>
    </sheetView>
  </sheetViews>
  <sheetFormatPr defaultRowHeight="15" x14ac:dyDescent="0.25"/>
  <cols>
    <col min="2" max="2" width="12.7109375" bestFit="1" customWidth="1"/>
    <col min="3" max="3" width="9.85546875" bestFit="1" customWidth="1"/>
    <col min="4" max="5" width="8.85546875" bestFit="1" customWidth="1"/>
    <col min="6" max="6" width="7.28515625" bestFit="1" customWidth="1"/>
    <col min="7" max="7" width="14.42578125" bestFit="1" customWidth="1"/>
    <col min="8" max="8" width="11.140625" bestFit="1" customWidth="1"/>
    <col min="9" max="10" width="10.140625" bestFit="1" customWidth="1"/>
    <col min="11" max="11" width="9" bestFit="1" customWidth="1"/>
    <col min="12" max="12" width="9.5703125" bestFit="1" customWidth="1"/>
  </cols>
  <sheetData>
    <row r="1" spans="2:12" ht="30" x14ac:dyDescent="0.25">
      <c r="B1" s="34" t="s">
        <v>112</v>
      </c>
      <c r="C1" s="34" t="s">
        <v>79</v>
      </c>
      <c r="D1" s="34" t="s">
        <v>82</v>
      </c>
      <c r="E1" s="34" t="s">
        <v>81</v>
      </c>
      <c r="F1" s="34" t="s">
        <v>1</v>
      </c>
      <c r="G1" s="34" t="s">
        <v>113</v>
      </c>
      <c r="H1" s="34" t="s">
        <v>70</v>
      </c>
      <c r="I1" s="34" t="s">
        <v>71</v>
      </c>
      <c r="J1" s="34" t="s">
        <v>72</v>
      </c>
      <c r="K1" s="34" t="s">
        <v>83</v>
      </c>
      <c r="L1" s="34" t="s">
        <v>27</v>
      </c>
    </row>
    <row r="2" spans="2:12" x14ac:dyDescent="0.25">
      <c r="B2">
        <v>12</v>
      </c>
      <c r="C2" s="8">
        <f>I2/B2/L2</f>
        <v>378.44396714567898</v>
      </c>
      <c r="D2" s="8">
        <f>B2*C2</f>
        <v>4541.327605748148</v>
      </c>
      <c r="E2" s="6">
        <f>D2/1000</f>
        <v>4.5413276057481484</v>
      </c>
      <c r="F2" t="s">
        <v>114</v>
      </c>
      <c r="G2">
        <v>3.7</v>
      </c>
      <c r="H2" s="8">
        <f>PMIC!M19</f>
        <v>1104.6472554522522</v>
      </c>
      <c r="I2" s="8">
        <f>G2*H2</f>
        <v>4087.1948451733333</v>
      </c>
      <c r="J2" s="6">
        <f>I2/1000</f>
        <v>4.0871948451733333</v>
      </c>
      <c r="K2" s="5">
        <f>E2-J2</f>
        <v>0.45413276057481511</v>
      </c>
      <c r="L2" s="4">
        <v>0.9</v>
      </c>
    </row>
    <row r="3" spans="2:12" x14ac:dyDescent="0.25">
      <c r="B3">
        <v>12</v>
      </c>
      <c r="C3" s="8">
        <f>I3/B3/L3</f>
        <v>462.96296296296299</v>
      </c>
      <c r="D3" s="8">
        <f>B3*C3</f>
        <v>5555.5555555555557</v>
      </c>
      <c r="E3" s="6">
        <f>D3/1000</f>
        <v>5.5555555555555554</v>
      </c>
      <c r="F3" t="s">
        <v>115</v>
      </c>
      <c r="G3">
        <v>5</v>
      </c>
      <c r="H3">
        <v>1000</v>
      </c>
      <c r="I3" s="8">
        <f>G3*H3</f>
        <v>5000</v>
      </c>
      <c r="J3" s="6">
        <f>I3/1000</f>
        <v>5</v>
      </c>
      <c r="K3" s="8">
        <f>E3-J3</f>
        <v>0.55555555555555536</v>
      </c>
      <c r="L3" s="4">
        <v>0.9</v>
      </c>
    </row>
    <row r="5" spans="2:12" x14ac:dyDescent="0.25">
      <c r="B5" t="s">
        <v>26</v>
      </c>
      <c r="C5" s="8">
        <f>SUM(C2:C3)</f>
        <v>841.40693010864197</v>
      </c>
      <c r="D5" s="8">
        <f>SUM(D2:D3)</f>
        <v>10096.883161303704</v>
      </c>
      <c r="E5" s="6">
        <f>SUM(E2:E3)</f>
        <v>10.096883161303705</v>
      </c>
      <c r="I5" s="8">
        <f>SUM(I2:I3)</f>
        <v>9087.1948451733333</v>
      </c>
      <c r="J5" s="6">
        <f>SUM(J2:J3)</f>
        <v>9.0871948451733324</v>
      </c>
      <c r="K5" s="5">
        <f>SUM(K2:K3)</f>
        <v>1.0096883161303705</v>
      </c>
      <c r="L5" s="4">
        <f>J5/E5</f>
        <v>0.8999999999999998</v>
      </c>
    </row>
    <row r="11" spans="2:12" x14ac:dyDescent="0.25">
      <c r="B1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5DEB-B0EF-42F6-83FA-977A66B7512F}">
  <dimension ref="A1:T33"/>
  <sheetViews>
    <sheetView workbookViewId="0">
      <selection activeCell="M19" sqref="M19"/>
    </sheetView>
  </sheetViews>
  <sheetFormatPr defaultRowHeight="15" x14ac:dyDescent="0.25"/>
  <cols>
    <col min="1" max="1" width="3.7109375" bestFit="1" customWidth="1"/>
    <col min="2" max="2" width="11.140625" bestFit="1" customWidth="1"/>
    <col min="3" max="3" width="13.7109375" bestFit="1" customWidth="1"/>
    <col min="4" max="4" width="14" bestFit="1" customWidth="1"/>
    <col min="5" max="5" width="10" bestFit="1" customWidth="1"/>
    <col min="6" max="6" width="9.85546875" bestFit="1" customWidth="1"/>
    <col min="7" max="8" width="8.85546875" bestFit="1" customWidth="1"/>
    <col min="9" max="9" width="15.140625" bestFit="1" customWidth="1"/>
    <col min="10" max="10" width="9.140625" bestFit="1" customWidth="1"/>
    <col min="11" max="11" width="24" bestFit="1" customWidth="1"/>
    <col min="12" max="12" width="11.42578125" bestFit="1" customWidth="1"/>
    <col min="13" max="13" width="11.7109375" bestFit="1" customWidth="1"/>
    <col min="14" max="14" width="11.28515625" bestFit="1" customWidth="1"/>
    <col min="15" max="15" width="11.140625" bestFit="1" customWidth="1"/>
    <col min="16" max="17" width="10.140625" bestFit="1" customWidth="1"/>
    <col min="18" max="18" width="12.42578125" bestFit="1" customWidth="1"/>
    <col min="19" max="19" width="9" bestFit="1" customWidth="1"/>
    <col min="20" max="20" width="9.5703125" bestFit="1" customWidth="1"/>
  </cols>
  <sheetData>
    <row r="1" spans="1:20" s="34" customFormat="1" ht="30" x14ac:dyDescent="0.25">
      <c r="A1" s="1" t="s">
        <v>85</v>
      </c>
      <c r="B1" s="34" t="s">
        <v>0</v>
      </c>
      <c r="C1" s="34" t="s">
        <v>108</v>
      </c>
      <c r="D1" s="34" t="s">
        <v>97</v>
      </c>
      <c r="E1" s="34" t="s">
        <v>78</v>
      </c>
      <c r="F1" s="34" t="s">
        <v>79</v>
      </c>
      <c r="G1" s="34" t="s">
        <v>82</v>
      </c>
      <c r="H1" s="34" t="s">
        <v>81</v>
      </c>
      <c r="I1" s="34" t="s">
        <v>84</v>
      </c>
      <c r="J1" s="34" t="s">
        <v>87</v>
      </c>
      <c r="K1" s="34" t="s">
        <v>1</v>
      </c>
      <c r="L1" s="34" t="s">
        <v>102</v>
      </c>
      <c r="M1" s="34" t="s">
        <v>98</v>
      </c>
      <c r="N1" s="34" t="s">
        <v>50</v>
      </c>
      <c r="O1" s="34" t="s">
        <v>70</v>
      </c>
      <c r="P1" s="34" t="s">
        <v>71</v>
      </c>
      <c r="Q1" s="34" t="s">
        <v>72</v>
      </c>
      <c r="R1" s="34" t="s">
        <v>80</v>
      </c>
      <c r="S1" s="34" t="s">
        <v>83</v>
      </c>
      <c r="T1" s="34" t="s">
        <v>27</v>
      </c>
    </row>
    <row r="2" spans="1:20" x14ac:dyDescent="0.25">
      <c r="A2" s="1"/>
      <c r="B2" t="s">
        <v>62</v>
      </c>
      <c r="C2">
        <v>2.8</v>
      </c>
      <c r="D2">
        <v>4.5</v>
      </c>
      <c r="E2">
        <f>L19</f>
        <v>3.7</v>
      </c>
      <c r="F2" s="7">
        <f>P2/E2/T2</f>
        <v>206.92567567567565</v>
      </c>
      <c r="G2" s="5">
        <f t="shared" ref="G2:G14" si="0">E2*F2</f>
        <v>765.62499999999989</v>
      </c>
      <c r="H2" s="5">
        <f t="shared" ref="H2:H14" si="1">G2/1000</f>
        <v>0.76562499999999989</v>
      </c>
      <c r="I2" s="8">
        <v>1000</v>
      </c>
      <c r="J2" s="8" t="str">
        <f>B2</f>
        <v>SW1A</v>
      </c>
      <c r="K2" t="s">
        <v>2</v>
      </c>
      <c r="L2">
        <v>0.7</v>
      </c>
      <c r="M2">
        <v>1.425</v>
      </c>
      <c r="N2">
        <f>CPU!C21</f>
        <v>1.2250000000000001</v>
      </c>
      <c r="O2">
        <v>500</v>
      </c>
      <c r="P2">
        <f>N2*O2</f>
        <v>612.5</v>
      </c>
      <c r="Q2" s="6">
        <f>P2/1000</f>
        <v>0.61250000000000004</v>
      </c>
      <c r="R2">
        <f>E2-N2</f>
        <v>2.4750000000000001</v>
      </c>
      <c r="S2" s="6">
        <f>H2-Q2</f>
        <v>0.15312499999999984</v>
      </c>
      <c r="T2" s="4">
        <v>0.8</v>
      </c>
    </row>
    <row r="3" spans="1:20" x14ac:dyDescent="0.25">
      <c r="A3" s="1"/>
      <c r="B3" t="s">
        <v>73</v>
      </c>
      <c r="C3">
        <v>2.8</v>
      </c>
      <c r="D3">
        <v>4.5</v>
      </c>
      <c r="E3">
        <f>L19</f>
        <v>3.7</v>
      </c>
      <c r="F3" s="7">
        <f t="shared" ref="F3:F5" si="2">P3/E3/T3</f>
        <v>360.36036036036035</v>
      </c>
      <c r="G3" s="5">
        <f t="shared" si="0"/>
        <v>1333.3333333333333</v>
      </c>
      <c r="H3" s="5">
        <f t="shared" si="1"/>
        <v>1.3333333333333333</v>
      </c>
      <c r="I3" s="8">
        <v>1750</v>
      </c>
      <c r="J3" s="8" t="str">
        <f>B3</f>
        <v>SW1B</v>
      </c>
      <c r="K3" t="s">
        <v>7</v>
      </c>
      <c r="L3">
        <v>7.0000000000000007E-2</v>
      </c>
      <c r="M3">
        <v>1.4750000000000001</v>
      </c>
      <c r="N3">
        <f>CPU!C22</f>
        <v>1</v>
      </c>
      <c r="O3">
        <f>CPU!D22</f>
        <v>1000</v>
      </c>
      <c r="P3">
        <f t="shared" ref="P3:P14" si="3">N3*O3</f>
        <v>1000</v>
      </c>
      <c r="Q3" s="6">
        <f t="shared" ref="Q3:Q14" si="4">P3/1000</f>
        <v>1</v>
      </c>
      <c r="R3">
        <f>E3-N3</f>
        <v>2.7</v>
      </c>
      <c r="S3" s="6">
        <f>H3-Q3</f>
        <v>0.33333333333333326</v>
      </c>
      <c r="T3" s="4">
        <v>0.75</v>
      </c>
    </row>
    <row r="4" spans="1:20" x14ac:dyDescent="0.25">
      <c r="A4" s="1"/>
      <c r="B4" t="s">
        <v>63</v>
      </c>
      <c r="C4">
        <v>2.8</v>
      </c>
      <c r="D4">
        <v>4.5</v>
      </c>
      <c r="E4">
        <f>L19</f>
        <v>3.7</v>
      </c>
      <c r="F4" s="7">
        <f t="shared" si="2"/>
        <v>374.59459459459458</v>
      </c>
      <c r="G4" s="5">
        <f t="shared" si="0"/>
        <v>1386</v>
      </c>
      <c r="H4" s="5">
        <f t="shared" si="1"/>
        <v>1.3859999999999999</v>
      </c>
      <c r="I4" s="8">
        <v>1250</v>
      </c>
      <c r="J4" s="8" t="str">
        <f>B4</f>
        <v>SW2</v>
      </c>
      <c r="K4" t="s">
        <v>67</v>
      </c>
      <c r="L4">
        <v>1.5</v>
      </c>
      <c r="M4">
        <v>1.85</v>
      </c>
      <c r="N4">
        <f>CPU!C23</f>
        <v>1.8</v>
      </c>
      <c r="O4">
        <f>CPU!D23</f>
        <v>616</v>
      </c>
      <c r="P4" s="8">
        <f t="shared" si="3"/>
        <v>1108.8</v>
      </c>
      <c r="Q4" s="6">
        <f t="shared" si="4"/>
        <v>1.1088</v>
      </c>
      <c r="R4">
        <f>E4-N4</f>
        <v>1.9000000000000001</v>
      </c>
      <c r="S4" s="6">
        <f>H4-Q4</f>
        <v>0.27719999999999989</v>
      </c>
      <c r="T4" s="4">
        <v>0.8</v>
      </c>
    </row>
    <row r="5" spans="1:20" x14ac:dyDescent="0.25">
      <c r="A5" s="1"/>
      <c r="B5" t="s">
        <v>64</v>
      </c>
      <c r="C5">
        <v>2.8</v>
      </c>
      <c r="D5">
        <v>4.5</v>
      </c>
      <c r="E5">
        <f>L19</f>
        <v>3.7</v>
      </c>
      <c r="F5" s="5">
        <f t="shared" si="2"/>
        <v>59.746621621621621</v>
      </c>
      <c r="G5" s="5">
        <f t="shared" si="0"/>
        <v>221.0625</v>
      </c>
      <c r="H5" s="5">
        <f t="shared" si="1"/>
        <v>0.2210625</v>
      </c>
      <c r="I5" s="8">
        <v>1500</v>
      </c>
      <c r="J5" s="8" t="str">
        <f>B5</f>
        <v>SW3</v>
      </c>
      <c r="K5" t="s">
        <v>105</v>
      </c>
      <c r="L5">
        <v>0.9</v>
      </c>
      <c r="M5">
        <v>1.65</v>
      </c>
      <c r="N5">
        <f>CPU!C24</f>
        <v>1.35</v>
      </c>
      <c r="O5" s="7">
        <f>CPU!D24+SUMIF(E2:E14, N5, F2:F14)</f>
        <v>131</v>
      </c>
      <c r="P5" s="6">
        <f t="shared" si="3"/>
        <v>176.85000000000002</v>
      </c>
      <c r="Q5">
        <f t="shared" si="4"/>
        <v>0.17685000000000003</v>
      </c>
      <c r="R5">
        <f>E5-N5</f>
        <v>2.35</v>
      </c>
      <c r="S5" s="6">
        <f>H5-Q5</f>
        <v>4.421249999999996E-2</v>
      </c>
      <c r="T5" s="4">
        <v>0.8</v>
      </c>
    </row>
    <row r="6" spans="1:20" x14ac:dyDescent="0.25">
      <c r="A6" s="1"/>
      <c r="B6" t="s">
        <v>93</v>
      </c>
      <c r="C6">
        <v>2.8</v>
      </c>
      <c r="D6">
        <v>4.5</v>
      </c>
      <c r="E6">
        <v>0</v>
      </c>
      <c r="F6">
        <v>0</v>
      </c>
      <c r="G6" s="5">
        <f t="shared" ref="G6" si="5">E6*F6</f>
        <v>0</v>
      </c>
      <c r="H6" s="5">
        <f>G6/1000</f>
        <v>0</v>
      </c>
      <c r="I6" s="8">
        <v>600</v>
      </c>
      <c r="J6" s="8" t="str">
        <f>B6</f>
        <v>SWBST</v>
      </c>
      <c r="K6" t="s">
        <v>95</v>
      </c>
      <c r="L6">
        <v>5</v>
      </c>
      <c r="M6">
        <v>5.15</v>
      </c>
      <c r="N6">
        <v>5</v>
      </c>
      <c r="O6">
        <v>0</v>
      </c>
      <c r="P6">
        <f>N6*O6</f>
        <v>0</v>
      </c>
      <c r="Q6" s="6">
        <f>P6/1000</f>
        <v>0</v>
      </c>
      <c r="R6">
        <f>E6-N6</f>
        <v>-5</v>
      </c>
      <c r="S6" s="6">
        <f>H6-Q6</f>
        <v>0</v>
      </c>
      <c r="T6" s="4">
        <v>0.6</v>
      </c>
    </row>
    <row r="7" spans="1:20" x14ac:dyDescent="0.25">
      <c r="A7" s="1"/>
      <c r="B7" t="s">
        <v>54</v>
      </c>
      <c r="C7">
        <v>2.25</v>
      </c>
      <c r="D7">
        <v>4.5</v>
      </c>
      <c r="E7">
        <f>L19</f>
        <v>3.7</v>
      </c>
      <c r="F7">
        <f>O7</f>
        <v>1</v>
      </c>
      <c r="G7" s="5">
        <f>E7*F7</f>
        <v>3.7</v>
      </c>
      <c r="H7" s="5">
        <f>G7/1000</f>
        <v>3.7000000000000002E-3</v>
      </c>
      <c r="I7" s="8">
        <v>1</v>
      </c>
      <c r="J7" s="8" t="s">
        <v>76</v>
      </c>
      <c r="K7" t="s">
        <v>9</v>
      </c>
      <c r="L7">
        <v>3</v>
      </c>
      <c r="M7">
        <v>3</v>
      </c>
      <c r="N7">
        <f>CPU!C29</f>
        <v>3</v>
      </c>
      <c r="O7">
        <f>CPU!D29</f>
        <v>1</v>
      </c>
      <c r="P7" s="8">
        <f>N7*O7</f>
        <v>3</v>
      </c>
      <c r="Q7" s="6">
        <f>P7/1000</f>
        <v>3.0000000000000001E-3</v>
      </c>
      <c r="R7">
        <f>E7-N7</f>
        <v>0.70000000000000018</v>
      </c>
      <c r="S7" s="6">
        <f>H7-Q7</f>
        <v>7.000000000000001E-4</v>
      </c>
      <c r="T7" s="4">
        <f t="shared" ref="T3:T14" si="6">IF(H7=0,1,Q7/H7)</f>
        <v>0.81081081081081074</v>
      </c>
    </row>
    <row r="8" spans="1:20" x14ac:dyDescent="0.25">
      <c r="A8" s="1"/>
      <c r="B8" t="s">
        <v>89</v>
      </c>
      <c r="C8">
        <f>N8+0.25</f>
        <v>2.0499999999999998</v>
      </c>
      <c r="D8">
        <v>4.5</v>
      </c>
      <c r="E8">
        <f>L19</f>
        <v>3.7</v>
      </c>
      <c r="F8">
        <f>O8</f>
        <v>5</v>
      </c>
      <c r="G8" s="5">
        <f>E8*F8</f>
        <v>18.5</v>
      </c>
      <c r="H8" s="5">
        <f>G8/1000</f>
        <v>1.8499999999999999E-2</v>
      </c>
      <c r="I8" s="8">
        <v>100</v>
      </c>
      <c r="J8" s="8" t="str">
        <f>B8</f>
        <v>VLDO1</v>
      </c>
      <c r="K8" t="s">
        <v>11</v>
      </c>
      <c r="L8">
        <v>1.8</v>
      </c>
      <c r="M8">
        <v>3.3</v>
      </c>
      <c r="N8">
        <f>CPU!C26</f>
        <v>1.8</v>
      </c>
      <c r="O8">
        <f>CPU!D26</f>
        <v>5</v>
      </c>
      <c r="P8">
        <f>N8*O8</f>
        <v>9</v>
      </c>
      <c r="Q8" s="6">
        <f>P8/1000</f>
        <v>8.9999999999999993E-3</v>
      </c>
      <c r="R8">
        <f>E8-N8</f>
        <v>1.9000000000000001</v>
      </c>
      <c r="S8" s="6">
        <f>H8-Q8</f>
        <v>9.4999999999999998E-3</v>
      </c>
      <c r="T8" s="4">
        <f t="shared" si="6"/>
        <v>0.48648648648648646</v>
      </c>
    </row>
    <row r="9" spans="1:20" x14ac:dyDescent="0.25">
      <c r="A9" s="1"/>
      <c r="B9" t="s">
        <v>88</v>
      </c>
      <c r="C9">
        <v>1.75</v>
      </c>
      <c r="D9">
        <v>3.4</v>
      </c>
      <c r="E9">
        <v>0</v>
      </c>
      <c r="F9">
        <f>O9</f>
        <v>0</v>
      </c>
      <c r="G9" s="5">
        <f t="shared" ref="G9:G13" si="7">E9*F9</f>
        <v>0</v>
      </c>
      <c r="H9" s="5">
        <f>G9/1000</f>
        <v>0</v>
      </c>
      <c r="I9" s="8">
        <v>250</v>
      </c>
      <c r="J9" s="8" t="str">
        <f>B9</f>
        <v>VLDO2</v>
      </c>
      <c r="K9" t="s">
        <v>95</v>
      </c>
      <c r="L9">
        <v>0.8</v>
      </c>
      <c r="M9">
        <v>1.55</v>
      </c>
      <c r="N9">
        <v>1.5</v>
      </c>
      <c r="O9">
        <v>0</v>
      </c>
      <c r="P9">
        <f>N9*O9</f>
        <v>0</v>
      </c>
      <c r="Q9" s="6">
        <f>P9/1000</f>
        <v>0</v>
      </c>
      <c r="R9">
        <f>E9-N9</f>
        <v>-1.5</v>
      </c>
      <c r="S9" s="6">
        <f>H9-Q9</f>
        <v>0</v>
      </c>
      <c r="T9" s="4">
        <f t="shared" si="6"/>
        <v>1</v>
      </c>
    </row>
    <row r="10" spans="1:20" x14ac:dyDescent="0.25">
      <c r="A10" s="1"/>
      <c r="B10" t="s">
        <v>94</v>
      </c>
      <c r="C10">
        <v>2.8</v>
      </c>
      <c r="D10">
        <v>4.5</v>
      </c>
      <c r="E10">
        <f>L19</f>
        <v>3.7</v>
      </c>
      <c r="F10">
        <f t="shared" ref="F10" si="8">O10</f>
        <v>5.9399999999999995</v>
      </c>
      <c r="G10" s="5">
        <f>E10*F10</f>
        <v>21.977999999999998</v>
      </c>
      <c r="H10" s="5">
        <f>G10/1000</f>
        <v>2.1977999999999998E-2</v>
      </c>
      <c r="I10" s="8">
        <v>100</v>
      </c>
      <c r="J10" s="8" t="s">
        <v>74</v>
      </c>
      <c r="K10" t="s">
        <v>65</v>
      </c>
      <c r="L10">
        <v>1.8</v>
      </c>
      <c r="M10">
        <v>3.3</v>
      </c>
      <c r="N10">
        <f>CPU!C28</f>
        <v>3.3</v>
      </c>
      <c r="O10">
        <f>CPU!D28</f>
        <v>5.9399999999999995</v>
      </c>
      <c r="P10" s="8">
        <f t="shared" ref="P10" si="9">N10*O10</f>
        <v>19.601999999999997</v>
      </c>
      <c r="Q10" s="6">
        <f>P10/1000</f>
        <v>1.9601999999999998E-2</v>
      </c>
      <c r="R10">
        <f>E10-N10</f>
        <v>0.40000000000000036</v>
      </c>
      <c r="S10" s="6">
        <f>H10-Q10</f>
        <v>2.3759999999999996E-3</v>
      </c>
      <c r="T10" s="4">
        <f t="shared" si="6"/>
        <v>0.89189189189189189</v>
      </c>
    </row>
    <row r="11" spans="1:20" x14ac:dyDescent="0.25">
      <c r="A11" s="1"/>
      <c r="B11" t="s">
        <v>94</v>
      </c>
      <c r="C11">
        <v>2.8</v>
      </c>
      <c r="D11">
        <v>4.5</v>
      </c>
      <c r="E11">
        <f>L19</f>
        <v>3.7</v>
      </c>
      <c r="F11" s="5">
        <f>O11</f>
        <v>82.732003200000008</v>
      </c>
      <c r="G11" s="5">
        <f>E11*F11</f>
        <v>306.10841184000003</v>
      </c>
      <c r="H11" s="5">
        <f>G11/1000</f>
        <v>0.30610841184000004</v>
      </c>
      <c r="I11" s="8">
        <v>350</v>
      </c>
      <c r="J11" t="s">
        <v>77</v>
      </c>
      <c r="K11" t="s">
        <v>61</v>
      </c>
      <c r="L11">
        <v>2.85</v>
      </c>
      <c r="M11">
        <v>3.3</v>
      </c>
      <c r="N11">
        <f>CPU!C30</f>
        <v>3.3</v>
      </c>
      <c r="O11" s="5">
        <f>CPU!D30</f>
        <v>82.732003200000008</v>
      </c>
      <c r="P11" s="8">
        <f>N11*O11</f>
        <v>273.01561056000003</v>
      </c>
      <c r="Q11" s="6">
        <f>P11/1000</f>
        <v>0.27301561056000001</v>
      </c>
      <c r="R11">
        <f>E11-N11</f>
        <v>0.40000000000000036</v>
      </c>
      <c r="S11" s="6">
        <f>H11-Q11</f>
        <v>3.3092801280000028E-2</v>
      </c>
      <c r="T11" s="4">
        <f t="shared" si="6"/>
        <v>0.89189189189189177</v>
      </c>
    </row>
    <row r="12" spans="1:20" x14ac:dyDescent="0.25">
      <c r="A12" s="1"/>
      <c r="B12" t="s">
        <v>91</v>
      </c>
      <c r="C12">
        <f>MAX($N$12, $N$13) +0.25</f>
        <v>3.55</v>
      </c>
      <c r="D12">
        <v>3.6</v>
      </c>
      <c r="E12">
        <f>L19</f>
        <v>3.7</v>
      </c>
      <c r="F12">
        <f>O12</f>
        <v>6.1479999999999997</v>
      </c>
      <c r="G12" s="5">
        <f t="shared" si="7"/>
        <v>22.747599999999998</v>
      </c>
      <c r="H12" s="5">
        <f>G12/1000</f>
        <v>2.27476E-2</v>
      </c>
      <c r="I12" s="8">
        <v>100</v>
      </c>
      <c r="J12" s="8" t="s">
        <v>75</v>
      </c>
      <c r="K12" t="s">
        <v>106</v>
      </c>
      <c r="L12">
        <v>1.8</v>
      </c>
      <c r="M12">
        <v>3.3</v>
      </c>
      <c r="N12">
        <f>CPU!C27</f>
        <v>3.3</v>
      </c>
      <c r="O12" s="7">
        <f>CPU!D27+F22</f>
        <v>6.1479999999999997</v>
      </c>
      <c r="P12" s="8">
        <f>N12*O12</f>
        <v>20.288399999999999</v>
      </c>
      <c r="Q12" s="6">
        <f>P12/1000</f>
        <v>2.0288399999999998E-2</v>
      </c>
      <c r="R12">
        <f>E12-N12</f>
        <v>0.40000000000000036</v>
      </c>
      <c r="S12" s="6">
        <f>H12-Q12</f>
        <v>2.4592000000000017E-3</v>
      </c>
      <c r="T12" s="4">
        <f t="shared" si="6"/>
        <v>0.89189189189189177</v>
      </c>
    </row>
    <row r="13" spans="1:20" x14ac:dyDescent="0.25">
      <c r="A13" s="1"/>
      <c r="B13" t="s">
        <v>91</v>
      </c>
      <c r="C13">
        <f>MAX($N$12, $N$13) +0.25</f>
        <v>3.55</v>
      </c>
      <c r="D13">
        <v>3.6</v>
      </c>
      <c r="E13">
        <f>L19</f>
        <v>3.7</v>
      </c>
      <c r="F13" s="8">
        <f>O13</f>
        <v>0</v>
      </c>
      <c r="G13" s="5">
        <f t="shared" si="7"/>
        <v>0</v>
      </c>
      <c r="H13" s="5">
        <f>G13/1000</f>
        <v>0</v>
      </c>
      <c r="I13" s="8">
        <v>350</v>
      </c>
      <c r="J13" s="8" t="s">
        <v>90</v>
      </c>
      <c r="K13" t="s">
        <v>95</v>
      </c>
      <c r="L13">
        <v>1.8</v>
      </c>
      <c r="M13">
        <v>3.3</v>
      </c>
      <c r="N13">
        <v>3.3</v>
      </c>
      <c r="O13" s="7">
        <v>0</v>
      </c>
      <c r="P13" s="8">
        <f>N13*O13</f>
        <v>0</v>
      </c>
      <c r="Q13" s="6">
        <f>P13/1000</f>
        <v>0</v>
      </c>
      <c r="R13">
        <f>E13-N13</f>
        <v>0.40000000000000036</v>
      </c>
      <c r="S13" s="6">
        <f>H13-Q13</f>
        <v>0</v>
      </c>
      <c r="T13" s="4">
        <f t="shared" si="6"/>
        <v>1</v>
      </c>
    </row>
    <row r="14" spans="1:20" x14ac:dyDescent="0.25">
      <c r="A14" s="1"/>
      <c r="B14" t="s">
        <v>101</v>
      </c>
      <c r="C14">
        <v>1.2</v>
      </c>
      <c r="D14">
        <v>1.65</v>
      </c>
      <c r="E14">
        <f>N5</f>
        <v>1.35</v>
      </c>
      <c r="F14">
        <f>O14</f>
        <v>1</v>
      </c>
      <c r="G14" s="5">
        <f t="shared" si="0"/>
        <v>1.35</v>
      </c>
      <c r="H14" s="5">
        <f t="shared" si="1"/>
        <v>1.3500000000000001E-3</v>
      </c>
      <c r="I14" s="8">
        <v>10</v>
      </c>
      <c r="J14" s="8" t="s">
        <v>103</v>
      </c>
      <c r="K14" t="s">
        <v>51</v>
      </c>
      <c r="L14">
        <f>0.5*N5</f>
        <v>0.67500000000000004</v>
      </c>
      <c r="M14">
        <f>0.5*N5</f>
        <v>0.67500000000000004</v>
      </c>
      <c r="N14">
        <f>CPU!C25</f>
        <v>0.67500000000000004</v>
      </c>
      <c r="O14" s="7">
        <f>CPU!D25</f>
        <v>1</v>
      </c>
      <c r="P14" s="8">
        <f t="shared" si="3"/>
        <v>0.67500000000000004</v>
      </c>
      <c r="Q14" s="6">
        <f t="shared" si="4"/>
        <v>6.7500000000000004E-4</v>
      </c>
      <c r="R14">
        <f>E14-N14</f>
        <v>0.67500000000000004</v>
      </c>
      <c r="S14" s="6">
        <f>H14-Q14</f>
        <v>6.7500000000000004E-4</v>
      </c>
      <c r="T14" s="4">
        <f t="shared" si="6"/>
        <v>0.5</v>
      </c>
    </row>
    <row r="15" spans="1:20" x14ac:dyDescent="0.25">
      <c r="A15" s="1"/>
    </row>
    <row r="16" spans="1:20" x14ac:dyDescent="0.25">
      <c r="A16" s="1"/>
      <c r="B16" t="s">
        <v>26</v>
      </c>
      <c r="G16" s="8">
        <f>SUM(G2:G14)</f>
        <v>4080.4048451733329</v>
      </c>
      <c r="H16" s="6">
        <f>SUM(H2:H14)</f>
        <v>4.0804048451733328</v>
      </c>
      <c r="P16" s="8">
        <f>SUM(P2:P14)</f>
        <v>3223.73101056</v>
      </c>
      <c r="Q16" s="6">
        <f>SUM(Q2:Q14)</f>
        <v>3.2237310105600003</v>
      </c>
      <c r="S16" s="6">
        <f>SUM(S2:S14)</f>
        <v>0.85667383461333302</v>
      </c>
      <c r="T16" s="4">
        <f>Q16/H16</f>
        <v>0.79005175537258687</v>
      </c>
    </row>
    <row r="18" spans="1:15" ht="30" customHeight="1" x14ac:dyDescent="0.25">
      <c r="B18" s="34" t="s">
        <v>0</v>
      </c>
      <c r="C18" s="34" t="s">
        <v>108</v>
      </c>
      <c r="D18" s="34" t="s">
        <v>97</v>
      </c>
      <c r="E18" s="34" t="s">
        <v>78</v>
      </c>
      <c r="F18" s="34" t="s">
        <v>79</v>
      </c>
      <c r="G18" s="34" t="s">
        <v>82</v>
      </c>
      <c r="H18" s="34" t="s">
        <v>81</v>
      </c>
      <c r="J18" s="1" t="s">
        <v>109</v>
      </c>
      <c r="K18" s="34" t="s">
        <v>110</v>
      </c>
      <c r="L18" s="34" t="s">
        <v>78</v>
      </c>
      <c r="M18" s="34" t="s">
        <v>79</v>
      </c>
      <c r="N18" s="34" t="s">
        <v>82</v>
      </c>
      <c r="O18" s="34" t="s">
        <v>81</v>
      </c>
    </row>
    <row r="19" spans="1:15" x14ac:dyDescent="0.25">
      <c r="A19" s="1" t="s">
        <v>107</v>
      </c>
      <c r="B19" t="s">
        <v>92</v>
      </c>
      <c r="C19">
        <v>3.7</v>
      </c>
      <c r="D19">
        <v>5.5</v>
      </c>
      <c r="E19">
        <v>0</v>
      </c>
      <c r="F19">
        <v>0</v>
      </c>
      <c r="G19" s="6">
        <f t="shared" ref="G19" si="10">E19*F19</f>
        <v>0</v>
      </c>
      <c r="H19" s="6">
        <f t="shared" ref="H19:H23" si="11">G19/1000</f>
        <v>0</v>
      </c>
      <c r="J19" s="1"/>
      <c r="K19" t="s">
        <v>111</v>
      </c>
      <c r="L19">
        <v>3.7</v>
      </c>
      <c r="M19" s="8">
        <f>SUMIF(E2:E14, L19, F2:F14) +SUMIF(E19:E23, L19, F19:F23)</f>
        <v>1104.6472554522522</v>
      </c>
      <c r="N19" s="7">
        <f>L19*M19</f>
        <v>4087.1948451733333</v>
      </c>
      <c r="O19" s="6">
        <f>N19/1000</f>
        <v>4.0871948451733333</v>
      </c>
    </row>
    <row r="20" spans="1:15" x14ac:dyDescent="0.25">
      <c r="A20" s="1"/>
      <c r="B20" t="s">
        <v>54</v>
      </c>
      <c r="C20">
        <f>C7</f>
        <v>2.25</v>
      </c>
      <c r="D20">
        <v>4.5</v>
      </c>
      <c r="E20">
        <f>L19</f>
        <v>3.7</v>
      </c>
      <c r="F20">
        <v>1.2</v>
      </c>
      <c r="G20" s="6">
        <f t="shared" ref="G20" si="12">E20*F20</f>
        <v>4.4400000000000004</v>
      </c>
      <c r="H20" s="6">
        <f t="shared" si="11"/>
        <v>4.4400000000000004E-3</v>
      </c>
      <c r="J20" s="1"/>
      <c r="K20" t="s">
        <v>86</v>
      </c>
      <c r="L20">
        <f>E22</f>
        <v>3.3</v>
      </c>
      <c r="M20">
        <f>F22</f>
        <v>1</v>
      </c>
      <c r="N20" s="6">
        <f>L20*M20</f>
        <v>3.3</v>
      </c>
      <c r="O20" s="6">
        <f>N20/1000</f>
        <v>3.3E-3</v>
      </c>
    </row>
    <row r="21" spans="1:15" x14ac:dyDescent="0.25">
      <c r="A21" s="1"/>
      <c r="B21" t="s">
        <v>94</v>
      </c>
      <c r="C21">
        <v>2.8</v>
      </c>
      <c r="D21">
        <v>4.5</v>
      </c>
      <c r="E21">
        <f>L19</f>
        <v>3.7</v>
      </c>
      <c r="F21">
        <v>1</v>
      </c>
      <c r="G21" s="6">
        <f t="shared" ref="G21:G23" si="13">E21*F21</f>
        <v>3.7</v>
      </c>
      <c r="H21" s="6">
        <f t="shared" si="11"/>
        <v>3.7000000000000002E-3</v>
      </c>
      <c r="J21" s="1"/>
      <c r="K21" t="s">
        <v>101</v>
      </c>
      <c r="L21">
        <f>E14</f>
        <v>1.35</v>
      </c>
      <c r="M21" s="8">
        <f>F14</f>
        <v>1</v>
      </c>
      <c r="N21" s="6">
        <f>L21*M21</f>
        <v>1.35</v>
      </c>
      <c r="O21" s="6">
        <f>N21/1000</f>
        <v>1.3500000000000001E-3</v>
      </c>
    </row>
    <row r="22" spans="1:15" x14ac:dyDescent="0.25">
      <c r="A22" s="1"/>
      <c r="B22" t="s">
        <v>86</v>
      </c>
      <c r="C22">
        <v>1.7</v>
      </c>
      <c r="D22">
        <v>3.6</v>
      </c>
      <c r="E22">
        <f>N12</f>
        <v>3.3</v>
      </c>
      <c r="F22">
        <v>1</v>
      </c>
      <c r="G22" s="6">
        <f t="shared" si="13"/>
        <v>3.3</v>
      </c>
      <c r="H22" s="6">
        <f t="shared" si="11"/>
        <v>3.3E-3</v>
      </c>
      <c r="J22" s="1"/>
      <c r="M22" s="5"/>
      <c r="N22" s="7"/>
      <c r="O22" s="6"/>
    </row>
    <row r="23" spans="1:15" x14ac:dyDescent="0.25">
      <c r="A23" s="1"/>
      <c r="B23" t="s">
        <v>96</v>
      </c>
      <c r="C23">
        <v>0</v>
      </c>
      <c r="D23">
        <v>1.8</v>
      </c>
      <c r="E23">
        <v>0</v>
      </c>
      <c r="F23">
        <v>0</v>
      </c>
      <c r="G23" s="6">
        <f t="shared" si="13"/>
        <v>0</v>
      </c>
      <c r="H23" s="6">
        <f t="shared" si="11"/>
        <v>0</v>
      </c>
      <c r="J23" s="1"/>
      <c r="M23" t="s">
        <v>26</v>
      </c>
      <c r="N23" s="8">
        <f>SUM(N19:N21)</f>
        <v>4091.8448451733334</v>
      </c>
      <c r="O23" s="6">
        <f>SUM(O19:O21)</f>
        <v>4.091844845173334</v>
      </c>
    </row>
    <row r="24" spans="1:15" x14ac:dyDescent="0.25">
      <c r="A24" s="1"/>
      <c r="J24" s="3"/>
      <c r="N24" s="6"/>
      <c r="O24" s="6"/>
    </row>
    <row r="25" spans="1:15" x14ac:dyDescent="0.25">
      <c r="A25" s="1"/>
      <c r="B25" t="s">
        <v>26</v>
      </c>
      <c r="G25" s="5">
        <f>SUM(G19:G23)</f>
        <v>11.440000000000001</v>
      </c>
      <c r="H25" s="6">
        <f>SUM(H19:H23)</f>
        <v>1.1440000000000002E-2</v>
      </c>
      <c r="J25" s="3"/>
      <c r="N25" s="5"/>
      <c r="O25" s="6"/>
    </row>
    <row r="26" spans="1:15" x14ac:dyDescent="0.25">
      <c r="J26" s="3"/>
      <c r="N26" s="6"/>
      <c r="O26" s="6"/>
    </row>
    <row r="27" spans="1:15" x14ac:dyDescent="0.25">
      <c r="B27" t="s">
        <v>56</v>
      </c>
      <c r="J27" s="3"/>
      <c r="M27" s="5"/>
      <c r="N27" s="7"/>
      <c r="O27" s="6"/>
    </row>
    <row r="28" spans="1:15" x14ac:dyDescent="0.25">
      <c r="B28" s="35" t="s">
        <v>99</v>
      </c>
      <c r="C28" s="35"/>
      <c r="D28" s="35"/>
      <c r="E28" s="33"/>
      <c r="F28" s="36" t="s">
        <v>104</v>
      </c>
      <c r="G28" s="36"/>
      <c r="J28" s="3"/>
      <c r="M28" s="8"/>
      <c r="N28" s="5"/>
      <c r="O28" s="6"/>
    </row>
    <row r="29" spans="1:15" x14ac:dyDescent="0.25">
      <c r="B29" s="35" t="s">
        <v>100</v>
      </c>
      <c r="C29" s="35"/>
      <c r="D29" s="35"/>
      <c r="E29" s="33"/>
      <c r="F29" s="36">
        <v>3.7</v>
      </c>
      <c r="G29" s="36"/>
      <c r="J29" s="3"/>
      <c r="N29" s="6"/>
      <c r="O29" s="6"/>
    </row>
    <row r="30" spans="1:15" x14ac:dyDescent="0.25">
      <c r="J30" s="3"/>
    </row>
    <row r="31" spans="1:15" x14ac:dyDescent="0.25">
      <c r="J31" s="3"/>
      <c r="N31" s="6"/>
      <c r="O31" s="6"/>
    </row>
    <row r="32" spans="1:15" x14ac:dyDescent="0.25">
      <c r="J32" s="3"/>
    </row>
    <row r="33" spans="10:10" x14ac:dyDescent="0.25">
      <c r="J33" s="3"/>
    </row>
  </sheetData>
  <mergeCells count="7">
    <mergeCell ref="J18:J23"/>
    <mergeCell ref="A1:A16"/>
    <mergeCell ref="F28:G28"/>
    <mergeCell ref="F29:G29"/>
    <mergeCell ref="A19:A25"/>
    <mergeCell ref="B28:D28"/>
    <mergeCell ref="B29:D29"/>
  </mergeCells>
  <conditionalFormatting sqref="O2:O14">
    <cfRule type="cellIs" dxfId="25" priority="24" operator="lessThan">
      <formula>0.8*$I2</formula>
    </cfRule>
    <cfRule type="cellIs" dxfId="24" priority="25" operator="between">
      <formula>$I2*0.8</formula>
      <formula>$I2</formula>
    </cfRule>
    <cfRule type="expression" dxfId="23" priority="28">
      <formula>$O2&gt;$I2</formula>
    </cfRule>
  </conditionalFormatting>
  <conditionalFormatting sqref="E2:E14">
    <cfRule type="cellIs" dxfId="22" priority="21" stopIfTrue="1" operator="between">
      <formula>$C2</formula>
      <formula>$D2</formula>
    </cfRule>
    <cfRule type="cellIs" dxfId="21" priority="22" stopIfTrue="1" operator="equal">
      <formula>0</formula>
    </cfRule>
    <cfRule type="expression" dxfId="20" priority="23">
      <formula>TRUE</formula>
    </cfRule>
  </conditionalFormatting>
  <conditionalFormatting sqref="N2:N14">
    <cfRule type="cellIs" dxfId="19" priority="19" stopIfTrue="1" operator="between">
      <formula>$L2</formula>
      <formula>$M2</formula>
    </cfRule>
    <cfRule type="expression" dxfId="18" priority="20">
      <formula>TRUE</formula>
    </cfRule>
  </conditionalFormatting>
  <conditionalFormatting sqref="S2:S14">
    <cfRule type="cellIs" dxfId="17" priority="18" operator="lessThan">
      <formula>0</formula>
    </cfRule>
  </conditionalFormatting>
  <conditionalFormatting sqref="T2:T14 T16">
    <cfRule type="cellIs" dxfId="16" priority="16" operator="greaterThanOrEqual">
      <formula>50%</formula>
    </cfRule>
    <cfRule type="cellIs" dxfId="15" priority="17" operator="lessThan">
      <formula>50%</formula>
    </cfRule>
  </conditionalFormatting>
  <conditionalFormatting sqref="E19">
    <cfRule type="cellIs" dxfId="14" priority="13" stopIfTrue="1" operator="between">
      <formula>$C19</formula>
      <formula>"$D2"</formula>
    </cfRule>
    <cfRule type="cellIs" dxfId="13" priority="14" stopIfTrue="1" operator="equal">
      <formula>0</formula>
    </cfRule>
    <cfRule type="expression" dxfId="12" priority="15">
      <formula>TRUE</formula>
    </cfRule>
  </conditionalFormatting>
  <conditionalFormatting sqref="E20">
    <cfRule type="cellIs" dxfId="11" priority="10" stopIfTrue="1" operator="between">
      <formula>$C20</formula>
      <formula>"$D2"</formula>
    </cfRule>
    <cfRule type="cellIs" dxfId="10" priority="11" stopIfTrue="1" operator="equal">
      <formula>0</formula>
    </cfRule>
    <cfRule type="expression" dxfId="9" priority="12">
      <formula>TRUE</formula>
    </cfRule>
  </conditionalFormatting>
  <conditionalFormatting sqref="E21">
    <cfRule type="cellIs" dxfId="8" priority="7" stopIfTrue="1" operator="between">
      <formula>$C21</formula>
      <formula>"$D2"</formula>
    </cfRule>
    <cfRule type="cellIs" dxfId="7" priority="8" stopIfTrue="1" operator="equal">
      <formula>0</formula>
    </cfRule>
    <cfRule type="expression" dxfId="6" priority="9">
      <formula>TRUE</formula>
    </cfRule>
  </conditionalFormatting>
  <conditionalFormatting sqref="E22">
    <cfRule type="cellIs" dxfId="5" priority="4" stopIfTrue="1" operator="between">
      <formula>$C22</formula>
      <formula>"$D2"</formula>
    </cfRule>
    <cfRule type="cellIs" dxfId="4" priority="5" stopIfTrue="1" operator="equal">
      <formula>0</formula>
    </cfRule>
    <cfRule type="expression" dxfId="3" priority="6">
      <formula>TRUE</formula>
    </cfRule>
  </conditionalFormatting>
  <conditionalFormatting sqref="E23">
    <cfRule type="cellIs" dxfId="2" priority="1" stopIfTrue="1" operator="between">
      <formula>$C23</formula>
      <formula>"$D2"</formula>
    </cfRule>
    <cfRule type="cellIs" dxfId="1" priority="2" stopIfTrue="1" operator="equal">
      <formula>0</formula>
    </cfRule>
    <cfRule type="expression" dxfId="0" priority="3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E8FD-9EAF-459F-839D-AF6883546977}">
  <dimension ref="A1:P33"/>
  <sheetViews>
    <sheetView workbookViewId="0">
      <selection activeCell="D31" sqref="D31"/>
    </sheetView>
  </sheetViews>
  <sheetFormatPr defaultRowHeight="15" x14ac:dyDescent="0.25"/>
  <cols>
    <col min="1" max="1" width="3.7109375" bestFit="1" customWidth="1"/>
    <col min="2" max="2" width="22.28515625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8" max="8" width="3.7109375" bestFit="1" customWidth="1"/>
    <col min="9" max="9" width="15.85546875" bestFit="1" customWidth="1"/>
    <col min="10" max="10" width="13.28515625" bestFit="1" customWidth="1"/>
    <col min="11" max="11" width="19.7109375" bestFit="1" customWidth="1"/>
    <col min="12" max="12" width="16.85546875" bestFit="1" customWidth="1"/>
    <col min="13" max="13" width="16.7109375" bestFit="1" customWidth="1"/>
    <col min="14" max="14" width="14.85546875" bestFit="1" customWidth="1"/>
    <col min="15" max="15" width="20.85546875" bestFit="1" customWidth="1"/>
    <col min="16" max="16" width="12.85546875" bestFit="1" customWidth="1"/>
  </cols>
  <sheetData>
    <row r="1" spans="1:16" x14ac:dyDescent="0.25">
      <c r="A1" s="10" t="s">
        <v>68</v>
      </c>
      <c r="B1" s="19" t="s">
        <v>1</v>
      </c>
      <c r="C1" s="19" t="s">
        <v>4</v>
      </c>
      <c r="D1" s="19" t="s">
        <v>3</v>
      </c>
      <c r="E1" s="19" t="s">
        <v>5</v>
      </c>
      <c r="F1" s="20" t="s">
        <v>6</v>
      </c>
      <c r="H1" s="10" t="s">
        <v>23</v>
      </c>
      <c r="I1" s="19" t="s">
        <v>1</v>
      </c>
      <c r="J1" s="19" t="s">
        <v>4</v>
      </c>
      <c r="K1" s="19" t="s">
        <v>46</v>
      </c>
      <c r="L1" s="19" t="s">
        <v>3</v>
      </c>
      <c r="M1" s="19" t="s">
        <v>5</v>
      </c>
      <c r="N1" s="19" t="s">
        <v>6</v>
      </c>
      <c r="O1" s="19" t="s">
        <v>47</v>
      </c>
      <c r="P1" s="20" t="s">
        <v>27</v>
      </c>
    </row>
    <row r="2" spans="1:16" x14ac:dyDescent="0.25">
      <c r="A2" s="11"/>
      <c r="B2" s="13" t="s">
        <v>2</v>
      </c>
      <c r="C2" s="13">
        <v>1.2250000000000001</v>
      </c>
      <c r="D2" s="13">
        <v>500</v>
      </c>
      <c r="E2" s="13">
        <f>C2*D2</f>
        <v>612.5</v>
      </c>
      <c r="F2" s="21">
        <f>E2/1000</f>
        <v>0.61250000000000004</v>
      </c>
      <c r="H2" s="11"/>
      <c r="I2" s="13" t="s">
        <v>16</v>
      </c>
      <c r="J2" s="13">
        <v>1</v>
      </c>
      <c r="K2" s="13">
        <v>1.8</v>
      </c>
      <c r="L2" s="13">
        <v>80</v>
      </c>
      <c r="M2" s="13">
        <f>K2*L2</f>
        <v>144</v>
      </c>
      <c r="N2" s="13">
        <f>M2/1000</f>
        <v>0.14399999999999999</v>
      </c>
      <c r="O2" s="13">
        <f>(K2-J2)*L2/1000</f>
        <v>6.4000000000000001E-2</v>
      </c>
      <c r="P2" s="26">
        <f>(N2-O2)/N2</f>
        <v>0.55555555555555547</v>
      </c>
    </row>
    <row r="3" spans="1:16" x14ac:dyDescent="0.25">
      <c r="A3" s="11"/>
      <c r="B3" s="13" t="s">
        <v>7</v>
      </c>
      <c r="C3" s="13">
        <v>1</v>
      </c>
      <c r="D3" s="13">
        <v>1000</v>
      </c>
      <c r="E3" s="13">
        <f>C3*D3</f>
        <v>1000</v>
      </c>
      <c r="F3" s="21">
        <f t="shared" ref="F3:F5" si="0">E3/1000</f>
        <v>1</v>
      </c>
      <c r="H3" s="11"/>
      <c r="I3" s="13" t="s">
        <v>17</v>
      </c>
      <c r="J3" s="13">
        <v>1</v>
      </c>
      <c r="K3" s="13">
        <v>1.8</v>
      </c>
      <c r="L3" s="13">
        <v>70</v>
      </c>
      <c r="M3" s="13">
        <f t="shared" ref="M3:M10" si="1">K3*L3</f>
        <v>126</v>
      </c>
      <c r="N3" s="13">
        <f>M3/1000</f>
        <v>0.126</v>
      </c>
      <c r="O3" s="13">
        <f t="shared" ref="O3:O10" si="2">(K3-J3)*L3/1000</f>
        <v>5.6000000000000001E-2</v>
      </c>
      <c r="P3" s="26">
        <f t="shared" ref="P3:P10" si="3">(N3-O3)/N3</f>
        <v>0.55555555555555558</v>
      </c>
    </row>
    <row r="4" spans="1:16" x14ac:dyDescent="0.25">
      <c r="A4" s="11"/>
      <c r="B4" s="13" t="s">
        <v>8</v>
      </c>
      <c r="C4" s="13">
        <v>1.8</v>
      </c>
      <c r="D4" s="13">
        <v>150</v>
      </c>
      <c r="E4" s="22">
        <f>C4*D4</f>
        <v>270</v>
      </c>
      <c r="F4" s="21">
        <f t="shared" si="0"/>
        <v>0.27</v>
      </c>
      <c r="H4" s="11"/>
      <c r="I4" s="13" t="s">
        <v>18</v>
      </c>
      <c r="J4" s="13">
        <v>1</v>
      </c>
      <c r="K4" s="13">
        <v>1.8</v>
      </c>
      <c r="L4" s="13">
        <v>35</v>
      </c>
      <c r="M4" s="13">
        <f t="shared" si="1"/>
        <v>63</v>
      </c>
      <c r="N4" s="13">
        <f>M4/1000</f>
        <v>6.3E-2</v>
      </c>
      <c r="O4" s="13">
        <f t="shared" si="2"/>
        <v>2.8000000000000001E-2</v>
      </c>
      <c r="P4" s="26">
        <f t="shared" si="3"/>
        <v>0.55555555555555558</v>
      </c>
    </row>
    <row r="5" spans="1:16" x14ac:dyDescent="0.25">
      <c r="A5" s="11"/>
      <c r="B5" s="13" t="s">
        <v>45</v>
      </c>
      <c r="C5" s="13">
        <v>1.8</v>
      </c>
      <c r="D5" s="13">
        <f>L12</f>
        <v>300</v>
      </c>
      <c r="E5" s="22">
        <f>C5*D5</f>
        <v>540</v>
      </c>
      <c r="F5" s="21">
        <f t="shared" si="0"/>
        <v>0.54</v>
      </c>
      <c r="H5" s="11"/>
      <c r="I5" s="13" t="s">
        <v>19</v>
      </c>
      <c r="J5" s="13">
        <v>1</v>
      </c>
      <c r="K5" s="13">
        <v>1.8</v>
      </c>
      <c r="L5" s="13">
        <v>35</v>
      </c>
      <c r="M5" s="13">
        <f t="shared" si="1"/>
        <v>63</v>
      </c>
      <c r="N5" s="13">
        <f>M5/1000</f>
        <v>6.3E-2</v>
      </c>
      <c r="O5" s="13">
        <f t="shared" si="2"/>
        <v>2.8000000000000001E-2</v>
      </c>
      <c r="P5" s="26">
        <f t="shared" si="3"/>
        <v>0.55555555555555558</v>
      </c>
    </row>
    <row r="6" spans="1:16" x14ac:dyDescent="0.25">
      <c r="A6" s="11"/>
      <c r="B6" s="13" t="s">
        <v>9</v>
      </c>
      <c r="C6" s="13">
        <v>3</v>
      </c>
      <c r="D6" s="13">
        <v>1</v>
      </c>
      <c r="E6" s="23">
        <f>C6*D6</f>
        <v>3</v>
      </c>
      <c r="F6" s="21">
        <f>E6/1000</f>
        <v>3.0000000000000001E-3</v>
      </c>
      <c r="H6" s="11"/>
      <c r="I6" s="13" t="s">
        <v>24</v>
      </c>
      <c r="J6" s="13">
        <v>1.2</v>
      </c>
      <c r="K6" s="13">
        <v>1.8</v>
      </c>
      <c r="L6" s="13">
        <v>20</v>
      </c>
      <c r="M6" s="13">
        <f t="shared" si="1"/>
        <v>36</v>
      </c>
      <c r="N6" s="13">
        <f>M6/1000</f>
        <v>3.5999999999999997E-2</v>
      </c>
      <c r="O6" s="13">
        <f t="shared" si="2"/>
        <v>1.2000000000000002E-2</v>
      </c>
      <c r="P6" s="26">
        <f t="shared" si="3"/>
        <v>0.66666666666666652</v>
      </c>
    </row>
    <row r="7" spans="1:16" x14ac:dyDescent="0.25">
      <c r="A7" s="11"/>
      <c r="B7" s="13" t="s">
        <v>10</v>
      </c>
      <c r="C7" s="13">
        <v>1.8</v>
      </c>
      <c r="D7" s="13">
        <v>5</v>
      </c>
      <c r="E7" s="23">
        <f>C7*D7</f>
        <v>9</v>
      </c>
      <c r="F7" s="14">
        <f>E7/1000</f>
        <v>8.9999999999999993E-3</v>
      </c>
      <c r="H7" s="11"/>
      <c r="I7" s="13" t="s">
        <v>20</v>
      </c>
      <c r="J7" s="13">
        <v>1.8</v>
      </c>
      <c r="K7" s="13">
        <v>1.8</v>
      </c>
      <c r="L7" s="13">
        <v>25</v>
      </c>
      <c r="M7" s="13">
        <f t="shared" si="1"/>
        <v>45</v>
      </c>
      <c r="N7" s="13">
        <f>M7/1000</f>
        <v>4.4999999999999998E-2</v>
      </c>
      <c r="O7" s="13">
        <f t="shared" si="2"/>
        <v>0</v>
      </c>
      <c r="P7" s="26">
        <f t="shared" si="3"/>
        <v>1</v>
      </c>
    </row>
    <row r="8" spans="1:16" x14ac:dyDescent="0.25">
      <c r="A8" s="11"/>
      <c r="B8" s="13" t="s">
        <v>11</v>
      </c>
      <c r="C8" s="13">
        <v>1.8</v>
      </c>
      <c r="D8" s="13">
        <v>5</v>
      </c>
      <c r="E8" s="23">
        <f>C8*D8</f>
        <v>9</v>
      </c>
      <c r="F8" s="14">
        <f>E8/1000</f>
        <v>8.9999999999999993E-3</v>
      </c>
      <c r="H8" s="11"/>
      <c r="I8" s="13" t="s">
        <v>21</v>
      </c>
      <c r="J8" s="13">
        <v>1.8</v>
      </c>
      <c r="K8" s="13">
        <v>1.8</v>
      </c>
      <c r="L8" s="13">
        <v>15</v>
      </c>
      <c r="M8" s="13">
        <f t="shared" si="1"/>
        <v>27</v>
      </c>
      <c r="N8" s="13">
        <f>M8/1000</f>
        <v>2.7E-2</v>
      </c>
      <c r="O8" s="13">
        <f t="shared" si="2"/>
        <v>0</v>
      </c>
      <c r="P8" s="26">
        <f t="shared" si="3"/>
        <v>1</v>
      </c>
    </row>
    <row r="9" spans="1:16" x14ac:dyDescent="0.25">
      <c r="A9" s="11"/>
      <c r="B9" s="13" t="s">
        <v>12</v>
      </c>
      <c r="C9" s="13">
        <v>1.8</v>
      </c>
      <c r="D9" s="13">
        <v>1</v>
      </c>
      <c r="E9" s="23">
        <f>C9*D9</f>
        <v>1.8</v>
      </c>
      <c r="F9" s="21">
        <f>E9/1000</f>
        <v>1.8E-3</v>
      </c>
      <c r="H9" s="11"/>
      <c r="I9" s="13" t="s">
        <v>22</v>
      </c>
      <c r="J9" s="13">
        <v>1.8</v>
      </c>
      <c r="K9" s="13">
        <v>1.8</v>
      </c>
      <c r="L9" s="13">
        <v>15</v>
      </c>
      <c r="M9" s="13">
        <f t="shared" si="1"/>
        <v>27</v>
      </c>
      <c r="N9" s="13">
        <f>M9/1000</f>
        <v>2.7E-2</v>
      </c>
      <c r="O9" s="13">
        <f t="shared" si="2"/>
        <v>0</v>
      </c>
      <c r="P9" s="26">
        <f t="shared" si="3"/>
        <v>1</v>
      </c>
    </row>
    <row r="10" spans="1:16" x14ac:dyDescent="0.25">
      <c r="A10" s="11"/>
      <c r="B10" s="13" t="s">
        <v>13</v>
      </c>
      <c r="C10" s="13">
        <v>1.8</v>
      </c>
      <c r="D10" s="13">
        <v>5</v>
      </c>
      <c r="E10" s="23">
        <f>C10*D10</f>
        <v>9</v>
      </c>
      <c r="F10" s="14">
        <f>E10/1000</f>
        <v>8.9999999999999993E-3</v>
      </c>
      <c r="H10" s="11"/>
      <c r="I10" s="13" t="s">
        <v>25</v>
      </c>
      <c r="J10" s="13">
        <v>1.8</v>
      </c>
      <c r="K10" s="13">
        <v>1.8</v>
      </c>
      <c r="L10" s="13">
        <v>5</v>
      </c>
      <c r="M10" s="13">
        <f t="shared" si="1"/>
        <v>9</v>
      </c>
      <c r="N10" s="13">
        <f>M10/1000</f>
        <v>8.9999999999999993E-3</v>
      </c>
      <c r="O10" s="13">
        <f t="shared" si="2"/>
        <v>0</v>
      </c>
      <c r="P10" s="26">
        <f t="shared" si="3"/>
        <v>1</v>
      </c>
    </row>
    <row r="11" spans="1:16" x14ac:dyDescent="0.25">
      <c r="A11" s="11"/>
      <c r="B11" s="13" t="s">
        <v>14</v>
      </c>
      <c r="C11" s="13">
        <v>1.8</v>
      </c>
      <c r="D11" s="13">
        <v>5</v>
      </c>
      <c r="E11" s="23">
        <f>C11*D11</f>
        <v>9</v>
      </c>
      <c r="F11" s="14">
        <f>E11/1000</f>
        <v>8.9999999999999993E-3</v>
      </c>
      <c r="H11" s="11"/>
      <c r="I11" s="13"/>
      <c r="J11" s="13"/>
      <c r="K11" s="13"/>
      <c r="L11" s="13"/>
      <c r="M11" s="13"/>
      <c r="N11" s="13"/>
      <c r="O11" s="13"/>
      <c r="P11" s="14"/>
    </row>
    <row r="12" spans="1:16" ht="15.75" thickBot="1" x14ac:dyDescent="0.3">
      <c r="A12" s="11"/>
      <c r="B12" s="13" t="s">
        <v>15</v>
      </c>
      <c r="C12" s="13">
        <v>1.8</v>
      </c>
      <c r="D12" s="13">
        <v>150</v>
      </c>
      <c r="E12" s="22">
        <f>C12*D12</f>
        <v>270</v>
      </c>
      <c r="F12" s="21">
        <f>E12/1000</f>
        <v>0.27</v>
      </c>
      <c r="H12" s="12"/>
      <c r="I12" s="15"/>
      <c r="J12" s="15"/>
      <c r="K12" s="29" t="s">
        <v>26</v>
      </c>
      <c r="L12" s="16">
        <f>SUM(L2:L10)</f>
        <v>300</v>
      </c>
      <c r="M12" s="16">
        <f>SUM(M2:M10)</f>
        <v>540</v>
      </c>
      <c r="N12" s="16">
        <f>SUM(N2:N10)</f>
        <v>0.54</v>
      </c>
      <c r="O12" s="16">
        <f>SUM(O2:O10)</f>
        <v>0.188</v>
      </c>
      <c r="P12" s="30">
        <f>(N12-O12)/N12</f>
        <v>0.6518518518518519</v>
      </c>
    </row>
    <row r="13" spans="1:16" x14ac:dyDescent="0.25">
      <c r="A13" s="11"/>
      <c r="B13" s="13" t="s">
        <v>60</v>
      </c>
      <c r="C13" s="13">
        <f>C14</f>
        <v>1.35</v>
      </c>
      <c r="D13" s="13">
        <v>30</v>
      </c>
      <c r="E13" s="24">
        <f>C13*D13</f>
        <v>40.5</v>
      </c>
      <c r="F13" s="21">
        <f>E13/1000</f>
        <v>4.0500000000000001E-2</v>
      </c>
      <c r="H13" s="2"/>
      <c r="P13" s="4"/>
    </row>
    <row r="14" spans="1:16" x14ac:dyDescent="0.25">
      <c r="A14" s="11"/>
      <c r="B14" s="13" t="s">
        <v>52</v>
      </c>
      <c r="C14" s="13">
        <v>1.35</v>
      </c>
      <c r="D14" s="13">
        <v>100</v>
      </c>
      <c r="E14" s="22">
        <f t="shared" ref="E14:E15" si="4">C14*D14</f>
        <v>135</v>
      </c>
      <c r="F14" s="14">
        <f t="shared" ref="F14:F15" si="5">E14/1000</f>
        <v>0.13500000000000001</v>
      </c>
      <c r="H14" s="2"/>
      <c r="P14" s="4"/>
    </row>
    <row r="15" spans="1:16" ht="15.75" thickBot="1" x14ac:dyDescent="0.3">
      <c r="A15" s="11"/>
      <c r="B15" s="13" t="s">
        <v>51</v>
      </c>
      <c r="C15" s="13">
        <f>C14/2</f>
        <v>0.67500000000000004</v>
      </c>
      <c r="D15" s="13">
        <v>1</v>
      </c>
      <c r="E15" s="13">
        <f t="shared" si="4"/>
        <v>0.67500000000000004</v>
      </c>
      <c r="F15" s="21">
        <f t="shared" si="5"/>
        <v>6.7500000000000004E-4</v>
      </c>
      <c r="H15" s="2"/>
      <c r="P15" s="4"/>
    </row>
    <row r="16" spans="1:16" x14ac:dyDescent="0.25">
      <c r="A16" s="11"/>
      <c r="B16" s="13" t="s">
        <v>48</v>
      </c>
      <c r="C16" s="13">
        <v>3.3</v>
      </c>
      <c r="D16" s="25">
        <f>N32</f>
        <v>93.820003200000002</v>
      </c>
      <c r="E16" s="25">
        <f>D16*C16</f>
        <v>309.60601056000002</v>
      </c>
      <c r="F16" s="21">
        <f>E16/1000</f>
        <v>0.30960601056000003</v>
      </c>
      <c r="H16" s="10" t="s">
        <v>48</v>
      </c>
      <c r="I16" s="19" t="s">
        <v>1</v>
      </c>
      <c r="J16" s="19" t="s">
        <v>4</v>
      </c>
      <c r="K16" s="19" t="s">
        <v>42</v>
      </c>
      <c r="L16" s="19" t="s">
        <v>43</v>
      </c>
      <c r="M16" s="19" t="s">
        <v>44</v>
      </c>
      <c r="N16" s="19" t="s">
        <v>3</v>
      </c>
      <c r="O16" s="19" t="s">
        <v>5</v>
      </c>
      <c r="P16" s="20" t="s">
        <v>6</v>
      </c>
    </row>
    <row r="17" spans="1:16" x14ac:dyDescent="0.25">
      <c r="A17" s="11"/>
      <c r="B17" s="13"/>
      <c r="C17" s="13"/>
      <c r="D17" s="13"/>
      <c r="E17" s="13"/>
      <c r="F17" s="14"/>
      <c r="H17" s="11"/>
      <c r="I17" s="13" t="s">
        <v>28</v>
      </c>
      <c r="J17" s="13">
        <v>3.3</v>
      </c>
      <c r="K17" s="13">
        <v>12</v>
      </c>
      <c r="L17" s="27">
        <v>4.9999999999999997E-12</v>
      </c>
      <c r="M17" s="13">
        <v>24000000</v>
      </c>
      <c r="N17" s="24">
        <f>1000*K17*L17*J17*0.5*M17</f>
        <v>2.3759999999999999</v>
      </c>
      <c r="O17" s="23">
        <f>N17*J17</f>
        <v>7.8407999999999989</v>
      </c>
      <c r="P17" s="21">
        <f>O17/1000</f>
        <v>7.8407999999999985E-3</v>
      </c>
    </row>
    <row r="18" spans="1:16" ht="15.75" thickBot="1" x14ac:dyDescent="0.3">
      <c r="A18" s="12"/>
      <c r="B18" s="15"/>
      <c r="C18" s="15"/>
      <c r="D18" s="29" t="s">
        <v>26</v>
      </c>
      <c r="E18" s="17">
        <f>SUM(E2:E16)</f>
        <v>3219.0810105600003</v>
      </c>
      <c r="F18" s="18">
        <f>SUM(F2:F16)</f>
        <v>3.2190810105600005</v>
      </c>
      <c r="H18" s="11"/>
      <c r="I18" s="13" t="s">
        <v>29</v>
      </c>
      <c r="J18" s="13">
        <v>3.3</v>
      </c>
      <c r="K18" s="13">
        <v>14</v>
      </c>
      <c r="L18" s="27">
        <v>4.9999999999999997E-12</v>
      </c>
      <c r="M18" s="13">
        <v>24000000</v>
      </c>
      <c r="N18" s="24">
        <f t="shared" ref="N18:N30" si="6">1000*K18*L18*J18*0.5*M18</f>
        <v>2.7719999999999994</v>
      </c>
      <c r="O18" s="23">
        <f t="shared" ref="O18:O30" si="7">N18*J18</f>
        <v>9.1475999999999971</v>
      </c>
      <c r="P18" s="21">
        <f t="shared" ref="P18:P30" si="8">O18/1000</f>
        <v>9.1475999999999971E-3</v>
      </c>
    </row>
    <row r="19" spans="1:16" ht="15.75" thickBot="1" x14ac:dyDescent="0.3">
      <c r="H19" s="11"/>
      <c r="I19" s="13" t="s">
        <v>30</v>
      </c>
      <c r="J19" s="13">
        <v>3.3</v>
      </c>
      <c r="K19" s="13">
        <v>9</v>
      </c>
      <c r="L19" s="27">
        <v>4.9999999999999997E-12</v>
      </c>
      <c r="M19" s="13">
        <v>24000000</v>
      </c>
      <c r="N19" s="24">
        <f t="shared" si="6"/>
        <v>1.7819999999999998</v>
      </c>
      <c r="O19" s="23">
        <f t="shared" si="7"/>
        <v>5.8805999999999994</v>
      </c>
      <c r="P19" s="21">
        <f t="shared" si="8"/>
        <v>5.8805999999999997E-3</v>
      </c>
    </row>
    <row r="20" spans="1:16" x14ac:dyDescent="0.25">
      <c r="A20" s="10" t="s">
        <v>69</v>
      </c>
      <c r="B20" s="19" t="s">
        <v>1</v>
      </c>
      <c r="C20" s="19" t="s">
        <v>4</v>
      </c>
      <c r="D20" s="19" t="s">
        <v>3</v>
      </c>
      <c r="E20" s="19" t="s">
        <v>5</v>
      </c>
      <c r="F20" s="20" t="s">
        <v>6</v>
      </c>
      <c r="H20" s="11"/>
      <c r="I20" s="13" t="s">
        <v>31</v>
      </c>
      <c r="J20" s="13">
        <v>3.3</v>
      </c>
      <c r="K20" s="13">
        <v>12</v>
      </c>
      <c r="L20" s="27">
        <v>4.9999999999999997E-12</v>
      </c>
      <c r="M20" s="13">
        <v>24000000</v>
      </c>
      <c r="N20" s="24">
        <f t="shared" si="6"/>
        <v>2.3759999999999999</v>
      </c>
      <c r="O20" s="23">
        <f t="shared" si="7"/>
        <v>7.8407999999999989</v>
      </c>
      <c r="P20" s="21">
        <f t="shared" si="8"/>
        <v>7.8407999999999985E-3</v>
      </c>
    </row>
    <row r="21" spans="1:16" x14ac:dyDescent="0.25">
      <c r="A21" s="11"/>
      <c r="B21" s="13" t="s">
        <v>2</v>
      </c>
      <c r="C21" s="13">
        <f>C2</f>
        <v>1.2250000000000001</v>
      </c>
      <c r="D21" s="13">
        <f>D2</f>
        <v>500</v>
      </c>
      <c r="E21" s="13">
        <f>C21*D21</f>
        <v>612.5</v>
      </c>
      <c r="F21" s="14">
        <f>E21/1000</f>
        <v>0.61250000000000004</v>
      </c>
      <c r="H21" s="11"/>
      <c r="I21" s="13" t="s">
        <v>32</v>
      </c>
      <c r="J21" s="13">
        <v>3.3</v>
      </c>
      <c r="K21" s="13">
        <v>9</v>
      </c>
      <c r="L21" s="27">
        <v>4.9999999999999997E-12</v>
      </c>
      <c r="M21" s="13">
        <v>24000000</v>
      </c>
      <c r="N21" s="24">
        <f t="shared" si="6"/>
        <v>1.7819999999999998</v>
      </c>
      <c r="O21" s="23">
        <f t="shared" si="7"/>
        <v>5.8805999999999994</v>
      </c>
      <c r="P21" s="21">
        <f t="shared" si="8"/>
        <v>5.8805999999999997E-3</v>
      </c>
    </row>
    <row r="22" spans="1:16" x14ac:dyDescent="0.25">
      <c r="A22" s="11"/>
      <c r="B22" s="13" t="s">
        <v>7</v>
      </c>
      <c r="C22" s="13">
        <f>C3</f>
        <v>1</v>
      </c>
      <c r="D22" s="13">
        <f>D3</f>
        <v>1000</v>
      </c>
      <c r="E22" s="13">
        <f t="shared" ref="E22:E24" si="9">C22*D22</f>
        <v>1000</v>
      </c>
      <c r="F22" s="14">
        <f t="shared" ref="F22:F29" si="10">E22/1000</f>
        <v>1</v>
      </c>
      <c r="H22" s="11"/>
      <c r="I22" s="13" t="s">
        <v>33</v>
      </c>
      <c r="J22" s="13">
        <v>3.3</v>
      </c>
      <c r="K22" s="13">
        <v>16</v>
      </c>
      <c r="L22" s="27">
        <v>4.9999999999999997E-12</v>
      </c>
      <c r="M22" s="13">
        <v>500000000</v>
      </c>
      <c r="N22" s="24">
        <f t="shared" si="6"/>
        <v>66</v>
      </c>
      <c r="O22" s="13">
        <f t="shared" si="7"/>
        <v>217.79999999999998</v>
      </c>
      <c r="P22" s="21">
        <f t="shared" si="8"/>
        <v>0.21779999999999999</v>
      </c>
    </row>
    <row r="23" spans="1:16" x14ac:dyDescent="0.25">
      <c r="A23" s="11"/>
      <c r="B23" s="13" t="s">
        <v>67</v>
      </c>
      <c r="C23" s="13">
        <f>C4</f>
        <v>1.8</v>
      </c>
      <c r="D23" s="22">
        <f>SUMIF(C2:C16, 1.8, D2:D16)-D26</f>
        <v>616</v>
      </c>
      <c r="E23" s="13">
        <f t="shared" si="9"/>
        <v>1108.8</v>
      </c>
      <c r="F23" s="14">
        <f t="shared" si="10"/>
        <v>1.1088</v>
      </c>
      <c r="H23" s="11"/>
      <c r="I23" s="13" t="s">
        <v>34</v>
      </c>
      <c r="J23" s="13">
        <v>3.3</v>
      </c>
      <c r="K23" s="13">
        <v>16</v>
      </c>
      <c r="L23" s="27">
        <v>4.9999999999999997E-12</v>
      </c>
      <c r="M23" s="13">
        <v>24000000</v>
      </c>
      <c r="N23" s="24">
        <f t="shared" si="6"/>
        <v>3.1679999999999997</v>
      </c>
      <c r="O23" s="24">
        <f t="shared" si="7"/>
        <v>10.454399999999998</v>
      </c>
      <c r="P23" s="21">
        <f t="shared" si="8"/>
        <v>1.0454399999999997E-2</v>
      </c>
    </row>
    <row r="24" spans="1:16" x14ac:dyDescent="0.25">
      <c r="A24" s="11"/>
      <c r="B24" s="13" t="s">
        <v>52</v>
      </c>
      <c r="C24" s="13">
        <f>C14</f>
        <v>1.35</v>
      </c>
      <c r="D24" s="25">
        <f>D14+D13</f>
        <v>130</v>
      </c>
      <c r="E24" s="25">
        <f t="shared" si="9"/>
        <v>175.5</v>
      </c>
      <c r="F24" s="21">
        <f t="shared" si="10"/>
        <v>0.17549999999999999</v>
      </c>
      <c r="H24" s="11"/>
      <c r="I24" s="13" t="s">
        <v>35</v>
      </c>
      <c r="J24" s="13">
        <v>3.3</v>
      </c>
      <c r="K24" s="13">
        <v>17</v>
      </c>
      <c r="L24" s="27">
        <v>4.9999999999999997E-12</v>
      </c>
      <c r="M24" s="13">
        <v>24000000</v>
      </c>
      <c r="N24" s="24">
        <f t="shared" si="6"/>
        <v>3.3659999999999992</v>
      </c>
      <c r="O24" s="24">
        <f t="shared" si="7"/>
        <v>11.107799999999997</v>
      </c>
      <c r="P24" s="21">
        <f t="shared" si="8"/>
        <v>1.1107799999999998E-2</v>
      </c>
    </row>
    <row r="25" spans="1:16" x14ac:dyDescent="0.25">
      <c r="A25" s="11"/>
      <c r="B25" s="13" t="s">
        <v>51</v>
      </c>
      <c r="C25" s="13">
        <f>C15</f>
        <v>0.67500000000000004</v>
      </c>
      <c r="D25" s="25">
        <f>D15</f>
        <v>1</v>
      </c>
      <c r="E25" s="25">
        <f t="shared" ref="E25:E26" si="11">C25*D25</f>
        <v>0.67500000000000004</v>
      </c>
      <c r="F25" s="21">
        <f t="shared" si="10"/>
        <v>6.7500000000000004E-4</v>
      </c>
      <c r="H25" s="11"/>
      <c r="I25" s="13" t="s">
        <v>36</v>
      </c>
      <c r="J25" s="13">
        <v>3.3</v>
      </c>
      <c r="K25" s="13">
        <v>11</v>
      </c>
      <c r="L25" s="27">
        <v>4.9999999999999997E-12</v>
      </c>
      <c r="M25" s="13">
        <v>24000000</v>
      </c>
      <c r="N25" s="24">
        <f t="shared" si="6"/>
        <v>2.1779999999999999</v>
      </c>
      <c r="O25" s="23">
        <f t="shared" si="7"/>
        <v>7.1873999999999993</v>
      </c>
      <c r="P25" s="21">
        <f t="shared" si="8"/>
        <v>7.1873999999999992E-3</v>
      </c>
    </row>
    <row r="26" spans="1:16" x14ac:dyDescent="0.25">
      <c r="A26" s="11"/>
      <c r="B26" s="13" t="s">
        <v>11</v>
      </c>
      <c r="C26" s="13">
        <f>C8</f>
        <v>1.8</v>
      </c>
      <c r="D26" s="25">
        <f>D8</f>
        <v>5</v>
      </c>
      <c r="E26" s="25">
        <f t="shared" si="11"/>
        <v>9</v>
      </c>
      <c r="F26" s="21">
        <f t="shared" si="10"/>
        <v>8.9999999999999993E-3</v>
      </c>
      <c r="H26" s="11"/>
      <c r="I26" s="13" t="s">
        <v>37</v>
      </c>
      <c r="J26" s="13">
        <v>3.3</v>
      </c>
      <c r="K26" s="13">
        <v>29</v>
      </c>
      <c r="L26" s="27">
        <v>4.9999999999999997E-12</v>
      </c>
      <c r="M26" s="13">
        <v>24000000</v>
      </c>
      <c r="N26" s="24">
        <f t="shared" si="6"/>
        <v>5.7419999999999991</v>
      </c>
      <c r="O26" s="24">
        <f t="shared" si="7"/>
        <v>18.948599999999995</v>
      </c>
      <c r="P26" s="21">
        <f t="shared" si="8"/>
        <v>1.8948599999999996E-2</v>
      </c>
    </row>
    <row r="27" spans="1:16" x14ac:dyDescent="0.25">
      <c r="A27" s="11"/>
      <c r="B27" s="13" t="s">
        <v>66</v>
      </c>
      <c r="C27" s="13">
        <v>3.3</v>
      </c>
      <c r="D27" s="24">
        <f>N17+N18</f>
        <v>5.1479999999999997</v>
      </c>
      <c r="E27" s="25">
        <f t="shared" ref="E27:E29" si="12">C27*D27</f>
        <v>16.988399999999999</v>
      </c>
      <c r="F27" s="21">
        <f t="shared" si="10"/>
        <v>1.6988399999999997E-2</v>
      </c>
      <c r="H27" s="11"/>
      <c r="I27" s="13" t="s">
        <v>38</v>
      </c>
      <c r="J27" s="13">
        <v>3.3</v>
      </c>
      <c r="K27" s="13">
        <v>8</v>
      </c>
      <c r="L27" s="27">
        <v>4.9999999999999997E-12</v>
      </c>
      <c r="M27" s="13">
        <v>10000000</v>
      </c>
      <c r="N27" s="24">
        <f t="shared" si="6"/>
        <v>0.65999999999999992</v>
      </c>
      <c r="O27" s="13">
        <f t="shared" si="7"/>
        <v>2.1779999999999995</v>
      </c>
      <c r="P27" s="21">
        <f t="shared" si="8"/>
        <v>2.1779999999999994E-3</v>
      </c>
    </row>
    <row r="28" spans="1:16" x14ac:dyDescent="0.25">
      <c r="A28" s="11"/>
      <c r="B28" s="13" t="s">
        <v>65</v>
      </c>
      <c r="C28" s="13">
        <f>J21</f>
        <v>3.3</v>
      </c>
      <c r="D28" s="24">
        <f>N21+N20+N19</f>
        <v>5.9399999999999995</v>
      </c>
      <c r="E28" s="25">
        <f t="shared" si="12"/>
        <v>19.601999999999997</v>
      </c>
      <c r="F28" s="21">
        <f t="shared" si="10"/>
        <v>1.9601999999999998E-2</v>
      </c>
      <c r="H28" s="11"/>
      <c r="I28" s="13" t="s">
        <v>39</v>
      </c>
      <c r="J28" s="13">
        <v>3.3</v>
      </c>
      <c r="K28" s="13">
        <v>8</v>
      </c>
      <c r="L28" s="27">
        <v>4.9999999999999997E-12</v>
      </c>
      <c r="M28" s="13">
        <v>24000000</v>
      </c>
      <c r="N28" s="24">
        <f t="shared" si="6"/>
        <v>1.5839999999999999</v>
      </c>
      <c r="O28" s="23">
        <f t="shared" si="7"/>
        <v>5.227199999999999</v>
      </c>
      <c r="P28" s="21">
        <f t="shared" si="8"/>
        <v>5.2271999999999987E-3</v>
      </c>
    </row>
    <row r="29" spans="1:16" x14ac:dyDescent="0.25">
      <c r="A29" s="11"/>
      <c r="B29" s="13" t="s">
        <v>9</v>
      </c>
      <c r="C29" s="13">
        <f>C6</f>
        <v>3</v>
      </c>
      <c r="D29" s="13">
        <f>D6</f>
        <v>1</v>
      </c>
      <c r="E29" s="25">
        <f t="shared" si="12"/>
        <v>3</v>
      </c>
      <c r="F29" s="21">
        <f t="shared" si="10"/>
        <v>3.0000000000000001E-3</v>
      </c>
      <c r="H29" s="11"/>
      <c r="I29" s="13" t="s">
        <v>40</v>
      </c>
      <c r="J29" s="13">
        <v>3.3</v>
      </c>
      <c r="K29" s="13">
        <v>8</v>
      </c>
      <c r="L29" s="27">
        <v>4.9999999999999997E-12</v>
      </c>
      <c r="M29" s="13">
        <v>400000</v>
      </c>
      <c r="N29" s="24">
        <f t="shared" si="6"/>
        <v>2.64E-2</v>
      </c>
      <c r="O29" s="23">
        <f t="shared" si="7"/>
        <v>8.7119999999999989E-2</v>
      </c>
      <c r="P29" s="21">
        <f t="shared" si="8"/>
        <v>8.7119999999999993E-5</v>
      </c>
    </row>
    <row r="30" spans="1:16" x14ac:dyDescent="0.25">
      <c r="A30" s="11"/>
      <c r="B30" s="13" t="s">
        <v>61</v>
      </c>
      <c r="C30" s="13">
        <f>J17</f>
        <v>3.3</v>
      </c>
      <c r="D30" s="25">
        <f>SUMIF($C$2:$C$16, $C30, $D$2:$D$16)-D28-D27</f>
        <v>82.732003200000008</v>
      </c>
      <c r="E30" s="25">
        <f t="shared" ref="E30" si="13">C30*D30</f>
        <v>273.01561056000003</v>
      </c>
      <c r="F30" s="21">
        <f>E30/1000</f>
        <v>0.27301561056000001</v>
      </c>
      <c r="H30" s="11"/>
      <c r="I30" s="13" t="s">
        <v>41</v>
      </c>
      <c r="J30" s="13">
        <v>3.3</v>
      </c>
      <c r="K30" s="13">
        <v>8</v>
      </c>
      <c r="L30" s="27">
        <v>4.9999999999999997E-12</v>
      </c>
      <c r="M30" s="13">
        <v>115200</v>
      </c>
      <c r="N30" s="24">
        <f t="shared" si="6"/>
        <v>7.6031999999999992E-3</v>
      </c>
      <c r="O30" s="23">
        <f t="shared" si="7"/>
        <v>2.5090559999999994E-2</v>
      </c>
      <c r="P30" s="28">
        <f t="shared" si="8"/>
        <v>2.5090559999999994E-5</v>
      </c>
    </row>
    <row r="31" spans="1:16" x14ac:dyDescent="0.25">
      <c r="A31" s="11"/>
      <c r="B31" s="13"/>
      <c r="C31" s="13"/>
      <c r="D31" s="13"/>
      <c r="E31" s="13"/>
      <c r="F31" s="14"/>
      <c r="H31" s="31"/>
      <c r="I31" s="13"/>
      <c r="J31" s="13"/>
      <c r="K31" s="13"/>
      <c r="L31" s="27"/>
      <c r="M31" s="13"/>
      <c r="N31" s="24"/>
      <c r="O31" s="13"/>
      <c r="P31" s="14"/>
    </row>
    <row r="32" spans="1:16" ht="15.75" thickBot="1" x14ac:dyDescent="0.3">
      <c r="A32" s="12"/>
      <c r="B32" s="15"/>
      <c r="C32" s="15"/>
      <c r="D32" s="29" t="s">
        <v>26</v>
      </c>
      <c r="E32" s="17">
        <f>SUM(E21:E30)</f>
        <v>3219.0810105600003</v>
      </c>
      <c r="F32" s="18">
        <f>SUM(F21:F30)</f>
        <v>3.2190810105600001</v>
      </c>
      <c r="H32" s="32"/>
      <c r="I32" s="15"/>
      <c r="J32" s="15"/>
      <c r="K32" s="15"/>
      <c r="L32" s="15"/>
      <c r="M32" s="29" t="s">
        <v>26</v>
      </c>
      <c r="N32" s="17">
        <f>SUM(N17:N31)</f>
        <v>93.820003200000002</v>
      </c>
      <c r="O32" s="17">
        <f>SUM(O17:O31)</f>
        <v>309.60601056000002</v>
      </c>
      <c r="P32" s="18">
        <f>SUM(P17:P31)</f>
        <v>0.30960601055999998</v>
      </c>
    </row>
    <row r="33" spans="5:5" x14ac:dyDescent="0.25">
      <c r="E33" s="8"/>
    </row>
  </sheetData>
  <mergeCells count="4">
    <mergeCell ref="A20:A32"/>
    <mergeCell ref="H16:H30"/>
    <mergeCell ref="H1:H12"/>
    <mergeCell ref="A1:A1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E343-48A6-45E0-8AF4-EA6F767E4B37}">
  <dimension ref="A1:G13"/>
  <sheetViews>
    <sheetView workbookViewId="0">
      <selection activeCell="F3" sqref="F3"/>
    </sheetView>
  </sheetViews>
  <sheetFormatPr defaultColWidth="5.42578125" defaultRowHeight="15" x14ac:dyDescent="0.25"/>
  <cols>
    <col min="1" max="1" width="6.28515625" customWidth="1"/>
    <col min="3" max="3" width="11" bestFit="1" customWidth="1"/>
    <col min="4" max="4" width="12.5703125" bestFit="1" customWidth="1"/>
    <col min="5" max="5" width="12.140625" bestFit="1" customWidth="1"/>
    <col min="6" max="6" width="10.42578125" bestFit="1" customWidth="1"/>
    <col min="7" max="7" width="31.7109375" bestFit="1" customWidth="1"/>
  </cols>
  <sheetData>
    <row r="1" spans="1:7" x14ac:dyDescent="0.25">
      <c r="A1" s="9" t="s">
        <v>59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56</v>
      </c>
    </row>
    <row r="2" spans="1:7" x14ac:dyDescent="0.25">
      <c r="A2" s="9"/>
      <c r="B2" t="s">
        <v>53</v>
      </c>
      <c r="C2">
        <v>1.35</v>
      </c>
      <c r="D2" s="7">
        <f>E2/C2</f>
        <v>370.37037037037032</v>
      </c>
      <c r="E2">
        <v>500</v>
      </c>
      <c r="F2">
        <f>E2/1000</f>
        <v>0.5</v>
      </c>
      <c r="G2" t="s">
        <v>58</v>
      </c>
    </row>
    <row r="3" spans="1:7" x14ac:dyDescent="0.25">
      <c r="A3" s="9"/>
      <c r="B3" t="s">
        <v>55</v>
      </c>
      <c r="C3">
        <f>C2/2</f>
        <v>0.67500000000000004</v>
      </c>
      <c r="D3">
        <v>1</v>
      </c>
      <c r="E3">
        <f>D3*C3</f>
        <v>0.67500000000000004</v>
      </c>
      <c r="F3" s="6">
        <f>E3/1000</f>
        <v>6.7500000000000004E-4</v>
      </c>
      <c r="G3" t="s">
        <v>57</v>
      </c>
    </row>
    <row r="4" spans="1:7" x14ac:dyDescent="0.25">
      <c r="A4" s="9"/>
    </row>
    <row r="5" spans="1:7" x14ac:dyDescent="0.25">
      <c r="A5" s="9"/>
      <c r="D5" t="s">
        <v>26</v>
      </c>
      <c r="E5" s="7">
        <f>SUM(E2:E3)</f>
        <v>500.67500000000001</v>
      </c>
      <c r="F5" s="6">
        <f>SUM(F2:F3)</f>
        <v>0.50067499999999998</v>
      </c>
    </row>
    <row r="7" spans="1:7" ht="15" customHeight="1" x14ac:dyDescent="0.25">
      <c r="A7" s="9" t="s">
        <v>49</v>
      </c>
      <c r="B7" t="s">
        <v>1</v>
      </c>
      <c r="C7" t="s">
        <v>4</v>
      </c>
      <c r="D7" t="s">
        <v>3</v>
      </c>
      <c r="E7" t="s">
        <v>5</v>
      </c>
      <c r="F7" t="s">
        <v>6</v>
      </c>
    </row>
    <row r="8" spans="1:7" x14ac:dyDescent="0.25">
      <c r="A8" s="9"/>
      <c r="B8" t="s">
        <v>53</v>
      </c>
      <c r="C8" cm="1">
        <f t="array" ref="C8:C9">_xlfn.UNIQUE(C2:C3)</f>
        <v>1.35</v>
      </c>
      <c r="D8" s="7">
        <f>2*SUMIF($C$2:$C$3, $C8, $D$2:$D$3)</f>
        <v>740.74074074074065</v>
      </c>
      <c r="E8">
        <f>D8*C8</f>
        <v>999.99999999999989</v>
      </c>
      <c r="F8">
        <f>E8/1000</f>
        <v>0.99999999999999989</v>
      </c>
    </row>
    <row r="9" spans="1:7" x14ac:dyDescent="0.25">
      <c r="A9" s="9"/>
      <c r="B9" t="s">
        <v>55</v>
      </c>
      <c r="C9">
        <v>0.67500000000000004</v>
      </c>
      <c r="D9">
        <f>2*SUMIF($C$2:$C$3, $C9, $D$2:$D$3)</f>
        <v>2</v>
      </c>
      <c r="E9">
        <f>D9*C9</f>
        <v>1.35</v>
      </c>
      <c r="F9">
        <f t="shared" ref="F9:F11" si="0">E9/1000</f>
        <v>1.3500000000000001E-3</v>
      </c>
    </row>
    <row r="10" spans="1:7" x14ac:dyDescent="0.25">
      <c r="A10" s="9"/>
    </row>
    <row r="11" spans="1:7" x14ac:dyDescent="0.25">
      <c r="A11" s="9"/>
      <c r="D11" t="s">
        <v>26</v>
      </c>
      <c r="E11" s="8">
        <f>SUM(E8:E9)</f>
        <v>1001.3499999999999</v>
      </c>
      <c r="F11" s="6">
        <f>SUM(F8:F9)</f>
        <v>1.00135</v>
      </c>
    </row>
    <row r="12" spans="1:7" x14ac:dyDescent="0.25">
      <c r="A12" s="3"/>
    </row>
    <row r="13" spans="1:7" x14ac:dyDescent="0.25">
      <c r="A13" s="3"/>
    </row>
  </sheetData>
  <mergeCells count="2">
    <mergeCell ref="A1:A5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Buck converters</vt:lpstr>
      <vt:lpstr>PMIC</vt:lpstr>
      <vt:lpstr>CPU</vt:lpstr>
      <vt:lpstr>DDR3L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2020-12-21T23:27:49Z</dcterms:created>
  <dcterms:modified xsi:type="dcterms:W3CDTF">2020-12-24T19:22:33Z</dcterms:modified>
</cp:coreProperties>
</file>