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BB43CE72-9E13-4EBA-BF3D-1881A138CD4D}" xr6:coauthVersionLast="36" xr6:coauthVersionMax="36" xr10:uidLastSave="{00000000-0000-0000-0000-000000000000}"/>
  <bookViews>
    <workbookView xWindow="0" yWindow="0" windowWidth="28800" windowHeight="11700" tabRatio="837" activeTab="3"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Position'!$AD$1:$AN$30</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FIEQCMDT_Price'!$A$1:$Q$2</definedName>
    <definedName name="SpreadsheetBuilder_25" hidden="1">'8. FX_EURFCU'!$A$1:$T$2</definedName>
    <definedName name="SpreadsheetBuilder_28" hidden="1">'10. BM'!$A$1:$I$2</definedName>
    <definedName name="SpreadsheetBuilder_3" hidden="1">#REF!</definedName>
    <definedName name="SpreadsheetBuilder_31" hidden="1">'4. FIEQCMDT_Price'!$A$1:$W$2</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4" l="1"/>
  <c r="I20" i="4"/>
  <c r="C18" i="4"/>
  <c r="C5" i="4"/>
  <c r="I26" i="4"/>
  <c r="M11" i="4"/>
  <c r="I35" i="4"/>
  <c r="C16" i="4"/>
  <c r="C26" i="4"/>
  <c r="C30" i="4"/>
  <c r="C21" i="4"/>
  <c r="M14" i="4"/>
  <c r="C4" i="4"/>
  <c r="I13" i="4"/>
  <c r="C14" i="4"/>
  <c r="I3" i="4"/>
  <c r="C32" i="4"/>
  <c r="I18" i="4"/>
  <c r="C35" i="4"/>
  <c r="I10" i="4"/>
  <c r="I24" i="4"/>
  <c r="I33" i="4"/>
  <c r="I27" i="4"/>
  <c r="I14" i="4"/>
  <c r="C28" i="4"/>
  <c r="M3" i="4"/>
  <c r="I16" i="4"/>
  <c r="I31" i="4"/>
  <c r="M7" i="4"/>
  <c r="I15" i="4"/>
  <c r="I8" i="4"/>
  <c r="I22" i="4"/>
  <c r="I6" i="4"/>
  <c r="C7" i="4"/>
  <c r="I17" i="4"/>
  <c r="M22" i="4"/>
  <c r="C3" i="4"/>
  <c r="M15" i="4"/>
  <c r="C22" i="4"/>
  <c r="M9" i="4"/>
  <c r="I7" i="4"/>
  <c r="C8" i="4"/>
  <c r="I4" i="4"/>
  <c r="C11" i="4"/>
  <c r="C20" i="4"/>
  <c r="C27" i="4"/>
  <c r="M20" i="4"/>
  <c r="M25" i="4"/>
  <c r="C24" i="4"/>
  <c r="M23" i="4"/>
  <c r="C17" i="4"/>
  <c r="I23" i="4"/>
  <c r="M13" i="4"/>
  <c r="M29" i="4"/>
  <c r="I11" i="4"/>
  <c r="M8" i="4"/>
  <c r="C10" i="4"/>
  <c r="C33" i="4"/>
  <c r="M28" i="4"/>
  <c r="M26" i="4"/>
  <c r="I28" i="4"/>
  <c r="M5" i="4"/>
  <c r="M18" i="4"/>
  <c r="I29" i="4"/>
  <c r="M6" i="4"/>
  <c r="C29" i="4"/>
  <c r="I12" i="4"/>
  <c r="I25" i="4"/>
  <c r="C23" i="4"/>
  <c r="M10" i="4"/>
  <c r="M21" i="4"/>
  <c r="M16" i="4"/>
  <c r="M17" i="4"/>
  <c r="I9" i="4"/>
  <c r="I32" i="4"/>
  <c r="C25" i="4"/>
  <c r="C12" i="4"/>
  <c r="M27" i="4"/>
  <c r="I36" i="4"/>
  <c r="I19" i="4"/>
  <c r="C15" i="4"/>
  <c r="C9" i="4"/>
  <c r="M12" i="4"/>
  <c r="I21" i="4"/>
  <c r="C13" i="4"/>
  <c r="M24" i="4"/>
  <c r="C6" i="4"/>
  <c r="I30" i="4"/>
  <c r="M30" i="4"/>
  <c r="C31" i="4"/>
  <c r="M4" i="4"/>
  <c r="M19" i="4"/>
  <c r="C34" i="4"/>
  <c r="C1" i="4"/>
  <c r="B30" i="23"/>
  <c r="S30" i="23"/>
  <c r="AL4" i="23"/>
  <c r="X4" i="23"/>
  <c r="X5" i="23"/>
  <c r="AM4" i="23"/>
  <c r="M5" i="23"/>
  <c r="AJ5" i="23"/>
  <c r="B5" i="23"/>
  <c r="M4" i="23"/>
  <c r="B4" i="23"/>
  <c r="Y4" i="23"/>
  <c r="AM5" i="23"/>
  <c r="AK5" i="23"/>
  <c r="Y5" i="23"/>
  <c r="AK4" i="23"/>
  <c r="AL5" i="23"/>
  <c r="AJ4" i="23"/>
  <c r="J20" i="23"/>
  <c r="B20" i="23"/>
  <c r="J21" i="23"/>
  <c r="B21" i="23"/>
  <c r="AL3" i="23"/>
  <c r="AL7" i="23"/>
  <c r="B3" i="23"/>
  <c r="M3" i="23"/>
  <c r="AL16" i="23"/>
  <c r="S3" i="23"/>
  <c r="S16" i="23"/>
  <c r="X16" i="23"/>
  <c r="S24" i="23"/>
  <c r="AM3" i="23"/>
  <c r="M24" i="23"/>
  <c r="Y3" i="23"/>
  <c r="AK3" i="23"/>
  <c r="AK16" i="23"/>
  <c r="X3" i="23"/>
  <c r="AM16" i="23"/>
  <c r="X24" i="23"/>
  <c r="AJ3" i="23"/>
  <c r="B24" i="23"/>
  <c r="AJ24" i="23"/>
  <c r="J24" i="23"/>
  <c r="X15" i="23"/>
  <c r="AL15" i="23"/>
  <c r="AJ15" i="23"/>
  <c r="AK15" i="23"/>
  <c r="AM15" i="23"/>
  <c r="S15" i="23"/>
  <c r="B2" i="23"/>
  <c r="M6" i="23"/>
  <c r="AK2" i="23"/>
  <c r="Y6" i="23"/>
  <c r="Y2" i="23"/>
  <c r="AK6" i="23"/>
  <c r="M2" i="23"/>
  <c r="B6" i="23"/>
  <c r="AK19" i="23"/>
  <c r="AK24" i="23"/>
  <c r="AK25" i="23"/>
  <c r="AK13" i="23"/>
  <c r="AK12" i="23"/>
  <c r="X11" i="23"/>
  <c r="AM13" i="23"/>
  <c r="AM12" i="23"/>
  <c r="AL11" i="23"/>
  <c r="AM11" i="23"/>
  <c r="S14" i="23"/>
  <c r="S13" i="23"/>
  <c r="S12" i="23"/>
  <c r="AK11" i="23"/>
  <c r="B12" i="23"/>
  <c r="X12" i="23"/>
  <c r="AL13" i="23"/>
  <c r="AL12" i="23"/>
  <c r="S11" i="23"/>
  <c r="B11" i="23"/>
  <c r="AK10" i="23"/>
  <c r="AM10" i="23"/>
  <c r="X10" i="23"/>
  <c r="AL10" i="23"/>
  <c r="B10" i="23"/>
  <c r="Y10" i="23"/>
  <c r="S10" i="23"/>
  <c r="S27" i="23"/>
  <c r="S26" i="23"/>
  <c r="S25" i="23"/>
  <c r="J19" i="23"/>
  <c r="J27" i="23"/>
  <c r="J26" i="23"/>
  <c r="J25" i="23"/>
  <c r="B19" i="23"/>
  <c r="S19" i="23"/>
  <c r="AJ27" i="23"/>
  <c r="AJ26" i="23"/>
  <c r="AJ25" i="23"/>
  <c r="AJ19" i="23"/>
  <c r="X27" i="23"/>
  <c r="X26" i="23"/>
  <c r="X25" i="23"/>
  <c r="B25" i="23"/>
  <c r="X19" i="23"/>
  <c r="B7" i="23"/>
  <c r="S7" i="23"/>
  <c r="X7" i="23"/>
  <c r="AM7" i="23"/>
  <c r="AJ11" i="23"/>
  <c r="Y7" i="23"/>
  <c r="AK7" i="23"/>
  <c r="M7" i="23"/>
  <c r="AJ10" i="23"/>
  <c r="AJ13" i="23"/>
  <c r="AJ12" i="23"/>
  <c r="X23" i="23"/>
  <c r="AM17" i="23"/>
  <c r="X18" i="23"/>
  <c r="J22" i="23"/>
  <c r="AK17" i="23"/>
  <c r="B18" i="23"/>
  <c r="B23" i="23"/>
  <c r="AJ17" i="23"/>
  <c r="X22" i="23"/>
  <c r="J23" i="23"/>
  <c r="AL17" i="23"/>
  <c r="B22" i="23"/>
  <c r="S17" i="23"/>
  <c r="B17" i="23"/>
  <c r="X17" i="23"/>
  <c r="J18" i="23"/>
  <c r="B16" i="23"/>
  <c r="B15" i="23"/>
  <c r="AD36" i="23"/>
  <c r="T36" i="23"/>
  <c r="U36" i="23" s="1"/>
  <c r="AD35" i="23"/>
  <c r="T35" i="23"/>
  <c r="U35" i="23" s="1"/>
  <c r="AD34" i="23"/>
  <c r="T34" i="23"/>
  <c r="U34" i="23" s="1"/>
  <c r="AD33" i="23"/>
  <c r="T33" i="23"/>
  <c r="U33" i="23" s="1"/>
  <c r="AI32" i="23"/>
  <c r="AD32" i="23"/>
  <c r="U32" i="23"/>
  <c r="AD31" i="23"/>
  <c r="T31" i="23"/>
  <c r="U31" i="23" s="1"/>
  <c r="AD30" i="23"/>
  <c r="U30" i="23" l="1"/>
  <c r="AI30" i="23" s="1"/>
  <c r="AI33" i="23"/>
  <c r="AI34" i="23"/>
  <c r="AI36" i="23"/>
  <c r="AI31" i="23"/>
  <c r="AI35" i="23"/>
  <c r="R30" i="23"/>
  <c r="H30" i="23"/>
  <c r="F30" i="23"/>
  <c r="D30" i="23"/>
  <c r="AI29" i="23"/>
  <c r="T29" i="23"/>
  <c r="C29" i="23"/>
  <c r="D29" i="23" s="1"/>
  <c r="AI28" i="23"/>
  <c r="T28" i="23"/>
  <c r="C28" i="23"/>
  <c r="D28" i="23" s="1"/>
  <c r="C30" i="23" l="1"/>
  <c r="E30" i="23"/>
  <c r="AD27" i="23"/>
  <c r="T27" i="23"/>
  <c r="Q27" i="23" l="1"/>
  <c r="N27" i="23"/>
  <c r="U27" i="23" s="1"/>
  <c r="AI27" i="23" s="1"/>
  <c r="R27" i="23" l="1"/>
  <c r="H27" i="23"/>
  <c r="F27" i="23"/>
  <c r="E27" i="23"/>
  <c r="D27" i="23"/>
  <c r="C27" i="23"/>
  <c r="AD26" i="23"/>
  <c r="T26" i="23"/>
  <c r="U26" i="23" l="1"/>
  <c r="AI26" i="23" s="1"/>
  <c r="Q26" i="23"/>
  <c r="R26" i="23" s="1"/>
  <c r="H26" i="23"/>
  <c r="F26" i="23"/>
  <c r="D26" i="23"/>
  <c r="AS25" i="23"/>
  <c r="AD25" i="23"/>
  <c r="T25" i="23"/>
  <c r="C26" i="23" l="1"/>
  <c r="E26" i="23"/>
  <c r="U25" i="23"/>
  <c r="AI25" i="23" s="1"/>
  <c r="R25" i="23"/>
  <c r="Q25" i="23"/>
  <c r="P25" i="23"/>
  <c r="H25" i="23"/>
  <c r="F25" i="23"/>
  <c r="D25" i="23"/>
  <c r="C25" i="23" l="1"/>
  <c r="E25" i="23"/>
  <c r="R24" i="23"/>
  <c r="Q24" i="23"/>
  <c r="P24" i="23"/>
  <c r="AD24" i="23" l="1"/>
  <c r="T24" i="23"/>
  <c r="U24" i="23" s="1"/>
  <c r="AI24" i="23" s="1"/>
  <c r="H24" i="23"/>
  <c r="F24" i="23"/>
  <c r="D24" i="23"/>
  <c r="C24" i="23" l="1"/>
  <c r="E24" i="23"/>
  <c r="AD23" i="23"/>
  <c r="T23" i="23"/>
  <c r="Q23" i="23"/>
  <c r="R23" i="23" s="1"/>
  <c r="S23" i="23"/>
  <c r="U23" i="23" l="1"/>
  <c r="AI23" i="23" s="1"/>
  <c r="H23" i="23"/>
  <c r="F23" i="23"/>
  <c r="D23" i="23"/>
  <c r="C23" i="23" l="1"/>
  <c r="E23" i="23"/>
  <c r="AD22" i="23"/>
  <c r="T22" i="23"/>
  <c r="R22" i="23"/>
  <c r="S22" i="23"/>
  <c r="U22" i="23" l="1"/>
  <c r="AI22" i="23" s="1"/>
  <c r="H22" i="23"/>
  <c r="F22" i="23"/>
  <c r="D22" i="23"/>
  <c r="C22" i="23" l="1"/>
  <c r="E22" i="23"/>
  <c r="AD21" i="23"/>
  <c r="T21" i="23"/>
  <c r="S21" i="23"/>
  <c r="R21" i="23"/>
  <c r="H21" i="23"/>
  <c r="F21" i="23"/>
  <c r="D21" i="23"/>
  <c r="AI20" i="23"/>
  <c r="AD20" i="23"/>
  <c r="T20" i="23"/>
  <c r="R20" i="23"/>
  <c r="F20" i="23"/>
  <c r="E20" i="23"/>
  <c r="AD19" i="23"/>
  <c r="T19" i="23"/>
  <c r="U21" i="23" l="1"/>
  <c r="U19" i="23"/>
  <c r="AI19" i="23" s="1"/>
  <c r="R19" i="23"/>
  <c r="H19" i="23"/>
  <c r="F19" i="23"/>
  <c r="D19" i="23"/>
  <c r="S18" i="23"/>
  <c r="U18" i="23" s="1"/>
  <c r="AI18" i="23" s="1"/>
  <c r="R18" i="23"/>
  <c r="H18" i="23"/>
  <c r="F18" i="23"/>
  <c r="E18" i="23"/>
  <c r="D18" i="23"/>
  <c r="C18" i="23"/>
  <c r="AD17" i="23"/>
  <c r="T17" i="23"/>
  <c r="AI21" i="23" l="1"/>
  <c r="E21" i="23"/>
  <c r="C21" i="23"/>
  <c r="E19" i="23"/>
  <c r="C19" i="23"/>
  <c r="U17" i="23"/>
  <c r="AI17" i="23" s="1"/>
  <c r="R17" i="23"/>
  <c r="J17" i="23"/>
  <c r="H17" i="23"/>
  <c r="F17" i="23"/>
  <c r="D17" i="23"/>
  <c r="AD16" i="23"/>
  <c r="T16" i="23"/>
  <c r="E17" i="23" l="1"/>
  <c r="C17" i="23"/>
  <c r="U16" i="23"/>
  <c r="AI16" i="23" s="1"/>
  <c r="R16" i="23"/>
  <c r="J16" i="23"/>
  <c r="H16" i="23"/>
  <c r="F16" i="23"/>
  <c r="E16" i="23"/>
  <c r="D16" i="23"/>
  <c r="AD15" i="23"/>
  <c r="T15" i="23"/>
  <c r="C16" i="23" l="1"/>
  <c r="U15" i="23"/>
  <c r="AI15" i="23" s="1"/>
  <c r="Q15" i="23"/>
  <c r="P15" i="23"/>
  <c r="R15" i="23" s="1"/>
  <c r="J15" i="23"/>
  <c r="H15" i="23"/>
  <c r="F15" i="23"/>
  <c r="D15" i="23"/>
  <c r="T14" i="23"/>
  <c r="C15" i="23" l="1"/>
  <c r="E15" i="23"/>
  <c r="U14" i="23"/>
  <c r="AI14" i="23" s="1"/>
  <c r="R14" i="23"/>
  <c r="J14" i="23"/>
  <c r="H14" i="23"/>
  <c r="F14" i="23"/>
  <c r="D14" i="23"/>
  <c r="C14" i="23" l="1"/>
  <c r="E14" i="23"/>
  <c r="AD13" i="23"/>
  <c r="T13" i="23"/>
  <c r="U13" i="23" l="1"/>
  <c r="AI13" i="23" s="1"/>
  <c r="Q13" i="23"/>
  <c r="R13" i="23" s="1"/>
  <c r="J13" i="23"/>
  <c r="H13" i="23"/>
  <c r="F13" i="23"/>
  <c r="D13" i="23"/>
  <c r="AS12" i="23"/>
  <c r="E13" i="23" l="1"/>
  <c r="C13" i="23"/>
  <c r="AD12" i="23"/>
  <c r="T12" i="23"/>
  <c r="Q12" i="23" l="1"/>
  <c r="P12" i="23"/>
  <c r="F12" i="23" s="1"/>
  <c r="O12" i="23"/>
  <c r="D12" i="23" s="1"/>
  <c r="N12" i="23"/>
  <c r="U12" i="23" s="1"/>
  <c r="J12" i="23"/>
  <c r="H12" i="23"/>
  <c r="AI12" i="23" l="1"/>
  <c r="C12" i="23"/>
  <c r="R12" i="23"/>
  <c r="E12" i="23" s="1"/>
  <c r="AD11" i="23"/>
  <c r="T11" i="23" l="1"/>
  <c r="U11" i="23" l="1"/>
  <c r="AI11" i="23" s="1"/>
  <c r="Q11" i="23"/>
  <c r="R11" i="23" s="1"/>
  <c r="J11" i="23"/>
  <c r="H11" i="23"/>
  <c r="C11" i="23" s="1"/>
  <c r="F11" i="23"/>
  <c r="D11" i="23"/>
  <c r="AD10" i="23"/>
  <c r="T10" i="23"/>
  <c r="E11" i="23" l="1"/>
  <c r="U10" i="23"/>
  <c r="AI10" i="23" s="1"/>
  <c r="Q10" i="23"/>
  <c r="R10" i="23" s="1"/>
  <c r="J10" i="23"/>
  <c r="H10" i="23"/>
  <c r="C10" i="23" s="1"/>
  <c r="F10" i="23"/>
  <c r="D10" i="23"/>
  <c r="AD9" i="23"/>
  <c r="Q9" i="23"/>
  <c r="R9" i="23" s="1"/>
  <c r="J9" i="23"/>
  <c r="H9" i="23"/>
  <c r="AD8" i="23"/>
  <c r="R8" i="23"/>
  <c r="Q8" i="23"/>
  <c r="J8" i="23"/>
  <c r="H8" i="23"/>
  <c r="E10" i="23" l="1"/>
  <c r="S8" i="23"/>
  <c r="S9" i="23"/>
  <c r="Q7" i="23"/>
  <c r="R7" i="23" s="1"/>
  <c r="AD7" i="23" l="1"/>
  <c r="T7" i="23"/>
  <c r="F9" i="23"/>
  <c r="D9" i="23"/>
  <c r="F8" i="23"/>
  <c r="D8" i="23"/>
  <c r="J7" i="23"/>
  <c r="H7" i="23"/>
  <c r="F7" i="23"/>
  <c r="D7" i="23"/>
  <c r="T8" i="23" l="1"/>
  <c r="U8" i="23" s="1"/>
  <c r="T9" i="23"/>
  <c r="U9" i="23" s="1"/>
  <c r="U7" i="23"/>
  <c r="AI6" i="23"/>
  <c r="AI9" i="23" l="1"/>
  <c r="E9" i="23"/>
  <c r="C9" i="23"/>
  <c r="AI7" i="23"/>
  <c r="C7" i="23"/>
  <c r="E7" i="23"/>
  <c r="E8" i="23"/>
  <c r="AI8" i="23"/>
  <c r="C8" i="23"/>
  <c r="Q6" i="23"/>
  <c r="R6" i="23" s="1"/>
  <c r="AD6" i="23" l="1"/>
  <c r="T6" i="23"/>
  <c r="S6" i="23" s="1"/>
  <c r="F6" i="23" s="1"/>
  <c r="J6" i="23"/>
  <c r="H6" i="23"/>
  <c r="C6" i="23" s="1"/>
  <c r="E6" i="23"/>
  <c r="D6" i="23" l="1"/>
  <c r="AI5" i="23"/>
  <c r="Q5" i="23"/>
  <c r="R5" i="23" s="1"/>
  <c r="AD5" i="23" l="1"/>
  <c r="T5" i="23"/>
  <c r="J5" i="23"/>
  <c r="F5" i="23"/>
  <c r="E5" i="23"/>
  <c r="AI4" i="23"/>
  <c r="Q4" i="23"/>
  <c r="R4" i="23" s="1"/>
  <c r="AD4" i="23" l="1"/>
  <c r="T4" i="23"/>
  <c r="J4" i="23"/>
  <c r="F4" i="23"/>
  <c r="E4" i="23"/>
  <c r="Q3" i="23" l="1"/>
  <c r="R3" i="23" s="1"/>
  <c r="AD3" i="23" l="1"/>
  <c r="T3" i="23"/>
  <c r="U3" i="23" s="1"/>
  <c r="AI3" i="23" s="1"/>
  <c r="J3" i="23"/>
  <c r="H3" i="23"/>
  <c r="F3" i="23"/>
  <c r="D3" i="23"/>
  <c r="E3" i="23" l="1"/>
  <c r="C3" i="23"/>
  <c r="S2" i="23"/>
  <c r="Q2" i="23"/>
  <c r="R2" i="23" s="1"/>
  <c r="AD2" i="23" l="1"/>
  <c r="T2" i="23"/>
  <c r="U2" i="23" s="1"/>
  <c r="J2" i="23"/>
  <c r="H2" i="23"/>
  <c r="F2" i="23"/>
  <c r="D2" i="23"/>
  <c r="W2" i="41"/>
  <c r="S2" i="41"/>
  <c r="E2" i="42"/>
  <c r="K2" i="41"/>
  <c r="Q2" i="42"/>
  <c r="Q2" i="41"/>
  <c r="E2" i="43"/>
  <c r="C2" i="43"/>
  <c r="E2" i="41"/>
  <c r="O2" i="41"/>
  <c r="I2" i="42"/>
  <c r="M2" i="42"/>
  <c r="A2" i="42"/>
  <c r="J2" i="42"/>
  <c r="F2" i="41"/>
  <c r="V2" i="41"/>
  <c r="L2" i="42"/>
  <c r="H2" i="41"/>
  <c r="D2" i="43"/>
  <c r="G2" i="41"/>
  <c r="C2" i="42"/>
  <c r="K2" i="42"/>
  <c r="G2" i="42"/>
  <c r="R2" i="41"/>
  <c r="I2" i="43"/>
  <c r="C2" i="41"/>
  <c r="R2" i="42"/>
  <c r="S2" i="42"/>
  <c r="N2" i="41"/>
  <c r="D2" i="42"/>
  <c r="U2" i="41"/>
  <c r="H2" i="42"/>
  <c r="J2" i="41"/>
  <c r="F2" i="43"/>
  <c r="L2" i="41"/>
  <c r="G2" i="43"/>
  <c r="D2" i="41"/>
  <c r="A2" i="43"/>
  <c r="P2" i="41"/>
  <c r="F2" i="42"/>
  <c r="P2" i="42"/>
  <c r="N2" i="42"/>
  <c r="T2" i="42"/>
  <c r="I2" i="41"/>
  <c r="O2" i="42"/>
  <c r="A2" i="41"/>
  <c r="T2" i="41"/>
  <c r="M2" i="41"/>
  <c r="U37" i="23" l="1"/>
  <c r="C39" i="23" s="1"/>
  <c r="AI2" i="23"/>
  <c r="C2" i="23"/>
  <c r="E2" i="23"/>
  <c r="J229" i="2"/>
  <c r="L229" i="2" s="1"/>
  <c r="M229" i="2" s="1"/>
  <c r="M222" i="2"/>
  <c r="M221" i="2"/>
  <c r="M220" i="2"/>
  <c r="M219" i="2"/>
  <c r="M218" i="2"/>
  <c r="M217" i="2"/>
  <c r="M216" i="2"/>
  <c r="M207" i="2"/>
  <c r="M206" i="2"/>
  <c r="M205" i="2"/>
  <c r="M204" i="2"/>
  <c r="M203" i="2"/>
  <c r="M202" i="2"/>
  <c r="M201" i="2"/>
  <c r="M188" i="2"/>
  <c r="M187" i="2"/>
  <c r="M186" i="2"/>
  <c r="M185" i="2"/>
  <c r="M184" i="2"/>
  <c r="M183" i="2"/>
  <c r="M182" i="2"/>
  <c r="M181" i="2"/>
  <c r="M171" i="2"/>
  <c r="M170" i="2"/>
  <c r="M169" i="2"/>
  <c r="M168" i="2"/>
  <c r="M167" i="2"/>
  <c r="M166" i="2"/>
  <c r="M165" i="2"/>
  <c r="M162" i="2"/>
  <c r="M161" i="2"/>
  <c r="M159" i="2"/>
  <c r="K150" i="2"/>
  <c r="L150" i="2" s="1"/>
  <c r="L149" i="2"/>
  <c r="L148" i="2"/>
  <c r="L147" i="2"/>
  <c r="K147" i="2"/>
  <c r="L146" i="2"/>
  <c r="K146" i="2"/>
  <c r="K145" i="2"/>
  <c r="L145" i="2" s="1"/>
  <c r="M140" i="2"/>
  <c r="L132" i="2"/>
  <c r="M132" i="2" s="1"/>
  <c r="I132" i="2"/>
  <c r="M131" i="2"/>
  <c r="L131" i="2"/>
  <c r="L130" i="2"/>
  <c r="M130" i="2" s="1"/>
  <c r="L129" i="2"/>
  <c r="M129" i="2" s="1"/>
  <c r="M128" i="2"/>
  <c r="L128" i="2"/>
  <c r="M126" i="2"/>
  <c r="L125" i="2"/>
  <c r="M125" i="2" s="1"/>
  <c r="M122" i="2"/>
  <c r="M121" i="2"/>
  <c r="M114" i="2"/>
  <c r="M113" i="2"/>
  <c r="M112" i="2"/>
  <c r="L112" i="2" s="1"/>
  <c r="M111" i="2"/>
  <c r="M110" i="2"/>
  <c r="L110" i="2"/>
  <c r="M109" i="2"/>
  <c r="M104" i="2"/>
  <c r="M103" i="2"/>
  <c r="L45" i="2"/>
  <c r="L27" i="2"/>
  <c r="L8" i="2"/>
  <c r="D33" i="46"/>
  <c r="D32" i="46"/>
  <c r="I653" i="36"/>
  <c r="H653" i="36"/>
  <c r="G653" i="36"/>
  <c r="F653" i="36"/>
  <c r="E653" i="36"/>
  <c r="D653" i="36"/>
  <c r="I652" i="36"/>
  <c r="H652" i="36"/>
  <c r="G652" i="36"/>
  <c r="F652" i="36"/>
  <c r="D652" i="36"/>
  <c r="E652" i="36" s="1"/>
  <c r="I651" i="36"/>
  <c r="H651" i="36"/>
  <c r="G651" i="36"/>
  <c r="F651" i="36"/>
  <c r="D651" i="36"/>
  <c r="E651" i="36" s="1"/>
  <c r="I650" i="36"/>
  <c r="H650" i="36"/>
  <c r="G650" i="36"/>
  <c r="F650" i="36"/>
  <c r="E650" i="36"/>
  <c r="D650" i="36"/>
  <c r="I649" i="36"/>
  <c r="H649" i="36"/>
  <c r="G649" i="36"/>
  <c r="E649" i="36"/>
  <c r="D649" i="36"/>
  <c r="D648" i="36" s="1"/>
  <c r="I648" i="36"/>
  <c r="B648" i="36"/>
  <c r="H648" i="36" s="1"/>
  <c r="I647" i="36"/>
  <c r="H647" i="36"/>
  <c r="D647" i="36"/>
  <c r="B647" i="36"/>
  <c r="G647" i="36" s="1"/>
  <c r="I646" i="36"/>
  <c r="H646" i="36"/>
  <c r="G646" i="36"/>
  <c r="F646" i="36"/>
  <c r="E646" i="36"/>
  <c r="I645" i="36"/>
  <c r="H645" i="36"/>
  <c r="G645" i="36"/>
  <c r="F645" i="36"/>
  <c r="E645" i="36"/>
  <c r="I644" i="36"/>
  <c r="H644" i="36"/>
  <c r="G644" i="36"/>
  <c r="F644" i="36"/>
  <c r="E644" i="36"/>
  <c r="I643" i="36"/>
  <c r="H643" i="36"/>
  <c r="G643" i="36"/>
  <c r="F643" i="36"/>
  <c r="E643" i="36"/>
  <c r="I642" i="36"/>
  <c r="H642" i="36"/>
  <c r="G642" i="36"/>
  <c r="F642" i="36"/>
  <c r="E642" i="36"/>
  <c r="I641" i="36"/>
  <c r="H641" i="36"/>
  <c r="G641" i="36"/>
  <c r="F641" i="36"/>
  <c r="E641" i="36"/>
  <c r="I640" i="36"/>
  <c r="H640" i="36"/>
  <c r="G640" i="36"/>
  <c r="F640" i="36"/>
  <c r="E640" i="36"/>
  <c r="D640" i="36"/>
  <c r="I639" i="36"/>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H2" i="43"/>
  <c r="G2" i="23" l="1"/>
  <c r="G32" i="23"/>
  <c r="G31" i="23"/>
  <c r="G34" i="23"/>
  <c r="G36" i="23"/>
  <c r="G35" i="23"/>
  <c r="G30" i="23"/>
  <c r="G33" i="23"/>
  <c r="G28" i="23"/>
  <c r="G29" i="23"/>
  <c r="G27" i="23"/>
  <c r="G26" i="23"/>
  <c r="G25" i="23"/>
  <c r="G24" i="23"/>
  <c r="G23" i="23"/>
  <c r="G22" i="23"/>
  <c r="G21" i="23"/>
  <c r="G20" i="23"/>
  <c r="G19" i="23"/>
  <c r="G18" i="23"/>
  <c r="G17" i="23"/>
  <c r="G16" i="23"/>
  <c r="G15" i="23"/>
  <c r="G14" i="23"/>
  <c r="G13" i="23"/>
  <c r="G12" i="23"/>
  <c r="G11" i="23"/>
  <c r="G10" i="23"/>
  <c r="G8" i="23"/>
  <c r="G7" i="23"/>
  <c r="G9" i="23"/>
  <c r="G6" i="23"/>
  <c r="G5" i="23"/>
  <c r="G4" i="23"/>
  <c r="G3" i="23"/>
  <c r="F649" i="36"/>
  <c r="E648" i="36"/>
  <c r="E647" i="36"/>
  <c r="F648" i="36"/>
  <c r="F647" i="36"/>
  <c r="G64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<sst xmlns="http://schemas.openxmlformats.org/spreadsheetml/2006/main" count="1438" uniqueCount="537">
  <si>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</si>
  <si>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</si>
  <si>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</si>
  <si>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</si>
  <si>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</si>
  <si>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</si>
  <si>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</si>
  <si>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</si>
  <si>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</si>
  <si>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</si>
  <si>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</si>
  <si>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</si>
  <si>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</si>
  <si>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</si>
  <si>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</si>
  <si>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</si>
  <si>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</si>
  <si>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</si>
  <si>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</si>
  <si>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</si>
  <si>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</si>
  <si>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</si>
  <si>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</si>
  <si>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</si>
  <si>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</si>
  <si>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</si>
  <si>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</si>
  <si>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</si>
  <si>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</si>
  <si>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</si>
  <si>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</si>
  <si>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</si>
  <si>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</si>
  <si>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</si>
  <si>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</si>
  <si>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</si>
  <si>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</si>
  <si>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</si>
  <si>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</si>
  <si>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</si>
  <si>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</si>
  <si>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</si>
  <si>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</si>
  <si>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</si>
  <si>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</si>
  <si>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</si>
  <si>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</si>
  <si>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</si>
  <si>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</si>
  <si>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</si>
  <si>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</si>
  <si>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</si>
  <si>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</si>
  <si>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</si>
  <si>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</si>
  <si>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</si>
  <si>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</si>
  <si>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</si>
  <si>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</si>
  <si>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</si>
  <si>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</si>
  <si>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</si>
  <si>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</si>
  <si>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</si>
  <si>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</si>
  <si>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</si>
  <si>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</si>
  <si>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</si>
  <si>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</si>
  <si>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</si>
  <si>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</si>
  <si>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</si>
  <si>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</si>
  <si>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</si>
  <si>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</si>
  <si>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</si>
  <si>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</si>
  <si>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</si>
  <si>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</si>
  <si>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</si>
  <si>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</si>
  <si>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</si>
  <si>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</si>
  <si>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</si>
  <si>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</si>
  <si>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</si>
  <si>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</si>
  <si>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</si>
  <si>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</si>
  <si>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</si>
  <si>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</si>
  <si>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</si>
  <si>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</si>
  <si>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</si>
  <si>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</si>
  <si>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</si>
  <si>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</si>
  <si>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</si>
  <si>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</si>
  <si>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</si>
  <si>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</si>
  <si>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</si>
  <si>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</si>
  <si>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</si>
  <si>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</si>
  <si>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</si>
  <si>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</si>
  <si>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</si>
  <si>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</si>
  <si>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</si>
  <si>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</si>
  <si>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</si>
  <si>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</si>
  <si>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</si>
  <si>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</si>
  <si>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</si>
  <si>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</si>
  <si>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</si>
  <si>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</si>
  <si>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</si>
  <si>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</si>
  <si>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</si>
  <si>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</si>
  <si>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</si>
  <si>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</si>
  <si>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</si>
  <si>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</si>
  <si>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</si>
  <si>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</si>
  <si>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</si>
  <si>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</si>
  <si>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</si>
  <si>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</si>
  <si>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</si>
  <si>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</si>
  <si>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</si>
  <si>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</si>
  <si>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</si>
  <si>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</si>
  <si>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</si>
  <si>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</si>
  <si>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</si>
  <si>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</si>
  <si>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</si>
  <si>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</si>
  <si>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</si>
  <si>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</si>
  <si>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</si>
  <si>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</si>
  <si>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</si>
  <si>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</si>
  <si>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</si>
  <si>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</si>
  <si>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</si>
  <si>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</si>
  <si>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</si>
  <si>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</si>
  <si>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</si>
  <si>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</si>
  <si>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</si>
  <si>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</si>
  <si>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</si>
  <si>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</si>
  <si>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</si>
  <si>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</si>
  <si>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</si>
  <si>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</si>
  <si>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</si>
  <si>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</si>
  <si>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</si>
  <si>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</si>
  <si>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</si>
  <si>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</si>
  <si>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</si>
  <si>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</si>
  <si>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</si>
  <si>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</si>
  <si>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</si>
  <si>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</si>
  <si>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</si>
  <si>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</si>
  <si>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</si>
  <si>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</si>
  <si>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</si>
  <si>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</si>
  <si>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</si>
  <si>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</si>
  <si>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</si>
  <si>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</si>
  <si>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</si>
  <si>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</si>
  <si>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</si>
  <si>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</si>
  <si>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</si>
  <si>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</si>
  <si>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</si>
  <si>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</si>
  <si>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</si>
  <si>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</si>
  <si>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</si>
  <si>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</si>
  <si>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</si>
  <si>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</si>
  <si>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</si>
  <si>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</si>
  <si>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</si>
  <si>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</si>
  <si>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</si>
  <si>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</si>
  <si>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</si>
  <si>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</si>
  <si>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</si>
  <si>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</si>
  <si>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</si>
  <si>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</si>
  <si>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</si>
  <si>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</si>
  <si>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</si>
  <si>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</si>
  <si>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</si>
  <si>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</si>
  <si>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</si>
  <si>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</si>
  <si>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</si>
  <si>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</si>
  <si>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</si>
  <si>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</si>
  <si>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</si>
  <si>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</si>
  <si>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</si>
  <si>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</si>
  <si>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</si>
  <si>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</si>
  <si>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</si>
  <si>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</si>
  <si>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</si>
  <si>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</si>
  <si>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</si>
  <si>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</si>
  <si>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</si>
  <si>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</si>
  <si>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</si>
  <si>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</si>
  <si>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</si>
  <si>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</si>
  <si>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</si>
  <si>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</si>
  <si>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</si>
  <si>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</si>
  <si>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</si>
  <si>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</si>
  <si>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</si>
  <si>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</si>
  <si>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</si>
  <si>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</si>
  <si>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</si>
  <si>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</si>
  <si>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</si>
  <si>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</si>
  <si>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</si>
  <si>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</si>
  <si>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</si>
  <si>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</si>
  <si>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</si>
  <si>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</si>
  <si>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</si>
  <si>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</si>
  <si>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</si>
  <si>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</si>
  <si>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</si>
  <si>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</si>
  <si>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</si>
  <si>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</si>
  <si>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</si>
  <si>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</si>
  <si>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</si>
  <si>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</si>
  <si>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</si>
  <si>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</si>
  <si>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</si>
  <si>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</si>
  <si>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</si>
  <si>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</si>
  <si>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</si>
  <si>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</si>
  <si>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</si>
  <si>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</si>
  <si>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</si>
  <si>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</si>
  <si>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</si>
  <si>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</si>
  <si>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</si>
  <si>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</si>
  <si>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</si>
  <si>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</si>
  <si>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</si>
  <si>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</si>
  <si>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</si>
  <si>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</si>
  <si>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</si>
  <si>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</si>
  <si>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</si>
  <si>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</si>
  <si>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</si>
  <si>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</si>
  <si>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</si>
  <si>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</si>
  <si>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</si>
  <si>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</si>
  <si>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</si>
  <si>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</si>
  <si>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</si>
  <si>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</si>
  <si>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</si>
  <si>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</si>
  <si>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</si>
  <si>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</si>
  <si>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</si>
  <si>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</si>
  <si>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</si>
  <si>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</si>
  <si>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</si>
  <si>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</si>
  <si>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</si>
  <si>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</si>
  <si>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</si>
  <si>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</si>
  <si>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</si>
  <si>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</si>
  <si>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</si>
  <si>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</si>
  <si>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</si>
  <si>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</si>
  <si>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</si>
  <si>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</si>
  <si>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</si>
  <si>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</si>
  <si>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</si>
  <si>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</si>
  <si>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</si>
  <si>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</si>
  <si>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</si>
  <si>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</si>
  <si>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</si>
  <si>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</si>
  <si>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</si>
  <si>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</si>
  <si>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</si>
  <si>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</si>
  <si>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</si>
  <si>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</si>
  <si>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</si>
  <si>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</si>
  <si>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</si>
  <si>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</si>
  <si>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</si>
  <si>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</si>
  <si>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</si>
  <si>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</si>
  <si>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</si>
  <si>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</si>
  <si>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</si>
  <si>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</si>
  <si>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</si>
  <si>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</si>
  <si>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</si>
  <si>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</si>
  <si>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</si>
  <si>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</si>
  <si>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</si>
  <si>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</si>
  <si>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</si>
  <si>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</si>
  <si>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</si>
  <si>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</si>
  <si>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</si>
  <si>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</si>
  <si>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</si>
  <si>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</si>
  <si>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</si>
  <si>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</si>
  <si>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</si>
  <si>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</si>
  <si>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</si>
  <si>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</si>
  <si>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</si>
  <si>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</si>
  <si>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</si>
  <si>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</si>
  <si>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</si>
  <si>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</si>
  <si>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</si>
  <si>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</si>
  <si>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</si>
  <si>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</si>
  <si>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</si>
  <si>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</si>
  <si>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</si>
  <si>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</si>
  <si>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</si>
  <si>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</si>
  <si>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</si>
  <si>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</si>
  <si>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</si>
  <si>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</si>
  <si>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</si>
  <si>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</si>
  <si>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</si>
  <si>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</si>
  <si>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</si>
  <si>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</si>
  <si>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</si>
  <si>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</si>
  <si>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</si>
  <si>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</si>
  <si>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</si>
  <si>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</si>
  <si>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</si>
  <si>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</si>
  <si>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</si>
  <si>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</si>
  <si>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</si>
  <si>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</si>
  <si>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</si>
  <si>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</si>
  <si>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</si>
  <si>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</si>
  <si>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</si>
  <si>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</si>
  <si>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</si>
  <si>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</si>
  <si>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</si>
  <si>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</si>
  <si>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</si>
  <si>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</si>
  <si>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</si>
  <si>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</si>
  <si>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</si>
  <si>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</si>
  <si>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</si>
  <si>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</si>
  <si>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</si>
  <si>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</si>
  <si>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</si>
  <si>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</si>
  <si>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</si>
  <si>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</si>
  <si>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</si>
  <si>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</si>
  <si>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</si>
  <si>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</si>
  <si>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</si>
  <si>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</si>
  <si>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</si>
  <si>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</si>
  <si>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</si>
  <si>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</si>
  <si>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</si>
  <si>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</si>
  <si>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</si>
  <si>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</si>
  <si>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</si>
  <si>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</si>
  <si>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</si>
  <si>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</si>
  <si>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</si>
  <si>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</si>
  <si>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</si>
  <si>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</si>
  <si>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</si>
  <si>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</si>
  <si>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</si>
  <si>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</si>
  <si>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</si>
  <si>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</si>
  <si>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</si>
  <si>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</si>
  <si>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</si>
  <si>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</si>
  <si>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</si>
  <si>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</si>
  <si>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</si>
  <si>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</si>
  <si>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</si>
  <si>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</si>
  <si>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</si>
  <si>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</si>
  <si>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</si>
  <si>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</si>
  <si>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</si>
  <si>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</si>
  <si>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</si>
  <si>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</si>
  <si>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</si>
  <si>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</si>
  <si>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</si>
  <si>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</si>
  <si>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</si>
  <si>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</si>
  <si>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</si>
  <si>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</si>
  <si>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</si>
  <si>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</si>
  <si>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</si>
  <si>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</si>
  <si>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</si>
  <si>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</si>
  <si>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</si>
  <si>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</si>
  <si>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</si>
  <si>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</si>
  <si>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</si>
  <si>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</si>
  <si>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</si>
  <si>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</si>
  <si>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</si>
  <si>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</si>
  <si>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</si>
  <si>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</si>
  <si>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3M</t>
  </si>
  <si>
    <t>BX303989  Corp</t>
  </si>
  <si>
    <t>DE000BU0E113</t>
  </si>
  <si>
    <t>XS2306852829</t>
  </si>
  <si>
    <t>XS2306852830</t>
  </si>
  <si>
    <t>DE0001141869</t>
  </si>
  <si>
    <t>Short EURHUF_12032024_D</t>
  </si>
  <si>
    <t>Short EURCOP_15032024_D</t>
  </si>
  <si>
    <t>Colombia</t>
  </si>
  <si>
    <t>IE00BKWQ0H23</t>
  </si>
  <si>
    <t>OBL 1.3 10/15/27</t>
  </si>
  <si>
    <t>STWX SW Equity</t>
  </si>
  <si>
    <t>SPDR MSCI Europe Health Care U</t>
  </si>
  <si>
    <t>US92189F5851</t>
  </si>
  <si>
    <t xml:space="preserve">South African </t>
  </si>
  <si>
    <t>Switzerland</t>
  </si>
  <si>
    <t>Weight in Portfolio %</t>
  </si>
  <si>
    <t>iShares US Consumer Staples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</si>
</sst>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9" fillId="0" borderId="0" applyFont="0" applyFill="0" applyBorder="0" applyAlignment="0" applyProtection="0"/>
    <xf numFmtId="9" fontId="39" fillId="0" borderId="0" applyFont="0" applyFill="0" applyBorder="0" applyAlignment="0" applyProtection="0"/>
    <xf numFmtId="43" fontId="39" fillId="0" borderId="0" applyFont="0" applyFill="0" applyBorder="0" applyAlignment="0" applyProtection="0"/>
    <xf numFmtId="0" fontId="33" fillId="8" borderId="0" applyNumberFormat="0" applyBorder="0" applyAlignment="0" applyProtection="0"/>
    <xf numFmtId="44" fontId="39" fillId="0" borderId="0" applyFont="0" applyFill="0" applyBorder="0" applyAlignment="0" applyProtection="0"/>
    <xf numFmtId="43" fontId="39" fillId="0" borderId="0" applyFont="0" applyFill="0" applyBorder="0" applyAlignment="0" applyProtection="0"/>
    <xf numFmtId="0" fontId="29" fillId="8" borderId="0" applyNumberFormat="0" applyBorder="0" applyAlignment="0" applyProtection="0"/>
    <xf numFmtId="0" fontId="51" fillId="0" borderId="0" applyNumberFormat="0" applyFill="0" applyBorder="0" applyAlignment="0" applyProtection="0"/>
  </cellStyleXfs>
  <cellXfs count="439">
    <xf numFmtId="0" fontId="0" fillId="0" borderId="0" xfId="0"/>
    <xf numFmtId="0" fontId="0" fillId="0" borderId="0" xfId="0" applyAlignment="1">
      <alignment vertical="center"/>
    </xf>
    <xf numFmtId="0" fontId="40"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5" fillId="0" borderId="0" xfId="0" applyFont="1" applyAlignment="1">
      <alignment vertical="center"/>
    </xf>
    <xf numFmtId="0" fontId="35"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5"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7" fillId="0" borderId="0" xfId="0" applyFont="1" applyAlignment="1">
      <alignment horizontal="center" vertical="center"/>
    </xf>
    <xf numFmtId="0" fontId="46"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8"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8"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5"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5" fillId="2" borderId="0" xfId="0" applyFont="1" applyFill="1" applyAlignment="1">
      <alignment horizontal="center"/>
    </xf>
    <xf numFmtId="0" fontId="0" fillId="13" borderId="0" xfId="4" applyFont="1" applyFill="1"/>
    <xf numFmtId="0" fontId="33" fillId="13" borderId="0" xfId="4" applyFill="1"/>
    <xf numFmtId="0" fontId="0" fillId="13" borderId="0" xfId="0" applyFill="1" applyAlignment="1">
      <alignment horizontal="center"/>
    </xf>
    <xf numFmtId="0" fontId="33" fillId="13" borderId="0" xfId="4" applyFill="1" applyAlignment="1">
      <alignment horizontal="center"/>
    </xf>
    <xf numFmtId="0" fontId="47" fillId="0" borderId="1" xfId="0" applyFont="1" applyBorder="1" applyAlignment="1">
      <alignment horizontal="center" vertical="center"/>
    </xf>
    <xf numFmtId="14" fontId="47" fillId="0" borderId="1" xfId="0" applyNumberFormat="1" applyFont="1" applyBorder="1" applyAlignment="1">
      <alignment horizontal="center" vertical="center"/>
    </xf>
    <xf numFmtId="0" fontId="47" fillId="0" borderId="1" xfId="0" applyFont="1" applyBorder="1" applyAlignment="1">
      <alignment vertical="center"/>
    </xf>
    <xf numFmtId="0" fontId="48" fillId="0" borderId="1" xfId="0" applyFont="1" applyBorder="1" applyAlignment="1">
      <alignment horizontal="center" vertical="center"/>
    </xf>
    <xf numFmtId="14" fontId="0" fillId="0" borderId="1" xfId="0" applyNumberFormat="1" applyBorder="1" applyAlignment="1">
      <alignment horizontal="center" vertical="center"/>
    </xf>
    <xf numFmtId="0" fontId="38"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4" fillId="0" borderId="0" xfId="1" applyNumberFormat="1" applyFont="1" applyAlignment="1">
      <alignment vertical="center"/>
    </xf>
    <xf numFmtId="165" fontId="34" fillId="0" borderId="0" xfId="0" applyNumberFormat="1" applyFont="1" applyAlignment="1">
      <alignment vertical="center"/>
    </xf>
    <xf numFmtId="166" fontId="34" fillId="0" borderId="1" xfId="1" applyNumberFormat="1" applyFont="1" applyBorder="1" applyAlignment="1">
      <alignment vertical="center"/>
    </xf>
    <xf numFmtId="0" fontId="0" fillId="9" borderId="1" xfId="0" applyFill="1" applyBorder="1" applyAlignment="1">
      <alignment vertical="center"/>
    </xf>
    <xf numFmtId="0" fontId="37" fillId="0" borderId="1" xfId="0" applyFont="1" applyBorder="1" applyAlignment="1">
      <alignment horizontal="center" vertical="center"/>
    </xf>
    <xf numFmtId="0" fontId="0" fillId="11" borderId="0" xfId="0" applyFill="1" applyAlignment="1">
      <alignment vertical="center"/>
    </xf>
    <xf numFmtId="0" fontId="46" fillId="11" borderId="0" xfId="0" applyFont="1" applyFill="1" applyAlignment="1">
      <alignment horizontal="center" vertical="center"/>
    </xf>
    <xf numFmtId="0" fontId="35" fillId="11" borderId="0" xfId="0" applyFont="1" applyFill="1" applyAlignment="1">
      <alignment vertical="center"/>
    </xf>
    <xf numFmtId="165" fontId="35"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7"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5" fillId="6" borderId="0" xfId="0" applyFont="1" applyFill="1" applyAlignment="1">
      <alignment horizontal="center" vertical="center"/>
    </xf>
    <xf numFmtId="0" fontId="49" fillId="0" borderId="0" xfId="0" applyFont="1" applyAlignment="1">
      <alignment horizontal="center" vertical="center"/>
    </xf>
    <xf numFmtId="0" fontId="0" fillId="9" borderId="3" xfId="0" applyFill="1" applyBorder="1" applyAlignment="1">
      <alignment vertical="center"/>
    </xf>
    <xf numFmtId="0" fontId="46" fillId="0" borderId="3" xfId="0" applyFont="1" applyBorder="1" applyAlignment="1">
      <alignment horizontal="center" vertical="center"/>
    </xf>
    <xf numFmtId="0" fontId="32"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3" fillId="13" borderId="0" xfId="4" applyNumberFormat="1" applyFill="1" applyAlignment="1">
      <alignment horizontal="center"/>
    </xf>
    <xf numFmtId="4" fontId="40" fillId="2" borderId="0" xfId="0" applyNumberFormat="1" applyFont="1" applyFill="1" applyAlignment="1">
      <alignment horizontal="center"/>
    </xf>
    <xf numFmtId="2" fontId="40"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5" fillId="0" borderId="0" xfId="0" applyFont="1"/>
    <xf numFmtId="2" fontId="35" fillId="4" borderId="0" xfId="0" applyNumberFormat="1" applyFont="1" applyFill="1" applyAlignment="1">
      <alignment horizontal="center" vertical="center"/>
    </xf>
    <xf numFmtId="0" fontId="30" fillId="2" borderId="0" xfId="0" applyFont="1" applyFill="1"/>
    <xf numFmtId="0" fontId="29" fillId="2" borderId="0" xfId="0" applyFont="1" applyFill="1"/>
    <xf numFmtId="14" fontId="0" fillId="0" borderId="0" xfId="6" applyNumberFormat="1" applyFont="1" applyFill="1"/>
    <xf numFmtId="14" fontId="0" fillId="2" borderId="0" xfId="0" applyNumberFormat="1" applyFill="1"/>
    <xf numFmtId="14" fontId="45" fillId="2" borderId="2" xfId="0" applyNumberFormat="1" applyFont="1" applyFill="1" applyBorder="1" applyAlignment="1">
      <alignment horizontal="right"/>
    </xf>
    <xf numFmtId="14" fontId="45"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5"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1" fillId="0" borderId="0" xfId="8" applyAlignment="1">
      <alignment horizontal="left"/>
    </xf>
    <xf numFmtId="0" fontId="51"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40"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2"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2"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1" fillId="0" borderId="0" xfId="3" applyNumberFormat="1" applyFont="1" applyFill="1" applyAlignment="1">
      <alignment horizontal="center"/>
    </xf>
    <xf numFmtId="2" fontId="0" fillId="2" borderId="0" xfId="2" applyNumberFormat="1" applyFont="1" applyFill="1" applyAlignment="1">
      <alignment horizontal="center"/>
    </xf>
    <xf numFmtId="0" fontId="49" fillId="0" borderId="1" xfId="0" applyFont="1" applyBorder="1" applyAlignment="1">
      <alignment horizontal="center" vertical="center"/>
    </xf>
    <xf numFmtId="0" fontId="28"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5" fillId="11" borderId="0" xfId="0" applyFont="1" applyFill="1" applyAlignment="1">
      <alignment horizontal="center"/>
    </xf>
    <xf numFmtId="2" fontId="0" fillId="11" borderId="0" xfId="0" applyNumberFormat="1" applyFill="1"/>
    <xf numFmtId="0" fontId="27" fillId="2" borderId="0" xfId="0" applyFont="1" applyFill="1"/>
    <xf numFmtId="0" fontId="27" fillId="2" borderId="0" xfId="0" applyFont="1" applyFill="1" applyAlignment="1">
      <alignment horizontal="center"/>
    </xf>
    <xf numFmtId="0" fontId="39" fillId="3" borderId="0" xfId="4" applyFont="1" applyFill="1"/>
    <xf numFmtId="10" fontId="39" fillId="3" borderId="0" xfId="2" applyNumberFormat="1" applyFont="1" applyFill="1" applyAlignment="1">
      <alignment horizontal="center"/>
    </xf>
    <xf numFmtId="0" fontId="39" fillId="3" borderId="0" xfId="0" applyFont="1" applyFill="1" applyAlignment="1">
      <alignment horizontal="center"/>
    </xf>
    <xf numFmtId="164" fontId="39" fillId="3" borderId="0" xfId="0" applyNumberFormat="1" applyFont="1" applyFill="1" applyAlignment="1">
      <alignment horizontal="center"/>
    </xf>
    <xf numFmtId="2" fontId="39" fillId="3" borderId="0" xfId="0" applyNumberFormat="1" applyFont="1" applyFill="1" applyAlignment="1">
      <alignment horizontal="center"/>
    </xf>
    <xf numFmtId="14" fontId="39" fillId="3" borderId="0" xfId="4" applyNumberFormat="1" applyFont="1" applyFill="1" applyAlignment="1">
      <alignment horizontal="left"/>
    </xf>
    <xf numFmtId="14" fontId="39" fillId="3" borderId="0" xfId="0" applyNumberFormat="1" applyFont="1" applyFill="1" applyAlignment="1">
      <alignment horizontal="center"/>
    </xf>
    <xf numFmtId="0" fontId="39" fillId="3" borderId="0" xfId="0" applyFont="1" applyFill="1"/>
    <xf numFmtId="0" fontId="27" fillId="3" borderId="0" xfId="4" applyFont="1" applyFill="1" applyAlignment="1">
      <alignment horizontal="center"/>
    </xf>
    <xf numFmtId="0" fontId="39" fillId="0" borderId="0" xfId="0" applyFont="1"/>
    <xf numFmtId="4" fontId="27" fillId="2" borderId="0" xfId="0" applyNumberFormat="1" applyFont="1" applyFill="1"/>
    <xf numFmtId="4" fontId="27" fillId="2" borderId="0" xfId="0" applyNumberFormat="1" applyFont="1" applyFill="1" applyAlignment="1">
      <alignment horizontal="center"/>
    </xf>
    <xf numFmtId="4" fontId="27" fillId="11" borderId="0" xfId="0" applyNumberFormat="1" applyFont="1" applyFill="1"/>
    <xf numFmtId="4" fontId="27" fillId="11" borderId="0" xfId="0" applyNumberFormat="1" applyFont="1" applyFill="1" applyAlignment="1">
      <alignment horizontal="center"/>
    </xf>
    <xf numFmtId="4" fontId="27"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5" fillId="0" borderId="0" xfId="2" applyNumberFormat="1" applyFont="1"/>
    <xf numFmtId="0" fontId="0" fillId="11" borderId="0" xfId="0" applyFill="1" applyAlignment="1">
      <alignment horizontal="right"/>
    </xf>
    <xf numFmtId="0" fontId="49"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7"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6" fillId="10" borderId="0" xfId="3" applyFont="1" applyFill="1" applyAlignment="1">
      <alignment horizontal="center"/>
    </xf>
    <xf numFmtId="0" fontId="26" fillId="4" borderId="0" xfId="0" applyFont="1" applyFill="1"/>
    <xf numFmtId="0" fontId="26" fillId="4" borderId="1" xfId="0" applyFont="1" applyFill="1" applyBorder="1"/>
    <xf numFmtId="0" fontId="26" fillId="2" borderId="4" xfId="0" applyFont="1" applyFill="1" applyBorder="1"/>
    <xf numFmtId="2" fontId="26" fillId="9" borderId="0" xfId="0" applyNumberFormat="1" applyFont="1" applyFill="1"/>
    <xf numFmtId="0" fontId="26" fillId="9" borderId="0" xfId="0" applyFont="1" applyFill="1"/>
    <xf numFmtId="2" fontId="26" fillId="9" borderId="1" xfId="0" applyNumberFormat="1" applyFont="1" applyFill="1" applyBorder="1"/>
    <xf numFmtId="10" fontId="0" fillId="0" borderId="1" xfId="2" applyNumberFormat="1" applyFont="1" applyBorder="1" applyAlignment="1">
      <alignment vertical="center"/>
    </xf>
    <xf numFmtId="2" fontId="25" fillId="9" borderId="0" xfId="0" applyNumberFormat="1" applyFont="1" applyFill="1"/>
    <xf numFmtId="10" fontId="35" fillId="0" borderId="0" xfId="0" applyNumberFormat="1" applyFont="1" applyAlignment="1">
      <alignment vertical="center"/>
    </xf>
    <xf numFmtId="10" fontId="47"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4" fillId="9" borderId="0" xfId="0" applyNumberFormat="1" applyFont="1" applyFill="1"/>
    <xf numFmtId="2" fontId="24" fillId="9" borderId="1" xfId="0" applyNumberFormat="1" applyFont="1" applyFill="1" applyBorder="1"/>
    <xf numFmtId="2" fontId="35"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5"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4"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7"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6"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2" fillId="9" borderId="0" xfId="0" applyNumberFormat="1" applyFont="1" applyFill="1"/>
    <xf numFmtId="0" fontId="21" fillId="2" borderId="0" xfId="0" applyFont="1" applyFill="1"/>
    <xf numFmtId="0" fontId="0" fillId="3" borderId="0" xfId="4" applyFont="1" applyFill="1"/>
    <xf numFmtId="164" fontId="0" fillId="3" borderId="0" xfId="0" applyNumberFormat="1" applyFill="1" applyAlignment="1">
      <alignment horizontal="center"/>
    </xf>
    <xf numFmtId="2" fontId="22" fillId="9" borderId="1" xfId="0" applyNumberFormat="1" applyFont="1" applyFill="1" applyBorder="1"/>
    <xf numFmtId="2" fontId="31" fillId="0" borderId="1" xfId="3" applyNumberFormat="1" applyFont="1" applyFill="1" applyBorder="1" applyAlignment="1">
      <alignment horizontal="center"/>
    </xf>
    <xf numFmtId="0" fontId="0" fillId="3" borderId="1" xfId="0" applyFill="1" applyBorder="1" applyAlignment="1">
      <alignment vertical="center"/>
    </xf>
    <xf numFmtId="0" fontId="37"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9" fillId="9" borderId="0" xfId="0" applyNumberFormat="1" applyFont="1" applyFill="1"/>
    <xf numFmtId="2" fontId="20" fillId="9" borderId="1" xfId="0" applyNumberFormat="1" applyFont="1" applyFill="1" applyBorder="1"/>
    <xf numFmtId="2" fontId="19" fillId="9" borderId="1" xfId="0" applyNumberFormat="1" applyFont="1" applyFill="1" applyBorder="1"/>
    <xf numFmtId="2" fontId="18" fillId="9" borderId="0" xfId="0" applyNumberFormat="1" applyFont="1" applyFill="1"/>
    <xf numFmtId="0" fontId="17" fillId="2" borderId="0" xfId="0" applyFont="1" applyFill="1"/>
    <xf numFmtId="0" fontId="0" fillId="2" borderId="4" xfId="0" applyFill="1" applyBorder="1"/>
    <xf numFmtId="2" fontId="16" fillId="9" borderId="0" xfId="0" applyNumberFormat="1" applyFont="1" applyFill="1"/>
    <xf numFmtId="2" fontId="16" fillId="9" borderId="1" xfId="0" applyNumberFormat="1" applyFont="1" applyFill="1" applyBorder="1"/>
    <xf numFmtId="168" fontId="0" fillId="0" borderId="0" xfId="1" applyNumberFormat="1" applyFont="1" applyAlignment="1">
      <alignment vertical="center"/>
    </xf>
    <xf numFmtId="0" fontId="15" fillId="2" borderId="0" xfId="0" applyFont="1" applyFill="1"/>
    <xf numFmtId="10" fontId="34" fillId="0" borderId="0" xfId="1" applyNumberFormat="1" applyFont="1" applyAlignment="1">
      <alignment vertical="center"/>
    </xf>
    <xf numFmtId="10" fontId="34" fillId="0" borderId="1" xfId="1" applyNumberFormat="1" applyFont="1" applyBorder="1" applyAlignment="1">
      <alignment vertical="center"/>
    </xf>
    <xf numFmtId="10" fontId="34" fillId="0" borderId="0" xfId="0" applyNumberFormat="1" applyFont="1" applyAlignment="1">
      <alignment vertical="center"/>
    </xf>
    <xf numFmtId="10" fontId="35" fillId="11" borderId="0" xfId="0" applyNumberFormat="1" applyFont="1" applyFill="1" applyAlignment="1">
      <alignment vertical="center"/>
    </xf>
    <xf numFmtId="2" fontId="23" fillId="2" borderId="4" xfId="0" applyNumberFormat="1" applyFont="1" applyFill="1" applyBorder="1"/>
    <xf numFmtId="2" fontId="16" fillId="9" borderId="4" xfId="0" applyNumberFormat="1" applyFont="1" applyFill="1" applyBorder="1"/>
    <xf numFmtId="2" fontId="14" fillId="9" borderId="0" xfId="0" applyNumberFormat="1" applyFont="1" applyFill="1"/>
    <xf numFmtId="2" fontId="18" fillId="9" borderId="1" xfId="0" applyNumberFormat="1" applyFont="1" applyFill="1" applyBorder="1"/>
    <xf numFmtId="165" fontId="0" fillId="0" borderId="0" xfId="1" applyNumberFormat="1" applyFont="1" applyAlignment="1">
      <alignment vertical="center"/>
    </xf>
    <xf numFmtId="2" fontId="14" fillId="9" borderId="1" xfId="0" applyNumberFormat="1" applyFont="1" applyFill="1" applyBorder="1"/>
    <xf numFmtId="2" fontId="13" fillId="9" borderId="3" xfId="0" applyNumberFormat="1" applyFont="1" applyFill="1" applyBorder="1"/>
    <xf numFmtId="169" fontId="0" fillId="0" borderId="0" xfId="2" applyNumberFormat="1" applyFont="1" applyFill="1" applyAlignment="1">
      <alignment horizontal="center"/>
    </xf>
    <xf numFmtId="0" fontId="40" fillId="11" borderId="0" xfId="0" applyFont="1" applyFill="1" applyAlignment="1">
      <alignment vertical="center" wrapText="1"/>
    </xf>
    <xf numFmtId="0" fontId="40" fillId="11" borderId="0" xfId="0" applyFont="1" applyFill="1" applyAlignment="1">
      <alignment horizontal="center" vertical="center" wrapText="1"/>
    </xf>
    <xf numFmtId="2" fontId="40" fillId="11" borderId="0" xfId="0" applyNumberFormat="1" applyFont="1" applyFill="1" applyAlignment="1">
      <alignment horizontal="center" vertical="center" wrapText="1"/>
    </xf>
    <xf numFmtId="14" fontId="40" fillId="11" borderId="0" xfId="0" applyNumberFormat="1" applyFont="1" applyFill="1" applyAlignment="1">
      <alignment horizontal="center" vertical="center" wrapText="1"/>
    </xf>
    <xf numFmtId="2" fontId="40"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2"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11" fillId="9" borderId="0" xfId="0" applyNumberFormat="1" applyFont="1" applyFill="1"/>
    <xf numFmtId="2" fontId="11" fillId="9" borderId="1" xfId="0" applyNumberFormat="1" applyFont="1" applyFill="1" applyBorder="1"/>
    <xf numFmtId="0" fontId="10" fillId="2" borderId="0" xfId="0" applyFont="1" applyFill="1"/>
    <xf numFmtId="2" fontId="9" fillId="9" borderId="0" xfId="0" applyNumberFormat="1" applyFont="1" applyFill="1"/>
    <xf numFmtId="0" fontId="7" fillId="2" borderId="0" xfId="0" applyFont="1" applyFill="1"/>
    <xf numFmtId="0" fontId="0" fillId="16" borderId="1" xfId="0" applyFill="1" applyBorder="1" applyAlignment="1">
      <alignment vertical="center"/>
    </xf>
    <xf numFmtId="2" fontId="6" fillId="9" borderId="0" xfId="0" applyNumberFormat="1" applyFont="1" applyFill="1"/>
    <xf numFmtId="2" fontId="6" fillId="9" borderId="1" xfId="0" applyNumberFormat="1" applyFont="1" applyFill="1" applyBorder="1"/>
    <xf numFmtId="0" fontId="0" fillId="9" borderId="4" xfId="0" applyFill="1" applyBorder="1" applyAlignment="1">
      <alignment vertical="center"/>
    </xf>
    <xf numFmtId="0" fontId="30" fillId="11" borderId="0" xfId="0" applyFont="1" applyFill="1"/>
    <xf numFmtId="0" fontId="10" fillId="11" borderId="0" xfId="0" applyFont="1" applyFill="1"/>
    <xf numFmtId="0" fontId="20" fillId="11" borderId="0" xfId="0" applyFont="1" applyFill="1"/>
    <xf numFmtId="14" fontId="0" fillId="11" borderId="0" xfId="4" applyNumberFormat="1" applyFont="1" applyFill="1" applyAlignment="1">
      <alignment horizontal="left"/>
    </xf>
    <xf numFmtId="0" fontId="5" fillId="11" borderId="0" xfId="0" applyFont="1" applyFill="1"/>
    <xf numFmtId="0" fontId="0" fillId="0" borderId="0" xfId="4" applyFont="1" applyFill="1"/>
    <xf numFmtId="2" fontId="0" fillId="0" borderId="0" xfId="2" applyNumberFormat="1" applyFont="1" applyFill="1" applyAlignment="1">
      <alignment horizontal="center"/>
    </xf>
    <xf numFmtId="0" fontId="23" fillId="0" borderId="0" xfId="4" applyFont="1" applyFill="1"/>
    <xf numFmtId="0" fontId="33"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3" fillId="0" borderId="0" xfId="4" applyNumberFormat="1" applyFill="1" applyAlignment="1">
      <alignment horizontal="center"/>
    </xf>
    <xf numFmtId="0" fontId="33" fillId="0" borderId="0" xfId="4" applyFill="1" applyAlignment="1">
      <alignment horizontal="center"/>
    </xf>
    <xf numFmtId="2" fontId="40" fillId="0" borderId="0" xfId="4" applyNumberFormat="1" applyFont="1" applyFill="1"/>
    <xf numFmtId="4" fontId="0" fillId="0" borderId="0" xfId="0" applyNumberFormat="1" applyFill="1"/>
    <xf numFmtId="4" fontId="27"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50" fillId="0" borderId="0" xfId="0" applyNumberFormat="1" applyFont="1" applyAlignment="1">
      <alignment horizontal="left"/>
    </xf>
    <xf numFmtId="2" fontId="39" fillId="0" borderId="0" xfId="0" applyNumberFormat="1" applyFont="1" applyAlignment="1">
      <alignment horizontal="left"/>
    </xf>
    <xf numFmtId="2" fontId="0" fillId="0" borderId="0" xfId="0" quotePrefix="1" applyNumberFormat="1" applyAlignment="1">
      <alignment horizontal="left"/>
    </xf>
    <xf numFmtId="2" fontId="37" fillId="0" borderId="0" xfId="0" applyNumberFormat="1" applyFont="1" applyFill="1" applyAlignment="1">
      <alignment horizontal="left"/>
    </xf>
    <xf numFmtId="2" fontId="8"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6"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9" fillId="0" borderId="0" xfId="2" applyNumberFormat="1" applyFont="1" applyFill="1" applyAlignment="1">
      <alignment horizontal="left"/>
    </xf>
    <xf numFmtId="170" fontId="37" fillId="0" borderId="0" xfId="0" applyNumberFormat="1" applyFont="1" applyFill="1" applyAlignment="1">
      <alignment horizontal="left"/>
    </xf>
    <xf numFmtId="170" fontId="34"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4" fillId="0" borderId="0" xfId="2" applyNumberFormat="1" applyFont="1" applyFill="1" applyAlignment="1">
      <alignment horizontal="left"/>
    </xf>
    <xf numFmtId="170" fontId="54" fillId="0" borderId="0" xfId="0" applyNumberFormat="1" applyFont="1" applyAlignment="1">
      <alignment horizontal="left"/>
    </xf>
    <xf numFmtId="2" fontId="54" fillId="0" borderId="0" xfId="0" applyNumberFormat="1" applyFont="1" applyAlignment="1">
      <alignment horizontal="left"/>
    </xf>
    <xf numFmtId="0" fontId="0" fillId="2" borderId="0" xfId="2" applyNumberFormat="1" applyFont="1" applyFill="1" applyAlignment="1">
      <alignment horizontal="center"/>
    </xf>
    <xf numFmtId="0" fontId="26" fillId="2" borderId="0" xfId="2" applyNumberFormat="1" applyFont="1" applyFill="1" applyAlignment="1">
      <alignment horizontal="center"/>
    </xf>
    <xf numFmtId="0" fontId="45" fillId="2" borderId="0" xfId="2" applyNumberFormat="1" applyFont="1" applyFill="1" applyAlignment="1">
      <alignment horizontal="center"/>
    </xf>
    <xf numFmtId="0" fontId="45" fillId="11" borderId="0" xfId="2" applyNumberFormat="1" applyFont="1" applyFill="1" applyAlignment="1">
      <alignment horizontal="center"/>
    </xf>
    <xf numFmtId="0" fontId="26" fillId="3" borderId="0" xfId="2" applyNumberFormat="1" applyFont="1" applyFill="1" applyAlignment="1">
      <alignment horizontal="center"/>
    </xf>
    <xf numFmtId="0" fontId="26"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9" fillId="3" borderId="0" xfId="0" applyNumberFormat="1" applyFont="1" applyFill="1" applyAlignment="1">
      <alignment horizontal="center"/>
    </xf>
    <xf numFmtId="0" fontId="0" fillId="0" borderId="0" xfId="0" applyNumberFormat="1" applyFill="1" applyAlignment="1">
      <alignment horizontal="center"/>
    </xf>
    <xf numFmtId="2" fontId="26" fillId="2" borderId="0" xfId="2" applyNumberFormat="1" applyFont="1" applyFill="1" applyAlignment="1">
      <alignment horizontal="center"/>
    </xf>
    <xf numFmtId="2" fontId="45" fillId="2" borderId="0" xfId="2" applyNumberFormat="1" applyFont="1" applyFill="1" applyAlignment="1">
      <alignment horizontal="center"/>
    </xf>
    <xf numFmtId="2" fontId="45" fillId="11" borderId="0" xfId="2" applyNumberFormat="1" applyFont="1" applyFill="1" applyAlignment="1">
      <alignment horizontal="center"/>
    </xf>
    <xf numFmtId="2" fontId="26" fillId="3" borderId="0" xfId="2" applyNumberFormat="1" applyFont="1" applyFill="1" applyAlignment="1">
      <alignment horizontal="center"/>
    </xf>
    <xf numFmtId="2" fontId="26" fillId="0" borderId="0" xfId="2" applyNumberFormat="1" applyFont="1" applyFill="1" applyAlignment="1">
      <alignment horizontal="center"/>
    </xf>
    <xf numFmtId="2" fontId="0" fillId="13" borderId="0" xfId="2" applyNumberFormat="1" applyFont="1" applyFill="1" applyAlignment="1">
      <alignment horizontal="center"/>
    </xf>
    <xf numFmtId="2" fontId="55" fillId="15" borderId="0" xfId="2" applyNumberFormat="1" applyFont="1" applyFill="1" applyAlignment="1">
      <alignment horizontal="center"/>
    </xf>
    <xf numFmtId="10" fontId="39"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33"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3" fillId="9" borderId="0" xfId="4" applyNumberFormat="1" applyFill="1" applyAlignment="1">
      <alignment horizontal="center"/>
    </xf>
    <xf numFmtId="0" fontId="33" fillId="9" borderId="0" xfId="4" applyFill="1" applyAlignment="1">
      <alignment horizontal="center"/>
    </xf>
    <xf numFmtId="4" fontId="0" fillId="9" borderId="0" xfId="0" applyNumberFormat="1" applyFill="1"/>
    <xf numFmtId="4" fontId="0" fillId="9" borderId="0" xfId="0" applyNumberFormat="1" applyFill="1" applyAlignment="1">
      <alignment horizontal="center"/>
    </xf>
    <xf numFmtId="0" fontId="0" fillId="9" borderId="0" xfId="0" applyFill="1"/>
    <xf numFmtId="0" fontId="44" fillId="4" borderId="0" xfId="0" applyFont="1" applyFill="1"/>
    <xf numFmtId="14" fontId="0" fillId="4" borderId="0" xfId="0" applyNumberFormat="1" applyFill="1"/>
    <xf numFmtId="0" fontId="53"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0" fontId="0" fillId="13" borderId="0" xfId="0" applyNumberFormat="1" applyFill="1" applyAlignment="1">
      <alignment horizontal="center"/>
    </xf>
    <xf numFmtId="0" fontId="26" fillId="13" borderId="0" xfId="2" applyNumberFormat="1" applyFont="1" applyFill="1" applyAlignment="1">
      <alignment horizontal="center"/>
    </xf>
    <xf numFmtId="2" fontId="26" fillId="13" borderId="0" xfId="2" applyNumberFormat="1" applyFont="1" applyFill="1" applyAlignment="1">
      <alignment horizontal="center"/>
    </xf>
    <xf numFmtId="4" fontId="0" fillId="15" borderId="0" xfId="0" applyNumberFormat="1" applyFill="1" applyAlignment="1">
      <alignment horizontal="center"/>
    </xf>
    <xf numFmtId="0" fontId="39" fillId="15" borderId="0" xfId="0" applyFont="1" applyFill="1" applyAlignment="1">
      <alignment horizontal="center"/>
    </xf>
    <xf numFmtId="0" fontId="27" fillId="15" borderId="0" xfId="4" applyFont="1" applyFill="1" applyAlignment="1">
      <alignment horizontal="center"/>
    </xf>
    <xf numFmtId="2" fontId="40" fillId="15" borderId="0" xfId="4" applyNumberFormat="1" applyFont="1" applyFill="1"/>
    <xf numFmtId="0" fontId="39" fillId="15" borderId="0" xfId="4" applyFont="1" applyFill="1"/>
    <xf numFmtId="3" fontId="27" fillId="15" borderId="0" xfId="4" applyNumberFormat="1" applyFont="1" applyFill="1" applyAlignment="1">
      <alignment horizontal="center"/>
    </xf>
    <xf numFmtId="164" fontId="39" fillId="15" borderId="0" xfId="0" applyNumberFormat="1" applyFont="1" applyFill="1" applyAlignment="1">
      <alignment horizontal="center"/>
    </xf>
    <xf numFmtId="2" fontId="40" fillId="2" borderId="0" xfId="0" applyNumberFormat="1" applyFont="1" applyFill="1"/>
    <xf numFmtId="2" fontId="0" fillId="2" borderId="0" xfId="0" applyNumberFormat="1" applyFill="1"/>
    <xf numFmtId="0" fontId="4" fillId="4" borderId="0" xfId="0" applyFont="1" applyFill="1"/>
    <xf numFmtId="14" fontId="33" fillId="9" borderId="0" xfId="4" applyNumberFormat="1" applyFill="1" applyAlignment="1">
      <alignment horizontal="center"/>
    </xf>
    <xf numFmtId="14" fontId="27" fillId="15" borderId="0" xfId="4" applyNumberFormat="1" applyFont="1" applyFill="1" applyAlignment="1">
      <alignment horizontal="center"/>
    </xf>
    <xf numFmtId="14" fontId="33" fillId="13" borderId="0" xfId="4" applyNumberFormat="1" applyFill="1" applyAlignment="1">
      <alignment horizontal="center"/>
    </xf>
    <xf numFmtId="14" fontId="33" fillId="0" borderId="0" xfId="4" applyNumberFormat="1" applyFill="1" applyAlignment="1">
      <alignment horizontal="center"/>
    </xf>
    <xf numFmtId="2" fontId="33" fillId="9" borderId="0" xfId="4" applyNumberFormat="1" applyFill="1" applyAlignment="1">
      <alignment horizontal="center"/>
    </xf>
    <xf numFmtId="4" fontId="27" fillId="0" borderId="0" xfId="0" applyNumberFormat="1" applyFont="1" applyFill="1"/>
    <xf numFmtId="2" fontId="27" fillId="2" borderId="0" xfId="0" applyNumberFormat="1" applyFont="1" applyFill="1" applyAlignment="1">
      <alignment horizontal="center"/>
    </xf>
    <xf numFmtId="2" fontId="45" fillId="2" borderId="0" xfId="0" applyNumberFormat="1" applyFont="1" applyFill="1" applyAlignment="1">
      <alignment horizontal="center"/>
    </xf>
    <xf numFmtId="2" fontId="45" fillId="11" borderId="0" xfId="0" applyNumberFormat="1" applyFont="1" applyFill="1" applyAlignment="1">
      <alignment horizontal="center"/>
    </xf>
    <xf numFmtId="2" fontId="27" fillId="15" borderId="0" xfId="4" applyNumberFormat="1" applyFont="1" applyFill="1" applyAlignment="1">
      <alignment horizontal="center"/>
    </xf>
    <xf numFmtId="2" fontId="33" fillId="13" borderId="0" xfId="4" applyNumberFormat="1" applyFill="1" applyAlignment="1">
      <alignment horizontal="center"/>
    </xf>
    <xf numFmtId="2" fontId="33" fillId="0" borderId="0" xfId="4" applyNumberFormat="1" applyFill="1" applyAlignment="1">
      <alignment horizontal="center"/>
    </xf>
    <xf numFmtId="167" fontId="0" fillId="0" borderId="0" xfId="0" applyNumberFormat="1" applyAlignment="1">
      <alignment horizontal="left"/>
    </xf>
    <xf numFmtId="0" fontId="0" fillId="4" borderId="0" xfId="0" applyFill="1" applyAlignment="1">
      <alignment horizontal="left"/>
    </xf>
    <xf numFmtId="10" fontId="0" fillId="11" borderId="0" xfId="2" applyNumberFormat="1" applyFont="1" applyFill="1" applyAlignment="1">
      <alignment horizontal="left"/>
    </xf>
    <xf numFmtId="0" fontId="15" fillId="2" borderId="0" xfId="0" applyFont="1" applyFill="1" applyAlignment="1">
      <alignment horizontal="center"/>
    </xf>
    <xf numFmtId="0" fontId="15" fillId="2" borderId="0" xfId="0" applyFont="1" applyFill="1" applyAlignment="1">
      <alignment horizontal="left"/>
    </xf>
    <xf numFmtId="4" fontId="3" fillId="2" borderId="0" xfId="0" applyNumberFormat="1" applyFont="1" applyFill="1"/>
    <xf numFmtId="2" fontId="39" fillId="0" borderId="0" xfId="0" applyNumberFormat="1" applyFont="1" applyFill="1" applyAlignment="1">
      <alignment horizontal="center"/>
    </xf>
    <xf numFmtId="2" fontId="39" fillId="4" borderId="0" xfId="0" applyNumberFormat="1" applyFont="1" applyFill="1" applyAlignment="1">
      <alignment horizontal="center"/>
    </xf>
    <xf numFmtId="4" fontId="0" fillId="15" borderId="0" xfId="0" applyNumberFormat="1" applyFill="1" applyAlignment="1">
      <alignment horizontal="left"/>
    </xf>
    <xf numFmtId="0" fontId="3" fillId="4" borderId="0" xfId="0" applyFont="1" applyFill="1"/>
    <xf numFmtId="0" fontId="3" fillId="9" borderId="0" xfId="4" applyFont="1" applyFill="1"/>
    <xf numFmtId="3" fontId="3" fillId="9" borderId="0" xfId="4" applyNumberFormat="1" applyFont="1" applyFill="1" applyAlignment="1">
      <alignment horizontal="center"/>
    </xf>
    <xf numFmtId="0" fontId="3" fillId="9" borderId="0" xfId="4" applyFont="1" applyFill="1" applyAlignment="1">
      <alignment horizontal="center"/>
    </xf>
    <xf numFmtId="2" fontId="3" fillId="9" borderId="0" xfId="4" applyNumberFormat="1" applyFont="1" applyFill="1" applyAlignment="1">
      <alignment horizontal="center"/>
    </xf>
    <xf numFmtId="4" fontId="3" fillId="9" borderId="0" xfId="0" applyNumberFormat="1" applyFont="1" applyFill="1" applyAlignment="1">
      <alignment horizontal="center"/>
    </xf>
    <xf numFmtId="0" fontId="3" fillId="9" borderId="0" xfId="2" applyNumberFormat="1" applyFont="1" applyFill="1" applyAlignment="1">
      <alignment horizontal="center"/>
    </xf>
    <xf numFmtId="2" fontId="3" fillId="9" borderId="0" xfId="2" applyNumberFormat="1" applyFont="1" applyFill="1" applyAlignment="1">
      <alignment horizontal="center"/>
    </xf>
    <xf numFmtId="164" fontId="0" fillId="9" borderId="0" xfId="0" applyNumberFormat="1" applyFont="1" applyFill="1" applyAlignment="1">
      <alignment horizontal="center"/>
    </xf>
    <xf numFmtId="0" fontId="0" fillId="9" borderId="0" xfId="4" applyFont="1" applyFill="1" applyAlignment="1">
      <alignment horizontal="center"/>
    </xf>
    <xf numFmtId="0" fontId="0" fillId="4" borderId="0" xfId="4" applyFont="1" applyFill="1"/>
    <xf numFmtId="2" fontId="0" fillId="4" borderId="0" xfId="2" applyNumberFormat="1" applyFont="1" applyFill="1" applyAlignment="1">
      <alignment horizontal="center"/>
    </xf>
    <xf numFmtId="0" fontId="3" fillId="4" borderId="0" xfId="4" applyFont="1" applyFill="1"/>
    <xf numFmtId="164" fontId="0" fillId="4" borderId="0" xfId="0" applyNumberFormat="1" applyFont="1" applyFill="1" applyAlignment="1">
      <alignment horizontal="center"/>
    </xf>
    <xf numFmtId="14" fontId="0" fillId="4" borderId="0" xfId="4" applyNumberFormat="1" applyFont="1" applyFill="1" applyAlignment="1">
      <alignment horizontal="left"/>
    </xf>
    <xf numFmtId="14" fontId="33" fillId="4" borderId="0" xfId="4" applyNumberFormat="1" applyFill="1" applyAlignment="1">
      <alignment horizontal="center"/>
    </xf>
    <xf numFmtId="3" fontId="3" fillId="4" borderId="0" xfId="4" applyNumberFormat="1" applyFont="1" applyFill="1" applyAlignment="1">
      <alignment horizontal="center"/>
    </xf>
    <xf numFmtId="3" fontId="33" fillId="4" borderId="0" xfId="4" applyNumberFormat="1" applyFill="1" applyAlignment="1">
      <alignment horizontal="center"/>
    </xf>
    <xf numFmtId="0" fontId="3" fillId="4" borderId="0" xfId="4" applyFont="1" applyFill="1" applyAlignment="1">
      <alignment horizontal="center"/>
    </xf>
    <xf numFmtId="0" fontId="33" fillId="4" borderId="0" xfId="4" applyFill="1" applyAlignment="1">
      <alignment horizontal="center"/>
    </xf>
    <xf numFmtId="2" fontId="33" fillId="4" borderId="0" xfId="4" applyNumberFormat="1" applyFill="1" applyAlignment="1">
      <alignment horizontal="center"/>
    </xf>
    <xf numFmtId="2" fontId="3" fillId="4" borderId="0" xfId="4" applyNumberFormat="1" applyFont="1" applyFill="1" applyAlignment="1">
      <alignment horizontal="center"/>
    </xf>
    <xf numFmtId="0" fontId="0" fillId="4" borderId="0" xfId="4" applyFont="1" applyFill="1" applyAlignment="1">
      <alignment horizontal="center"/>
    </xf>
    <xf numFmtId="4" fontId="0" fillId="4" borderId="0" xfId="0" applyNumberFormat="1" applyFill="1" applyAlignment="1">
      <alignment horizontal="center"/>
    </xf>
    <xf numFmtId="4" fontId="0" fillId="4" borderId="0" xfId="0" applyNumberFormat="1" applyFill="1"/>
    <xf numFmtId="4" fontId="3" fillId="4" borderId="0" xfId="0" applyNumberFormat="1" applyFont="1" applyFill="1" applyAlignment="1">
      <alignment horizontal="center"/>
    </xf>
    <xf numFmtId="0" fontId="3" fillId="4" borderId="0" xfId="2" applyNumberFormat="1" applyFont="1" applyFill="1" applyAlignment="1">
      <alignment horizontal="center"/>
    </xf>
    <xf numFmtId="2" fontId="3" fillId="4" borderId="0" xfId="2" applyNumberFormat="1" applyFont="1" applyFill="1" applyAlignment="1">
      <alignment horizontal="center"/>
    </xf>
    <xf numFmtId="10" fontId="0" fillId="4" borderId="0" xfId="2" applyNumberFormat="1" applyFont="1" applyFill="1" applyAlignment="1">
      <alignment horizontal="left"/>
    </xf>
    <xf numFmtId="2" fontId="39" fillId="9" borderId="0" xfId="0" applyNumberFormat="1" applyFont="1" applyFill="1" applyAlignment="1">
      <alignment horizontal="center"/>
    </xf>
    <xf numFmtId="2" fontId="0" fillId="3" borderId="0" xfId="0" applyNumberFormat="1" applyFill="1" applyAlignment="1">
      <alignment horizontal="center"/>
    </xf>
    <xf numFmtId="0" fontId="45" fillId="3" borderId="0" xfId="0" applyFont="1" applyFill="1" applyAlignment="1">
      <alignment horizontal="center"/>
    </xf>
    <xf numFmtId="0" fontId="45" fillId="3" borderId="0" xfId="2" applyNumberFormat="1" applyFont="1" applyFill="1" applyAlignment="1">
      <alignment horizontal="center"/>
    </xf>
    <xf numFmtId="2" fontId="45" fillId="3" borderId="0" xfId="2" applyNumberFormat="1" applyFont="1" applyFill="1" applyAlignment="1">
      <alignment horizontal="center"/>
    </xf>
    <xf numFmtId="0" fontId="3" fillId="3" borderId="0" xfId="0" applyFont="1" applyFill="1"/>
    <xf numFmtId="0" fontId="3" fillId="3" borderId="0" xfId="0" applyFont="1" applyFill="1" applyAlignment="1">
      <alignment horizontal="left"/>
    </xf>
    <xf numFmtId="0" fontId="3" fillId="3" borderId="0" xfId="0" applyFont="1" applyFill="1" applyAlignment="1">
      <alignment horizontal="center"/>
    </xf>
    <xf numFmtId="2" fontId="0" fillId="3" borderId="0" xfId="0" quotePrefix="1" applyNumberFormat="1" applyFill="1" applyAlignment="1">
      <alignment horizontal="center"/>
    </xf>
    <xf numFmtId="14" fontId="0" fillId="3" borderId="0" xfId="4" applyNumberFormat="1" applyFont="1" applyFill="1" applyAlignment="1">
      <alignment horizontal="left"/>
    </xf>
    <xf numFmtId="14" fontId="0" fillId="3" borderId="0" xfId="0" applyNumberFormat="1" applyFill="1" applyAlignment="1">
      <alignment horizontal="center"/>
    </xf>
    <xf numFmtId="2" fontId="45" fillId="3" borderId="0" xfId="0" applyNumberFormat="1" applyFont="1" applyFill="1" applyAlignment="1">
      <alignment horizontal="center"/>
    </xf>
    <xf numFmtId="2" fontId="0" fillId="3" borderId="0" xfId="0" applyNumberFormat="1" applyFill="1"/>
    <xf numFmtId="0" fontId="0" fillId="3" borderId="0" xfId="0" applyFill="1"/>
    <xf numFmtId="2" fontId="3" fillId="0" borderId="0" xfId="0" applyNumberFormat="1" applyFont="1" applyFill="1" applyAlignment="1">
      <alignment horizontal="left"/>
    </xf>
    <xf numFmtId="2" fontId="34" fillId="0" borderId="0" xfId="0" applyNumberFormat="1" applyFont="1" applyAlignment="1">
      <alignment horizontal="left"/>
    </xf>
    <xf numFmtId="14" fontId="0" fillId="0" borderId="0" xfId="0" applyNumberFormat="1" applyFill="1" applyAlignment="1">
      <alignment horizontal="left"/>
    </xf>
    <xf numFmtId="0" fontId="0" fillId="6" borderId="0" xfId="0" applyFill="1" applyAlignment="1">
      <alignment horizontal="left"/>
    </xf>
    <xf numFmtId="0" fontId="2" fillId="13" borderId="0" xfId="4" applyFont="1" applyFill="1"/>
    <xf numFmtId="0" fontId="2" fillId="4" borderId="0" xfId="0" applyFont="1" applyFill="1"/>
    <xf numFmtId="0" fontId="1" fillId="4" borderId="0" xfId="0" applyFont="1" applyFill="1"/>
    <xf numFmtId="0" fontId="54" fillId="0" borderId="0" xfId="0" applyFont="1" applyAlignment="1">
      <alignment horizontal="left"/>
    </xf>
    <xf numFmtId="2" fontId="0" fillId="0" borderId="0" xfId="1" applyNumberFormat="1" applyFont="1" applyAlignment="1">
      <alignment horizontal="center"/>
    </xf>
    <xf numFmtId="0" fontId="36" fillId="0" borderId="0" xfId="0" applyFont="1" applyAlignment="1">
      <alignment horizontal="center" vertical="center"/>
    </xf>
    <xf numFmtId="0" fontId="0" fillId="0" borderId="0" xfId="0" applyAlignment="1">
      <alignment horizontal="center" vertical="center"/>
    </xf>
    <xf numFmtId="0" fontId="35" fillId="0" borderId="0" xfId="0" applyFont="1" applyAlignment="1">
      <alignment horizontal="center" vertical="center"/>
    </xf>
    <xf numFmtId="0" fontId="35" fillId="0" borderId="1" xfId="0" applyFont="1" applyBorder="1" applyAlignment="1">
      <alignment horizontal="center" vertical="center"/>
    </xf>
    <xf numFmtId="43" fontId="35" fillId="0" borderId="0" xfId="3" applyFont="1" applyBorder="1" applyAlignment="1">
      <alignment horizontal="center" vertical="center"/>
    </xf>
    <xf numFmtId="43" fontId="35" fillId="0" borderId="1" xfId="3" applyFont="1" applyBorder="1" applyAlignment="1">
      <alignment horizontal="center" vertical="center"/>
    </xf>
    <xf numFmtId="10" fontId="35" fillId="0" borderId="0" xfId="0" applyNumberFormat="1" applyFont="1" applyAlignment="1">
      <alignment horizontal="center" vertical="center"/>
    </xf>
    <xf numFmtId="10" fontId="35" fillId="0" borderId="1" xfId="0" applyNumberFormat="1" applyFont="1" applyBorder="1" applyAlignment="1">
      <alignment horizontal="center" vertical="center"/>
    </xf>
    <xf numFmtId="0" fontId="35" fillId="0" borderId="0" xfId="0" applyFont="1" applyAlignment="1">
      <alignment horizontal="left" vertical="center"/>
    </xf>
    <xf numFmtId="0" fontId="35" fillId="0" borderId="1" xfId="0" applyFont="1" applyBorder="1" applyAlignment="1">
      <alignment horizontal="left" vertical="center"/>
    </xf>
    <xf numFmtId="165" fontId="35" fillId="0" borderId="0" xfId="0" applyNumberFormat="1" applyFont="1" applyAlignment="1">
      <alignment horizontal="center" vertical="center"/>
    </xf>
    <xf numFmtId="165" fontId="35"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26">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BDP|15989991603287870115</stp>
        <tr r="J22" s="23"/>
      </tp>
      <tp t="e">
        <v>#N/A</v>
        <stp/>
        <stp>BDP|12134297494341899294</stp>
        <tr r="Y7" s="23"/>
      </tp>
      <tp t="e">
        <v>#N/A</v>
        <stp/>
        <stp>BDP|10023381377726016806</stp>
        <tr r="I4" s="4"/>
      </tp>
      <tp t="e">
        <v>#N/A</v>
        <stp/>
        <stp>BDP|14560468550169911649</stp>
        <tr r="I27" s="4"/>
      </tp>
      <tp t="e">
        <v>#N/A</v>
        <stp/>
        <stp>BDP|13947519691835141080</stp>
        <tr r="S7" s="23"/>
      </tp>
      <tp t="e">
        <v>#N/A</v>
        <stp/>
        <stp>BDP|16116934142481516069</stp>
        <tr r="AJ11" s="23"/>
      </tp>
      <tp t="e">
        <v>#N/A</v>
        <stp/>
        <stp>BDP|15693475503428961387</stp>
        <tr r="C4" s="4"/>
      </tp>
      <tp t="e">
        <v>#N/A</v>
        <stp/>
        <stp>BDP|14184535627869706003</stp>
        <tr r="Y2" s="23"/>
      </tp>
      <tp t="e">
        <v>#N/A</v>
        <stp/>
        <stp>BDP|18035930212338467272</stp>
        <tr r="S25" s="23"/>
        <tr r="S26" s="23"/>
        <tr r="S27" s="23"/>
      </tp>
      <tp t="e">
        <v>#N/A</v>
        <stp/>
        <stp>BDP|16955186808228553442</stp>
        <tr r="AK17" s="23"/>
      </tp>
      <tp t="e">
        <v>#N/A</v>
        <stp/>
        <stp>BDP|15010593503983366858</stp>
        <tr r="AL3" s="23"/>
      </tp>
      <tp t="e">
        <v>#N/A</v>
        <stp/>
        <stp>BDP|15294539785383761061</stp>
        <tr r="S3" s="23"/>
      </tp>
      <tp t="e">
        <v>#N/A</v>
        <stp/>
        <stp>BDP|11570349481175435418</stp>
        <tr r="X23" s="23"/>
      </tp>
      <tp t="e">
        <v>#N/A</v>
        <stp/>
        <stp>BDP|17417020704949044558</stp>
        <tr r="AL16" s="23"/>
      </tp>
      <tp t="s">
        <v>#N/A Requesting Data...4275273147</v>
        <stp/>
        <stp>BDH|11325773397731855544</stp>
        <tr r="C2" s="43"/>
      </tp>
      <tp t="e">
        <v>#N/A</v>
        <stp/>
        <stp>BDP|17122124394927839074</stp>
        <tr r="I35" s="4"/>
      </tp>
      <tp t="e">
        <v>#N/A</v>
        <stp/>
        <stp>BDP|10684849418118026923</stp>
        <tr r="M4" s="23"/>
      </tp>
      <tp t="e">
        <v>#N/A</v>
        <stp/>
        <stp>BDP|17569677018169590133</stp>
        <tr r="C5" s="4"/>
      </tp>
      <tp t="s">
        <v>#N/A Requesting Data...4286472771</v>
        <stp/>
        <stp>BDH|17697365131119071699</stp>
        <tr r="T2" s="41"/>
      </tp>
      <tp t="e">
        <v>#N/A</v>
        <stp/>
        <stp>BDP|16112788416441751802</stp>
        <tr r="AK10" s="23"/>
      </tp>
      <tp t="e">
        <v>#N/A</v>
        <stp/>
        <stp>BDP|11316539219225429971</stp>
        <tr r="M22" s="4"/>
      </tp>
      <tp t="e">
        <v>#N/A</v>
        <stp/>
        <stp>BDP|13644928927078680971</stp>
        <tr r="I16" s="4"/>
      </tp>
      <tp t="e">
        <v>#N/A</v>
        <stp/>
        <stp>BDP|14134313481293135542</stp>
        <tr r="Y6" s="23"/>
      </tp>
      <tp t="e">
        <v>#N/A</v>
        <stp/>
        <stp>BDP|14031903453057655616</stp>
        <tr r="C28" s="4"/>
      </tp>
      <tp t="e">
        <v>#N/A</v>
        <stp/>
        <stp>BDP|12325771976928070353</stp>
        <tr r="AM4" s="23"/>
      </tp>
      <tp t="e">
        <v>#N/A</v>
        <stp/>
        <stp>BDP|10928719803449194027</stp>
        <tr r="AJ5" s="23"/>
      </tp>
      <tp t="e">
        <v>#N/A</v>
        <stp/>
        <stp>BDP|11181787977958489729</stp>
        <tr r="C3" s="4"/>
      </tp>
      <tp t="e">
        <v>#N/A</v>
        <stp/>
        <stp>BDP|13898246287300798742</stp>
        <tr r="M3" s="4"/>
      </tp>
      <tp t="e">
        <v>#N/A</v>
        <stp/>
        <stp>BDP|16911336546699028677</stp>
        <tr r="AM12" s="23"/>
        <tr r="AM13" s="23"/>
      </tp>
      <tp t="e">
        <v>#N/A</v>
        <stp/>
        <stp>BDP|15928966263206430229</stp>
        <tr r="M3" s="23"/>
      </tp>
      <tp t="e">
        <v>#N/A</v>
        <stp/>
        <stp>BDP|11256173765939914144</stp>
        <tr r="B15" s="23"/>
      </tp>
      <tp t="e">
        <v>#N/A</v>
        <stp/>
        <stp>BDP|17696966774325959211</stp>
        <tr r="X4" s="23"/>
      </tp>
      <tp t="e">
        <v>#N/A</v>
        <stp/>
        <stp>BDP|16426863604891032191</stp>
        <tr r="C30" s="4"/>
      </tp>
      <tp t="e">
        <v>#N/A</v>
        <stp/>
        <stp>BDP|11146723062338185621</stp>
        <tr r="S19" s="23"/>
      </tp>
      <tp t="e">
        <v>#N/A</v>
        <stp/>
        <stp>BDP|15873308514939029153</stp>
        <tr r="AL15" s="23"/>
      </tp>
      <tp t="e">
        <v>#N/A</v>
        <stp/>
        <stp>BDP|17186305615073883972</stp>
        <tr r="J19" s="23"/>
      </tp>
      <tp t="e">
        <v>#N/A</v>
        <stp/>
        <stp>BDP|10234886125292118723</stp>
        <tr r="C8" s="4"/>
      </tp>
      <tp t="e">
        <v>#N/A</v>
        <stp/>
        <stp>BDP|13235865040045491507</stp>
        <tr r="B20" s="23"/>
      </tp>
      <tp t="e">
        <v>#N/A</v>
        <stp/>
        <stp>BDP|18247426544570739708</stp>
        <tr r="AL4" s="23"/>
      </tp>
      <tp t="e">
        <v>#N/A</v>
        <stp/>
        <stp>BDP|14189524033168791543</stp>
        <tr r="B18" s="23"/>
      </tp>
      <tp t="e">
        <v>#N/A</v>
        <stp/>
        <stp>BDP|16781857257465097101</stp>
        <tr r="M6" s="23"/>
      </tp>
      <tp t="e">
        <v>#N/A</v>
        <stp/>
        <stp>BDP|15224213502460012841</stp>
        <tr r="C32" s="4"/>
      </tp>
      <tp t="e">
        <v>#N/A</v>
        <stp/>
        <stp>BDP|13341041747468365079</stp>
        <tr r="I15" s="4"/>
      </tp>
      <tp t="e">
        <v>#N/A</v>
        <stp/>
        <stp>BDP|15036397347806548801</stp>
        <tr r="X11" s="23"/>
      </tp>
      <tp t="e">
        <v>#N/A</v>
        <stp/>
        <stp>BDP|11725737269705717951</stp>
        <tr r="AL11" s="23"/>
      </tp>
      <tp t="e">
        <v>#N/A</v>
        <stp/>
        <stp>BDP|13693943563594827533</stp>
        <tr r="B23" s="23"/>
      </tp>
      <tp t="e">
        <v>#N/A</v>
        <stp/>
        <stp>BDP|15903597288054317118</stp>
        <tr r="C21" s="4"/>
      </tp>
      <tp t="e">
        <v>#N/A</v>
        <stp/>
        <stp>BDP|10670964890118361526</stp>
        <tr r="C22" s="4"/>
      </tp>
      <tp t="e">
        <v>#N/A</v>
        <stp/>
        <stp>BDP|18036346576324226523</stp>
        <tr r="B2" s="23"/>
      </tp>
      <tp t="e">
        <v>#N/A</v>
        <stp/>
        <stp>BDP|18416579714343074206</stp>
        <tr r="I34" s="4"/>
      </tp>
      <tp t="s">
        <v>#N/A Requesting Data...4289056554</v>
        <stp/>
        <stp>BDH|17613748098246620241</stp>
        <tr r="J2" s="41"/>
      </tp>
      <tp t="e">
        <v>#N/A</v>
        <stp/>
        <stp>BDP|17082992825917412916</stp>
        <tr r="X15" s="23"/>
      </tp>
      <tp t="e">
        <v>#N/A</v>
        <stp/>
        <stp>BDP|10926701680148855591</stp>
        <tr r="AJ25" s="23"/>
        <tr r="AJ26" s="23"/>
        <tr r="AJ27" s="23"/>
      </tp>
      <tp t="e">
        <v>#N/A</v>
        <stp/>
        <stp>BDP|15642656151966931251</stp>
        <tr r="I13" s="4"/>
      </tp>
      <tp t="e">
        <v>#N/A</v>
        <stp/>
        <stp>BDP|16493688265034794009</stp>
        <tr r="C26" s="4"/>
      </tp>
      <tp t="e">
        <v>#N/A</v>
        <stp/>
        <stp>BDP|12254839202759748140</stp>
        <tr r="AL3" s="23"/>
      </tp>
      <tp t="e">
        <v>#N/A</v>
        <stp/>
        <stp>BDP|14652868731688575576</stp>
        <tr r="B19" s="23"/>
      </tp>
      <tp t="e">
        <v>#N/A</v>
        <stp/>
        <stp>BDP|12333951617660707847</stp>
        <tr r="C7" s="4"/>
      </tp>
      <tp t="s">
        <v>#N/A Requesting Data...4287767701</v>
        <stp/>
        <stp>BDH|11358569618326246129</stp>
        <tr r="A2" s="43"/>
      </tp>
      <tp t="s">
        <v>#N/A Requesting Data...4291726009</v>
        <stp/>
        <stp>BDH|11320706155636963718</stp>
        <tr r="A2" s="42"/>
      </tp>
      <tp t="e">
        <v>#N/A</v>
        <stp/>
        <stp>BDP|14675241791769825503</stp>
        <tr r="I10" s="4"/>
      </tp>
      <tp t="e">
        <v>#N/A</v>
        <stp/>
        <stp>BDP|13585155503219419890</stp>
        <tr r="AJ15" s="23"/>
      </tp>
      <tp t="e">
        <v>#N/A</v>
        <stp/>
        <stp>BDP|16944786411641123202</stp>
        <tr r="C16" s="4"/>
      </tp>
      <tp t="e">
        <v>#N/A</v>
        <stp/>
        <stp>BDP|12059162096938090135</stp>
        <tr r="I17" s="4"/>
      </tp>
      <tp t="e">
        <v>#N/A</v>
        <stp/>
        <stp>BDP|17943083472810838396</stp>
        <tr r="I20" s="4"/>
      </tp>
      <tp t="e">
        <v>#N/A</v>
        <stp/>
        <stp>BDP|15757783703213997222</stp>
        <tr r="AK25" s="23"/>
      </tp>
      <tp t="e">
        <v>#N/A</v>
        <stp/>
        <stp>BDP|10429291574616803075</stp>
        <tr r="M9" s="4"/>
      </tp>
      <tp t="s">
        <v>#N/A Requesting Data...366618028</v>
        <stp/>
        <stp>BDH|13291389010724336608</stp>
        <tr r="C2" s="42"/>
      </tp>
      <tp t="e">
        <v>#N/A</v>
        <stp/>
        <stp>BDP|15679033501370088584</stp>
        <tr r="AM10" s="23"/>
      </tp>
      <tp t="e">
        <v>#N/A</v>
        <stp/>
        <stp>BDP|16809310746926640774</stp>
        <tr r="B7" s="23"/>
      </tp>
      <tp t="e">
        <v>#N/A</v>
        <stp/>
        <stp>BDP|14659274051481976285</stp>
        <tr r="I24" s="4"/>
      </tp>
      <tp t="e">
        <v>#N/A</v>
        <stp/>
        <stp>BDP|17146268792454850896</stp>
        <tr r="M11" s="4"/>
      </tp>
      <tp t="e">
        <v>#N/A</v>
        <stp/>
        <stp>BDP|14482763524825428462</stp>
        <tr r="X5" s="23"/>
      </tp>
      <tp t="e">
        <v>#N/A</v>
        <stp/>
        <stp>BDP|14152591019902839324</stp>
        <tr r="I14" s="4"/>
      </tp>
      <tp t="e">
        <v>#N/A</v>
        <stp/>
        <stp>BDP|10755429149808847999</stp>
        <tr r="S12" s="23"/>
        <tr r="S13" s="23"/>
        <tr r="S14" s="23"/>
      </tp>
      <tp t="e">
        <v>#N/A</v>
        <stp/>
        <stp>BDP|12666793100581077522</stp>
        <tr r="AK15" s="23"/>
      </tp>
      <tp t="e">
        <v>#N/A</v>
        <stp/>
        <stp>BDP|12068027225474124586</stp>
        <tr r="AL10" s="23"/>
      </tp>
      <tp t="e">
        <v>#N/A</v>
        <stp/>
        <stp>BDP|12586341660083209536</stp>
        <tr r="X10" s="23"/>
      </tp>
      <tp t="e">
        <v>#N/A</v>
        <stp/>
        <stp>BDP|13526828353188422737</stp>
        <tr r="X22" s="23"/>
      </tp>
      <tp t="e">
        <v>#N/A</v>
        <stp/>
        <stp>BDP|17303031768357326792</stp>
        <tr r="J20" s="23"/>
      </tp>
      <tp t="e">
        <v>#N/A</v>
        <stp/>
        <stp>BDP|16427387557605906473</stp>
        <tr r="AK19" s="23"/>
      </tp>
      <tp t="e">
        <v>#N/A</v>
        <stp/>
        <stp>BDP|11095217234565680467</stp>
        <tr r="M15" s="4"/>
      </tp>
      <tp t="e">
        <v>#N/A</v>
        <stp/>
        <stp>BDP|14130078267505734610</stp>
        <tr r="X7" s="23"/>
      </tp>
      <tp t="s">
        <v>#N/A Requesting Data...2350402308</v>
        <stp/>
        <stp>BDH|15725758679426414254</stp>
        <tr r="O2" s="42"/>
      </tp>
      <tp t="e">
        <v>#N/A</v>
        <stp/>
        <stp>BDP|17002171288941054954</stp>
        <tr r="AK12" s="23"/>
        <tr r="AK13" s="23"/>
      </tp>
      <tp t="e">
        <v>#N/A</v>
        <stp/>
        <stp>BDP|10971048132656186342</stp>
        <tr r="M5" s="23"/>
      </tp>
      <tp t="e">
        <v>#N/A</v>
        <stp/>
        <stp>BDP|11858761408433278398</stp>
        <tr r="AK7" s="23"/>
      </tp>
      <tp t="e">
        <v>#N/A</v>
        <stp/>
        <stp>BDP|17156090249207906256</stp>
        <tr r="I26" s="4"/>
      </tp>
      <tp t="e">
        <v>#N/A</v>
        <stp/>
        <stp>BDP|15496460766295180465</stp>
        <tr r="C14" s="4"/>
      </tp>
      <tp t="e">
        <v>#N/A</v>
        <stp/>
        <stp>BDP|16028825183275095566</stp>
        <tr r="AK2" s="23"/>
      </tp>
      <tp t="s">
        <v>#N/A Requesting Data...1129194233</v>
        <stp/>
        <stp>BDH|17288106953281590427</stp>
        <tr r="K2" s="42"/>
      </tp>
      <tp t="s">
        <v>#N/A Requesting Data...1710649658</v>
        <stp/>
        <stp>BDH|14574392743987075235</stp>
        <tr r="O2" s="41"/>
      </tp>
      <tp t="e">
        <v>#N/A</v>
        <stp/>
        <stp>BDP|17972114924397710432</stp>
        <tr r="X18" s="23"/>
      </tp>
      <tp t="e">
        <v>#N/A</v>
        <stp/>
        <stp>BDP|18350512034791253880</stp>
        <tr r="AM17" s="23"/>
      </tp>
      <tp t="e">
        <v>#N/A</v>
        <stp/>
        <stp>BDP|14460888612989500345</stp>
        <tr r="AM3" s="23"/>
      </tp>
      <tp t="e">
        <v>#N/A</v>
        <stp/>
        <stp>BDP|12403851424746830931</stp>
        <tr r="I6" s="4"/>
      </tp>
      <tp t="e">
        <v>#N/A</v>
        <stp/>
        <stp>BDP|11354946837614428843</stp>
        <tr r="B30" s="23"/>
      </tp>
      <tp t="e">
        <v>#N/A</v>
        <stp/>
        <stp>BDP|10475689608923097260</stp>
        <tr r="S24" s="23"/>
      </tp>
      <tp t="s">
        <v>#N/A Requesting Data...2415672981</v>
        <stp/>
        <stp>BDH|13847984408758609532</stp>
        <tr r="L2" s="41"/>
      </tp>
      <tp t="s">
        <v>#N/A Requesting Data...1073368618</v>
        <stp/>
        <stp>BDH|18322949808586056007</stp>
        <tr r="D2" s="41"/>
      </tp>
      <tp t="e">
        <v>#N/A</v>
        <stp/>
        <stp>BDP|11038007062703358082</stp>
        <tr r="AM11" s="23"/>
      </tp>
      <tp t="e">
        <v>#N/A</v>
        <stp/>
        <stp>BDP|13039794824055571772</stp>
        <tr r="I8" s="4"/>
      </tp>
      <tp t="e">
        <v>#N/A</v>
        <stp/>
        <stp>BDP|13541416802201964203</stp>
        <tr r="I31" s="4"/>
      </tp>
      <tp t="e">
        <v>#N/A</v>
        <stp/>
        <stp>BDP|16886593521933834698</stp>
        <tr r="AK24" s="23"/>
      </tp>
      <tp t="e">
        <v>#N/A</v>
        <stp/>
        <stp>BDP|12929365060125773693</stp>
        <tr r="I22" s="4"/>
      </tp>
      <tp t="e">
        <v>#N/A</v>
        <stp/>
        <stp>BDP|14571436704760714469</stp>
        <tr r="I33" s="4"/>
      </tp>
      <tp t="e">
        <v>#N/A</v>
        <stp/>
        <stp>BDP|13538606854720069467</stp>
        <tr r="M7" s="4"/>
      </tp>
      <tp t="e">
        <v>#N/A</v>
        <stp/>
        <stp>BDP|15720283106273765084</stp>
        <tr r="M14" s="4"/>
      </tp>
      <tp t="s">
        <v>#N/A Requesting Data...2085971845</v>
        <stp/>
        <stp>BDH|17976304934471144251</stp>
        <tr r="Q2" s="41"/>
      </tp>
      <tp t="s">
        <v>#N/A Requesting Data...1467195851</v>
        <stp/>
        <stp>BDH|14095363864392986704</stp>
        <tr r="E2" s="41"/>
      </tp>
      <tp t="s">
        <v>#N/A Requesting Data...3138169811</v>
        <stp/>
        <stp>BDH|13097947731408857571</stp>
        <tr r="S2" s="42"/>
      </tp>
      <tp t="e">
        <v>#N/A</v>
        <stp/>
        <stp>BDP|17857046966936676214</stp>
        <tr r="C18" s="4"/>
      </tp>
      <tp t="e">
        <v>#N/A</v>
        <stp/>
        <stp>BDP|15369573210045765122</stp>
        <tr r="I3" s="4"/>
      </tp>
      <tp t="e">
        <v>#N/A</v>
        <stp/>
        <stp>BDP|15087651850946790523</stp>
        <tr r="I18" s="4"/>
      </tp>
      <tp t="e">
        <v>#N/A</v>
        <stp/>
        <stp>BDP|12215212083759292408</stp>
        <tr r="AL16" s="23"/>
      </tp>
      <tp t="e">
        <v>#N/A</v>
        <stp/>
        <stp>BDP|16138106377965860086</stp>
        <tr r="J25" s="23"/>
        <tr r="J26" s="23"/>
        <tr r="J27" s="23"/>
      </tp>
      <tp t="e">
        <v>#N/A</v>
        <stp/>
        <stp>BDP|15803697554256555565</stp>
        <tr r="B3" s="23"/>
      </tp>
      <tp t="s">
        <v>#N/A Requesting Data...530486446</v>
        <stp/>
        <stp>BDH|12695856139929307590</stp>
        <tr r="G2" s="41"/>
      </tp>
      <tp t="s">
        <v>#N/A Requesting Data...228399545</v>
        <stp/>
        <stp>BDH|14731368955580401729</stp>
        <tr r="U2" s="41"/>
      </tp>
      <tp t="s">
        <v>#N/A Requesting Data...2982439238</v>
        <stp/>
        <stp>BDH|15658462674624761773</stp>
        <tr r="I2" s="42"/>
      </tp>
    </main>
    <main first="bofaddin.rtdserver">
      <tp t="e">
        <v>#N/A</v>
        <stp/>
        <stp>BDP|3932833410537706170</stp>
        <tr r="I9" s="4"/>
      </tp>
      <tp t="e">
        <v>#N/A</v>
        <stp/>
        <stp>BDP|8789595962523213461</stp>
        <tr r="AJ17" s="23"/>
      </tp>
      <tp t="s">
        <v>#N/A Requesting Data...4170742803</v>
        <stp/>
        <stp>BDH|1951893229235300264</stp>
        <tr r="Q2" s="42"/>
      </tp>
      <tp t="e">
        <v>#N/A</v>
        <stp/>
        <stp>BDP|9303561570080173767</stp>
        <tr r="AL5" s="23"/>
      </tp>
      <tp t="e">
        <v>#N/A</v>
        <stp/>
        <stp>BDP|9234325000185230332</stp>
        <tr r="C24" s="4"/>
      </tp>
      <tp t="e">
        <v>#N/A</v>
        <stp/>
        <stp>BDP|1228991366414778729</stp>
        <tr r="C6" s="4"/>
      </tp>
      <tp t="s">
        <v>#N/A Requesting Data...3913728818</v>
        <stp/>
        <stp>BDH|9366042907755045192</stp>
        <tr r="C2" s="41"/>
      </tp>
      <tp t="e">
        <v>#N/A</v>
        <stp/>
        <stp>BDP|9064014884388944428</stp>
        <tr r="C17" s="4"/>
      </tp>
      <tp t="e">
        <v>#N/A</v>
        <stp/>
        <stp>BDP|1577213379038935144</stp>
        <tr r="X3" s="23"/>
      </tp>
      <tp t="e">
        <v>#N/A</v>
        <stp/>
        <stp>BDP|5824340431331816940</stp>
        <tr r="S10" s="23"/>
      </tp>
      <tp t="e">
        <v>#N/A</v>
        <stp/>
        <stp>BDP|4308716993144270323</stp>
        <tr r="B16" s="23"/>
      </tp>
      <tp t="e">
        <v>#N/A</v>
        <stp/>
        <stp>BDP|4042570187295102104</stp>
        <tr r="J24" s="23"/>
      </tp>
      <tp t="e">
        <v>#N/A</v>
        <stp/>
        <stp>BDP|6013605140930681928</stp>
        <tr r="AM5" s="23"/>
      </tp>
      <tp t="e">
        <v>#N/A</v>
        <stp/>
        <stp>BDP|5893553125419419575</stp>
        <tr r="C23" s="4"/>
      </tp>
      <tp t="e">
        <v>#N/A</v>
        <stp/>
        <stp>BDP|9829705635995703635</stp>
        <tr r="C27" s="4"/>
      </tp>
      <tp t="e">
        <v>#N/A</v>
        <stp/>
        <stp>BDP|2000772609903770806</stp>
        <tr r="B25" s="23"/>
      </tp>
      <tp t="e">
        <v>#N/A</v>
        <stp/>
        <stp>BDP|1930133090791511668</stp>
        <tr r="AJ12" s="23"/>
        <tr r="AJ13" s="23"/>
      </tp>
      <tp t="e">
        <v>#N/A</v>
        <stp/>
        <stp>BDP|3600755198957791423</stp>
        <tr r="C12" s="4"/>
      </tp>
      <tp t="e">
        <v>#N/A</v>
        <stp/>
        <stp>BDP|9881075535250410430</stp>
        <tr r="C11" s="4"/>
      </tp>
      <tp t="e">
        <v>#N/A</v>
        <stp/>
        <stp>BDP|3028153464983471972</stp>
        <tr r="C9" s="4"/>
      </tp>
      <tp t="s">
        <v>#N/A Requesting Data...312670499</v>
        <stp/>
        <stp>BDH|4575880492742405984</stp>
        <tr r="W2" s="41"/>
      </tp>
      <tp t="e">
        <v>#N/A</v>
        <stp/>
        <stp>BDP|9372264810113700726</stp>
        <tr r="Y3" s="23"/>
      </tp>
      <tp t="e">
        <v>#N/A</v>
        <stp/>
        <stp>BDP|3283988564837872513</stp>
        <tr r="C25" s="4"/>
      </tp>
      <tp t="s">
        <v>#N/A Requesting Data...2438671598</v>
        <stp/>
        <stp>BDH|4461482099134347311</stp>
        <tr r="H2" s="42"/>
      </tp>
      <tp t="e">
        <v>#N/A</v>
        <stp/>
        <stp>BDP|2158009914089622475</stp>
        <tr r="AK16" s="23"/>
      </tp>
      <tp t="e">
        <v>#N/A</v>
        <stp/>
        <stp>BDP|9080047601032528542</stp>
        <tr r="M23" s="4"/>
      </tp>
      <tp t="e">
        <v>#N/A</v>
        <stp/>
        <stp>BDP|2458335876571332899</stp>
        <tr r="AK3" s="23"/>
      </tp>
      <tp t="s">
        <v>#N/A Requesting Data...2283799922</v>
        <stp/>
        <stp>BDH|9712605651244030148</stp>
        <tr r="D2" s="43"/>
      </tp>
      <tp t="e">
        <v>#N/A</v>
        <stp/>
        <stp>BDP|7467107440899088448</stp>
        <tr r="C10" s="4"/>
      </tp>
      <tp t="e">
        <v>#N/A</v>
        <stp/>
        <stp>BDP|1226152690706411050</stp>
        <tr r="AL11" s="23"/>
      </tp>
      <tp t="e">
        <v>#N/A</v>
        <stp/>
        <stp>BDP|2130889054024945360</stp>
        <tr r="I21" s="4"/>
      </tp>
      <tp t="e">
        <v>#N/A</v>
        <stp/>
        <stp>BDP|2927293155024131960</stp>
        <tr r="M7" s="23"/>
      </tp>
      <tp t="e">
        <v>#N/A</v>
        <stp/>
        <stp>BDP|9383281948241306645</stp>
        <tr r="M25" s="4"/>
      </tp>
      <tp t="e">
        <v>#N/A</v>
        <stp/>
        <stp>BDP|5584100136147758995</stp>
        <tr r="AL12" s="23"/>
        <tr r="AL13" s="23"/>
      </tp>
      <tp t="e">
        <v>#N/A</v>
        <stp/>
        <stp>BDP|6665899614890097665</stp>
        <tr r="B24" s="23"/>
      </tp>
      <tp t="e">
        <v>#N/A</v>
        <stp/>
        <stp>BDP|6560099609608238754</stp>
        <tr r="M6" s="4"/>
      </tp>
      <tp t="s">
        <v>#N/A Requesting Data...1484350367</v>
        <stp/>
        <stp>BDH|6103152656708321336</stp>
        <tr r="G2" s="43"/>
      </tp>
      <tp t="e">
        <v>#N/A</v>
        <stp/>
        <stp>BDP|1143418862238242263</stp>
        <tr r="AM16" s="23"/>
      </tp>
      <tp t="e">
        <v>#N/A</v>
        <stp/>
        <stp>BDP|7536027870481078816</stp>
        <tr r="M8" s="4"/>
      </tp>
      <tp t="e">
        <v>#N/A</v>
        <stp/>
        <stp>BDP|6306886325096520009</stp>
        <tr r="I25" s="4"/>
      </tp>
      <tp t="e">
        <v>#N/A</v>
        <stp/>
        <stp>BDP|2402084392922431368</stp>
        <tr r="J18" s="23"/>
      </tp>
      <tp t="e">
        <v>#N/A</v>
        <stp/>
        <stp>BDP|6488914245957400695</stp>
        <tr r="C29" s="4"/>
      </tp>
      <tp t="s">
        <v>#N/A Requesting Data...4268670764</v>
        <stp/>
        <stp>BDH|1369995069351923588</stp>
        <tr r="P2" s="41"/>
      </tp>
      <tp t="e">
        <v>#N/A</v>
        <stp/>
        <stp>BDP|6403771474819378541</stp>
        <tr r="I12" s="4"/>
      </tp>
      <tp t="e">
        <v>#N/A</v>
        <stp/>
        <stp>BDP|3564682182794626391</stp>
        <tr r="M27" s="4"/>
      </tp>
      <tp t="e">
        <v>#N/A</v>
        <stp/>
        <stp>BDP|9049066006157770463</stp>
        <tr r="J21" s="23"/>
      </tp>
      <tp t="s">
        <v>#N/A Requesting Data...1404537204</v>
        <stp/>
        <stp>BDH|1801645276783313981</stp>
        <tr r="F2" s="42"/>
      </tp>
      <tp t="e">
        <v>#N/A</v>
        <stp/>
        <stp>BDP|5644558592914624709</stp>
        <tr r="X12" s="23"/>
      </tp>
      <tp t="s">
        <v>#N/A Requesting Data...3663072380</v>
        <stp/>
        <stp>BDH|9444265771316303071</stp>
        <tr r="N2" s="42"/>
      </tp>
      <tp t="e">
        <v>#N/A</v>
        <stp/>
        <stp>BDP|8924190189463030916</stp>
        <tr r="B22" s="23"/>
      </tp>
      <tp t="e">
        <v>#N/A</v>
        <stp/>
        <stp>BDP|6987467320142537953</stp>
        <tr r="M26" s="4"/>
      </tp>
      <tp t="e">
        <v>#N/A</v>
        <stp/>
        <stp>BDP|9624404748343915185</stp>
        <tr r="C20" s="4"/>
      </tp>
      <tp t="e">
        <v>#N/A</v>
        <stp/>
        <stp>BDP|9695481288766413814</stp>
        <tr r="M20" s="4"/>
      </tp>
      <tp t="e">
        <v>#N/A</v>
        <stp/>
        <stp>BDP|8668820735211210931</stp>
        <tr r="I23" s="4"/>
      </tp>
      <tp t="s">
        <v>#N/A Requesting Data...2393450380</v>
        <stp/>
        <stp>BDH|1396423986385425336</stp>
        <tr r="A2" s="41"/>
      </tp>
      <tp t="e">
        <v>#N/A</v>
        <stp/>
        <stp>BDP|8275357227362794010</stp>
        <tr r="AM15" s="23"/>
      </tp>
      <tp t="e">
        <v>#N/A</v>
        <stp/>
        <stp>BDP|7803320853398961244</stp>
        <tr r="AK6" s="23"/>
      </tp>
      <tp t="s">
        <v>#N/A Requesting Data...2109857283</v>
        <stp/>
        <stp>BDH|7570831447817474711</stp>
        <tr r="L2" s="42"/>
      </tp>
      <tp t="s">
        <v>#N/A Requesting Data...1199841922</v>
        <stp/>
        <stp>BDH|2247665103797154834</stp>
        <tr r="R2" s="42"/>
      </tp>
      <tp t="s">
        <v>#N/A Requesting Data...911648528</v>
        <stp/>
        <stp>BDH|6409202932525070651</stp>
        <tr r="D2" s="42"/>
      </tp>
      <tp t="s">
        <v>#N/A Requesting Data...2134704717</v>
        <stp/>
        <stp>BDH|6490657902181164532</stp>
        <tr r="M2" s="41"/>
      </tp>
      <tp t="e">
        <v>#N/A</v>
        <stp/>
        <stp>BDP|3611145711446265175</stp>
        <tr r="B21" s="23"/>
      </tp>
      <tp t="e">
        <v>#N/A</v>
        <stp/>
        <stp>BDP|2144931281470514730</stp>
        <tr r="M12" s="4"/>
      </tp>
      <tp t="e">
        <v>#N/A</v>
        <stp/>
        <stp>BDP|7914615560347757555</stp>
        <tr r="M29" s="4"/>
      </tp>
      <tp t="e">
        <v>#N/A</v>
        <stp/>
        <stp>BDP|3667777724136878562</stp>
        <tr r="AL7" s="23"/>
      </tp>
      <tp t="e">
        <v>#N/A</v>
        <stp/>
        <stp>BDP|8904797648666563842</stp>
        <tr r="S16" s="23"/>
      </tp>
      <tp t="e">
        <v>#N/A</v>
        <stp/>
        <stp>BDP|7662380925481720222</stp>
        <tr r="AM7" s="23"/>
      </tp>
      <tp t="e">
        <v>#N/A</v>
        <stp/>
        <stp>BDP|6620705429636761078</stp>
        <tr r="I29" s="4"/>
      </tp>
      <tp t="e">
        <v>#N/A</v>
        <stp/>
        <stp>BDP|3289654604481788180</stp>
        <tr r="AL5" s="23"/>
      </tp>
      <tp t="e">
        <v>#N/A</v>
        <stp/>
        <stp>BDP|3276010522175082112</stp>
        <tr r="I19" s="4"/>
        <tr r="I36" s="4"/>
      </tp>
      <tp t="e">
        <v>#N/A</v>
        <stp/>
        <stp>BDP|7126419820140662469</stp>
        <tr r="AJ19" s="23"/>
      </tp>
      <tp t="e">
        <v>#N/A</v>
        <stp/>
        <stp>BDP|6844616879312380045</stp>
        <tr r="AL10" s="23"/>
      </tp>
      <tp t="e">
        <v>#N/A</v>
        <stp/>
        <stp>BDP|8518343883545063350</stp>
        <tr r="B4" s="23"/>
      </tp>
      <tp t="e">
        <v>#N/A</v>
        <stp/>
        <stp>BDP|6954157234251017332</stp>
        <tr r="I28" s="4"/>
      </tp>
      <tp t="e">
        <v>#N/A</v>
        <stp/>
        <stp>BDP|6727755913036133081</stp>
        <tr r="M18" s="4"/>
      </tp>
      <tp t="e">
        <v>#N/A</v>
        <stp/>
        <stp>BDP|4368510047916882548</stp>
        <tr r="Y5" s="23"/>
      </tp>
      <tp t="e">
        <v>#N/A</v>
        <stp/>
        <stp>BDP|6806320595328100211</stp>
        <tr r="M5" s="4"/>
      </tp>
      <tp t="s">
        <v>#N/A Requesting Data...2872380641</v>
        <stp/>
        <stp>BDH|4990819253479102659</stp>
        <tr r="P2" s="42"/>
      </tp>
      <tp t="s">
        <v>#N/A Requesting Data...1936197351</v>
        <stp/>
        <stp>BDH|2055717773950906460</stp>
        <tr r="I2" s="43"/>
      </tp>
      <tp t="e">
        <v>#N/A</v>
        <stp/>
        <stp>BDP|2549252440040329204</stp>
        <tr r="AK4" s="23"/>
      </tp>
      <tp t="e">
        <v>#N/A</v>
        <stp/>
        <stp>BDP|1380049854227076528</stp>
        <tr r="S17" s="23"/>
      </tp>
      <tp t="e">
        <v>#N/A</v>
        <stp/>
        <stp>BDP|2692999117825898965</stp>
        <tr r="B11" s="23"/>
      </tp>
      <tp t="e">
        <v>#N/A</v>
        <stp/>
        <stp>BDP|7444215956964993308</stp>
        <tr r="S15" s="23"/>
      </tp>
      <tp t="e">
        <v>#N/A</v>
        <stp/>
        <stp>BDP|5846298235793568096</stp>
        <tr r="M10" s="4"/>
      </tp>
      <tp t="e">
        <v>#N/A</v>
        <stp/>
        <stp>BDP|4534637956665870503</stp>
        <tr r="M17" s="4"/>
      </tp>
      <tp t="e">
        <v>#N/A</v>
        <stp/>
        <stp>BDP|3371787870987631342</stp>
        <tr r="AL4" s="23"/>
      </tp>
      <tp t="e">
        <v>#N/A</v>
        <stp/>
        <stp>BDP|4007522067772294294</stp>
        <tr r="AL7" s="23"/>
      </tp>
      <tp t="e">
        <v>#N/A</v>
        <stp/>
        <stp>BDP|3859322252812775018</stp>
        <tr r="AL17" s="23"/>
      </tp>
      <tp t="s">
        <v>#N/A Requesting Data...3608837576</v>
        <stp/>
        <stp>BDH|3660920190040773443</stp>
        <tr r="E2" s="43"/>
      </tp>
      <tp t="e">
        <v>#N/A</v>
        <stp/>
        <stp>BDP|9831814725894893012</stp>
        <tr r="AK11" s="23"/>
      </tp>
      <tp t="e">
        <v>#N/A</v>
        <stp/>
        <stp>BDP|8817410318015988830</stp>
        <tr r="X24" s="23"/>
      </tp>
      <tp t="e">
        <v>#N/A</v>
        <stp/>
        <stp>BDP|9959926338366463585</stp>
        <tr r="B5" s="23"/>
      </tp>
      <tp t="e">
        <v>#N/A</v>
        <stp/>
        <stp>BDP|3843183538205407419</stp>
        <tr r="S11" s="23"/>
      </tp>
      <tp t="e">
        <v>#N/A</v>
        <stp/>
        <stp>BDP|1222747366758152838</stp>
        <tr r="AJ3" s="23"/>
      </tp>
      <tp t="e">
        <v>#N/A</v>
        <stp/>
        <stp>BDP|4740640074090397568</stp>
        <tr r="AK5" s="23"/>
      </tp>
      <tp t="e">
        <v>#N/A</v>
        <stp/>
        <stp>BDP|2177977472355035973</stp>
        <tr r="AJ4" s="23"/>
      </tp>
      <tp t="e">
        <v>#N/A</v>
        <stp/>
        <stp>BDP|6964372333491823757</stp>
        <tr r="X25" s="23"/>
        <tr r="X26" s="23"/>
        <tr r="X27" s="23"/>
      </tp>
      <tp t="e">
        <v>#N/A</v>
        <stp/>
        <stp>BDP|3487274233337650572</stp>
        <tr r="X16" s="23"/>
      </tp>
      <tp t="s">
        <v>#N/A Requesting Data...3010074015</v>
        <stp/>
        <stp>BDH|1420263123975067409</stp>
        <tr r="R2" s="41"/>
      </tp>
      <tp t="s">
        <v>#N/A Requesting Data...4033157707</v>
        <stp/>
        <stp>BDH|2698053422290242023</stp>
        <tr r="T2" s="42"/>
      </tp>
      <tp t="e">
        <v>#N/A</v>
        <stp/>
        <stp>BDP|8999815032703842042</stp>
        <tr r="J23" s="23"/>
      </tp>
      <tp t="e">
        <v>#N/A</v>
        <stp/>
        <stp>BDP|8073917058216699280</stp>
        <tr r="M13" s="4"/>
      </tp>
      <tp t="s">
        <v>#N/A Requesting Data...2589723900</v>
        <stp/>
        <stp>BDH|9262741924915723919</stp>
        <tr r="N2" s="41"/>
      </tp>
      <tp t="s">
        <v>#N/A Requesting Data...3694696124</v>
        <stp/>
        <stp>BDH|2480902889426598428</stp>
        <tr r="I2" s="41"/>
      </tp>
      <tp t="e">
        <v>#N/A</v>
        <stp/>
        <stp>BDP|9962127790213316333</stp>
        <tr r="M24" s="23"/>
      </tp>
      <tp t="e">
        <v>#N/A</v>
        <stp/>
        <stp>BDP|5526986605588121518</stp>
        <tr r="AL12" s="23"/>
        <tr r="AL13" s="23"/>
      </tp>
      <tp t="e">
        <v>#N/A</v>
        <stp/>
        <stp>BDP|7388262448250300073</stp>
        <tr r="C33" s="4"/>
      </tp>
      <tp t="e">
        <v>#N/A</v>
        <stp/>
        <stp>BDP|7588826982683430584</stp>
        <tr r="I11" s="4"/>
      </tp>
      <tp t="e">
        <v>#N/A</v>
        <stp/>
        <stp>BDP|5447197685859603410</stp>
        <tr r="AJ10" s="23"/>
      </tp>
      <tp t="e">
        <v>#N/A</v>
        <stp/>
        <stp>BDP|3668461447197730526</stp>
        <tr r="I32" s="4"/>
      </tp>
      <tp t="e">
        <v>#N/A</v>
        <stp/>
        <stp>BDP|5379688077331662489</stp>
        <tr r="M16" s="4"/>
      </tp>
      <tp t="e">
        <v>#N/A</v>
        <stp/>
        <stp>BDP|6650512216391595278</stp>
        <tr r="B12" s="23"/>
      </tp>
      <tp t="s">
        <v>#N/A Requesting Data...3056373681</v>
        <stp/>
        <stp>BDH|5978405511177919625</stp>
        <tr r="H2" s="43"/>
      </tp>
      <tp t="e">
        <v>#N/A</v>
        <stp/>
        <stp>BDP|5721072653245295416</stp>
        <tr r="M21" s="4"/>
      </tp>
      <tp t="s">
        <v>#N/A Requesting Data...464285613</v>
        <stp/>
        <stp>BDH|5114172496224516847</stp>
        <tr r="J2" s="42"/>
      </tp>
      <tp t="e">
        <v>#N/A</v>
        <stp/>
        <stp>BDP|6717152185718194634</stp>
        <tr r="B10" s="23"/>
      </tp>
      <tp t="s">
        <v>#N/A Requesting Data...4000521519</v>
        <stp/>
        <stp>BDH|7905014419737860327</stp>
        <tr r="V2" s="41"/>
      </tp>
      <tp t="e">
        <v>#N/A</v>
        <stp/>
        <stp>BDP|1503994489973474197</stp>
        <tr r="M24" s="4"/>
      </tp>
      <tp t="s">
        <v>#N/A Requesting Data...3862000871</v>
        <stp/>
        <stp>BDH|5320937399660838797</stp>
        <tr r="F2" s="43"/>
      </tp>
      <tp t="s">
        <v>#N/A Requesting Data...2178622322</v>
        <stp/>
        <stp>BDH|5655765826315878723</stp>
        <tr r="S2" s="41"/>
      </tp>
      <tp t="s">
        <v>#N/A Requesting Data...1802912607</v>
        <stp/>
        <stp>BDH|2108306105154227767</stp>
        <tr r="E2" s="42"/>
      </tp>
      <tp t="e">
        <v>#N/A</v>
        <stp/>
        <stp>BDP|3645691113814299361</stp>
        <tr r="AL17" s="23"/>
      </tp>
      <tp t="e">
        <v>#N/A</v>
        <stp/>
        <stp>BDP|5979705572994268267</stp>
        <tr r="Y10" s="23"/>
      </tp>
      <tp t="s">
        <v>#N/A Requesting Data...1767394127</v>
        <stp/>
        <stp>BDH|5426027398856275900</stp>
        <tr r="G2" s="42"/>
      </tp>
      <tp t="e">
        <v>#N/A</v>
        <stp/>
        <stp>BDP|1539366488779668004</stp>
        <tr r="C13" s="4"/>
      </tp>
      <tp t="e">
        <v>#N/A</v>
        <stp/>
        <stp>BDP|6264161668680841248</stp>
        <tr r="S30" s="23"/>
      </tp>
      <tp t="e">
        <v>#N/A</v>
        <stp/>
        <stp>BDP|3055163264054549311</stp>
        <tr r="C15" s="4"/>
      </tp>
      <tp t="e">
        <v>#N/A</v>
        <stp/>
        <stp>BDP|6332046457463448321</stp>
        <tr r="Y4" s="23"/>
      </tp>
      <tp t="e">
        <v>#N/A</v>
        <stp/>
        <stp>BDP|7360387276313822315</stp>
        <tr r="M28" s="4"/>
      </tp>
      <tp t="s">
        <v>#N/A Requesting Data...3154550322</v>
        <stp/>
        <stp>BDH|4198798133261767282</stp>
        <tr r="H2" s="41"/>
      </tp>
      <tp t="e">
        <v>#N/A</v>
        <stp/>
        <stp>BDP|22217401951802283</stp>
        <tr r="X19" s="23"/>
      </tp>
      <tp t="e">
        <v>#N/A</v>
        <stp/>
        <stp>BDP|736667213722539036</stp>
        <tr r="I30" s="4"/>
      </tp>
      <tp t="s">
        <v>#N/A Requesting Data...4068851664</v>
        <stp/>
        <stp>BDH|492284701121336696</stp>
        <tr r="M2" s="42"/>
      </tp>
      <tp t="e">
        <v>#N/A</v>
        <stp/>
        <stp>BDP|792858484565451103</stp>
        <tr r="X17" s="23"/>
      </tp>
      <tp t="e">
        <v>#N/A</v>
        <stp/>
        <stp>BDP|473077336664446329</stp>
        <tr r="B17" s="23"/>
      </tp>
      <tp t="e">
        <v>#N/A</v>
        <stp/>
        <stp>BDP|269061122321969264</stp>
        <tr r="M19" s="4"/>
        <tr r="M4" s="4"/>
      </tp>
      <tp t="e">
        <v>#N/A</v>
        <stp/>
        <stp>BDP|332983320473165936</stp>
        <tr r="C31" s="4"/>
      </tp>
      <tp t="e">
        <v>#N/A</v>
        <stp/>
        <stp>BDP|273733921110297408</stp>
        <tr r="B6" s="23"/>
      </tp>
      <tp t="e">
        <v>#N/A</v>
        <stp/>
        <stp>BDP|773540785499871775</stp>
        <tr r="AJ24" s="23"/>
      </tp>
      <tp t="s">
        <v>#N/A Requesting Data...1167512315</v>
        <stp/>
        <stp>BDH|794838778885212825</stp>
        <tr r="K2" s="41"/>
      </tp>
      <tp t="e">
        <v>#N/A</v>
        <stp/>
        <stp>BDP|562448282519727727</stp>
        <tr r="M30" s="4"/>
      </tp>
      <tp t="e">
        <v>#N/A</v>
        <stp/>
        <stp>BDP|204402083980653245</stp>
        <tr r="C34" s="4"/>
      </tp>
      <tp t="s">
        <v>#N/A Requesting Data...1799955369</v>
        <stp/>
        <stp>BDH|859244633470291936</stp>
        <tr r="F2" s="41"/>
      </tp>
      <tp t="e">
        <v>#N/A</v>
        <stp/>
        <stp>BDP|776371565848775618</stp>
        <tr r="AL15" s="23"/>
      </tp>
      <tp t="e">
        <v>#N/A</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opLeftCell="B1" workbookViewId="0">
      <selection activeCell="C20" sqref="C20"/>
    </sheetView>
  </sheetViews>
  <sheetFormatPr defaultRowHeight="15.75"/>
  <cols>
    <col min="2" max="2" width="27.125" style="99"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99" t="s">
        <v>3</v>
      </c>
      <c r="C1" s="89" t="s">
        <v>107</v>
      </c>
      <c r="D1" s="89" t="s">
        <v>242</v>
      </c>
      <c r="E1" s="89" t="s">
        <v>233</v>
      </c>
    </row>
    <row r="2" spans="1:10">
      <c r="A2" s="98">
        <v>1</v>
      </c>
      <c r="B2" s="106" t="s">
        <v>305</v>
      </c>
      <c r="C2" t="s">
        <v>231</v>
      </c>
      <c r="D2" t="s">
        <v>243</v>
      </c>
      <c r="E2" t="s">
        <v>234</v>
      </c>
      <c r="I2">
        <v>1</v>
      </c>
      <c r="J2" t="s">
        <v>165</v>
      </c>
    </row>
    <row r="3" spans="1:10">
      <c r="A3" s="98">
        <v>2</v>
      </c>
      <c r="B3" s="105" t="s">
        <v>303</v>
      </c>
      <c r="C3" t="s">
        <v>241</v>
      </c>
      <c r="D3" t="s">
        <v>244</v>
      </c>
      <c r="E3" t="s">
        <v>124</v>
      </c>
      <c r="I3">
        <v>7</v>
      </c>
    </row>
    <row r="4" spans="1:10">
      <c r="A4" s="98">
        <v>3</v>
      </c>
      <c r="B4" s="105" t="s">
        <v>304</v>
      </c>
      <c r="C4" t="s">
        <v>306</v>
      </c>
      <c r="D4" t="s">
        <v>243</v>
      </c>
      <c r="E4" t="s">
        <v>236</v>
      </c>
    </row>
    <row r="5" spans="1:10">
      <c r="A5" s="98">
        <v>4</v>
      </c>
      <c r="B5" s="105" t="s">
        <v>307</v>
      </c>
      <c r="C5" t="s">
        <v>232</v>
      </c>
      <c r="D5" t="s">
        <v>243</v>
      </c>
      <c r="E5" t="s">
        <v>236</v>
      </c>
      <c r="I5">
        <v>2</v>
      </c>
      <c r="J5" t="s">
        <v>166</v>
      </c>
    </row>
    <row r="6" spans="1:10">
      <c r="A6" s="98">
        <v>5</v>
      </c>
      <c r="B6" s="105" t="s">
        <v>308</v>
      </c>
      <c r="C6" t="s">
        <v>235</v>
      </c>
      <c r="D6" t="s">
        <v>243</v>
      </c>
      <c r="E6" t="s">
        <v>237</v>
      </c>
      <c r="I6" t="s">
        <v>148</v>
      </c>
    </row>
    <row r="7" spans="1:10">
      <c r="A7" s="98">
        <v>6</v>
      </c>
      <c r="B7" s="105" t="s">
        <v>309</v>
      </c>
      <c r="C7" t="s">
        <v>238</v>
      </c>
      <c r="D7" t="s">
        <v>244</v>
      </c>
      <c r="E7" t="s">
        <v>124</v>
      </c>
      <c r="I7">
        <v>3</v>
      </c>
    </row>
    <row r="8" spans="1:10">
      <c r="A8" s="98">
        <v>7</v>
      </c>
      <c r="B8" s="105" t="s">
        <v>310</v>
      </c>
      <c r="C8" t="s">
        <v>239</v>
      </c>
      <c r="D8" t="s">
        <v>244</v>
      </c>
      <c r="E8" t="s">
        <v>234</v>
      </c>
      <c r="I8">
        <v>4</v>
      </c>
    </row>
    <row r="9" spans="1:10">
      <c r="A9" s="98">
        <v>8</v>
      </c>
      <c r="B9" s="105" t="s">
        <v>311</v>
      </c>
      <c r="C9" t="s">
        <v>246</v>
      </c>
      <c r="D9" t="s">
        <v>244</v>
      </c>
      <c r="E9" t="s">
        <v>124</v>
      </c>
    </row>
    <row r="10" spans="1:10">
      <c r="A10" s="98">
        <v>9</v>
      </c>
      <c r="B10" s="105" t="s">
        <v>312</v>
      </c>
      <c r="C10" t="s">
        <v>247</v>
      </c>
      <c r="D10" t="s">
        <v>244</v>
      </c>
      <c r="E10" t="s">
        <v>234</v>
      </c>
    </row>
    <row r="11" spans="1:10">
      <c r="A11" s="98">
        <v>10</v>
      </c>
      <c r="B11" s="105" t="s">
        <v>313</v>
      </c>
      <c r="C11" t="s">
        <v>240</v>
      </c>
      <c r="D11" t="s">
        <v>244</v>
      </c>
      <c r="E11" t="s">
        <v>124</v>
      </c>
      <c r="I11">
        <v>5</v>
      </c>
    </row>
    <row r="12" spans="1:10">
      <c r="A12" s="98">
        <v>11</v>
      </c>
      <c r="B12" s="105" t="s">
        <v>314</v>
      </c>
      <c r="C12" t="s">
        <v>240</v>
      </c>
      <c r="D12" t="s">
        <v>244</v>
      </c>
      <c r="E12" t="s">
        <v>124</v>
      </c>
      <c r="I12">
        <v>6</v>
      </c>
    </row>
    <row r="13" spans="1:10">
      <c r="A13" s="98">
        <v>12</v>
      </c>
      <c r="B13" s="105" t="s">
        <v>315</v>
      </c>
      <c r="C13" t="s">
        <v>116</v>
      </c>
      <c r="D13" t="s">
        <v>245</v>
      </c>
      <c r="E13" t="s">
        <v>124</v>
      </c>
      <c r="I13">
        <v>8</v>
      </c>
    </row>
    <row r="14" spans="1:10">
      <c r="A14" s="98">
        <v>13</v>
      </c>
      <c r="B14" s="105" t="s">
        <v>316</v>
      </c>
      <c r="C14" t="s">
        <v>108</v>
      </c>
      <c r="D14" t="s">
        <v>243</v>
      </c>
      <c r="E14" t="s">
        <v>236</v>
      </c>
    </row>
    <row r="15" spans="1:10">
      <c r="A15" s="98">
        <v>14</v>
      </c>
      <c r="B15" s="105" t="s">
        <v>317</v>
      </c>
      <c r="C15" t="s">
        <v>261</v>
      </c>
      <c r="D15" t="s">
        <v>243</v>
      </c>
      <c r="E15" t="s">
        <v>236</v>
      </c>
    </row>
    <row r="16" spans="1:10">
      <c r="A16" s="98">
        <v>15</v>
      </c>
      <c r="B16" s="105" t="s">
        <v>318</v>
      </c>
      <c r="C16" t="s">
        <v>117</v>
      </c>
      <c r="D16" t="s">
        <v>248</v>
      </c>
      <c r="E16" t="s">
        <v>124</v>
      </c>
    </row>
    <row r="17" spans="1:10">
      <c r="A17" s="98">
        <v>16</v>
      </c>
      <c r="B17" s="105" t="s">
        <v>319</v>
      </c>
      <c r="C17" t="s">
        <v>249</v>
      </c>
      <c r="D17" t="s">
        <v>243</v>
      </c>
      <c r="E17" t="s">
        <v>236</v>
      </c>
    </row>
    <row r="23" spans="1:10">
      <c r="I23">
        <v>1</v>
      </c>
      <c r="J23" t="s">
        <v>320</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9"/>
  <sheetViews>
    <sheetView workbookViewId="0">
      <pane xSplit="1" ySplit="1" topLeftCell="B21" activePane="bottomRight" state="frozen"/>
      <selection activeCell="L43" sqref="L43"/>
      <selection pane="topRight" activeCell="L43" sqref="L43"/>
      <selection pane="bottomLeft" activeCell="L43" sqref="L43"/>
      <selection pane="bottomRight" activeCell="B38" sqref="B38:C39"/>
    </sheetView>
  </sheetViews>
  <sheetFormatPr defaultRowHeight="15.75"/>
  <cols>
    <col min="1" max="1" width="10.25" style="98" bestFit="1" customWidth="1"/>
    <col min="2" max="2" width="22.5" style="98" customWidth="1"/>
    <col min="3" max="3" width="22.75" style="98" customWidth="1"/>
    <col min="4" max="4" width="21.625" style="98" customWidth="1"/>
    <col min="5" max="5" width="21.75" style="272" bestFit="1" customWidth="1"/>
    <col min="6" max="16384" width="9" style="98"/>
  </cols>
  <sheetData>
    <row r="1" spans="1:5">
      <c r="A1" s="286" t="s">
        <v>9</v>
      </c>
      <c r="B1" s="418" t="s">
        <v>526</v>
      </c>
      <c r="C1" s="418" t="s">
        <v>525</v>
      </c>
      <c r="D1" s="288" t="s">
        <v>455</v>
      </c>
      <c r="E1" s="283" t="s">
        <v>447</v>
      </c>
    </row>
    <row r="2" spans="1:5">
      <c r="A2" s="131">
        <v>45051</v>
      </c>
      <c r="B2" s="420"/>
      <c r="C2" s="420"/>
      <c r="D2" s="272"/>
      <c r="E2" s="272">
        <v>48978.19</v>
      </c>
    </row>
    <row r="3" spans="1:5">
      <c r="A3" s="131">
        <v>45058</v>
      </c>
      <c r="B3" s="420"/>
      <c r="C3" s="420"/>
      <c r="D3" s="272"/>
      <c r="E3" s="272">
        <v>48978.19</v>
      </c>
    </row>
    <row r="4" spans="1:5">
      <c r="A4" s="131">
        <v>45065</v>
      </c>
      <c r="B4" s="420"/>
      <c r="C4" s="420"/>
      <c r="D4" s="272"/>
      <c r="E4" s="272">
        <v>48978.19</v>
      </c>
    </row>
    <row r="5" spans="1:5">
      <c r="A5" s="131">
        <v>45072</v>
      </c>
      <c r="B5" s="420"/>
      <c r="C5" s="420"/>
      <c r="D5" s="272"/>
    </row>
    <row r="6" spans="1:5">
      <c r="A6" s="131">
        <v>45079</v>
      </c>
      <c r="B6" s="420"/>
      <c r="C6" s="420"/>
      <c r="D6" s="272"/>
    </row>
    <row r="7" spans="1:5">
      <c r="A7" s="153">
        <v>45086</v>
      </c>
      <c r="B7" s="420"/>
      <c r="C7" s="420"/>
      <c r="D7" s="272"/>
    </row>
    <row r="8" spans="1:5">
      <c r="A8" s="153">
        <v>45093</v>
      </c>
      <c r="B8" s="153"/>
      <c r="C8" s="153"/>
      <c r="D8" s="272"/>
    </row>
    <row r="9" spans="1:5">
      <c r="A9" s="153">
        <v>45100</v>
      </c>
      <c r="B9" s="153"/>
      <c r="C9" s="153"/>
      <c r="D9" s="272"/>
    </row>
    <row r="10" spans="1:5">
      <c r="A10" s="153">
        <v>45107</v>
      </c>
      <c r="B10" s="153"/>
      <c r="C10" s="153"/>
      <c r="D10" s="272"/>
    </row>
    <row r="11" spans="1:5">
      <c r="A11" s="153">
        <v>45114</v>
      </c>
      <c r="B11" s="153"/>
      <c r="C11" s="153"/>
      <c r="D11" s="272"/>
    </row>
    <row r="12" spans="1:5">
      <c r="A12" s="153">
        <v>45121</v>
      </c>
      <c r="B12" s="153"/>
      <c r="C12" s="153"/>
      <c r="D12" s="272"/>
    </row>
    <row r="13" spans="1:5">
      <c r="A13" s="153">
        <v>45128</v>
      </c>
      <c r="B13" s="153"/>
      <c r="C13" s="153"/>
      <c r="D13" s="272"/>
    </row>
    <row r="14" spans="1:5">
      <c r="A14" s="153">
        <v>45135</v>
      </c>
      <c r="B14" s="153"/>
      <c r="C14" s="153"/>
      <c r="D14" s="272"/>
    </row>
    <row r="15" spans="1:5">
      <c r="A15" s="153">
        <v>45142</v>
      </c>
      <c r="B15" s="153"/>
      <c r="C15" s="153"/>
      <c r="D15" s="272"/>
    </row>
    <row r="16" spans="1:5">
      <c r="A16" s="153">
        <v>45149</v>
      </c>
      <c r="B16" s="153"/>
      <c r="C16" s="153"/>
      <c r="D16" s="272"/>
    </row>
    <row r="17" spans="1:4">
      <c r="A17" s="153">
        <v>45156</v>
      </c>
      <c r="B17" s="153"/>
      <c r="C17" s="153"/>
      <c r="D17" s="272"/>
    </row>
    <row r="18" spans="1:4">
      <c r="A18" s="153">
        <v>45163</v>
      </c>
      <c r="B18" s="153"/>
      <c r="C18" s="153"/>
      <c r="D18" s="272"/>
    </row>
    <row r="19" spans="1:4">
      <c r="A19" s="153">
        <v>45170</v>
      </c>
      <c r="B19" s="153"/>
      <c r="C19" s="153"/>
      <c r="D19" s="272"/>
    </row>
    <row r="20" spans="1:4">
      <c r="A20" s="153">
        <v>45177</v>
      </c>
      <c r="B20" s="153"/>
      <c r="C20" s="153"/>
      <c r="D20" s="272"/>
    </row>
    <row r="21" spans="1:4">
      <c r="A21" s="153">
        <v>45184</v>
      </c>
      <c r="B21" s="153"/>
      <c r="C21" s="153"/>
      <c r="D21" s="272"/>
    </row>
    <row r="22" spans="1:4">
      <c r="A22" s="153">
        <v>45191</v>
      </c>
      <c r="B22" s="153"/>
      <c r="C22" s="153"/>
      <c r="D22" s="272"/>
    </row>
    <row r="23" spans="1:4">
      <c r="A23" s="153">
        <v>45198</v>
      </c>
      <c r="B23" s="153"/>
      <c r="C23" s="153"/>
      <c r="D23" s="272"/>
    </row>
    <row r="24" spans="1:4">
      <c r="A24" s="153">
        <v>45205</v>
      </c>
      <c r="B24" s="153"/>
      <c r="C24" s="153"/>
      <c r="D24" s="272">
        <v>50000</v>
      </c>
    </row>
    <row r="25" spans="1:4">
      <c r="A25" s="153">
        <v>45212</v>
      </c>
      <c r="B25" s="153"/>
      <c r="C25" s="153"/>
      <c r="D25" s="272">
        <v>50000</v>
      </c>
    </row>
    <row r="26" spans="1:4">
      <c r="A26" s="153">
        <v>45219</v>
      </c>
      <c r="B26" s="153"/>
      <c r="C26" s="153"/>
      <c r="D26" s="272">
        <v>50000</v>
      </c>
    </row>
    <row r="27" spans="1:4">
      <c r="A27" s="153">
        <v>45226</v>
      </c>
      <c r="B27" s="153"/>
      <c r="C27" s="153"/>
      <c r="D27" s="272">
        <v>50000</v>
      </c>
    </row>
    <row r="28" spans="1:4">
      <c r="A28" s="153">
        <v>45233</v>
      </c>
      <c r="B28" s="153"/>
      <c r="C28" s="153"/>
      <c r="D28" s="272">
        <v>50000</v>
      </c>
    </row>
    <row r="29" spans="1:4">
      <c r="A29" s="153">
        <v>45240</v>
      </c>
      <c r="B29" s="153"/>
      <c r="C29" s="153"/>
      <c r="D29" s="272">
        <v>50000</v>
      </c>
    </row>
    <row r="30" spans="1:4">
      <c r="A30" s="153">
        <v>45247</v>
      </c>
      <c r="B30" s="153"/>
      <c r="C30" s="153"/>
      <c r="D30" s="272">
        <v>50000</v>
      </c>
    </row>
    <row r="31" spans="1:4">
      <c r="A31" s="153">
        <v>45254</v>
      </c>
      <c r="B31" s="153"/>
      <c r="C31" s="153"/>
      <c r="D31" s="272">
        <v>50000</v>
      </c>
    </row>
    <row r="32" spans="1:4">
      <c r="A32" s="153">
        <v>45261</v>
      </c>
      <c r="B32" s="153"/>
      <c r="C32" s="153"/>
      <c r="D32" s="272">
        <v>50000</v>
      </c>
    </row>
    <row r="33" spans="1:4">
      <c r="A33" s="153">
        <v>45268</v>
      </c>
      <c r="B33" s="153"/>
      <c r="C33" s="153"/>
      <c r="D33" s="272">
        <v>50000</v>
      </c>
    </row>
    <row r="34" spans="1:4">
      <c r="A34" s="153">
        <v>45275</v>
      </c>
      <c r="B34" s="272">
        <v>50000</v>
      </c>
      <c r="C34" s="272">
        <v>50000</v>
      </c>
      <c r="D34" s="272">
        <v>50000</v>
      </c>
    </row>
    <row r="35" spans="1:4">
      <c r="A35" s="153">
        <v>45282</v>
      </c>
      <c r="B35" s="272">
        <v>50000</v>
      </c>
      <c r="C35" s="272">
        <v>50000</v>
      </c>
      <c r="D35" s="272">
        <v>50000</v>
      </c>
    </row>
    <row r="36" spans="1:4">
      <c r="A36" s="153">
        <v>45289</v>
      </c>
      <c r="B36" s="272">
        <v>50000</v>
      </c>
      <c r="C36" s="272">
        <v>50000</v>
      </c>
      <c r="D36" s="272"/>
    </row>
    <row r="37" spans="1:4">
      <c r="A37" s="153">
        <v>45296</v>
      </c>
      <c r="B37" s="272">
        <v>50000</v>
      </c>
      <c r="C37" s="272">
        <v>50000</v>
      </c>
    </row>
    <row r="38" spans="1:4">
      <c r="A38" s="153">
        <v>45303</v>
      </c>
      <c r="B38" s="272">
        <v>50000</v>
      </c>
      <c r="C38" s="272">
        <v>50000</v>
      </c>
    </row>
    <row r="39" spans="1:4">
      <c r="A39" s="153">
        <v>45310</v>
      </c>
      <c r="B39" s="272">
        <v>50000</v>
      </c>
      <c r="C39" s="272">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2" customWidth="1"/>
    <col min="10" max="10" width="16.5" style="33" customWidth="1"/>
    <col min="11" max="11" width="16.5" style="112" customWidth="1"/>
    <col min="12" max="12" width="16.5" style="33" customWidth="1"/>
    <col min="13" max="13" width="16.5" style="112" customWidth="1"/>
    <col min="14" max="14" width="163.375" style="25" bestFit="1" customWidth="1"/>
    <col min="15" max="16384" width="10.875" style="1"/>
  </cols>
  <sheetData>
    <row r="1" spans="1:28">
      <c r="A1" s="427" t="s">
        <v>6</v>
      </c>
      <c r="B1" s="428"/>
      <c r="C1" s="428"/>
      <c r="D1" s="428"/>
      <c r="E1" s="428"/>
      <c r="F1" s="428"/>
      <c r="G1" s="428"/>
      <c r="H1" s="428"/>
      <c r="I1" s="428"/>
      <c r="J1" s="428"/>
      <c r="K1" s="428"/>
      <c r="L1" s="428"/>
      <c r="M1" s="428"/>
      <c r="N1" s="428"/>
      <c r="O1" s="428"/>
    </row>
    <row r="2" spans="1:28">
      <c r="A2" s="428"/>
      <c r="B2" s="428"/>
      <c r="C2" s="428"/>
      <c r="D2" s="428"/>
      <c r="E2" s="428"/>
      <c r="F2" s="428"/>
      <c r="G2" s="428"/>
      <c r="H2" s="428"/>
      <c r="I2" s="428"/>
      <c r="J2" s="428"/>
      <c r="K2" s="428"/>
      <c r="L2" s="428"/>
      <c r="M2" s="428"/>
      <c r="N2" s="428"/>
      <c r="O2" s="428"/>
    </row>
    <row r="3" spans="1:28" s="7" customFormat="1">
      <c r="A3" s="429" t="s">
        <v>7</v>
      </c>
      <c r="B3" s="429" t="s">
        <v>8</v>
      </c>
      <c r="C3" s="429" t="s">
        <v>9</v>
      </c>
      <c r="D3" s="429" t="s">
        <v>109</v>
      </c>
      <c r="E3" s="429" t="s">
        <v>115</v>
      </c>
      <c r="F3" s="429" t="s">
        <v>10</v>
      </c>
      <c r="G3" s="429" t="s">
        <v>11</v>
      </c>
      <c r="H3" s="429" t="s">
        <v>0</v>
      </c>
      <c r="I3" s="431" t="s">
        <v>120</v>
      </c>
      <c r="J3" s="437" t="s">
        <v>191</v>
      </c>
      <c r="K3" s="433" t="s">
        <v>323</v>
      </c>
      <c r="L3" s="437" t="s">
        <v>113</v>
      </c>
      <c r="M3" s="433" t="s">
        <v>114</v>
      </c>
      <c r="N3" s="435" t="s">
        <v>118</v>
      </c>
      <c r="O3" s="435"/>
      <c r="P3" s="435"/>
      <c r="Q3" s="435"/>
      <c r="R3" s="435"/>
      <c r="S3" s="435"/>
      <c r="T3" s="435"/>
      <c r="U3" s="435"/>
      <c r="V3" s="435"/>
      <c r="W3" s="435"/>
    </row>
    <row r="4" spans="1:28" s="7" customFormat="1">
      <c r="A4" s="430"/>
      <c r="B4" s="430"/>
      <c r="C4" s="430"/>
      <c r="D4" s="430"/>
      <c r="E4" s="430"/>
      <c r="F4" s="430"/>
      <c r="G4" s="430"/>
      <c r="H4" s="430"/>
      <c r="I4" s="432"/>
      <c r="J4" s="438"/>
      <c r="K4" s="434"/>
      <c r="L4" s="438"/>
      <c r="M4" s="434"/>
      <c r="N4" s="436"/>
      <c r="O4" s="436"/>
      <c r="P4" s="436"/>
      <c r="Q4" s="436"/>
      <c r="R4" s="436"/>
      <c r="S4" s="436"/>
      <c r="T4" s="436"/>
      <c r="U4" s="436"/>
      <c r="V4" s="436"/>
      <c r="W4" s="436"/>
      <c r="X4" s="8"/>
      <c r="Y4" s="8"/>
      <c r="Z4" s="8"/>
      <c r="AA4" s="8"/>
      <c r="AB4" s="8"/>
    </row>
    <row r="5" spans="1:28">
      <c r="A5" s="19">
        <v>1</v>
      </c>
      <c r="B5" s="19" t="s">
        <v>12</v>
      </c>
      <c r="C5" s="19" t="s">
        <v>13</v>
      </c>
      <c r="D5" s="19" t="s">
        <v>112</v>
      </c>
      <c r="E5" s="20" t="s">
        <v>14</v>
      </c>
      <c r="F5" s="21" t="s">
        <v>28</v>
      </c>
      <c r="G5" s="19" t="s">
        <v>29</v>
      </c>
      <c r="H5" s="22" t="s">
        <v>2</v>
      </c>
      <c r="I5" s="100"/>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1"/>
      <c r="J6" s="32"/>
      <c r="K6" s="28"/>
      <c r="L6" s="32">
        <v>-16373</v>
      </c>
      <c r="M6" s="28">
        <v>-0.1638</v>
      </c>
      <c r="N6" s="25" t="s">
        <v>17</v>
      </c>
      <c r="O6" s="25"/>
      <c r="P6" s="25"/>
      <c r="Q6" s="25"/>
      <c r="R6" s="25"/>
    </row>
    <row r="7" spans="1:28">
      <c r="D7" s="18" t="s">
        <v>110</v>
      </c>
      <c r="E7" s="25" t="s">
        <v>18</v>
      </c>
      <c r="F7" s="26" t="s">
        <v>28</v>
      </c>
      <c r="G7" s="18" t="s">
        <v>29</v>
      </c>
      <c r="H7" s="27" t="s">
        <v>2</v>
      </c>
      <c r="I7" s="101"/>
      <c r="J7" s="32"/>
      <c r="K7" s="28"/>
      <c r="L7" s="32">
        <v>24525</v>
      </c>
      <c r="M7" s="28">
        <v>0.36749999999999999</v>
      </c>
      <c r="N7" s="25" t="s">
        <v>19</v>
      </c>
      <c r="O7" s="25"/>
      <c r="P7" s="25"/>
      <c r="Q7" s="25"/>
      <c r="R7" s="25"/>
    </row>
    <row r="8" spans="1:28">
      <c r="E8" s="25"/>
      <c r="F8" s="26"/>
      <c r="G8" s="18"/>
      <c r="H8" s="37" t="s">
        <v>149</v>
      </c>
      <c r="I8" s="101"/>
      <c r="J8" s="32"/>
      <c r="K8" s="28"/>
      <c r="L8" s="32">
        <f>SUM(L5:L7)</f>
        <v>261</v>
      </c>
      <c r="M8" s="28"/>
      <c r="O8" s="25"/>
      <c r="P8" s="25"/>
      <c r="Q8" s="25"/>
      <c r="R8" s="25"/>
    </row>
    <row r="9" spans="1:28">
      <c r="A9" s="18">
        <v>2</v>
      </c>
      <c r="B9" s="18" t="s">
        <v>20</v>
      </c>
      <c r="F9" s="16"/>
      <c r="I9" s="160"/>
    </row>
    <row r="10" spans="1:28">
      <c r="A10" s="18">
        <v>3</v>
      </c>
      <c r="B10" s="18" t="s">
        <v>21</v>
      </c>
      <c r="I10" s="160"/>
    </row>
    <row r="11" spans="1:28">
      <c r="A11" s="18">
        <v>4</v>
      </c>
      <c r="B11" s="18" t="s">
        <v>22</v>
      </c>
      <c r="I11" s="160"/>
    </row>
    <row r="12" spans="1:28">
      <c r="A12" s="18">
        <v>5</v>
      </c>
      <c r="B12" s="18" t="s">
        <v>23</v>
      </c>
      <c r="I12" s="160"/>
    </row>
    <row r="13" spans="1:28">
      <c r="A13" s="18">
        <v>6</v>
      </c>
      <c r="B13" s="18" t="s">
        <v>24</v>
      </c>
      <c r="I13" s="160"/>
    </row>
    <row r="14" spans="1:28">
      <c r="A14" s="18">
        <v>7</v>
      </c>
      <c r="B14" s="18" t="s">
        <v>25</v>
      </c>
      <c r="I14" s="160"/>
    </row>
    <row r="15" spans="1:28">
      <c r="A15" s="18">
        <v>8</v>
      </c>
      <c r="B15" s="18" t="s">
        <v>26</v>
      </c>
      <c r="I15" s="160"/>
    </row>
    <row r="16" spans="1:28">
      <c r="A16" s="29">
        <v>9</v>
      </c>
      <c r="B16" s="29" t="s">
        <v>27</v>
      </c>
      <c r="C16" s="29"/>
      <c r="D16" s="29"/>
      <c r="E16" s="30"/>
      <c r="F16" s="29"/>
      <c r="G16" s="30"/>
      <c r="H16" s="30"/>
      <c r="I16" s="161"/>
      <c r="J16" s="34"/>
      <c r="K16" s="113"/>
      <c r="L16" s="34"/>
      <c r="M16" s="113"/>
      <c r="N16" s="191"/>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343</v>
      </c>
      <c r="I17" s="167">
        <v>35000</v>
      </c>
      <c r="N17" s="25" t="s">
        <v>139</v>
      </c>
    </row>
    <row r="18" spans="1:45">
      <c r="C18" s="15">
        <v>44754</v>
      </c>
      <c r="E18" s="35" t="s">
        <v>133</v>
      </c>
      <c r="F18" s="16" t="s">
        <v>138</v>
      </c>
      <c r="H18" s="35" t="s">
        <v>343</v>
      </c>
      <c r="I18" s="167">
        <v>72000</v>
      </c>
      <c r="M18" s="176"/>
      <c r="N18" s="25" t="s">
        <v>139</v>
      </c>
    </row>
    <row r="19" spans="1:45">
      <c r="C19" s="15">
        <v>44755</v>
      </c>
      <c r="E19" s="35" t="s">
        <v>135</v>
      </c>
      <c r="F19" s="16" t="s">
        <v>138</v>
      </c>
      <c r="H19" s="35" t="s">
        <v>342</v>
      </c>
      <c r="I19" s="167">
        <v>63000</v>
      </c>
      <c r="N19" s="25" t="s">
        <v>139</v>
      </c>
    </row>
    <row r="20" spans="1:45">
      <c r="C20" s="15">
        <v>44755</v>
      </c>
      <c r="E20" s="35" t="s">
        <v>137</v>
      </c>
      <c r="F20" s="16" t="s">
        <v>138</v>
      </c>
      <c r="H20" s="35" t="s">
        <v>342</v>
      </c>
      <c r="I20" s="167">
        <v>64000</v>
      </c>
      <c r="N20" s="25" t="s">
        <v>139</v>
      </c>
    </row>
    <row r="21" spans="1:45">
      <c r="C21" s="15">
        <v>44755</v>
      </c>
      <c r="E21" s="35" t="s">
        <v>136</v>
      </c>
      <c r="F21" s="16" t="s">
        <v>138</v>
      </c>
      <c r="H21" s="35" t="s">
        <v>342</v>
      </c>
      <c r="I21" s="167">
        <v>23000</v>
      </c>
      <c r="N21" s="25" t="s">
        <v>139</v>
      </c>
    </row>
    <row r="22" spans="1:45">
      <c r="C22" s="15">
        <v>44755</v>
      </c>
      <c r="E22" s="35" t="s">
        <v>134</v>
      </c>
      <c r="F22" s="16" t="s">
        <v>138</v>
      </c>
      <c r="H22" s="35" t="s">
        <v>343</v>
      </c>
      <c r="I22" s="167">
        <v>52000</v>
      </c>
      <c r="N22" s="25" t="s">
        <v>139</v>
      </c>
    </row>
    <row r="23" spans="1:45">
      <c r="C23" s="15">
        <v>44755</v>
      </c>
      <c r="E23" s="35" t="s">
        <v>132</v>
      </c>
      <c r="F23" s="16" t="s">
        <v>138</v>
      </c>
      <c r="H23" s="35" t="s">
        <v>343</v>
      </c>
      <c r="I23" s="167">
        <v>12000</v>
      </c>
      <c r="N23" s="25" t="s">
        <v>139</v>
      </c>
    </row>
    <row r="24" spans="1:45">
      <c r="C24" s="15">
        <v>44755</v>
      </c>
      <c r="E24" s="35" t="s">
        <v>142</v>
      </c>
      <c r="F24" s="17" t="s">
        <v>141</v>
      </c>
      <c r="H24" s="35" t="s">
        <v>342</v>
      </c>
      <c r="J24" s="55"/>
      <c r="K24" s="219"/>
      <c r="L24" s="55">
        <v>-10903</v>
      </c>
      <c r="N24" s="25" t="s">
        <v>144</v>
      </c>
    </row>
    <row r="25" spans="1:45">
      <c r="C25" s="15">
        <v>44755</v>
      </c>
      <c r="E25" s="35" t="s">
        <v>143</v>
      </c>
      <c r="F25" s="17" t="s">
        <v>141</v>
      </c>
      <c r="H25" s="35" t="s">
        <v>342</v>
      </c>
      <c r="J25" s="55"/>
      <c r="K25" s="219"/>
      <c r="L25" s="55">
        <v>-15216</v>
      </c>
      <c r="N25" s="25" t="s">
        <v>144</v>
      </c>
    </row>
    <row r="26" spans="1:45" s="30" customFormat="1">
      <c r="A26" s="18"/>
      <c r="B26" s="18"/>
      <c r="C26" s="15">
        <v>44755</v>
      </c>
      <c r="D26" s="18"/>
      <c r="E26" s="36" t="s">
        <v>48</v>
      </c>
      <c r="F26" s="26" t="s">
        <v>28</v>
      </c>
      <c r="G26" s="1"/>
      <c r="H26" s="36" t="s">
        <v>38</v>
      </c>
      <c r="I26" s="160"/>
      <c r="J26" s="33"/>
      <c r="K26" s="112"/>
      <c r="L26" s="33">
        <v>4198</v>
      </c>
      <c r="M26" s="112"/>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3"/>
      <c r="J27" s="57"/>
      <c r="K27" s="220"/>
      <c r="L27" s="57">
        <f>SUM(L17:L26)</f>
        <v>-21921</v>
      </c>
      <c r="M27" s="177"/>
      <c r="N27" s="192"/>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342</v>
      </c>
      <c r="L28" s="33">
        <v>35989</v>
      </c>
      <c r="N28" s="25" t="s">
        <v>152</v>
      </c>
    </row>
    <row r="29" spans="1:45">
      <c r="C29" s="15"/>
      <c r="E29" s="36" t="s">
        <v>45</v>
      </c>
      <c r="F29" s="26" t="s">
        <v>28</v>
      </c>
      <c r="H29" s="36" t="s">
        <v>38</v>
      </c>
      <c r="L29" s="33">
        <v>3.79</v>
      </c>
      <c r="N29" s="25" t="s">
        <v>156</v>
      </c>
    </row>
    <row r="30" spans="1:45">
      <c r="C30" s="15"/>
      <c r="E30" s="168" t="s">
        <v>39</v>
      </c>
      <c r="F30" s="26" t="s">
        <v>28</v>
      </c>
      <c r="H30" s="36" t="s">
        <v>38</v>
      </c>
      <c r="L30" s="33">
        <v>54.23</v>
      </c>
      <c r="N30" s="25" t="s">
        <v>159</v>
      </c>
    </row>
    <row r="31" spans="1:45">
      <c r="C31" s="15"/>
      <c r="E31" s="168" t="s">
        <v>40</v>
      </c>
      <c r="F31" s="26" t="s">
        <v>28</v>
      </c>
      <c r="H31" s="36" t="s">
        <v>38</v>
      </c>
      <c r="L31" s="33">
        <v>57.44</v>
      </c>
      <c r="N31" s="25" t="s">
        <v>160</v>
      </c>
    </row>
    <row r="32" spans="1:45">
      <c r="C32" s="15"/>
      <c r="E32" s="168" t="s">
        <v>42</v>
      </c>
      <c r="F32" s="26" t="s">
        <v>28</v>
      </c>
      <c r="H32" s="36" t="s">
        <v>38</v>
      </c>
      <c r="L32" s="33">
        <v>132.85</v>
      </c>
      <c r="N32" s="25" t="s">
        <v>155</v>
      </c>
    </row>
    <row r="33" spans="1:28">
      <c r="C33" s="15"/>
      <c r="E33" s="168" t="s">
        <v>44</v>
      </c>
      <c r="F33" s="26" t="s">
        <v>28</v>
      </c>
      <c r="H33" s="36" t="s">
        <v>38</v>
      </c>
      <c r="L33" s="33">
        <v>22326.1</v>
      </c>
      <c r="N33" s="25" t="s">
        <v>161</v>
      </c>
    </row>
    <row r="34" spans="1:28">
      <c r="A34" s="29"/>
      <c r="B34" s="29"/>
      <c r="C34" s="49"/>
      <c r="D34" s="29"/>
      <c r="E34" s="169" t="s">
        <v>157</v>
      </c>
      <c r="F34" s="50" t="s">
        <v>28</v>
      </c>
      <c r="G34" s="30"/>
      <c r="H34" s="51" t="s">
        <v>38</v>
      </c>
      <c r="I34" s="161"/>
      <c r="J34" s="34"/>
      <c r="K34" s="113"/>
      <c r="L34" s="34">
        <v>55305.59</v>
      </c>
      <c r="M34" s="113"/>
      <c r="N34" s="191" t="s">
        <v>158</v>
      </c>
      <c r="O34" s="30"/>
      <c r="P34" s="30"/>
      <c r="Q34" s="30"/>
      <c r="R34" s="30"/>
      <c r="S34" s="30"/>
      <c r="T34" s="30"/>
      <c r="U34" s="30"/>
      <c r="V34" s="30"/>
      <c r="W34" s="30"/>
      <c r="X34" s="30"/>
      <c r="Y34" s="30"/>
      <c r="Z34" s="30"/>
      <c r="AA34" s="30"/>
      <c r="AB34" s="30"/>
    </row>
    <row r="35" spans="1:28">
      <c r="A35" s="18">
        <v>12</v>
      </c>
      <c r="B35" s="18" t="s">
        <v>164</v>
      </c>
      <c r="C35" s="15">
        <v>44771</v>
      </c>
      <c r="E35" s="168" t="s">
        <v>44</v>
      </c>
      <c r="F35" s="16" t="s">
        <v>138</v>
      </c>
      <c r="H35" s="36" t="s">
        <v>38</v>
      </c>
      <c r="N35" s="25" t="s">
        <v>167</v>
      </c>
    </row>
    <row r="36" spans="1:28">
      <c r="A36" s="29"/>
      <c r="B36" s="29"/>
      <c r="C36" s="29"/>
      <c r="D36" s="29"/>
      <c r="E36" s="30"/>
      <c r="F36" s="30"/>
      <c r="G36" s="30"/>
      <c r="H36" s="30"/>
      <c r="I36" s="161"/>
      <c r="J36" s="34"/>
      <c r="K36" s="113"/>
      <c r="L36" s="34"/>
      <c r="M36" s="113"/>
      <c r="N36" s="191"/>
      <c r="O36" s="30"/>
      <c r="P36" s="30"/>
      <c r="Q36" s="30"/>
      <c r="R36" s="30"/>
      <c r="S36" s="30"/>
      <c r="T36" s="30"/>
      <c r="U36" s="30"/>
      <c r="V36" s="30"/>
      <c r="W36" s="30"/>
      <c r="X36" s="30"/>
      <c r="Y36" s="30"/>
      <c r="Z36" s="30"/>
      <c r="AA36" s="30"/>
      <c r="AB36" s="30"/>
    </row>
    <row r="37" spans="1:28">
      <c r="A37" s="64">
        <v>13</v>
      </c>
      <c r="B37" s="64" t="s">
        <v>168</v>
      </c>
      <c r="C37" s="65">
        <v>44775</v>
      </c>
      <c r="D37" s="64"/>
      <c r="E37" s="170" t="s">
        <v>171</v>
      </c>
      <c r="F37" s="66" t="s">
        <v>138</v>
      </c>
      <c r="G37" s="67"/>
      <c r="H37" s="68" t="s">
        <v>1</v>
      </c>
      <c r="I37" s="164"/>
      <c r="J37" s="69">
        <v>52428</v>
      </c>
      <c r="K37" s="178"/>
      <c r="L37" s="69"/>
      <c r="M37" s="178"/>
      <c r="N37" s="193"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343</v>
      </c>
      <c r="L38" s="33">
        <v>725</v>
      </c>
      <c r="N38" s="25" t="s">
        <v>139</v>
      </c>
    </row>
    <row r="39" spans="1:28">
      <c r="C39" s="15"/>
      <c r="E39" s="35" t="s">
        <v>133</v>
      </c>
      <c r="F39" s="17" t="s">
        <v>141</v>
      </c>
      <c r="H39" s="35" t="s">
        <v>343</v>
      </c>
      <c r="L39" s="33">
        <v>1942</v>
      </c>
      <c r="N39" s="25" t="s">
        <v>139</v>
      </c>
    </row>
    <row r="40" spans="1:28">
      <c r="C40" s="15"/>
      <c r="E40" s="35" t="s">
        <v>134</v>
      </c>
      <c r="F40" s="17" t="s">
        <v>141</v>
      </c>
      <c r="H40" s="35" t="s">
        <v>343</v>
      </c>
      <c r="L40" s="33">
        <v>2333</v>
      </c>
      <c r="N40" s="25" t="s">
        <v>139</v>
      </c>
    </row>
    <row r="41" spans="1:28">
      <c r="C41" s="15"/>
      <c r="E41" s="35" t="s">
        <v>132</v>
      </c>
      <c r="F41" s="17" t="s">
        <v>141</v>
      </c>
      <c r="H41" s="35" t="s">
        <v>343</v>
      </c>
      <c r="L41" s="33">
        <v>77</v>
      </c>
      <c r="N41" s="25" t="s">
        <v>139</v>
      </c>
    </row>
    <row r="42" spans="1:28">
      <c r="C42" s="15"/>
      <c r="E42" s="35" t="s">
        <v>137</v>
      </c>
      <c r="F42" s="17" t="s">
        <v>141</v>
      </c>
      <c r="H42" s="35" t="s">
        <v>343</v>
      </c>
      <c r="L42" s="33">
        <v>429</v>
      </c>
      <c r="N42" s="25" t="s">
        <v>139</v>
      </c>
    </row>
    <row r="43" spans="1:28">
      <c r="C43" s="15"/>
      <c r="E43" s="35" t="s">
        <v>136</v>
      </c>
      <c r="F43" s="17" t="s">
        <v>141</v>
      </c>
      <c r="H43" s="35" t="s">
        <v>343</v>
      </c>
      <c r="J43" s="56"/>
      <c r="K43" s="221"/>
      <c r="L43" s="56">
        <v>-253</v>
      </c>
      <c r="N43" s="25" t="s">
        <v>139</v>
      </c>
    </row>
    <row r="44" spans="1:28">
      <c r="C44" s="15"/>
      <c r="E44" s="35" t="s">
        <v>135</v>
      </c>
      <c r="F44" s="17" t="s">
        <v>141</v>
      </c>
      <c r="H44" s="35" t="s">
        <v>343</v>
      </c>
      <c r="L44" s="33">
        <v>3584</v>
      </c>
      <c r="N44" s="25" t="s">
        <v>139</v>
      </c>
    </row>
    <row r="45" spans="1:28">
      <c r="C45" s="15"/>
      <c r="E45" s="60"/>
      <c r="F45" s="61"/>
      <c r="G45" s="60"/>
      <c r="H45" s="62" t="s">
        <v>149</v>
      </c>
      <c r="J45" s="63"/>
      <c r="K45" s="222"/>
      <c r="L45" s="63">
        <f>SUM(L38:L44)</f>
        <v>8837</v>
      </c>
    </row>
    <row r="46" spans="1:28">
      <c r="C46" s="15">
        <v>44782</v>
      </c>
      <c r="E46" s="35" t="s">
        <v>131</v>
      </c>
      <c r="F46" s="16" t="s">
        <v>138</v>
      </c>
      <c r="H46" s="35" t="s">
        <v>343</v>
      </c>
      <c r="N46" s="25" t="s">
        <v>139</v>
      </c>
    </row>
    <row r="47" spans="1:28">
      <c r="C47" s="15"/>
      <c r="E47" s="35" t="s">
        <v>175</v>
      </c>
      <c r="F47" s="16" t="s">
        <v>138</v>
      </c>
      <c r="H47" s="35" t="s">
        <v>343</v>
      </c>
      <c r="N47" s="25" t="s">
        <v>139</v>
      </c>
    </row>
    <row r="48" spans="1:28">
      <c r="C48" s="15"/>
      <c r="E48" s="35" t="s">
        <v>132</v>
      </c>
      <c r="F48" s="16" t="s">
        <v>138</v>
      </c>
      <c r="H48" s="35" t="s">
        <v>343</v>
      </c>
      <c r="N48" s="25" t="s">
        <v>139</v>
      </c>
    </row>
    <row r="49" spans="1:28">
      <c r="C49" s="15"/>
      <c r="E49" s="35" t="s">
        <v>176</v>
      </c>
      <c r="F49" s="16" t="s">
        <v>138</v>
      </c>
      <c r="H49" s="35" t="s">
        <v>343</v>
      </c>
      <c r="N49" s="25" t="s">
        <v>139</v>
      </c>
    </row>
    <row r="50" spans="1:28">
      <c r="C50" s="15">
        <v>44783</v>
      </c>
      <c r="E50" s="35" t="s">
        <v>177</v>
      </c>
      <c r="F50" s="16" t="s">
        <v>138</v>
      </c>
      <c r="H50" s="35" t="s">
        <v>343</v>
      </c>
      <c r="N50" s="25" t="s">
        <v>139</v>
      </c>
    </row>
    <row r="51" spans="1:28">
      <c r="A51" s="29"/>
      <c r="B51" s="29"/>
      <c r="C51" s="49"/>
      <c r="D51" s="29"/>
      <c r="E51" s="58" t="s">
        <v>178</v>
      </c>
      <c r="F51" s="59" t="s">
        <v>138</v>
      </c>
      <c r="G51" s="30"/>
      <c r="H51" s="58" t="s">
        <v>343</v>
      </c>
      <c r="I51" s="161"/>
      <c r="J51" s="34"/>
      <c r="K51" s="113"/>
      <c r="L51" s="34"/>
      <c r="M51" s="113"/>
      <c r="N51" s="191"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343</v>
      </c>
      <c r="I59" s="165"/>
      <c r="J59" s="54"/>
      <c r="K59" s="179"/>
      <c r="L59" s="54">
        <v>-1060</v>
      </c>
      <c r="M59" s="179"/>
      <c r="N59" s="20" t="s">
        <v>139</v>
      </c>
      <c r="O59" s="24"/>
      <c r="P59" s="24"/>
      <c r="Q59" s="24"/>
      <c r="R59" s="24"/>
      <c r="S59" s="24"/>
      <c r="T59" s="24"/>
      <c r="U59" s="24"/>
      <c r="V59" s="24"/>
      <c r="W59" s="24"/>
      <c r="X59" s="24"/>
      <c r="Y59" s="24"/>
      <c r="Z59" s="24"/>
      <c r="AA59" s="24"/>
      <c r="AB59" s="24"/>
    </row>
    <row r="60" spans="1:28">
      <c r="C60" s="15"/>
      <c r="E60" s="35" t="s">
        <v>175</v>
      </c>
      <c r="F60" s="17" t="s">
        <v>141</v>
      </c>
      <c r="H60" s="35" t="s">
        <v>343</v>
      </c>
      <c r="L60" s="33">
        <v>-2689</v>
      </c>
      <c r="N60" s="25" t="s">
        <v>139</v>
      </c>
    </row>
    <row r="61" spans="1:28">
      <c r="C61" s="15"/>
      <c r="E61" s="35" t="s">
        <v>132</v>
      </c>
      <c r="F61" s="17" t="s">
        <v>141</v>
      </c>
      <c r="H61" s="35" t="s">
        <v>343</v>
      </c>
      <c r="L61" s="33">
        <v>-736</v>
      </c>
      <c r="N61" s="25" t="s">
        <v>139</v>
      </c>
    </row>
    <row r="62" spans="1:28">
      <c r="C62" s="15"/>
      <c r="E62" s="35" t="s">
        <v>176</v>
      </c>
      <c r="F62" s="17" t="s">
        <v>141</v>
      </c>
      <c r="H62" s="35" t="s">
        <v>343</v>
      </c>
      <c r="L62" s="33">
        <v>-173</v>
      </c>
      <c r="N62" s="25" t="s">
        <v>139</v>
      </c>
    </row>
    <row r="63" spans="1:28">
      <c r="C63" s="15"/>
      <c r="E63" s="35" t="s">
        <v>177</v>
      </c>
      <c r="F63" s="17" t="s">
        <v>141</v>
      </c>
      <c r="H63" s="35" t="s">
        <v>343</v>
      </c>
      <c r="L63" s="33">
        <v>-559</v>
      </c>
      <c r="N63" s="25" t="s">
        <v>139</v>
      </c>
    </row>
    <row r="64" spans="1:28">
      <c r="C64" s="15"/>
      <c r="E64" s="35" t="s">
        <v>178</v>
      </c>
      <c r="F64" s="17" t="s">
        <v>141</v>
      </c>
      <c r="H64" s="35" t="s">
        <v>343</v>
      </c>
      <c r="L64" s="33">
        <v>-3100</v>
      </c>
      <c r="N64" s="25" t="s">
        <v>139</v>
      </c>
    </row>
    <row r="65" spans="1:14">
      <c r="C65" s="15">
        <v>44805</v>
      </c>
      <c r="E65" s="35" t="s">
        <v>181</v>
      </c>
      <c r="F65" s="71" t="s">
        <v>188</v>
      </c>
      <c r="H65" s="35" t="s">
        <v>343</v>
      </c>
      <c r="N65" s="25" t="s">
        <v>139</v>
      </c>
    </row>
    <row r="66" spans="1:14">
      <c r="C66" s="15"/>
      <c r="E66" s="35" t="s">
        <v>178</v>
      </c>
      <c r="F66" s="71" t="s">
        <v>188</v>
      </c>
      <c r="H66" s="35" t="s">
        <v>343</v>
      </c>
      <c r="N66" s="25" t="s">
        <v>139</v>
      </c>
    </row>
    <row r="67" spans="1:14">
      <c r="C67" s="15"/>
      <c r="E67" s="35" t="s">
        <v>133</v>
      </c>
      <c r="F67" s="71" t="s">
        <v>188</v>
      </c>
      <c r="H67" s="35" t="s">
        <v>343</v>
      </c>
      <c r="N67" s="25" t="s">
        <v>139</v>
      </c>
    </row>
    <row r="68" spans="1:14">
      <c r="C68" s="15"/>
      <c r="E68" s="35" t="s">
        <v>176</v>
      </c>
      <c r="F68" s="71" t="s">
        <v>188</v>
      </c>
      <c r="H68" s="35" t="s">
        <v>343</v>
      </c>
      <c r="N68" s="25" t="s">
        <v>139</v>
      </c>
    </row>
    <row r="69" spans="1:14">
      <c r="C69" s="15"/>
      <c r="E69" s="35" t="s">
        <v>182</v>
      </c>
      <c r="F69" s="71" t="s">
        <v>188</v>
      </c>
      <c r="H69" s="35" t="s">
        <v>343</v>
      </c>
      <c r="N69" s="25" t="s">
        <v>139</v>
      </c>
    </row>
    <row r="70" spans="1:14">
      <c r="C70" s="15"/>
      <c r="E70" s="35" t="s">
        <v>183</v>
      </c>
      <c r="F70" s="26" t="s">
        <v>187</v>
      </c>
      <c r="H70" s="35" t="s">
        <v>343</v>
      </c>
      <c r="N70" s="25" t="s">
        <v>139</v>
      </c>
    </row>
    <row r="71" spans="1:14">
      <c r="C71" s="15"/>
      <c r="E71" s="35" t="s">
        <v>184</v>
      </c>
      <c r="F71" s="26" t="s">
        <v>187</v>
      </c>
      <c r="H71" s="35" t="s">
        <v>343</v>
      </c>
      <c r="N71" s="25" t="s">
        <v>139</v>
      </c>
    </row>
    <row r="72" spans="1:14">
      <c r="C72" s="15"/>
      <c r="E72" s="35" t="s">
        <v>185</v>
      </c>
      <c r="F72" s="26" t="s">
        <v>187</v>
      </c>
      <c r="H72" s="35" t="s">
        <v>343</v>
      </c>
      <c r="N72" s="25" t="s">
        <v>139</v>
      </c>
    </row>
    <row r="73" spans="1:14">
      <c r="C73" s="15"/>
      <c r="E73" s="35" t="s">
        <v>186</v>
      </c>
      <c r="F73" s="26" t="s">
        <v>187</v>
      </c>
      <c r="H73" s="35" t="s">
        <v>343</v>
      </c>
      <c r="N73" s="25" t="s">
        <v>139</v>
      </c>
    </row>
    <row r="74" spans="1:14">
      <c r="C74" s="15"/>
      <c r="E74" s="103" t="s">
        <v>129</v>
      </c>
      <c r="F74" s="26" t="s">
        <v>28</v>
      </c>
      <c r="H74" s="103" t="s">
        <v>2</v>
      </c>
      <c r="I74" s="162">
        <v>390</v>
      </c>
      <c r="J74" s="33">
        <v>22647.3</v>
      </c>
      <c r="L74" s="33">
        <v>2659.8</v>
      </c>
      <c r="M74" s="112">
        <v>6.2300000000000001E-2</v>
      </c>
      <c r="N74" s="25" t="s">
        <v>190</v>
      </c>
    </row>
    <row r="75" spans="1:14">
      <c r="C75" s="15"/>
      <c r="E75" s="103" t="s">
        <v>192</v>
      </c>
      <c r="F75" s="26" t="s">
        <v>28</v>
      </c>
      <c r="H75" s="103" t="s">
        <v>2</v>
      </c>
      <c r="I75" s="162">
        <v>2980</v>
      </c>
      <c r="J75" s="33">
        <v>191807</v>
      </c>
      <c r="L75" s="33">
        <v>21615.49</v>
      </c>
      <c r="M75" s="112">
        <v>6.2300000000000001E-2</v>
      </c>
    </row>
    <row r="76" spans="1:14" s="30" customFormat="1">
      <c r="A76" s="29"/>
      <c r="B76" s="29"/>
      <c r="C76" s="49"/>
      <c r="D76" s="29"/>
      <c r="E76" s="102" t="s">
        <v>193</v>
      </c>
      <c r="F76" s="59" t="s">
        <v>138</v>
      </c>
      <c r="H76" s="102" t="s">
        <v>1</v>
      </c>
      <c r="I76" s="161">
        <v>300000</v>
      </c>
      <c r="J76" s="34">
        <v>43393</v>
      </c>
      <c r="K76" s="113"/>
      <c r="L76" s="34"/>
      <c r="M76" s="113"/>
      <c r="N76" s="191"/>
    </row>
    <row r="77" spans="1:14" s="67" customFormat="1">
      <c r="A77" s="64">
        <v>18</v>
      </c>
      <c r="B77" s="64" t="s">
        <v>251</v>
      </c>
      <c r="C77" s="65">
        <v>44811</v>
      </c>
      <c r="D77" s="64"/>
      <c r="E77" s="68" t="s">
        <v>224</v>
      </c>
      <c r="F77" s="66" t="s">
        <v>138</v>
      </c>
      <c r="H77" s="68" t="s">
        <v>1</v>
      </c>
      <c r="I77" s="164">
        <v>4000000</v>
      </c>
      <c r="J77" s="69">
        <v>5181</v>
      </c>
      <c r="K77" s="178"/>
      <c r="M77" s="178"/>
      <c r="N77" s="193"/>
    </row>
    <row r="78" spans="1:14">
      <c r="A78" s="18">
        <v>19</v>
      </c>
      <c r="B78" s="18" t="s">
        <v>252</v>
      </c>
      <c r="C78" s="15">
        <v>44818</v>
      </c>
      <c r="E78" s="104" t="s">
        <v>224</v>
      </c>
      <c r="F78" s="16" t="s">
        <v>138</v>
      </c>
      <c r="H78" s="104" t="s">
        <v>1</v>
      </c>
      <c r="I78" s="162">
        <v>25280000</v>
      </c>
      <c r="J78" s="33">
        <v>32309</v>
      </c>
    </row>
    <row r="79" spans="1:14">
      <c r="C79" s="15">
        <v>44818</v>
      </c>
      <c r="E79" s="104" t="s">
        <v>228</v>
      </c>
      <c r="F79" s="16" t="s">
        <v>138</v>
      </c>
      <c r="H79" s="104" t="s">
        <v>1</v>
      </c>
      <c r="I79" s="162">
        <v>190000</v>
      </c>
      <c r="J79" s="33">
        <v>9310</v>
      </c>
    </row>
    <row r="80" spans="1:14" s="30" customFormat="1" ht="48" customHeight="1">
      <c r="A80" s="29"/>
      <c r="B80" s="29"/>
      <c r="C80" s="49">
        <v>44819</v>
      </c>
      <c r="D80" s="29"/>
      <c r="E80" s="102" t="s">
        <v>228</v>
      </c>
      <c r="F80" s="59" t="s">
        <v>138</v>
      </c>
      <c r="H80" s="102" t="s">
        <v>1</v>
      </c>
      <c r="I80" s="161">
        <v>180000</v>
      </c>
      <c r="J80" s="34">
        <v>8744</v>
      </c>
      <c r="K80" s="113"/>
      <c r="L80" s="34"/>
      <c r="M80" s="113"/>
      <c r="N80" s="191"/>
    </row>
    <row r="81" spans="1:14">
      <c r="A81" s="18">
        <v>20</v>
      </c>
      <c r="B81" s="18" t="s">
        <v>253</v>
      </c>
      <c r="C81" s="15">
        <v>44823</v>
      </c>
      <c r="E81" s="35" t="s">
        <v>254</v>
      </c>
      <c r="F81" s="71" t="s">
        <v>188</v>
      </c>
      <c r="H81" s="35" t="s">
        <v>343</v>
      </c>
      <c r="J81" s="33">
        <v>50000</v>
      </c>
    </row>
    <row r="82" spans="1:14">
      <c r="C82" s="15">
        <v>44823</v>
      </c>
      <c r="E82" s="35" t="s">
        <v>163</v>
      </c>
      <c r="F82" s="71" t="s">
        <v>188</v>
      </c>
      <c r="H82" s="35" t="s">
        <v>343</v>
      </c>
      <c r="J82" s="33">
        <v>50000</v>
      </c>
    </row>
    <row r="83" spans="1:14">
      <c r="C83" s="15">
        <v>44824</v>
      </c>
      <c r="E83" s="35" t="s">
        <v>255</v>
      </c>
      <c r="F83" s="71" t="s">
        <v>188</v>
      </c>
      <c r="H83" s="35" t="s">
        <v>343</v>
      </c>
      <c r="I83" s="160"/>
      <c r="J83" s="33">
        <v>50000</v>
      </c>
    </row>
    <row r="84" spans="1:14">
      <c r="C84" s="15"/>
      <c r="E84" s="109" t="s">
        <v>220</v>
      </c>
      <c r="F84" s="26" t="s">
        <v>28</v>
      </c>
      <c r="H84" s="109" t="s">
        <v>229</v>
      </c>
      <c r="I84" s="160">
        <v>1350</v>
      </c>
      <c r="J84" s="33">
        <v>85363</v>
      </c>
      <c r="L84" s="33">
        <v>5318</v>
      </c>
      <c r="M84" s="112">
        <v>6.2300000000000001E-2</v>
      </c>
    </row>
    <row r="85" spans="1:14" s="30" customFormat="1">
      <c r="A85" s="29"/>
      <c r="B85" s="29"/>
      <c r="C85" s="49"/>
      <c r="D85" s="29"/>
      <c r="E85" s="110" t="s">
        <v>221</v>
      </c>
      <c r="F85" s="50" t="s">
        <v>28</v>
      </c>
      <c r="H85" s="111" t="s">
        <v>229</v>
      </c>
      <c r="I85" s="161">
        <v>135</v>
      </c>
      <c r="J85" s="34">
        <v>15770</v>
      </c>
      <c r="K85" s="113"/>
      <c r="L85" s="34">
        <v>9267</v>
      </c>
      <c r="M85" s="113">
        <v>0.58760000000000001</v>
      </c>
      <c r="N85" s="191"/>
    </row>
    <row r="86" spans="1:14">
      <c r="A86" s="18">
        <v>21</v>
      </c>
      <c r="B86" s="18" t="s">
        <v>260</v>
      </c>
      <c r="C86" s="15">
        <v>44824</v>
      </c>
      <c r="E86" s="36" t="s">
        <v>262</v>
      </c>
      <c r="F86" s="16"/>
    </row>
    <row r="87" spans="1:14">
      <c r="E87" s="118" t="s">
        <v>263</v>
      </c>
      <c r="F87" s="71" t="s">
        <v>138</v>
      </c>
      <c r="J87" s="33" t="s">
        <v>265</v>
      </c>
      <c r="N87" s="25" t="s">
        <v>264</v>
      </c>
    </row>
    <row r="88" spans="1:14">
      <c r="E88" s="171" t="s">
        <v>266</v>
      </c>
      <c r="F88" s="71" t="s">
        <v>188</v>
      </c>
    </row>
    <row r="89" spans="1:14">
      <c r="E89" s="171" t="s">
        <v>196</v>
      </c>
      <c r="F89" s="117" t="s">
        <v>141</v>
      </c>
    </row>
    <row r="90" spans="1:14">
      <c r="E90" s="171" t="s">
        <v>197</v>
      </c>
      <c r="F90" s="117" t="s">
        <v>141</v>
      </c>
    </row>
    <row r="91" spans="1:14">
      <c r="E91" s="171" t="s">
        <v>198</v>
      </c>
      <c r="F91" s="117" t="s">
        <v>141</v>
      </c>
    </row>
    <row r="92" spans="1:14">
      <c r="E92" s="172" t="s">
        <v>199</v>
      </c>
      <c r="F92" s="117" t="s">
        <v>141</v>
      </c>
      <c r="L92" s="33">
        <v>-1768</v>
      </c>
    </row>
    <row r="93" spans="1:14">
      <c r="E93" s="171" t="s">
        <v>200</v>
      </c>
      <c r="F93" s="117" t="s">
        <v>141</v>
      </c>
      <c r="L93" s="33">
        <v>-1922</v>
      </c>
    </row>
    <row r="94" spans="1:14">
      <c r="E94" s="171" t="s">
        <v>201</v>
      </c>
      <c r="F94" s="117" t="s">
        <v>141</v>
      </c>
    </row>
    <row r="95" spans="1:14">
      <c r="E95" s="171" t="s">
        <v>202</v>
      </c>
      <c r="F95" s="117" t="s">
        <v>141</v>
      </c>
    </row>
    <row r="96" spans="1:14">
      <c r="E96" s="172" t="s">
        <v>203</v>
      </c>
      <c r="F96" s="117" t="s">
        <v>141</v>
      </c>
      <c r="L96" s="33">
        <v>1277</v>
      </c>
    </row>
    <row r="97" spans="1:14" s="30" customFormat="1">
      <c r="A97" s="29"/>
      <c r="B97" s="29"/>
      <c r="C97" s="29"/>
      <c r="D97" s="29"/>
      <c r="E97" s="173" t="s">
        <v>204</v>
      </c>
      <c r="F97" s="120" t="s">
        <v>141</v>
      </c>
      <c r="I97" s="161"/>
      <c r="J97" s="34"/>
      <c r="K97" s="113"/>
      <c r="L97" s="34"/>
      <c r="M97" s="113"/>
      <c r="N97" s="191"/>
    </row>
    <row r="98" spans="1:14">
      <c r="A98" s="18">
        <v>22</v>
      </c>
      <c r="B98" s="18" t="s">
        <v>274</v>
      </c>
      <c r="C98" s="15">
        <v>44837</v>
      </c>
      <c r="E98" s="35" t="s">
        <v>271</v>
      </c>
      <c r="F98" s="71" t="s">
        <v>138</v>
      </c>
      <c r="H98" s="35" t="s">
        <v>343</v>
      </c>
    </row>
    <row r="99" spans="1:14">
      <c r="E99" s="35" t="s">
        <v>272</v>
      </c>
      <c r="F99" s="71" t="s">
        <v>138</v>
      </c>
      <c r="H99" s="35" t="s">
        <v>343</v>
      </c>
    </row>
    <row r="100" spans="1:14">
      <c r="E100" s="35" t="s">
        <v>270</v>
      </c>
      <c r="F100" s="71" t="s">
        <v>138</v>
      </c>
      <c r="H100" s="35" t="s">
        <v>343</v>
      </c>
    </row>
    <row r="101" spans="1:14">
      <c r="E101" s="35" t="s">
        <v>273</v>
      </c>
      <c r="F101" s="71" t="s">
        <v>138</v>
      </c>
      <c r="H101" s="35" t="s">
        <v>343</v>
      </c>
    </row>
    <row r="102" spans="1:14">
      <c r="E102" s="35" t="s">
        <v>254</v>
      </c>
      <c r="F102" s="71" t="s">
        <v>138</v>
      </c>
      <c r="H102" s="35" t="s">
        <v>343</v>
      </c>
    </row>
    <row r="103" spans="1:14">
      <c r="C103" s="15">
        <v>44839</v>
      </c>
      <c r="E103" s="103" t="s">
        <v>275</v>
      </c>
      <c r="F103" s="26" t="s">
        <v>28</v>
      </c>
      <c r="H103" s="119" t="s">
        <v>2</v>
      </c>
      <c r="J103" s="33">
        <v>49952</v>
      </c>
      <c r="L103" s="33">
        <v>11780</v>
      </c>
      <c r="M103" s="52">
        <f>L103/J103</f>
        <v>0.23582639333760411</v>
      </c>
    </row>
    <row r="104" spans="1:14">
      <c r="E104" s="104" t="s">
        <v>276</v>
      </c>
      <c r="F104" s="26" t="s">
        <v>28</v>
      </c>
      <c r="H104" s="119" t="s">
        <v>2</v>
      </c>
      <c r="J104" s="33">
        <v>66796</v>
      </c>
      <c r="L104" s="33">
        <v>16751</v>
      </c>
      <c r="M104" s="52">
        <f>L104/J104</f>
        <v>0.25077848972992395</v>
      </c>
    </row>
    <row r="105" spans="1:14">
      <c r="C105" s="15">
        <v>44840</v>
      </c>
      <c r="E105" s="35" t="s">
        <v>278</v>
      </c>
      <c r="F105" s="117" t="s">
        <v>141</v>
      </c>
      <c r="H105" s="119"/>
      <c r="M105" s="52"/>
    </row>
    <row r="106" spans="1:14" s="30" customFormat="1">
      <c r="A106" s="29"/>
      <c r="B106" s="29"/>
      <c r="C106" s="49">
        <v>44841</v>
      </c>
      <c r="D106" s="29"/>
      <c r="E106" s="102" t="s">
        <v>277</v>
      </c>
      <c r="F106" s="125" t="s">
        <v>138</v>
      </c>
      <c r="H106" s="102" t="s">
        <v>1</v>
      </c>
      <c r="I106" s="161">
        <v>21000000</v>
      </c>
      <c r="J106" s="34"/>
      <c r="K106" s="113"/>
      <c r="L106" s="34"/>
      <c r="M106" s="113"/>
      <c r="N106" s="191"/>
    </row>
    <row r="107" spans="1:14" s="67" customFormat="1">
      <c r="A107" s="64">
        <v>23</v>
      </c>
      <c r="B107" s="64" t="s">
        <v>288</v>
      </c>
      <c r="C107" s="65">
        <v>44847</v>
      </c>
      <c r="D107" s="64"/>
      <c r="E107" s="68" t="s">
        <v>289</v>
      </c>
      <c r="F107" s="159" t="s">
        <v>138</v>
      </c>
      <c r="H107" s="166" t="s">
        <v>1</v>
      </c>
      <c r="I107" s="164" t="s">
        <v>290</v>
      </c>
      <c r="J107" s="69">
        <v>35016.800000000003</v>
      </c>
      <c r="K107" s="178"/>
      <c r="L107" s="69"/>
      <c r="M107" s="178"/>
      <c r="N107" s="193"/>
    </row>
    <row r="108" spans="1:14">
      <c r="A108" s="18">
        <v>24</v>
      </c>
      <c r="B108" s="18" t="s">
        <v>322</v>
      </c>
      <c r="C108" s="15">
        <v>44852</v>
      </c>
      <c r="E108" s="5" t="s">
        <v>321</v>
      </c>
      <c r="F108" s="71" t="s">
        <v>138</v>
      </c>
      <c r="H108" s="166" t="s">
        <v>1</v>
      </c>
      <c r="I108" s="162">
        <v>100000</v>
      </c>
      <c r="J108" s="33">
        <v>60050</v>
      </c>
      <c r="K108" s="52">
        <v>3.5099999999999999E-2</v>
      </c>
    </row>
    <row r="109" spans="1:14" s="30" customFormat="1">
      <c r="B109" s="29"/>
      <c r="C109" s="49">
        <v>44855</v>
      </c>
      <c r="D109" s="29"/>
      <c r="E109" s="58" t="s">
        <v>230</v>
      </c>
      <c r="F109" s="120" t="s">
        <v>325</v>
      </c>
      <c r="H109" s="58" t="s">
        <v>343</v>
      </c>
      <c r="I109" s="161"/>
      <c r="J109" s="34">
        <v>50000</v>
      </c>
      <c r="K109" s="113"/>
      <c r="L109" s="34">
        <v>1534.12</v>
      </c>
      <c r="M109" s="174">
        <f>L109/J109</f>
        <v>3.0682399999999999E-2</v>
      </c>
      <c r="N109" s="191"/>
    </row>
    <row r="110" spans="1:14">
      <c r="A110" s="18">
        <v>25</v>
      </c>
      <c r="B110" s="18" t="s">
        <v>326</v>
      </c>
      <c r="C110" s="15">
        <v>44861</v>
      </c>
      <c r="E110" s="175" t="s">
        <v>280</v>
      </c>
      <c r="F110" s="117" t="s">
        <v>141</v>
      </c>
      <c r="H110" s="35" t="s">
        <v>343</v>
      </c>
      <c r="L110" s="33">
        <f>M110*54000</f>
        <v>258.42994793334941</v>
      </c>
      <c r="M110" s="52">
        <f>-(10.876/10.9283-1)</f>
        <v>4.7857397765435072E-3</v>
      </c>
      <c r="N110" s="194" t="s">
        <v>357</v>
      </c>
    </row>
    <row r="111" spans="1:14">
      <c r="E111" s="175" t="s">
        <v>281</v>
      </c>
      <c r="F111" s="117" t="s">
        <v>141</v>
      </c>
      <c r="H111" s="35" t="s">
        <v>343</v>
      </c>
      <c r="L111" s="33">
        <v>458.87</v>
      </c>
      <c r="M111" s="52">
        <f>L111/54000</f>
        <v>8.497592592592593E-3</v>
      </c>
    </row>
    <row r="112" spans="1:14">
      <c r="E112" s="175" t="s">
        <v>279</v>
      </c>
      <c r="F112" s="117" t="s">
        <v>141</v>
      </c>
      <c r="H112" s="35" t="s">
        <v>343</v>
      </c>
      <c r="L112" s="33">
        <f>M112*54000</f>
        <v>-358.9908637873753</v>
      </c>
      <c r="M112" s="52">
        <f>-(0.872643/0.86688-1)</f>
        <v>-6.647978959025469E-3</v>
      </c>
    </row>
    <row r="113" spans="1:14">
      <c r="E113" s="175" t="s">
        <v>283</v>
      </c>
      <c r="F113" s="117" t="s">
        <v>141</v>
      </c>
      <c r="H113" s="35" t="s">
        <v>343</v>
      </c>
      <c r="L113" s="33">
        <v>-1710</v>
      </c>
      <c r="M113" s="112">
        <f>L113/53000</f>
        <v>-3.2264150943396228E-2</v>
      </c>
      <c r="N113" s="25" t="s">
        <v>358</v>
      </c>
    </row>
    <row r="114" spans="1:14">
      <c r="E114" s="175" t="s">
        <v>282</v>
      </c>
      <c r="F114" s="117" t="s">
        <v>141</v>
      </c>
      <c r="H114" s="35" t="s">
        <v>343</v>
      </c>
      <c r="L114" s="33">
        <v>-803.3</v>
      </c>
      <c r="M114" s="112">
        <f>L114/52000</f>
        <v>-1.5448076923076922E-2</v>
      </c>
    </row>
    <row r="115" spans="1:14">
      <c r="E115" s="180" t="s">
        <v>336</v>
      </c>
      <c r="F115" s="71" t="s">
        <v>341</v>
      </c>
      <c r="H115" s="35" t="s">
        <v>343</v>
      </c>
      <c r="J115" s="33" t="s">
        <v>328</v>
      </c>
    </row>
    <row r="116" spans="1:14">
      <c r="E116" s="180" t="s">
        <v>337</v>
      </c>
      <c r="F116" s="71" t="s">
        <v>341</v>
      </c>
      <c r="H116" s="35" t="s">
        <v>343</v>
      </c>
      <c r="J116" s="33" t="s">
        <v>329</v>
      </c>
    </row>
    <row r="117" spans="1:14">
      <c r="E117" s="180" t="s">
        <v>338</v>
      </c>
      <c r="F117" s="71" t="s">
        <v>341</v>
      </c>
      <c r="H117" s="35" t="s">
        <v>343</v>
      </c>
      <c r="J117" s="33" t="s">
        <v>330</v>
      </c>
    </row>
    <row r="118" spans="1:14">
      <c r="E118" s="180" t="s">
        <v>339</v>
      </c>
      <c r="F118" s="71" t="s">
        <v>341</v>
      </c>
      <c r="H118" s="35" t="s">
        <v>343</v>
      </c>
      <c r="J118" s="33" t="s">
        <v>331</v>
      </c>
    </row>
    <row r="119" spans="1:14">
      <c r="E119" s="180" t="s">
        <v>340</v>
      </c>
      <c r="F119" s="71" t="s">
        <v>341</v>
      </c>
      <c r="H119" s="35" t="s">
        <v>343</v>
      </c>
      <c r="J119" s="33" t="s">
        <v>332</v>
      </c>
    </row>
    <row r="120" spans="1:14" s="30" customFormat="1">
      <c r="A120" s="29"/>
      <c r="B120" s="29"/>
      <c r="C120" s="29"/>
      <c r="D120" s="29"/>
      <c r="E120" s="181" t="s">
        <v>335</v>
      </c>
      <c r="F120" s="125" t="s">
        <v>341</v>
      </c>
      <c r="H120" s="58" t="s">
        <v>343</v>
      </c>
      <c r="I120" s="161"/>
      <c r="J120" s="34" t="s">
        <v>333</v>
      </c>
      <c r="K120" s="113"/>
      <c r="L120" s="34"/>
      <c r="M120" s="113"/>
      <c r="N120" s="191"/>
    </row>
    <row r="121" spans="1:14">
      <c r="A121" s="18">
        <v>26</v>
      </c>
      <c r="B121" s="18" t="s">
        <v>349</v>
      </c>
      <c r="C121" s="15">
        <v>44875</v>
      </c>
      <c r="E121" s="36" t="s">
        <v>350</v>
      </c>
      <c r="F121" s="189" t="s">
        <v>28</v>
      </c>
      <c r="H121" s="36" t="s">
        <v>229</v>
      </c>
      <c r="J121" s="33">
        <v>47295</v>
      </c>
      <c r="L121" s="33">
        <v>-3681</v>
      </c>
      <c r="M121" s="52">
        <f>L121/J121</f>
        <v>-7.7830637488106563E-2</v>
      </c>
      <c r="N121" s="25" t="s">
        <v>352</v>
      </c>
    </row>
    <row r="122" spans="1:14">
      <c r="E122" s="103" t="s">
        <v>351</v>
      </c>
      <c r="F122" s="189" t="s">
        <v>28</v>
      </c>
      <c r="H122" s="103" t="s">
        <v>2</v>
      </c>
      <c r="J122" s="33">
        <v>70055</v>
      </c>
      <c r="L122" s="33">
        <v>-15888</v>
      </c>
      <c r="M122" s="52">
        <f>L122/J122</f>
        <v>-0.22679323388765971</v>
      </c>
    </row>
    <row r="123" spans="1:14" s="30" customFormat="1">
      <c r="A123" s="29"/>
      <c r="B123" s="29"/>
      <c r="C123" s="29"/>
      <c r="D123" s="29"/>
      <c r="E123" s="51" t="s">
        <v>353</v>
      </c>
      <c r="F123" s="125" t="s">
        <v>138</v>
      </c>
      <c r="H123" s="51" t="s">
        <v>229</v>
      </c>
      <c r="I123" s="161"/>
      <c r="J123" s="34"/>
      <c r="K123" s="113"/>
      <c r="L123" s="34"/>
      <c r="M123" s="113"/>
      <c r="N123" s="191"/>
    </row>
    <row r="124" spans="1:14">
      <c r="A124" s="18">
        <v>27</v>
      </c>
      <c r="B124" s="18" t="s">
        <v>354</v>
      </c>
      <c r="C124" s="15">
        <v>44880</v>
      </c>
      <c r="E124" s="137" t="s">
        <v>355</v>
      </c>
      <c r="F124" s="71" t="s">
        <v>138</v>
      </c>
      <c r="H124" s="103" t="s">
        <v>2</v>
      </c>
      <c r="J124" s="33">
        <v>38519</v>
      </c>
    </row>
    <row r="125" spans="1:14">
      <c r="C125" s="15">
        <v>44881</v>
      </c>
      <c r="E125" s="5" t="s">
        <v>224</v>
      </c>
      <c r="F125" s="189" t="s">
        <v>28</v>
      </c>
      <c r="G125" s="114"/>
      <c r="H125" s="104" t="s">
        <v>1</v>
      </c>
      <c r="I125" s="114"/>
      <c r="J125" s="33">
        <v>37495.818086399995</v>
      </c>
      <c r="L125" s="33">
        <f>40092-37495.82</f>
        <v>2596.1800000000003</v>
      </c>
      <c r="M125" s="112">
        <f>L125/J125</f>
        <v>6.9239188061392204E-2</v>
      </c>
    </row>
    <row r="126" spans="1:14">
      <c r="E126" s="104" t="s">
        <v>195</v>
      </c>
      <c r="F126" s="189" t="s">
        <v>28</v>
      </c>
      <c r="H126" s="104" t="s">
        <v>1</v>
      </c>
      <c r="J126" s="33">
        <v>43392.667499999996</v>
      </c>
      <c r="L126" s="33">
        <v>41917</v>
      </c>
      <c r="M126" s="112">
        <f>L126/J126-1</f>
        <v>-3.4007300887874625E-2</v>
      </c>
    </row>
    <row r="127" spans="1:14">
      <c r="E127" s="137" t="s">
        <v>355</v>
      </c>
      <c r="F127" s="189" t="s">
        <v>28</v>
      </c>
      <c r="H127" s="103" t="s">
        <v>2</v>
      </c>
    </row>
    <row r="128" spans="1:14" s="24" customFormat="1">
      <c r="A128" s="19">
        <v>28</v>
      </c>
      <c r="B128" s="19" t="s">
        <v>356</v>
      </c>
      <c r="C128" s="53">
        <v>44890</v>
      </c>
      <c r="D128" s="19"/>
      <c r="E128" s="229" t="s">
        <v>336</v>
      </c>
      <c r="F128" s="73" t="s">
        <v>141</v>
      </c>
      <c r="G128" s="24" t="s">
        <v>66</v>
      </c>
      <c r="H128" s="72" t="s">
        <v>343</v>
      </c>
      <c r="I128" s="190">
        <v>37000</v>
      </c>
      <c r="J128" s="54"/>
      <c r="K128" s="179"/>
      <c r="L128" s="54">
        <f>37000-36953.01</f>
        <v>46.989999999997963</v>
      </c>
      <c r="M128" s="179">
        <f>L128/I128</f>
        <v>1.269999999999945E-3</v>
      </c>
      <c r="N128" s="195"/>
    </row>
    <row r="129" spans="1:14">
      <c r="E129" s="180" t="s">
        <v>337</v>
      </c>
      <c r="F129" s="17" t="s">
        <v>141</v>
      </c>
      <c r="G129" s="1" t="s">
        <v>60</v>
      </c>
      <c r="H129" s="35" t="s">
        <v>343</v>
      </c>
      <c r="I129" s="6">
        <v>40000</v>
      </c>
      <c r="L129" s="33">
        <f>40000-40014.78</f>
        <v>-14.779999999998836</v>
      </c>
      <c r="M129" s="112">
        <f>L129/I129</f>
        <v>-3.6949999999997087E-4</v>
      </c>
      <c r="N129" s="194"/>
    </row>
    <row r="130" spans="1:14">
      <c r="E130" s="180" t="s">
        <v>338</v>
      </c>
      <c r="F130" s="17" t="s">
        <v>141</v>
      </c>
      <c r="G130" s="1" t="s">
        <v>65</v>
      </c>
      <c r="H130" s="35" t="s">
        <v>343</v>
      </c>
      <c r="I130" s="6">
        <v>41000</v>
      </c>
      <c r="L130" s="33">
        <f>41000-42379.71</f>
        <v>-1379.7099999999991</v>
      </c>
      <c r="M130" s="112">
        <f>L130/I130</f>
        <v>-3.3651463414634125E-2</v>
      </c>
      <c r="N130" s="194"/>
    </row>
    <row r="131" spans="1:14">
      <c r="E131" s="180" t="s">
        <v>339</v>
      </c>
      <c r="F131" s="17" t="s">
        <v>141</v>
      </c>
      <c r="G131" s="1" t="s">
        <v>52</v>
      </c>
      <c r="H131" s="35" t="s">
        <v>343</v>
      </c>
      <c r="I131" s="6">
        <v>48000</v>
      </c>
      <c r="L131" s="33">
        <f>46164.54-48000</f>
        <v>-1835.4599999999991</v>
      </c>
      <c r="M131" s="112">
        <f>L131/I131</f>
        <v>-3.8238749999999981E-2</v>
      </c>
      <c r="N131" s="194"/>
    </row>
    <row r="132" spans="1:14" s="30" customFormat="1">
      <c r="A132" s="29"/>
      <c r="B132" s="29"/>
      <c r="C132" s="29"/>
      <c r="D132" s="29"/>
      <c r="E132" s="181" t="s">
        <v>340</v>
      </c>
      <c r="F132" s="196" t="s">
        <v>141</v>
      </c>
      <c r="G132" s="30" t="s">
        <v>48</v>
      </c>
      <c r="H132" s="58" t="s">
        <v>343</v>
      </c>
      <c r="I132" s="197">
        <f>20000+50833.73</f>
        <v>70833.73000000001</v>
      </c>
      <c r="J132" s="34"/>
      <c r="K132" s="113"/>
      <c r="L132" s="34">
        <f>70756.98-I132</f>
        <v>-76.750000000014552</v>
      </c>
      <c r="M132" s="113">
        <f>L132/I132</f>
        <v>-1.0835233440341845E-3</v>
      </c>
      <c r="N132" s="198"/>
    </row>
    <row r="133" spans="1:14">
      <c r="A133" s="18">
        <v>29</v>
      </c>
      <c r="B133" s="18" t="s">
        <v>359</v>
      </c>
      <c r="C133" s="15">
        <v>44893</v>
      </c>
      <c r="E133" s="199" t="s">
        <v>360</v>
      </c>
      <c r="F133" s="71" t="s">
        <v>341</v>
      </c>
      <c r="G133" s="1" t="s">
        <v>70</v>
      </c>
      <c r="H133" s="35" t="s">
        <v>343</v>
      </c>
      <c r="I133" s="123">
        <v>31000</v>
      </c>
      <c r="K133" s="112">
        <v>1.9818702535006429E-2</v>
      </c>
    </row>
    <row r="134" spans="1:14">
      <c r="E134" s="199" t="s">
        <v>361</v>
      </c>
      <c r="F134" s="71" t="s">
        <v>341</v>
      </c>
      <c r="G134" s="1" t="s">
        <v>65</v>
      </c>
      <c r="H134" s="35" t="s">
        <v>343</v>
      </c>
      <c r="I134" s="123">
        <v>32000</v>
      </c>
      <c r="K134" s="112">
        <v>2.0985150176841442E-2</v>
      </c>
    </row>
    <row r="135" spans="1:14">
      <c r="E135" s="199" t="s">
        <v>362</v>
      </c>
      <c r="F135" s="71" t="s">
        <v>341</v>
      </c>
      <c r="G135" s="1" t="s">
        <v>43</v>
      </c>
      <c r="H135" s="35" t="s">
        <v>343</v>
      </c>
      <c r="I135" s="123">
        <v>53000</v>
      </c>
      <c r="K135" s="112">
        <v>3.398096810058631E-2</v>
      </c>
    </row>
    <row r="136" spans="1:14">
      <c r="E136" s="199" t="s">
        <v>363</v>
      </c>
      <c r="F136" s="71" t="s">
        <v>341</v>
      </c>
      <c r="G136" s="1" t="s">
        <v>47</v>
      </c>
      <c r="H136" s="35" t="s">
        <v>343</v>
      </c>
      <c r="I136" s="123">
        <v>36000</v>
      </c>
      <c r="K136" s="112">
        <v>2.2294035319494591E-2</v>
      </c>
    </row>
    <row r="137" spans="1:14">
      <c r="E137" s="199" t="s">
        <v>364</v>
      </c>
      <c r="F137" s="71" t="s">
        <v>341</v>
      </c>
      <c r="G137" s="1" t="s">
        <v>64</v>
      </c>
      <c r="H137" s="35" t="s">
        <v>343</v>
      </c>
      <c r="I137" s="123">
        <v>41000</v>
      </c>
      <c r="K137" s="112">
        <v>2.6161662593961837E-2</v>
      </c>
    </row>
    <row r="138" spans="1:14" s="30" customFormat="1">
      <c r="A138" s="29"/>
      <c r="B138" s="29"/>
      <c r="C138" s="29"/>
      <c r="D138" s="29"/>
      <c r="E138" s="203" t="s">
        <v>365</v>
      </c>
      <c r="F138" s="125" t="s">
        <v>341</v>
      </c>
      <c r="G138" s="30" t="s">
        <v>52</v>
      </c>
      <c r="H138" s="58" t="s">
        <v>343</v>
      </c>
      <c r="I138" s="204">
        <v>38000</v>
      </c>
      <c r="J138" s="34"/>
      <c r="K138" s="113">
        <v>2.4408141469025042E-2</v>
      </c>
      <c r="L138" s="34"/>
      <c r="M138" s="113"/>
      <c r="N138" s="191"/>
    </row>
    <row r="139" spans="1:14">
      <c r="A139" s="18">
        <v>30</v>
      </c>
      <c r="B139" s="18" t="s">
        <v>371</v>
      </c>
      <c r="C139" s="15">
        <v>44902</v>
      </c>
      <c r="E139" s="104" t="s">
        <v>195</v>
      </c>
      <c r="F139" s="16" t="s">
        <v>138</v>
      </c>
      <c r="H139" s="104" t="s">
        <v>1</v>
      </c>
      <c r="J139" s="33">
        <v>45214</v>
      </c>
      <c r="K139" s="112">
        <v>2.9600000000000001E-2</v>
      </c>
    </row>
    <row r="140" spans="1:14">
      <c r="E140" s="104" t="s">
        <v>289</v>
      </c>
      <c r="F140" s="189" t="s">
        <v>28</v>
      </c>
      <c r="H140" s="104" t="s">
        <v>1</v>
      </c>
      <c r="J140" s="33">
        <v>34534</v>
      </c>
      <c r="L140" s="33">
        <v>9880</v>
      </c>
      <c r="M140" s="112">
        <f>L140/J140</f>
        <v>0.28609486303353215</v>
      </c>
    </row>
    <row r="141" spans="1:14" s="30" customFormat="1">
      <c r="A141" s="29"/>
      <c r="B141" s="29"/>
      <c r="C141" s="49">
        <v>44903</v>
      </c>
      <c r="D141" s="29"/>
      <c r="E141" s="205" t="s">
        <v>369</v>
      </c>
      <c r="F141" s="29"/>
      <c r="H141" s="205" t="s">
        <v>2</v>
      </c>
      <c r="I141" s="161"/>
      <c r="J141" s="34">
        <v>39346</v>
      </c>
      <c r="K141" s="113">
        <v>2.5499999999999998E-2</v>
      </c>
      <c r="L141" s="34"/>
      <c r="M141" s="113"/>
      <c r="N141" s="191"/>
    </row>
    <row r="142" spans="1:14" s="67" customFormat="1">
      <c r="A142" s="64">
        <v>31</v>
      </c>
      <c r="B142" s="64" t="s">
        <v>374</v>
      </c>
      <c r="C142" s="65">
        <v>44909</v>
      </c>
      <c r="D142" s="64"/>
      <c r="E142" s="68" t="s">
        <v>373</v>
      </c>
      <c r="F142" s="66" t="s">
        <v>138</v>
      </c>
      <c r="H142" s="68" t="s">
        <v>1</v>
      </c>
      <c r="I142" s="164"/>
      <c r="J142" s="69">
        <v>35668.526638563199</v>
      </c>
      <c r="K142" s="178">
        <v>2.3500343004059957E-2</v>
      </c>
      <c r="L142" s="69"/>
      <c r="M142" s="178"/>
      <c r="N142" s="193"/>
    </row>
    <row r="143" spans="1:14">
      <c r="A143" s="18">
        <v>32</v>
      </c>
      <c r="B143" s="18" t="s">
        <v>375</v>
      </c>
      <c r="C143" s="15">
        <v>44917</v>
      </c>
      <c r="E143" s="90" t="s">
        <v>269</v>
      </c>
      <c r="F143" s="18" t="s">
        <v>325</v>
      </c>
      <c r="H143" s="1" t="s">
        <v>38</v>
      </c>
    </row>
    <row r="144" spans="1:14" s="24" customFormat="1">
      <c r="A144" s="19">
        <v>36</v>
      </c>
      <c r="B144" s="19" t="s">
        <v>377</v>
      </c>
      <c r="C144" s="53">
        <v>44922</v>
      </c>
      <c r="D144" s="19"/>
      <c r="E144" s="207" t="s">
        <v>376</v>
      </c>
      <c r="F144" s="206" t="s">
        <v>138</v>
      </c>
      <c r="H144" s="208" t="s">
        <v>38</v>
      </c>
      <c r="I144" s="165"/>
      <c r="J144" s="54">
        <v>390952.49199999997</v>
      </c>
      <c r="K144" s="179"/>
      <c r="L144" s="54"/>
      <c r="M144" s="179"/>
      <c r="N144" s="20" t="s">
        <v>423</v>
      </c>
    </row>
    <row r="145" spans="1:14">
      <c r="E145" s="199" t="s">
        <v>360</v>
      </c>
      <c r="F145" s="18" t="s">
        <v>325</v>
      </c>
      <c r="H145" s="35" t="s">
        <v>343</v>
      </c>
      <c r="J145" s="33">
        <v>31000</v>
      </c>
      <c r="K145" s="112">
        <f>J145*(412.2443/399.64-1)</f>
        <v>977.71319187268762</v>
      </c>
      <c r="L145" s="52">
        <f t="shared" ref="L145:L150" si="0">K145/J145</f>
        <v>3.1539135221699599E-2</v>
      </c>
      <c r="N145" s="25">
        <v>977.71319187268796</v>
      </c>
    </row>
    <row r="146" spans="1:14">
      <c r="E146" s="199" t="s">
        <v>361</v>
      </c>
      <c r="F146" s="18" t="s">
        <v>325</v>
      </c>
      <c r="H146" s="35" t="s">
        <v>343</v>
      </c>
      <c r="J146" s="33">
        <v>32000</v>
      </c>
      <c r="K146" s="112">
        <f>J146*(1.682332/1.6852-1)</f>
        <v>-54.46000474721302</v>
      </c>
      <c r="L146" s="52">
        <f t="shared" si="0"/>
        <v>-1.7018751483504069E-3</v>
      </c>
      <c r="N146" s="25">
        <v>-67.724064298001707</v>
      </c>
    </row>
    <row r="147" spans="1:14">
      <c r="E147" s="199" t="s">
        <v>362</v>
      </c>
      <c r="F147" s="18" t="s">
        <v>325</v>
      </c>
      <c r="H147" s="35" t="s">
        <v>343</v>
      </c>
      <c r="J147" s="33">
        <v>53000</v>
      </c>
      <c r="K147" s="112">
        <f>20636.61*(4.696527/4.69631-1)+(53000-20636.61)*(4.696527/4.69144-1)</f>
        <v>36.045663065995747</v>
      </c>
      <c r="L147" s="52">
        <f t="shared" si="0"/>
        <v>6.801068503018066E-4</v>
      </c>
      <c r="N147" s="25">
        <v>128.1334841628956</v>
      </c>
    </row>
    <row r="148" spans="1:14">
      <c r="E148" s="199" t="s">
        <v>363</v>
      </c>
      <c r="F148" s="18" t="s">
        <v>325</v>
      </c>
      <c r="H148" s="35" t="s">
        <v>343</v>
      </c>
      <c r="J148" s="33">
        <v>36000</v>
      </c>
      <c r="K148" s="112">
        <v>-708.45</v>
      </c>
      <c r="L148" s="52">
        <f t="shared" si="0"/>
        <v>-1.9679166666666668E-2</v>
      </c>
      <c r="N148" s="25">
        <v>-321.22979061754273</v>
      </c>
    </row>
    <row r="149" spans="1:14">
      <c r="E149" s="199" t="s">
        <v>364</v>
      </c>
      <c r="F149" s="18" t="s">
        <v>325</v>
      </c>
      <c r="H149" s="35" t="s">
        <v>343</v>
      </c>
      <c r="J149" s="33">
        <v>41000</v>
      </c>
      <c r="K149" s="112">
        <v>1153.19</v>
      </c>
      <c r="L149" s="52">
        <f t="shared" si="0"/>
        <v>2.8126585365853659E-2</v>
      </c>
      <c r="N149" s="25">
        <v>1095.0151098527144</v>
      </c>
    </row>
    <row r="150" spans="1:14">
      <c r="E150" s="210" t="s">
        <v>365</v>
      </c>
      <c r="F150" s="29" t="s">
        <v>325</v>
      </c>
      <c r="G150" s="30"/>
      <c r="H150" s="58" t="s">
        <v>343</v>
      </c>
      <c r="I150" s="161"/>
      <c r="J150" s="34">
        <v>38000</v>
      </c>
      <c r="K150" s="113">
        <f>J150*(1-1.048003/1.06287)</f>
        <v>531.52878527007078</v>
      </c>
      <c r="L150" s="52">
        <f t="shared" si="0"/>
        <v>1.3987599612370285E-2</v>
      </c>
      <c r="M150" s="113"/>
      <c r="N150" s="191">
        <v>798.58570761326257</v>
      </c>
    </row>
    <row r="151" spans="1:14">
      <c r="E151" s="209" t="s">
        <v>378</v>
      </c>
      <c r="F151" s="71" t="s">
        <v>341</v>
      </c>
      <c r="H151" s="35" t="s">
        <v>343</v>
      </c>
      <c r="J151" s="33">
        <v>37024.699999999997</v>
      </c>
    </row>
    <row r="152" spans="1:14">
      <c r="E152" s="209" t="s">
        <v>379</v>
      </c>
      <c r="F152" s="71" t="s">
        <v>341</v>
      </c>
      <c r="H152" s="35" t="s">
        <v>343</v>
      </c>
      <c r="J152" s="33">
        <v>38000</v>
      </c>
    </row>
    <row r="153" spans="1:14">
      <c r="E153" s="209" t="s">
        <v>380</v>
      </c>
      <c r="F153" s="71" t="s">
        <v>341</v>
      </c>
      <c r="H153" s="35" t="s">
        <v>343</v>
      </c>
      <c r="J153" s="33">
        <v>40000</v>
      </c>
    </row>
    <row r="154" spans="1:14">
      <c r="E154" s="209" t="s">
        <v>381</v>
      </c>
      <c r="F154" s="71" t="s">
        <v>341</v>
      </c>
      <c r="H154" s="35" t="s">
        <v>343</v>
      </c>
      <c r="J154" s="33">
        <v>48903.23</v>
      </c>
    </row>
    <row r="155" spans="1:14">
      <c r="E155" s="209" t="s">
        <v>382</v>
      </c>
      <c r="F155" s="71" t="s">
        <v>341</v>
      </c>
      <c r="H155" s="35" t="s">
        <v>343</v>
      </c>
      <c r="J155" s="33">
        <v>32224</v>
      </c>
    </row>
    <row r="156" spans="1:14" s="30" customFormat="1">
      <c r="A156" s="29"/>
      <c r="B156" s="29"/>
      <c r="C156" s="29"/>
      <c r="D156" s="29"/>
      <c r="E156" s="211" t="s">
        <v>383</v>
      </c>
      <c r="F156" s="125" t="s">
        <v>341</v>
      </c>
      <c r="H156" s="58" t="s">
        <v>343</v>
      </c>
      <c r="I156" s="161"/>
      <c r="J156" s="34">
        <v>35000</v>
      </c>
      <c r="K156" s="113"/>
      <c r="L156" s="34"/>
      <c r="M156" s="113"/>
      <c r="N156" s="191"/>
    </row>
    <row r="157" spans="1:14" s="67" customFormat="1">
      <c r="A157" s="64">
        <v>37</v>
      </c>
      <c r="B157" s="64" t="s">
        <v>385</v>
      </c>
      <c r="C157" s="65">
        <v>44930</v>
      </c>
      <c r="D157" s="64"/>
      <c r="E157" s="214" t="s">
        <v>384</v>
      </c>
      <c r="F157" s="66" t="s">
        <v>138</v>
      </c>
      <c r="H157" s="68" t="s">
        <v>1</v>
      </c>
      <c r="I157" s="164"/>
      <c r="J157" s="69">
        <v>65324.92542385681</v>
      </c>
      <c r="K157" s="178">
        <v>4.1388666617236169E-2</v>
      </c>
      <c r="L157" s="69"/>
      <c r="M157" s="178"/>
      <c r="N157" s="193"/>
    </row>
    <row r="158" spans="1:14" s="67" customFormat="1">
      <c r="A158" s="64">
        <v>38</v>
      </c>
      <c r="B158" s="64" t="s">
        <v>388</v>
      </c>
      <c r="C158" s="65">
        <v>44937</v>
      </c>
      <c r="D158" s="64"/>
      <c r="E158" s="214" t="s">
        <v>224</v>
      </c>
      <c r="F158" s="66" t="s">
        <v>138</v>
      </c>
      <c r="H158" s="68" t="s">
        <v>1</v>
      </c>
      <c r="I158" s="164"/>
      <c r="J158" s="69">
        <v>54857.507721248621</v>
      </c>
      <c r="K158" s="178">
        <v>3.7900000000000003E-2</v>
      </c>
      <c r="L158" s="69"/>
      <c r="M158" s="178"/>
      <c r="N158" s="193"/>
    </row>
    <row r="159" spans="1:14">
      <c r="A159" s="18">
        <v>39</v>
      </c>
      <c r="B159" s="18" t="s">
        <v>389</v>
      </c>
      <c r="C159" s="15">
        <v>44945</v>
      </c>
      <c r="E159" s="104" t="s">
        <v>321</v>
      </c>
      <c r="F159" s="189" t="s">
        <v>28</v>
      </c>
      <c r="H159" s="104" t="s">
        <v>1</v>
      </c>
      <c r="J159" s="33">
        <v>56362.627039999999</v>
      </c>
      <c r="L159" s="33">
        <v>10369</v>
      </c>
      <c r="M159" s="112">
        <f>L159/J159</f>
        <v>0.18396942343800304</v>
      </c>
    </row>
    <row r="160" spans="1:14">
      <c r="E160" s="215" t="s">
        <v>390</v>
      </c>
      <c r="F160" s="71" t="s">
        <v>341</v>
      </c>
      <c r="H160" s="35" t="s">
        <v>343</v>
      </c>
      <c r="J160" s="33">
        <v>50000</v>
      </c>
    </row>
    <row r="161" spans="1:14">
      <c r="E161" s="180" t="s">
        <v>334</v>
      </c>
      <c r="F161" s="18" t="s">
        <v>325</v>
      </c>
      <c r="H161" s="35" t="s">
        <v>343</v>
      </c>
      <c r="J161" s="33">
        <v>50000</v>
      </c>
      <c r="L161" s="33">
        <v>3475.45</v>
      </c>
      <c r="M161" s="112">
        <f>L161/J161</f>
        <v>6.9509000000000001E-2</v>
      </c>
    </row>
    <row r="162" spans="1:14">
      <c r="E162" s="215" t="s">
        <v>334</v>
      </c>
      <c r="F162" s="26" t="s">
        <v>392</v>
      </c>
      <c r="H162" s="35" t="s">
        <v>343</v>
      </c>
      <c r="J162" s="33">
        <v>50000</v>
      </c>
      <c r="L162" s="33">
        <v>404.94</v>
      </c>
      <c r="M162" s="112">
        <f>L162/J162</f>
        <v>8.0987999999999997E-3</v>
      </c>
    </row>
    <row r="163" spans="1:14" s="30" customFormat="1">
      <c r="A163" s="29"/>
      <c r="B163" s="29"/>
      <c r="C163" s="29"/>
      <c r="D163" s="29"/>
      <c r="E163" s="216" t="s">
        <v>391</v>
      </c>
      <c r="F163" s="59" t="s">
        <v>393</v>
      </c>
      <c r="H163" s="58" t="s">
        <v>343</v>
      </c>
      <c r="I163" s="161"/>
      <c r="J163" s="34">
        <v>50304</v>
      </c>
      <c r="K163" s="113"/>
      <c r="L163" s="34"/>
      <c r="M163" s="113"/>
      <c r="N163" s="191"/>
    </row>
    <row r="164" spans="1:14">
      <c r="A164" s="18">
        <v>40</v>
      </c>
      <c r="B164" s="18" t="s">
        <v>394</v>
      </c>
      <c r="C164" s="15">
        <v>44953</v>
      </c>
      <c r="E164" s="1" t="s">
        <v>395</v>
      </c>
      <c r="F164" s="71" t="s">
        <v>341</v>
      </c>
      <c r="H164" s="35" t="s">
        <v>343</v>
      </c>
      <c r="J164" s="217" t="s">
        <v>396</v>
      </c>
    </row>
    <row r="165" spans="1:14">
      <c r="E165" s="180" t="s">
        <v>348</v>
      </c>
      <c r="F165" s="18" t="s">
        <v>325</v>
      </c>
      <c r="H165" s="35" t="s">
        <v>343</v>
      </c>
      <c r="J165" s="33">
        <v>50000</v>
      </c>
      <c r="L165" s="33">
        <v>-230.56</v>
      </c>
      <c r="M165" s="112">
        <f>L165/J165</f>
        <v>-4.6112000000000002E-3</v>
      </c>
    </row>
    <row r="166" spans="1:14">
      <c r="E166" s="212" t="s">
        <v>378</v>
      </c>
      <c r="F166" s="18" t="s">
        <v>325</v>
      </c>
      <c r="H166" s="35" t="s">
        <v>343</v>
      </c>
      <c r="J166" s="33">
        <v>37024.699999999997</v>
      </c>
      <c r="L166" s="33">
        <v>631.89</v>
      </c>
      <c r="M166" s="112">
        <f t="shared" ref="M166:M171" si="1">L166/J166</f>
        <v>1.7066714922740766E-2</v>
      </c>
    </row>
    <row r="167" spans="1:14">
      <c r="E167" s="212" t="s">
        <v>379</v>
      </c>
      <c r="F167" s="18" t="s">
        <v>325</v>
      </c>
      <c r="H167" s="35" t="s">
        <v>343</v>
      </c>
      <c r="J167" s="33">
        <v>38000</v>
      </c>
      <c r="L167" s="33">
        <v>-95.42</v>
      </c>
      <c r="M167" s="112">
        <f t="shared" si="1"/>
        <v>-2.5110526315789473E-3</v>
      </c>
    </row>
    <row r="168" spans="1:14">
      <c r="E168" s="212" t="s">
        <v>380</v>
      </c>
      <c r="F168" s="18" t="s">
        <v>325</v>
      </c>
      <c r="H168" s="35" t="s">
        <v>343</v>
      </c>
      <c r="J168" s="33">
        <v>40000</v>
      </c>
      <c r="L168" s="33">
        <v>-128.71</v>
      </c>
      <c r="M168" s="112">
        <f t="shared" si="1"/>
        <v>-3.2177500000000001E-3</v>
      </c>
    </row>
    <row r="169" spans="1:14">
      <c r="E169" s="212" t="s">
        <v>381</v>
      </c>
      <c r="F169" s="18" t="s">
        <v>325</v>
      </c>
      <c r="H169" s="35" t="s">
        <v>343</v>
      </c>
      <c r="J169" s="33">
        <v>48903.23</v>
      </c>
      <c r="L169" s="33">
        <v>261.55</v>
      </c>
      <c r="M169" s="112">
        <f t="shared" si="1"/>
        <v>5.3483174833236988E-3</v>
      </c>
    </row>
    <row r="170" spans="1:14">
      <c r="E170" s="212" t="s">
        <v>382</v>
      </c>
      <c r="F170" s="18" t="s">
        <v>325</v>
      </c>
      <c r="H170" s="35" t="s">
        <v>343</v>
      </c>
      <c r="J170" s="33">
        <v>32224</v>
      </c>
      <c r="L170" s="33">
        <v>14.63</v>
      </c>
      <c r="M170" s="112">
        <f t="shared" si="1"/>
        <v>4.5400943396226419E-4</v>
      </c>
    </row>
    <row r="171" spans="1:14">
      <c r="E171" s="212" t="s">
        <v>383</v>
      </c>
      <c r="F171" s="18" t="s">
        <v>325</v>
      </c>
      <c r="H171" s="35" t="s">
        <v>343</v>
      </c>
      <c r="J171" s="33">
        <v>35000</v>
      </c>
      <c r="L171" s="33">
        <v>294.51</v>
      </c>
      <c r="M171" s="112">
        <f t="shared" si="1"/>
        <v>8.4145714285714275E-3</v>
      </c>
    </row>
    <row r="172" spans="1:14">
      <c r="E172" s="1" t="s">
        <v>398</v>
      </c>
      <c r="F172" s="71" t="s">
        <v>341</v>
      </c>
      <c r="H172" s="35" t="s">
        <v>343</v>
      </c>
      <c r="J172" s="33">
        <v>44000</v>
      </c>
    </row>
    <row r="173" spans="1:14">
      <c r="E173" s="1" t="s">
        <v>399</v>
      </c>
      <c r="F173" s="71" t="s">
        <v>341</v>
      </c>
      <c r="H173" s="35" t="s">
        <v>343</v>
      </c>
      <c r="J173" s="33">
        <v>41000</v>
      </c>
    </row>
    <row r="174" spans="1:14">
      <c r="E174" s="1" t="s">
        <v>400</v>
      </c>
      <c r="F174" s="71" t="s">
        <v>341</v>
      </c>
      <c r="H174" s="35" t="s">
        <v>343</v>
      </c>
      <c r="J174" s="33">
        <v>31000</v>
      </c>
    </row>
    <row r="175" spans="1:14">
      <c r="E175" s="1" t="s">
        <v>401</v>
      </c>
      <c r="F175" s="71" t="s">
        <v>341</v>
      </c>
      <c r="H175" s="35" t="s">
        <v>343</v>
      </c>
      <c r="J175" s="33">
        <v>34026.68</v>
      </c>
    </row>
    <row r="176" spans="1:14">
      <c r="E176" s="1" t="s">
        <v>402</v>
      </c>
      <c r="F176" s="71" t="s">
        <v>341</v>
      </c>
      <c r="H176" s="35" t="s">
        <v>343</v>
      </c>
      <c r="J176" s="33">
        <v>41000</v>
      </c>
    </row>
    <row r="177" spans="1:14" s="30" customFormat="1">
      <c r="A177" s="29"/>
      <c r="B177" s="29"/>
      <c r="C177" s="29"/>
      <c r="D177" s="29"/>
      <c r="E177" s="30" t="s">
        <v>403</v>
      </c>
      <c r="F177" s="125" t="s">
        <v>341</v>
      </c>
      <c r="H177" s="58" t="s">
        <v>343</v>
      </c>
      <c r="I177" s="161"/>
      <c r="J177" s="34">
        <v>40000</v>
      </c>
      <c r="K177" s="113"/>
      <c r="L177" s="34"/>
      <c r="M177" s="113"/>
      <c r="N177" s="191"/>
    </row>
    <row r="178" spans="1:14">
      <c r="A178" s="18">
        <v>41</v>
      </c>
      <c r="B178" s="18" t="s">
        <v>406</v>
      </c>
      <c r="C178" s="15">
        <v>44956</v>
      </c>
      <c r="E178" s="103" t="s">
        <v>407</v>
      </c>
      <c r="F178" s="16" t="s">
        <v>138</v>
      </c>
      <c r="H178" s="1" t="s">
        <v>2</v>
      </c>
      <c r="J178" s="33">
        <v>62135.849999999991</v>
      </c>
    </row>
    <row r="179" spans="1:14" s="30" customFormat="1">
      <c r="A179" s="29"/>
      <c r="B179" s="29"/>
      <c r="C179" s="29"/>
      <c r="D179" s="29"/>
      <c r="E179" s="205" t="s">
        <v>408</v>
      </c>
      <c r="F179" s="16" t="s">
        <v>138</v>
      </c>
      <c r="H179" s="30" t="s">
        <v>2</v>
      </c>
      <c r="I179" s="161"/>
      <c r="J179" s="34">
        <v>60882.799999999996</v>
      </c>
      <c r="K179" s="113"/>
      <c r="L179" s="34"/>
      <c r="M179" s="113"/>
      <c r="N179" s="191"/>
    </row>
    <row r="180" spans="1:14" s="67" customFormat="1">
      <c r="A180" s="64">
        <v>42</v>
      </c>
      <c r="B180" s="64" t="s">
        <v>411</v>
      </c>
      <c r="C180" s="65">
        <v>44963</v>
      </c>
      <c r="D180" s="64"/>
      <c r="E180" s="223" t="s">
        <v>412</v>
      </c>
      <c r="F180" s="66" t="s">
        <v>138</v>
      </c>
      <c r="H180" s="68" t="s">
        <v>1</v>
      </c>
      <c r="I180" s="164"/>
      <c r="J180" s="69">
        <v>63595.788082231928</v>
      </c>
      <c r="K180" s="178">
        <v>3.7900000000000003E-2</v>
      </c>
      <c r="L180" s="69"/>
      <c r="M180" s="178"/>
      <c r="N180" s="193"/>
    </row>
    <row r="181" spans="1:14" s="67" customFormat="1">
      <c r="A181" s="64">
        <v>43</v>
      </c>
      <c r="B181" s="64" t="s">
        <v>420</v>
      </c>
      <c r="C181" s="65">
        <v>44974</v>
      </c>
      <c r="D181" s="64"/>
      <c r="E181" s="224" t="s">
        <v>391</v>
      </c>
      <c r="F181" s="64" t="s">
        <v>325</v>
      </c>
      <c r="H181" s="67" t="s">
        <v>343</v>
      </c>
      <c r="I181" s="164"/>
      <c r="J181" s="69">
        <v>50037.37</v>
      </c>
      <c r="K181" s="178"/>
      <c r="L181" s="69">
        <v>2369.6299999999974</v>
      </c>
      <c r="M181" s="178">
        <f>L181/J181</f>
        <v>4.7357205224814916E-2</v>
      </c>
      <c r="N181" s="193"/>
    </row>
    <row r="182" spans="1:14">
      <c r="A182" s="18">
        <v>43</v>
      </c>
      <c r="B182" s="18" t="s">
        <v>419</v>
      </c>
      <c r="C182" s="15">
        <v>44980</v>
      </c>
      <c r="E182" s="215" t="s">
        <v>390</v>
      </c>
      <c r="F182" s="18" t="s">
        <v>325</v>
      </c>
      <c r="H182" s="1" t="s">
        <v>421</v>
      </c>
      <c r="J182" s="33">
        <v>50000</v>
      </c>
      <c r="L182" s="33">
        <v>2361.71</v>
      </c>
      <c r="M182" s="112">
        <f t="shared" ref="M182:M188" si="2">L182/J182</f>
        <v>4.7234200000000004E-2</v>
      </c>
    </row>
    <row r="183" spans="1:14">
      <c r="E183" s="212" t="s">
        <v>398</v>
      </c>
      <c r="F183" s="18" t="s">
        <v>325</v>
      </c>
      <c r="H183" s="1" t="s">
        <v>366</v>
      </c>
      <c r="J183" s="33">
        <v>44000</v>
      </c>
      <c r="L183" s="33">
        <v>1192</v>
      </c>
      <c r="M183" s="112">
        <f t="shared" si="2"/>
        <v>2.7090909090909093E-2</v>
      </c>
    </row>
    <row r="184" spans="1:14">
      <c r="E184" s="212" t="s">
        <v>399</v>
      </c>
      <c r="F184" s="18" t="s">
        <v>325</v>
      </c>
      <c r="H184" s="1" t="s">
        <v>366</v>
      </c>
      <c r="J184" s="33">
        <v>41000</v>
      </c>
      <c r="L184" s="33">
        <v>1072.8599999999999</v>
      </c>
      <c r="M184" s="112">
        <f t="shared" si="2"/>
        <v>2.6167317073170729E-2</v>
      </c>
    </row>
    <row r="185" spans="1:14">
      <c r="E185" s="212" t="s">
        <v>400</v>
      </c>
      <c r="F185" s="18" t="s">
        <v>325</v>
      </c>
      <c r="H185" s="1" t="s">
        <v>366</v>
      </c>
      <c r="J185" s="33">
        <v>31000</v>
      </c>
      <c r="L185" s="33">
        <v>-865.83</v>
      </c>
      <c r="M185" s="112">
        <f t="shared" si="2"/>
        <v>-2.793E-2</v>
      </c>
    </row>
    <row r="186" spans="1:14">
      <c r="E186" s="212" t="s">
        <v>401</v>
      </c>
      <c r="F186" s="18" t="s">
        <v>325</v>
      </c>
      <c r="H186" s="1" t="s">
        <v>366</v>
      </c>
      <c r="J186" s="33">
        <v>34026.68</v>
      </c>
      <c r="L186" s="33">
        <v>-1081.26</v>
      </c>
      <c r="M186" s="112">
        <f t="shared" si="2"/>
        <v>-3.177682924105437E-2</v>
      </c>
    </row>
    <row r="187" spans="1:14">
      <c r="E187" s="212" t="s">
        <v>402</v>
      </c>
      <c r="F187" s="18" t="s">
        <v>325</v>
      </c>
      <c r="H187" s="1" t="s">
        <v>366</v>
      </c>
      <c r="J187" s="33">
        <v>41000</v>
      </c>
      <c r="L187" s="33">
        <v>675.16</v>
      </c>
      <c r="M187" s="112">
        <f t="shared" si="2"/>
        <v>1.6467317073170732E-2</v>
      </c>
    </row>
    <row r="188" spans="1:14">
      <c r="C188" s="29"/>
      <c r="D188" s="29"/>
      <c r="E188" s="226" t="s">
        <v>403</v>
      </c>
      <c r="F188" s="29" t="s">
        <v>325</v>
      </c>
      <c r="G188" s="30"/>
      <c r="H188" s="30" t="s">
        <v>366</v>
      </c>
      <c r="I188" s="161"/>
      <c r="J188" s="34">
        <v>40000</v>
      </c>
      <c r="K188" s="113"/>
      <c r="L188" s="34">
        <v>-778.08</v>
      </c>
      <c r="M188" s="113">
        <f t="shared" si="2"/>
        <v>-1.9452000000000001E-2</v>
      </c>
    </row>
    <row r="189" spans="1:14">
      <c r="C189" s="15">
        <v>44981</v>
      </c>
      <c r="E189" s="225" t="s">
        <v>413</v>
      </c>
      <c r="F189" s="71" t="s">
        <v>341</v>
      </c>
      <c r="H189" s="1" t="s">
        <v>343</v>
      </c>
      <c r="J189" s="227">
        <v>51759.97</v>
      </c>
      <c r="M189" s="112">
        <v>3.4056065275806742E-2</v>
      </c>
    </row>
    <row r="190" spans="1:14">
      <c r="E190" s="225" t="s">
        <v>414</v>
      </c>
      <c r="F190" s="71" t="s">
        <v>341</v>
      </c>
      <c r="H190" s="1" t="s">
        <v>343</v>
      </c>
      <c r="J190" s="33">
        <v>50000</v>
      </c>
      <c r="M190" s="112">
        <v>3.2898072850319211E-2</v>
      </c>
    </row>
    <row r="191" spans="1:14">
      <c r="E191" s="225" t="s">
        <v>415</v>
      </c>
      <c r="F191" s="71" t="s">
        <v>341</v>
      </c>
      <c r="H191" s="1" t="s">
        <v>343</v>
      </c>
      <c r="J191" s="33">
        <v>51000</v>
      </c>
      <c r="M191" s="112">
        <v>3.3556034307325594E-2</v>
      </c>
    </row>
    <row r="192" spans="1:14">
      <c r="E192" s="225" t="s">
        <v>413</v>
      </c>
      <c r="F192" s="71" t="s">
        <v>341</v>
      </c>
      <c r="H192" s="1" t="s">
        <v>343</v>
      </c>
      <c r="J192" s="33">
        <v>30626.07</v>
      </c>
      <c r="M192" s="112">
        <v>2.0150773639579515E-2</v>
      </c>
    </row>
    <row r="193" spans="1:14">
      <c r="E193" s="225" t="s">
        <v>416</v>
      </c>
      <c r="F193" s="71" t="s">
        <v>341</v>
      </c>
      <c r="H193" s="1" t="s">
        <v>343</v>
      </c>
      <c r="J193" s="33">
        <v>32000</v>
      </c>
      <c r="M193" s="112">
        <v>2.1054766624204295E-2</v>
      </c>
    </row>
    <row r="194" spans="1:14">
      <c r="E194" s="225" t="s">
        <v>417</v>
      </c>
      <c r="F194" s="71" t="s">
        <v>341</v>
      </c>
      <c r="H194" s="1" t="s">
        <v>343</v>
      </c>
      <c r="J194" s="33">
        <v>50290.77</v>
      </c>
      <c r="M194" s="112">
        <v>3.3089388303172956E-2</v>
      </c>
    </row>
    <row r="195" spans="1:14" s="30" customFormat="1">
      <c r="A195" s="29"/>
      <c r="B195" s="29"/>
      <c r="C195" s="29"/>
      <c r="D195" s="29"/>
      <c r="E195" s="228" t="s">
        <v>418</v>
      </c>
      <c r="F195" s="125" t="s">
        <v>341</v>
      </c>
      <c r="H195" s="30" t="s">
        <v>343</v>
      </c>
      <c r="I195" s="161"/>
      <c r="J195" s="34">
        <v>62000</v>
      </c>
      <c r="K195" s="113"/>
      <c r="L195" s="34"/>
      <c r="M195" s="113">
        <v>4.0793610334395825E-2</v>
      </c>
      <c r="N195" s="191"/>
    </row>
    <row r="196" spans="1:14">
      <c r="A196" s="18">
        <v>44</v>
      </c>
      <c r="C196" s="15">
        <v>44986</v>
      </c>
      <c r="E196" s="104" t="s">
        <v>224</v>
      </c>
      <c r="F196" s="71" t="s">
        <v>341</v>
      </c>
      <c r="H196" s="104" t="s">
        <v>1</v>
      </c>
      <c r="J196" s="33">
        <v>12229</v>
      </c>
    </row>
    <row r="197" spans="1:14" s="30" customFormat="1">
      <c r="A197" s="29"/>
      <c r="B197" s="29"/>
      <c r="C197" s="29"/>
      <c r="D197" s="29"/>
      <c r="E197" s="51" t="s">
        <v>376</v>
      </c>
      <c r="F197" s="16" t="s">
        <v>422</v>
      </c>
      <c r="G197" s="1"/>
      <c r="H197" s="36" t="s">
        <v>38</v>
      </c>
      <c r="I197" s="161"/>
      <c r="J197" s="34">
        <v>299227</v>
      </c>
      <c r="K197" s="113"/>
      <c r="L197" s="34"/>
      <c r="M197" s="113"/>
      <c r="N197" s="191"/>
    </row>
    <row r="198" spans="1:14">
      <c r="A198" s="18">
        <v>45</v>
      </c>
      <c r="C198" s="15">
        <v>45002</v>
      </c>
      <c r="E198" s="237" t="s">
        <v>428</v>
      </c>
      <c r="F198" s="16" t="s">
        <v>138</v>
      </c>
      <c r="H198" s="103" t="s">
        <v>2</v>
      </c>
      <c r="J198" s="33">
        <v>59942</v>
      </c>
      <c r="M198" s="112">
        <v>3.9600000000000003E-2</v>
      </c>
    </row>
    <row r="199" spans="1:14">
      <c r="C199" s="15">
        <v>45007</v>
      </c>
      <c r="E199" s="237" t="s">
        <v>430</v>
      </c>
      <c r="F199" s="16" t="s">
        <v>138</v>
      </c>
      <c r="H199" s="103" t="s">
        <v>2</v>
      </c>
      <c r="J199" s="33">
        <v>56429</v>
      </c>
    </row>
    <row r="200" spans="1:14" s="30" customFormat="1">
      <c r="A200" s="29"/>
      <c r="B200" s="29"/>
      <c r="C200" s="29"/>
      <c r="D200" s="29"/>
      <c r="E200" s="239" t="s">
        <v>431</v>
      </c>
      <c r="F200" s="59" t="s">
        <v>138</v>
      </c>
      <c r="H200" s="205" t="s">
        <v>2</v>
      </c>
      <c r="I200" s="161"/>
      <c r="J200" s="34">
        <v>28908</v>
      </c>
      <c r="K200" s="113"/>
      <c r="L200" s="34"/>
      <c r="M200" s="113"/>
      <c r="N200" s="191"/>
    </row>
    <row r="201" spans="1:14">
      <c r="A201" s="18">
        <v>46</v>
      </c>
      <c r="B201" s="18" t="s">
        <v>440</v>
      </c>
      <c r="C201" s="15">
        <v>45014</v>
      </c>
      <c r="E201" s="242" t="s">
        <v>424</v>
      </c>
      <c r="F201" s="18" t="s">
        <v>325</v>
      </c>
      <c r="H201" s="240" t="s">
        <v>421</v>
      </c>
      <c r="J201" s="33">
        <v>51759.97</v>
      </c>
      <c r="L201" s="33">
        <v>799.41603134784691</v>
      </c>
      <c r="M201" s="112">
        <f>L201/J201</f>
        <v>1.5444677254408125E-2</v>
      </c>
    </row>
    <row r="202" spans="1:14">
      <c r="E202" s="242" t="s">
        <v>414</v>
      </c>
      <c r="F202" s="18" t="s">
        <v>325</v>
      </c>
      <c r="H202" s="240" t="s">
        <v>421</v>
      </c>
      <c r="J202" s="33">
        <v>50000</v>
      </c>
      <c r="L202" s="33">
        <v>-571.08000000000004</v>
      </c>
      <c r="M202" s="112">
        <f t="shared" ref="M202:M207" si="3">L202/J202</f>
        <v>-1.1421600000000001E-2</v>
      </c>
    </row>
    <row r="203" spans="1:14">
      <c r="E203" s="242" t="s">
        <v>415</v>
      </c>
      <c r="F203" s="18" t="s">
        <v>325</v>
      </c>
      <c r="H203" s="240" t="s">
        <v>366</v>
      </c>
      <c r="J203" s="33">
        <v>51000</v>
      </c>
      <c r="L203" s="33">
        <v>745.96</v>
      </c>
      <c r="M203" s="112">
        <f t="shared" si="3"/>
        <v>1.4626666666666668E-2</v>
      </c>
    </row>
    <row r="204" spans="1:14">
      <c r="E204" s="242" t="s">
        <v>425</v>
      </c>
      <c r="F204" s="18" t="s">
        <v>325</v>
      </c>
      <c r="H204" s="240" t="s">
        <v>366</v>
      </c>
      <c r="J204" s="33">
        <v>30626.07</v>
      </c>
      <c r="L204" s="33">
        <v>578.16834964223563</v>
      </c>
      <c r="M204" s="112">
        <f t="shared" si="3"/>
        <v>1.8878306934002165E-2</v>
      </c>
    </row>
    <row r="205" spans="1:14">
      <c r="E205" s="242" t="s">
        <v>416</v>
      </c>
      <c r="F205" s="18" t="s">
        <v>325</v>
      </c>
      <c r="H205" s="240" t="s">
        <v>366</v>
      </c>
      <c r="J205" s="33">
        <v>32000</v>
      </c>
      <c r="L205" s="33">
        <v>-157.97060351127712</v>
      </c>
      <c r="M205" s="112">
        <f t="shared" si="3"/>
        <v>-4.93658135972741E-3</v>
      </c>
    </row>
    <row r="206" spans="1:14">
      <c r="E206" s="242" t="s">
        <v>417</v>
      </c>
      <c r="F206" s="18" t="s">
        <v>325</v>
      </c>
      <c r="H206" s="240" t="s">
        <v>366</v>
      </c>
      <c r="J206" s="33">
        <v>50290.77</v>
      </c>
      <c r="L206" s="33">
        <v>1408.2857237164026</v>
      </c>
      <c r="M206" s="112">
        <f t="shared" si="3"/>
        <v>2.800286660387985E-2</v>
      </c>
    </row>
    <row r="207" spans="1:14">
      <c r="E207" s="243" t="s">
        <v>418</v>
      </c>
      <c r="F207" s="29" t="s">
        <v>325</v>
      </c>
      <c r="G207" s="30"/>
      <c r="H207" s="241" t="s">
        <v>366</v>
      </c>
      <c r="I207" s="161"/>
      <c r="J207" s="34">
        <v>62000</v>
      </c>
      <c r="K207" s="113"/>
      <c r="L207" s="34">
        <v>259.17216759477668</v>
      </c>
      <c r="M207" s="113">
        <f t="shared" si="3"/>
        <v>4.1801962515286561E-3</v>
      </c>
    </row>
    <row r="208" spans="1:14">
      <c r="E208" s="240" t="s">
        <v>441</v>
      </c>
      <c r="F208" s="71" t="s">
        <v>341</v>
      </c>
      <c r="H208" s="240" t="s">
        <v>421</v>
      </c>
      <c r="I208" s="160"/>
      <c r="J208" s="33">
        <v>48978.19</v>
      </c>
      <c r="L208" s="1"/>
    </row>
    <row r="209" spans="1:14">
      <c r="E209" s="240" t="s">
        <v>434</v>
      </c>
      <c r="F209" s="71" t="s">
        <v>341</v>
      </c>
      <c r="H209" s="240" t="s">
        <v>366</v>
      </c>
      <c r="J209" s="33">
        <v>40000</v>
      </c>
    </row>
    <row r="210" spans="1:14">
      <c r="E210" s="240" t="s">
        <v>435</v>
      </c>
      <c r="F210" s="71" t="s">
        <v>341</v>
      </c>
      <c r="H210" s="240" t="s">
        <v>366</v>
      </c>
      <c r="J210" s="33">
        <v>22926.18</v>
      </c>
    </row>
    <row r="211" spans="1:14">
      <c r="E211" s="240" t="s">
        <v>436</v>
      </c>
      <c r="F211" s="71" t="s">
        <v>341</v>
      </c>
      <c r="H211" s="240" t="s">
        <v>366</v>
      </c>
      <c r="J211" s="33">
        <v>31626.77</v>
      </c>
    </row>
    <row r="212" spans="1:14">
      <c r="E212" s="240" t="s">
        <v>437</v>
      </c>
      <c r="F212" s="71" t="s">
        <v>341</v>
      </c>
      <c r="H212" s="240" t="s">
        <v>366</v>
      </c>
      <c r="J212" s="33">
        <v>37990.720000000001</v>
      </c>
    </row>
    <row r="213" spans="1:14">
      <c r="E213" s="240" t="s">
        <v>438</v>
      </c>
      <c r="F213" s="71" t="s">
        <v>341</v>
      </c>
      <c r="H213" s="240" t="s">
        <v>366</v>
      </c>
      <c r="J213" s="33">
        <v>41809.120000000003</v>
      </c>
    </row>
    <row r="214" spans="1:14">
      <c r="E214" s="240" t="s">
        <v>439</v>
      </c>
      <c r="F214" s="71" t="s">
        <v>341</v>
      </c>
      <c r="H214" s="240" t="s">
        <v>366</v>
      </c>
      <c r="I214" s="160"/>
      <c r="J214" s="33">
        <v>37000</v>
      </c>
      <c r="L214" s="1"/>
    </row>
    <row r="215" spans="1:14" s="30" customFormat="1">
      <c r="A215" s="29"/>
      <c r="B215" s="29"/>
      <c r="C215" s="29"/>
      <c r="D215" s="29"/>
      <c r="E215" s="102" t="s">
        <v>224</v>
      </c>
      <c r="F215" s="125" t="s">
        <v>422</v>
      </c>
      <c r="H215" s="102" t="s">
        <v>1</v>
      </c>
      <c r="I215" s="161"/>
      <c r="J215" s="34">
        <v>9665.73</v>
      </c>
      <c r="K215" s="113"/>
      <c r="L215" s="34"/>
      <c r="M215" s="113"/>
      <c r="N215" s="191"/>
    </row>
    <row r="216" spans="1:14">
      <c r="C216" s="15">
        <v>45042</v>
      </c>
      <c r="E216" s="245" t="s">
        <v>395</v>
      </c>
      <c r="F216" s="18" t="s">
        <v>325</v>
      </c>
      <c r="H216" s="1" t="s">
        <v>421</v>
      </c>
      <c r="J216" s="33">
        <v>45917.9</v>
      </c>
      <c r="L216" s="33">
        <v>325</v>
      </c>
      <c r="M216" s="112">
        <f>L216/J216</f>
        <v>7.0778498145603348E-3</v>
      </c>
    </row>
    <row r="217" spans="1:14">
      <c r="E217" s="245" t="s">
        <v>434</v>
      </c>
      <c r="F217" s="18" t="s">
        <v>325</v>
      </c>
      <c r="H217" s="1" t="s">
        <v>366</v>
      </c>
      <c r="J217" s="33">
        <v>40000</v>
      </c>
      <c r="L217" s="33">
        <v>-584.02</v>
      </c>
      <c r="M217" s="112">
        <f t="shared" ref="M217:M222" si="4">L217/J217</f>
        <v>-1.4600499999999999E-2</v>
      </c>
    </row>
    <row r="218" spans="1:14">
      <c r="E218" s="245" t="s">
        <v>435</v>
      </c>
      <c r="F218" s="18" t="s">
        <v>325</v>
      </c>
      <c r="H218" s="1" t="s">
        <v>366</v>
      </c>
      <c r="J218" s="33">
        <v>22926.18</v>
      </c>
      <c r="L218" s="33">
        <v>522.79312035450516</v>
      </c>
      <c r="M218" s="112">
        <f t="shared" si="4"/>
        <v>2.2803324424500948E-2</v>
      </c>
    </row>
    <row r="219" spans="1:14">
      <c r="E219" s="245" t="s">
        <v>436</v>
      </c>
      <c r="F219" s="18" t="s">
        <v>325</v>
      </c>
      <c r="H219" s="1" t="s">
        <v>366</v>
      </c>
      <c r="J219" s="33">
        <v>49626.770000000004</v>
      </c>
      <c r="L219" s="33">
        <v>-700.32724378247212</v>
      </c>
      <c r="M219" s="112">
        <f t="shared" si="4"/>
        <v>-1.4111884448302239E-2</v>
      </c>
    </row>
    <row r="220" spans="1:14">
      <c r="E220" s="245" t="s">
        <v>437</v>
      </c>
      <c r="F220" s="18" t="s">
        <v>325</v>
      </c>
      <c r="H220" s="1" t="s">
        <v>366</v>
      </c>
      <c r="J220" s="33">
        <v>37990.720000000001</v>
      </c>
      <c r="L220" s="33">
        <v>1413.4788447344922</v>
      </c>
      <c r="M220" s="112">
        <f t="shared" si="4"/>
        <v>3.7205897775417052E-2</v>
      </c>
    </row>
    <row r="221" spans="1:14">
      <c r="E221" s="245" t="s">
        <v>438</v>
      </c>
      <c r="F221" s="18" t="s">
        <v>325</v>
      </c>
      <c r="H221" s="1" t="s">
        <v>366</v>
      </c>
      <c r="J221" s="33">
        <v>41809.120000000003</v>
      </c>
      <c r="L221" s="33">
        <v>876.47919230065509</v>
      </c>
      <c r="M221" s="112">
        <f t="shared" si="4"/>
        <v>2.0963827803614499E-2</v>
      </c>
    </row>
    <row r="222" spans="1:14">
      <c r="E222" s="245" t="s">
        <v>439</v>
      </c>
      <c r="F222" s="18" t="s">
        <v>325</v>
      </c>
      <c r="H222" s="1" t="s">
        <v>366</v>
      </c>
      <c r="J222" s="33">
        <v>37000</v>
      </c>
      <c r="L222" s="33">
        <v>1457.25</v>
      </c>
      <c r="M222" s="112">
        <f t="shared" si="4"/>
        <v>3.9385135135135134E-2</v>
      </c>
    </row>
    <row r="223" spans="1:14">
      <c r="E223" s="1" t="s">
        <v>442</v>
      </c>
      <c r="F223" s="16" t="s">
        <v>341</v>
      </c>
      <c r="H223" s="1" t="s">
        <v>366</v>
      </c>
      <c r="J223" s="33">
        <v>60000</v>
      </c>
    </row>
    <row r="224" spans="1:14">
      <c r="E224" s="1" t="s">
        <v>441</v>
      </c>
      <c r="F224" s="16" t="s">
        <v>341</v>
      </c>
      <c r="H224" s="1" t="s">
        <v>366</v>
      </c>
      <c r="J224" s="33">
        <v>23982.26</v>
      </c>
    </row>
    <row r="225" spans="1:14">
      <c r="E225" s="1" t="s">
        <v>443</v>
      </c>
      <c r="F225" s="16" t="s">
        <v>341</v>
      </c>
      <c r="H225" s="1" t="s">
        <v>366</v>
      </c>
      <c r="J225" s="33">
        <v>35000</v>
      </c>
    </row>
    <row r="226" spans="1:14">
      <c r="E226" s="1" t="s">
        <v>444</v>
      </c>
      <c r="F226" s="16" t="s">
        <v>341</v>
      </c>
      <c r="H226" s="1" t="s">
        <v>366</v>
      </c>
      <c r="J226" s="33">
        <v>36545.800000000003</v>
      </c>
    </row>
    <row r="227" spans="1:14">
      <c r="E227" s="1" t="s">
        <v>445</v>
      </c>
      <c r="F227" s="16" t="s">
        <v>341</v>
      </c>
      <c r="H227" s="1" t="s">
        <v>366</v>
      </c>
      <c r="J227" s="33">
        <v>38000</v>
      </c>
    </row>
    <row r="228" spans="1:14" s="30" customFormat="1">
      <c r="A228" s="29"/>
      <c r="B228" s="29"/>
      <c r="C228" s="29"/>
      <c r="D228" s="29"/>
      <c r="E228" s="30" t="s">
        <v>446</v>
      </c>
      <c r="F228" s="59" t="s">
        <v>341</v>
      </c>
      <c r="H228" s="30" t="s">
        <v>366</v>
      </c>
      <c r="I228" s="161"/>
      <c r="J228" s="34">
        <v>37000</v>
      </c>
      <c r="K228" s="113"/>
      <c r="L228" s="34"/>
      <c r="M228" s="113"/>
      <c r="N228" s="191"/>
    </row>
    <row r="229" spans="1:14">
      <c r="C229" s="15">
        <v>45051</v>
      </c>
      <c r="E229" s="237" t="s">
        <v>408</v>
      </c>
      <c r="F229" s="26" t="s">
        <v>28</v>
      </c>
      <c r="H229" s="1" t="s">
        <v>2</v>
      </c>
      <c r="J229" s="33">
        <f>22.22*2740</f>
        <v>60882.799999999996</v>
      </c>
      <c r="L229" s="33">
        <f>16.52*2740-J229</f>
        <v>-15618</v>
      </c>
      <c r="M229" s="112">
        <f>L229/J229</f>
        <v>-0.25652565256525656</v>
      </c>
    </row>
    <row r="230" spans="1:14" s="30" customFormat="1">
      <c r="A230" s="29"/>
      <c r="B230" s="29"/>
      <c r="C230" s="29"/>
      <c r="D230" s="29"/>
      <c r="E230" s="247" t="s">
        <v>224</v>
      </c>
      <c r="F230" s="29" t="s">
        <v>422</v>
      </c>
      <c r="H230" s="102" t="s">
        <v>1</v>
      </c>
      <c r="I230" s="161"/>
      <c r="J230" s="34">
        <v>32029</v>
      </c>
      <c r="K230" s="113"/>
      <c r="L230" s="34"/>
      <c r="M230" s="113"/>
      <c r="N230" s="191"/>
    </row>
    <row r="231" spans="1:14">
      <c r="C231" s="15">
        <v>45197</v>
      </c>
      <c r="E231" s="248" t="s">
        <v>450</v>
      </c>
      <c r="F231" s="16" t="s">
        <v>341</v>
      </c>
      <c r="H231" s="35" t="s">
        <v>366</v>
      </c>
      <c r="J231" s="33">
        <v>65000</v>
      </c>
    </row>
    <row r="232" spans="1:14">
      <c r="E232" s="248" t="s">
        <v>451</v>
      </c>
      <c r="F232" s="16" t="s">
        <v>341</v>
      </c>
      <c r="H232" s="35" t="s">
        <v>366</v>
      </c>
      <c r="J232" s="33">
        <v>60000</v>
      </c>
    </row>
    <row r="233" spans="1:14">
      <c r="E233" s="248" t="s">
        <v>452</v>
      </c>
      <c r="F233" s="16" t="s">
        <v>341</v>
      </c>
      <c r="H233" s="35" t="s">
        <v>366</v>
      </c>
      <c r="J233" s="33">
        <v>110000</v>
      </c>
    </row>
    <row r="234" spans="1:14">
      <c r="E234" s="248" t="s">
        <v>453</v>
      </c>
      <c r="F234" s="16" t="s">
        <v>341</v>
      </c>
      <c r="H234" s="35" t="s">
        <v>366</v>
      </c>
      <c r="J234" s="33">
        <v>100000</v>
      </c>
    </row>
    <row r="235" spans="1:14" s="30" customFormat="1">
      <c r="A235" s="29"/>
      <c r="B235" s="29"/>
      <c r="C235" s="29"/>
      <c r="D235" s="29"/>
      <c r="E235" s="249" t="s">
        <v>454</v>
      </c>
      <c r="F235" s="59" t="s">
        <v>341</v>
      </c>
      <c r="H235" s="58" t="s">
        <v>366</v>
      </c>
      <c r="I235" s="161"/>
      <c r="J235" s="34">
        <v>140000</v>
      </c>
      <c r="K235" s="113"/>
      <c r="L235" s="34"/>
      <c r="M235" s="113"/>
      <c r="N235" s="191"/>
    </row>
    <row r="236" spans="1:14" s="67" customFormat="1">
      <c r="A236" s="64"/>
      <c r="B236" s="64"/>
      <c r="C236" s="65">
        <v>45201</v>
      </c>
      <c r="D236" s="64"/>
      <c r="E236" s="250" t="s">
        <v>456</v>
      </c>
      <c r="F236" s="66" t="s">
        <v>341</v>
      </c>
      <c r="H236" s="67" t="s">
        <v>457</v>
      </c>
      <c r="I236" s="164"/>
      <c r="J236" s="69">
        <v>50000</v>
      </c>
      <c r="K236" s="178"/>
      <c r="L236" s="69"/>
      <c r="M236" s="178"/>
      <c r="N236" s="193"/>
    </row>
    <row r="237" spans="1:14" s="30" customFormat="1">
      <c r="A237" s="29"/>
      <c r="B237" s="29"/>
      <c r="C237" s="49">
        <v>45212</v>
      </c>
      <c r="D237" s="29"/>
      <c r="E237" s="51" t="s">
        <v>376</v>
      </c>
      <c r="F237" s="189" t="s">
        <v>28</v>
      </c>
      <c r="G237" s="1"/>
      <c r="H237" s="36" t="s">
        <v>38</v>
      </c>
      <c r="I237" s="161"/>
      <c r="J237" s="34">
        <v>19227</v>
      </c>
      <c r="K237" s="113"/>
      <c r="L237" s="34"/>
      <c r="M237" s="113"/>
      <c r="N237" s="191"/>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3"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84"/>
  <sheetViews>
    <sheetView workbookViewId="0">
      <pane xSplit="1" ySplit="1" topLeftCell="B152" activePane="bottomRight" state="frozen"/>
      <selection pane="topRight" activeCell="B1" sqref="B1"/>
      <selection pane="bottomLeft" activeCell="A2" sqref="A2"/>
      <selection pane="bottomRight" activeCell="B181" sqref="B181:T184"/>
    </sheetView>
  </sheetViews>
  <sheetFormatPr defaultColWidth="9" defaultRowHeight="15.75"/>
  <cols>
    <col min="1" max="1" width="9.875" style="273" bestFit="1" customWidth="1"/>
    <col min="2" max="2" width="12.75" style="273" bestFit="1" customWidth="1"/>
    <col min="3" max="3" width="9.125" style="273" bestFit="1" customWidth="1"/>
    <col min="4" max="4" width="10.75" style="273" bestFit="1" customWidth="1"/>
    <col min="5" max="5" width="9.75" style="273" bestFit="1" customWidth="1"/>
    <col min="6" max="15" width="9.125" style="273" bestFit="1" customWidth="1"/>
    <col min="16" max="16" width="9.75" style="273" bestFit="1" customWidth="1"/>
    <col min="17" max="20" width="9.125" style="273" bestFit="1" customWidth="1"/>
    <col min="21" max="16384" width="9" style="273"/>
  </cols>
  <sheetData>
    <row r="1" spans="1:20">
      <c r="A1" t="s">
        <v>499</v>
      </c>
      <c r="B1" t="s">
        <v>482</v>
      </c>
      <c r="C1" t="s">
        <v>502</v>
      </c>
      <c r="D1" t="s">
        <v>503</v>
      </c>
      <c r="E1" t="s">
        <v>484</v>
      </c>
      <c r="F1" t="s">
        <v>504</v>
      </c>
      <c r="G1" t="s">
        <v>449</v>
      </c>
      <c r="H1" t="s">
        <v>505</v>
      </c>
      <c r="I1" t="s">
        <v>506</v>
      </c>
      <c r="J1" t="s">
        <v>507</v>
      </c>
      <c r="K1" t="s">
        <v>473</v>
      </c>
      <c r="L1" t="s">
        <v>474</v>
      </c>
      <c r="M1" t="s">
        <v>475</v>
      </c>
      <c r="N1" t="s">
        <v>476</v>
      </c>
      <c r="O1" t="s">
        <v>477</v>
      </c>
      <c r="P1" t="s">
        <v>478</v>
      </c>
      <c r="Q1" t="s">
        <v>479</v>
      </c>
      <c r="R1" t="s">
        <v>480</v>
      </c>
      <c r="S1" t="s">
        <v>481</v>
      </c>
      <c r="T1" t="s">
        <v>483</v>
      </c>
    </row>
    <row r="2" spans="1:20">
      <c r="A2" s="290" t="str">
        <f>_xll.BDH(B$1,"PX_LAST","2023-05-05","","Dir=V","CDR=5D","Days=A","Dts=S")</f>
        <v>#N/A Review</v>
      </c>
      <c r="B2" s="272"/>
      <c r="C2" s="272" t="str">
        <f>_xll.BDH(C$1,"PX_LAST","2023-05-05","","Dir=V","CDR=5D","Days=A","Dts=H")</f>
        <v>#N/A Review</v>
      </c>
      <c r="D2" s="272" t="str">
        <f>_xll.BDH(D$1,"PX_LAST","2023-05-05","","Dir=V","CDR=5D","Days=A","Dts=H")</f>
        <v>#N/A Review</v>
      </c>
      <c r="E2" s="272" t="str">
        <f>_xll.BDH(E$1,"PX_LAST","2023-05-05","","Dir=V","CDR=5D","Days=A","Dts=H")</f>
        <v>#N/A Review</v>
      </c>
      <c r="F2" s="272" t="str">
        <f>_xll.BDH(F$1,"PX_LAST","2023-05-05","","Dir=V","CDR=5D","Days=A","Dts=H")</f>
        <v>#N/A Review</v>
      </c>
      <c r="G2" s="272" t="str">
        <f>_xll.BDH(G$1,"PX_LAST","2023-05-05","","Dir=V","CDR=5D","Days=A","Dts=H")</f>
        <v>#N/A Review</v>
      </c>
      <c r="H2" s="272" t="str">
        <f>_xll.BDH(H$1,"PX_LAST","2023-05-05","","Dir=V","CDR=5D","Days=A","Dts=H")</f>
        <v>#N/A Review</v>
      </c>
      <c r="I2" s="272" t="str">
        <f>_xll.BDH(I$1,"PX_LAST","2023-05-05","","Dir=V","CDR=5D","Days=A","Dts=H")</f>
        <v>#N/A Review</v>
      </c>
      <c r="J2" s="272" t="str">
        <f>_xll.BDH(J$1,"PX_LAST","2023-05-05","","Dir=V","CDR=5D","Days=A","Dts=H")</f>
        <v>#N/A Review</v>
      </c>
      <c r="K2" s="272" t="str">
        <f>_xll.BDH(K$1,"PX_LAST","2023-05-05","","Dir=V","CDR=5D","Days=A","Dts=H")</f>
        <v>#N/A Review</v>
      </c>
      <c r="L2" s="272" t="str">
        <f>_xll.BDH(L$1,"PX_LAST","2023-05-05","","Dir=V","CDR=5D","Days=A","Dts=H")</f>
        <v>#N/A Review</v>
      </c>
      <c r="M2" s="272" t="str">
        <f>_xll.BDH(M$1,"PX_LAST","2023-05-05","","Dir=V","CDR=5D","Days=A","Dts=H")</f>
        <v>#N/A Review</v>
      </c>
      <c r="N2" s="272" t="str">
        <f>_xll.BDH(N$1,"PX_LAST","2023-05-05","","Dir=V","CDR=5D","Days=A","Dts=H")</f>
        <v>#N/A Review</v>
      </c>
      <c r="O2" s="272" t="str">
        <f>_xll.BDH(O$1,"PX_LAST","2023-05-05","","Dir=V","CDR=5D","Days=A","Dts=H")</f>
        <v>#N/A Review</v>
      </c>
      <c r="P2" s="272" t="str">
        <f>_xll.BDH(P$1,"PX_LAST","2023-05-05","","Dir=V","CDR=5D","Days=A","Dts=H")</f>
        <v>#N/A Review</v>
      </c>
      <c r="Q2" s="272" t="str">
        <f>_xll.BDH(Q$1,"PX_LAST","2023-05-05","","Dir=V","CDR=5D","Days=A","Dts=H")</f>
        <v>#N/A Review</v>
      </c>
      <c r="R2" s="272" t="str">
        <f>_xll.BDH(R$1,"PX_LAST","2023-05-05","","Dir=V","CDR=5D","Days=A","Dts=H")</f>
        <v>#N/A Review</v>
      </c>
      <c r="S2" s="272" t="str">
        <f>_xll.BDH(S$1,"PX_LAST","2023-05-05","","Dir=V","CDR=5D","Days=A","Dts=H")</f>
        <v>#N/A Review</v>
      </c>
      <c r="T2" s="272" t="str">
        <f>_xll.BDH(T$1,"PX_LAST","2023-05-05","","Dir=V","CDR=5D","Days=A","Dts=H")</f>
        <v>#N/A Review</v>
      </c>
    </row>
    <row r="3" spans="1:20">
      <c r="A3" s="290"/>
      <c r="B3" s="272"/>
      <c r="C3" s="272"/>
      <c r="D3" s="272"/>
      <c r="E3" s="272"/>
      <c r="F3" s="272"/>
      <c r="G3" s="272"/>
      <c r="H3" s="272"/>
      <c r="I3" s="272"/>
      <c r="J3" s="272"/>
      <c r="K3" s="272"/>
      <c r="L3" s="272"/>
      <c r="M3" s="272"/>
      <c r="N3" s="272"/>
      <c r="O3" s="272"/>
      <c r="P3" s="272"/>
      <c r="Q3" s="272"/>
      <c r="R3" s="272"/>
      <c r="S3" s="272"/>
      <c r="T3" s="272"/>
    </row>
    <row r="4" spans="1:20">
      <c r="A4" s="290"/>
      <c r="B4" s="272"/>
      <c r="C4" s="272"/>
      <c r="D4" s="272"/>
      <c r="E4" s="272"/>
      <c r="F4" s="272"/>
      <c r="G4" s="272"/>
      <c r="H4" s="272"/>
      <c r="I4" s="272"/>
      <c r="J4" s="272"/>
      <c r="K4" s="272"/>
      <c r="L4" s="272"/>
      <c r="M4" s="272"/>
      <c r="N4" s="272"/>
      <c r="O4" s="272"/>
      <c r="P4" s="272"/>
      <c r="Q4" s="272"/>
      <c r="R4" s="272"/>
      <c r="S4" s="272"/>
      <c r="T4" s="272"/>
    </row>
    <row r="5" spans="1:20">
      <c r="A5" s="290"/>
      <c r="B5" s="272"/>
      <c r="C5" s="272"/>
      <c r="D5" s="272"/>
      <c r="E5" s="272"/>
      <c r="F5" s="272"/>
      <c r="G5" s="272"/>
      <c r="H5" s="272"/>
      <c r="I5" s="272"/>
      <c r="J5" s="272"/>
      <c r="K5" s="272"/>
      <c r="L5" s="272"/>
      <c r="M5" s="272"/>
      <c r="N5" s="272"/>
      <c r="O5" s="272"/>
      <c r="P5" s="272"/>
      <c r="Q5" s="272"/>
      <c r="R5" s="272"/>
      <c r="S5" s="272"/>
      <c r="T5" s="272"/>
    </row>
    <row r="6" spans="1:20">
      <c r="A6" s="290"/>
      <c r="B6" s="272"/>
      <c r="C6" s="272"/>
      <c r="D6" s="272"/>
      <c r="E6" s="272"/>
      <c r="F6" s="272"/>
      <c r="G6" s="272"/>
      <c r="H6" s="272"/>
      <c r="I6" s="272"/>
      <c r="J6" s="272"/>
      <c r="K6" s="272"/>
      <c r="L6" s="272"/>
      <c r="M6" s="272"/>
      <c r="N6" s="272"/>
      <c r="O6" s="272"/>
      <c r="P6" s="272"/>
      <c r="Q6" s="272"/>
      <c r="R6" s="272"/>
      <c r="S6" s="272"/>
      <c r="T6" s="272"/>
    </row>
    <row r="7" spans="1:20">
      <c r="A7" s="290"/>
      <c r="B7" s="272"/>
      <c r="C7" s="272"/>
      <c r="D7" s="272"/>
      <c r="E7" s="272"/>
      <c r="F7" s="272"/>
      <c r="G7" s="272"/>
      <c r="H7" s="272"/>
      <c r="I7" s="272"/>
      <c r="J7" s="272"/>
      <c r="K7" s="272"/>
      <c r="L7" s="272"/>
      <c r="M7" s="272"/>
      <c r="N7" s="272"/>
      <c r="O7" s="272"/>
      <c r="P7" s="272"/>
      <c r="Q7" s="272"/>
      <c r="R7" s="272"/>
      <c r="S7" s="272"/>
      <c r="T7" s="272"/>
    </row>
    <row r="8" spans="1:20">
      <c r="A8" s="290"/>
      <c r="B8" s="272"/>
      <c r="C8" s="272"/>
      <c r="D8" s="272"/>
      <c r="E8" s="272"/>
      <c r="F8" s="272"/>
      <c r="G8" s="272"/>
      <c r="H8" s="272"/>
      <c r="I8" s="272"/>
      <c r="J8" s="272"/>
      <c r="K8" s="272"/>
      <c r="L8" s="272"/>
      <c r="M8" s="272"/>
      <c r="N8" s="272"/>
      <c r="O8" s="272"/>
      <c r="P8" s="272"/>
      <c r="Q8" s="272"/>
      <c r="R8" s="272"/>
      <c r="S8" s="272"/>
      <c r="T8" s="272"/>
    </row>
    <row r="9" spans="1:20">
      <c r="A9" s="290"/>
      <c r="B9" s="272"/>
      <c r="C9" s="272"/>
      <c r="D9" s="272"/>
      <c r="E9" s="272"/>
      <c r="F9" s="272"/>
      <c r="G9" s="272"/>
      <c r="H9" s="272"/>
      <c r="I9" s="272"/>
      <c r="J9" s="272"/>
      <c r="K9" s="272"/>
      <c r="L9" s="272"/>
      <c r="M9" s="272"/>
      <c r="N9" s="272"/>
      <c r="O9" s="272"/>
      <c r="P9" s="272"/>
      <c r="Q9" s="272"/>
      <c r="R9" s="272"/>
      <c r="S9" s="272"/>
      <c r="T9" s="272"/>
    </row>
    <row r="10" spans="1:20">
      <c r="A10" s="290"/>
      <c r="B10" s="272"/>
      <c r="C10" s="272"/>
      <c r="D10" s="272"/>
      <c r="E10" s="272"/>
      <c r="F10" s="272"/>
      <c r="G10" s="272"/>
      <c r="H10" s="272"/>
      <c r="I10" s="272"/>
      <c r="J10" s="272"/>
      <c r="K10" s="272"/>
      <c r="L10" s="272"/>
      <c r="M10" s="272"/>
      <c r="N10" s="272"/>
      <c r="O10" s="272"/>
      <c r="P10" s="272"/>
      <c r="Q10" s="272"/>
      <c r="R10" s="272"/>
      <c r="S10" s="272"/>
      <c r="T10" s="272"/>
    </row>
    <row r="11" spans="1:20">
      <c r="A11" s="290"/>
      <c r="B11" s="272"/>
      <c r="C11" s="272"/>
      <c r="D11" s="272"/>
      <c r="E11" s="272"/>
      <c r="F11" s="272"/>
      <c r="G11" s="272"/>
      <c r="H11" s="272"/>
      <c r="I11" s="272"/>
      <c r="J11" s="272"/>
      <c r="K11" s="272"/>
      <c r="L11" s="272"/>
      <c r="M11" s="272"/>
      <c r="N11" s="272"/>
      <c r="O11" s="272"/>
      <c r="P11" s="272"/>
      <c r="Q11" s="272"/>
      <c r="R11" s="272"/>
      <c r="S11" s="272"/>
      <c r="T11" s="272"/>
    </row>
    <row r="12" spans="1:20">
      <c r="A12" s="290"/>
      <c r="B12" s="272"/>
      <c r="C12" s="272"/>
      <c r="D12" s="272"/>
      <c r="E12" s="272"/>
      <c r="F12" s="272"/>
      <c r="G12" s="272"/>
      <c r="H12" s="272"/>
      <c r="I12" s="272"/>
      <c r="J12" s="272"/>
      <c r="K12" s="272"/>
      <c r="L12" s="272"/>
      <c r="M12" s="272"/>
      <c r="N12" s="272"/>
      <c r="O12" s="272"/>
      <c r="P12" s="272"/>
      <c r="Q12" s="272"/>
      <c r="R12" s="272"/>
      <c r="S12" s="272"/>
      <c r="T12" s="272"/>
    </row>
    <row r="13" spans="1:20">
      <c r="A13" s="290"/>
      <c r="B13" s="272"/>
      <c r="C13" s="272"/>
      <c r="D13" s="272"/>
      <c r="E13" s="272"/>
      <c r="F13" s="272"/>
      <c r="G13" s="272"/>
      <c r="H13" s="272"/>
      <c r="I13" s="272"/>
      <c r="J13" s="272"/>
      <c r="K13" s="272"/>
      <c r="L13" s="272"/>
      <c r="M13" s="272"/>
      <c r="N13" s="272"/>
      <c r="O13" s="272"/>
      <c r="P13" s="272"/>
      <c r="Q13" s="272"/>
      <c r="R13" s="272"/>
      <c r="S13" s="272"/>
      <c r="T13" s="272"/>
    </row>
    <row r="14" spans="1:20">
      <c r="A14" s="290"/>
      <c r="B14" s="272"/>
      <c r="C14" s="272"/>
      <c r="D14" s="272"/>
      <c r="E14" s="272"/>
      <c r="F14" s="272"/>
      <c r="G14" s="272"/>
      <c r="H14" s="272"/>
      <c r="I14" s="272"/>
      <c r="J14" s="272"/>
      <c r="K14" s="272"/>
      <c r="L14" s="272"/>
      <c r="M14" s="272"/>
      <c r="N14" s="272"/>
      <c r="O14" s="272"/>
      <c r="P14" s="272"/>
      <c r="Q14" s="272"/>
      <c r="R14" s="272"/>
      <c r="S14" s="272"/>
      <c r="T14" s="272"/>
    </row>
    <row r="15" spans="1:20">
      <c r="A15" s="290"/>
      <c r="B15" s="272"/>
      <c r="C15" s="272"/>
      <c r="D15" s="272"/>
      <c r="E15" s="272"/>
      <c r="F15" s="272"/>
      <c r="G15" s="272"/>
      <c r="H15" s="272"/>
      <c r="I15" s="272"/>
      <c r="J15" s="272"/>
      <c r="K15" s="272"/>
      <c r="L15" s="272"/>
      <c r="M15" s="272"/>
      <c r="N15" s="272"/>
      <c r="O15" s="272"/>
      <c r="P15" s="272"/>
      <c r="Q15" s="272"/>
      <c r="R15" s="272"/>
      <c r="S15" s="272"/>
      <c r="T15" s="272"/>
    </row>
    <row r="16" spans="1:20">
      <c r="A16" s="290"/>
      <c r="B16" s="272"/>
      <c r="C16" s="272"/>
      <c r="D16" s="272"/>
      <c r="E16" s="272"/>
      <c r="F16" s="272"/>
      <c r="G16" s="272"/>
      <c r="H16" s="272"/>
      <c r="I16" s="272"/>
      <c r="J16" s="272"/>
      <c r="K16" s="272"/>
      <c r="L16" s="272"/>
      <c r="M16" s="272"/>
      <c r="N16" s="272"/>
      <c r="O16" s="272"/>
      <c r="P16" s="272"/>
      <c r="Q16" s="272"/>
      <c r="R16" s="272"/>
      <c r="S16" s="272"/>
      <c r="T16" s="272"/>
    </row>
    <row r="17" spans="1:20">
      <c r="A17" s="290"/>
      <c r="B17" s="272"/>
      <c r="C17" s="272"/>
      <c r="D17" s="272"/>
      <c r="E17" s="272"/>
      <c r="F17" s="272"/>
      <c r="G17" s="272"/>
      <c r="H17" s="272"/>
      <c r="I17" s="272"/>
      <c r="J17" s="272"/>
      <c r="K17" s="272"/>
      <c r="L17" s="272"/>
      <c r="M17" s="272"/>
      <c r="N17" s="272"/>
      <c r="O17" s="272"/>
      <c r="P17" s="272"/>
      <c r="Q17" s="272"/>
      <c r="R17" s="272"/>
      <c r="S17" s="272"/>
      <c r="T17" s="272"/>
    </row>
    <row r="18" spans="1:20">
      <c r="A18" s="290"/>
      <c r="B18" s="272"/>
      <c r="C18" s="272"/>
      <c r="D18" s="272"/>
      <c r="E18" s="272"/>
      <c r="F18" s="272"/>
      <c r="G18" s="272"/>
      <c r="H18" s="272"/>
      <c r="I18" s="272"/>
      <c r="J18" s="272"/>
      <c r="K18" s="272"/>
      <c r="L18" s="272"/>
      <c r="M18" s="272"/>
      <c r="N18" s="272"/>
      <c r="O18" s="272"/>
      <c r="P18" s="272"/>
      <c r="Q18" s="272"/>
      <c r="R18" s="272"/>
      <c r="S18" s="272"/>
      <c r="T18" s="272"/>
    </row>
    <row r="19" spans="1:20">
      <c r="A19" s="290"/>
      <c r="B19" s="272"/>
      <c r="C19" s="272"/>
      <c r="D19" s="272"/>
      <c r="E19" s="272"/>
      <c r="F19" s="272"/>
      <c r="G19" s="272"/>
      <c r="H19" s="272"/>
      <c r="I19" s="272"/>
      <c r="J19" s="272"/>
      <c r="K19" s="272"/>
      <c r="L19" s="272"/>
      <c r="M19" s="272"/>
      <c r="N19" s="272"/>
      <c r="O19" s="272"/>
      <c r="P19" s="272"/>
      <c r="Q19" s="272"/>
      <c r="R19" s="272"/>
      <c r="S19" s="272"/>
      <c r="T19" s="272"/>
    </row>
    <row r="20" spans="1:20">
      <c r="A20" s="290"/>
      <c r="B20" s="272"/>
      <c r="C20" s="272"/>
      <c r="D20" s="272"/>
      <c r="E20" s="272"/>
      <c r="F20" s="272"/>
      <c r="G20" s="272"/>
      <c r="H20" s="272"/>
      <c r="I20" s="272"/>
      <c r="J20" s="272"/>
      <c r="K20" s="272"/>
      <c r="L20" s="272"/>
      <c r="M20" s="272"/>
      <c r="N20" s="272"/>
      <c r="O20" s="272"/>
      <c r="P20" s="272"/>
      <c r="Q20" s="272"/>
      <c r="R20" s="272"/>
      <c r="S20" s="272"/>
      <c r="T20" s="272"/>
    </row>
    <row r="21" spans="1:20">
      <c r="A21" s="290"/>
      <c r="B21" s="272"/>
      <c r="C21" s="272"/>
      <c r="D21" s="272"/>
      <c r="E21" s="272"/>
      <c r="F21" s="272"/>
      <c r="G21" s="272"/>
      <c r="H21" s="272"/>
      <c r="I21" s="272"/>
      <c r="J21" s="272"/>
      <c r="K21" s="272"/>
      <c r="L21" s="272"/>
      <c r="M21" s="272"/>
      <c r="N21" s="272"/>
      <c r="O21" s="272"/>
      <c r="P21" s="272"/>
      <c r="Q21" s="272"/>
      <c r="R21" s="272"/>
      <c r="S21" s="272"/>
      <c r="T21" s="272"/>
    </row>
    <row r="22" spans="1:20">
      <c r="A22" s="290"/>
      <c r="B22" s="272"/>
      <c r="C22" s="272"/>
      <c r="D22" s="272"/>
      <c r="E22" s="272"/>
      <c r="F22" s="272"/>
      <c r="G22" s="272"/>
      <c r="H22" s="272"/>
      <c r="I22" s="272"/>
      <c r="J22" s="272"/>
      <c r="K22" s="272"/>
      <c r="L22" s="272"/>
      <c r="M22" s="272"/>
      <c r="N22" s="272"/>
      <c r="O22" s="272"/>
      <c r="P22" s="272"/>
      <c r="Q22" s="272"/>
      <c r="R22" s="272"/>
      <c r="S22" s="272"/>
      <c r="T22" s="272"/>
    </row>
    <row r="23" spans="1:20">
      <c r="A23" s="290"/>
      <c r="B23" s="272"/>
      <c r="C23" s="272"/>
      <c r="D23" s="272"/>
      <c r="E23" s="272"/>
      <c r="F23" s="272"/>
      <c r="G23" s="272"/>
      <c r="H23" s="272"/>
      <c r="I23" s="272"/>
      <c r="J23" s="272"/>
      <c r="K23" s="272"/>
      <c r="L23" s="272"/>
      <c r="M23" s="272"/>
      <c r="N23" s="272"/>
      <c r="O23" s="272"/>
      <c r="P23" s="272"/>
      <c r="Q23" s="272"/>
      <c r="R23" s="272"/>
      <c r="S23" s="272"/>
      <c r="T23" s="272"/>
    </row>
    <row r="24" spans="1:20">
      <c r="A24" s="290"/>
      <c r="B24" s="272"/>
      <c r="C24" s="272"/>
      <c r="D24" s="272"/>
      <c r="E24" s="272"/>
      <c r="F24" s="272"/>
      <c r="G24" s="272"/>
      <c r="H24" s="272"/>
      <c r="I24" s="272"/>
      <c r="J24" s="272"/>
      <c r="K24" s="272"/>
      <c r="L24" s="272"/>
      <c r="M24" s="272"/>
      <c r="N24" s="272"/>
      <c r="O24" s="272"/>
      <c r="P24" s="272"/>
      <c r="Q24" s="272"/>
      <c r="R24" s="272"/>
      <c r="S24" s="272"/>
      <c r="T24" s="272"/>
    </row>
    <row r="25" spans="1:20">
      <c r="A25" s="290"/>
      <c r="B25" s="272"/>
      <c r="C25" s="272"/>
      <c r="D25" s="272"/>
      <c r="E25" s="272"/>
      <c r="F25" s="272"/>
      <c r="G25" s="272"/>
      <c r="H25" s="272"/>
      <c r="I25" s="272"/>
      <c r="J25" s="272"/>
      <c r="K25" s="272"/>
      <c r="L25" s="272"/>
      <c r="M25" s="272"/>
      <c r="N25" s="272"/>
      <c r="O25" s="272"/>
      <c r="P25" s="272"/>
      <c r="Q25" s="272"/>
      <c r="R25" s="272"/>
      <c r="S25" s="272"/>
      <c r="T25" s="272"/>
    </row>
    <row r="26" spans="1:20">
      <c r="A26" s="290"/>
      <c r="B26" s="272"/>
      <c r="C26" s="272"/>
      <c r="D26" s="272"/>
      <c r="E26" s="272"/>
      <c r="F26" s="272"/>
      <c r="G26" s="272"/>
      <c r="H26" s="272"/>
      <c r="I26" s="272"/>
      <c r="J26" s="272"/>
      <c r="K26" s="272"/>
      <c r="L26" s="272"/>
      <c r="M26" s="272"/>
      <c r="N26" s="272"/>
      <c r="O26" s="272"/>
      <c r="P26" s="272"/>
      <c r="Q26" s="272"/>
      <c r="R26" s="272"/>
      <c r="S26" s="272"/>
      <c r="T26" s="272"/>
    </row>
    <row r="27" spans="1:20">
      <c r="A27" s="290"/>
      <c r="B27" s="272"/>
      <c r="C27" s="272"/>
      <c r="D27" s="272"/>
      <c r="E27" s="272"/>
      <c r="F27" s="272"/>
      <c r="G27" s="272"/>
      <c r="H27" s="272"/>
      <c r="I27" s="272"/>
      <c r="J27" s="272"/>
      <c r="K27" s="272"/>
      <c r="L27" s="272"/>
      <c r="M27" s="272"/>
      <c r="N27" s="272"/>
      <c r="O27" s="272"/>
      <c r="P27" s="272"/>
      <c r="Q27" s="272"/>
      <c r="R27" s="272"/>
      <c r="S27" s="272"/>
      <c r="T27" s="272"/>
    </row>
    <row r="28" spans="1:20">
      <c r="A28" s="290"/>
      <c r="B28" s="272"/>
      <c r="C28" s="272"/>
      <c r="D28" s="272"/>
      <c r="E28" s="272"/>
      <c r="F28" s="272"/>
      <c r="G28" s="272"/>
      <c r="H28" s="272"/>
      <c r="I28" s="272"/>
      <c r="J28" s="272"/>
      <c r="K28" s="272"/>
      <c r="L28" s="272"/>
      <c r="M28" s="272"/>
      <c r="N28" s="272"/>
      <c r="O28" s="272"/>
      <c r="P28" s="272"/>
      <c r="Q28" s="272"/>
      <c r="R28" s="272"/>
      <c r="S28" s="272"/>
      <c r="T28" s="272"/>
    </row>
    <row r="29" spans="1:20">
      <c r="A29" s="290"/>
      <c r="B29" s="272"/>
      <c r="C29" s="272"/>
      <c r="D29" s="272"/>
      <c r="E29" s="272"/>
      <c r="F29" s="272"/>
      <c r="G29" s="272"/>
      <c r="H29" s="272"/>
      <c r="I29" s="272"/>
      <c r="J29" s="272"/>
      <c r="K29" s="272"/>
      <c r="L29" s="272"/>
      <c r="M29" s="272"/>
      <c r="N29" s="272"/>
      <c r="O29" s="272"/>
      <c r="P29" s="272"/>
      <c r="Q29" s="272"/>
      <c r="R29" s="272"/>
      <c r="S29" s="272"/>
      <c r="T29" s="272"/>
    </row>
    <row r="30" spans="1:20">
      <c r="A30" s="290"/>
      <c r="B30" s="272"/>
      <c r="C30" s="272"/>
      <c r="D30" s="272"/>
      <c r="E30" s="272"/>
      <c r="F30" s="272"/>
      <c r="G30" s="272"/>
      <c r="H30" s="272"/>
      <c r="I30" s="272"/>
      <c r="J30" s="272"/>
      <c r="K30" s="272"/>
      <c r="L30" s="272"/>
      <c r="M30" s="272"/>
      <c r="N30" s="272"/>
      <c r="O30" s="272"/>
      <c r="P30" s="272"/>
      <c r="Q30" s="272"/>
      <c r="R30" s="272"/>
      <c r="S30" s="272"/>
      <c r="T30" s="272"/>
    </row>
    <row r="31" spans="1:20">
      <c r="A31" s="290"/>
      <c r="B31" s="272"/>
      <c r="C31" s="272"/>
      <c r="D31" s="272"/>
      <c r="E31" s="272"/>
      <c r="F31" s="272"/>
      <c r="G31" s="272"/>
      <c r="H31" s="272"/>
      <c r="I31" s="272"/>
      <c r="J31" s="272"/>
      <c r="K31" s="272"/>
      <c r="L31" s="272"/>
      <c r="M31" s="272"/>
      <c r="N31" s="272"/>
      <c r="O31" s="272"/>
      <c r="P31" s="272"/>
      <c r="Q31" s="272"/>
      <c r="R31" s="272"/>
      <c r="S31" s="272"/>
      <c r="T31" s="272"/>
    </row>
    <row r="32" spans="1:20">
      <c r="A32" s="290"/>
      <c r="B32" s="272"/>
      <c r="C32" s="272"/>
      <c r="D32" s="272"/>
      <c r="E32" s="272"/>
      <c r="F32" s="272"/>
      <c r="G32" s="272"/>
      <c r="H32" s="272"/>
      <c r="I32" s="272"/>
      <c r="J32" s="272"/>
      <c r="K32" s="272"/>
      <c r="L32" s="272"/>
      <c r="M32" s="272"/>
      <c r="N32" s="272"/>
      <c r="O32" s="272"/>
      <c r="P32" s="272"/>
      <c r="Q32" s="272"/>
      <c r="R32" s="272"/>
      <c r="S32" s="272"/>
      <c r="T32" s="272"/>
    </row>
    <row r="33" spans="1:20">
      <c r="A33" s="290"/>
      <c r="B33" s="272"/>
      <c r="C33" s="272"/>
      <c r="D33" s="272"/>
      <c r="E33" s="272"/>
      <c r="F33" s="272"/>
      <c r="G33" s="272"/>
      <c r="H33" s="272"/>
      <c r="I33" s="272"/>
      <c r="J33" s="272"/>
      <c r="K33" s="272"/>
      <c r="L33" s="272"/>
      <c r="M33" s="272"/>
      <c r="N33" s="272"/>
      <c r="O33" s="272"/>
      <c r="P33" s="272"/>
      <c r="Q33" s="272"/>
      <c r="R33" s="272"/>
      <c r="S33" s="272"/>
      <c r="T33" s="272"/>
    </row>
    <row r="34" spans="1:20">
      <c r="A34" s="290"/>
      <c r="B34" s="272"/>
      <c r="C34" s="272"/>
      <c r="D34" s="272"/>
      <c r="E34" s="272"/>
      <c r="F34" s="272"/>
      <c r="G34" s="272"/>
      <c r="H34" s="272"/>
      <c r="I34" s="272"/>
      <c r="J34" s="272"/>
      <c r="K34" s="272"/>
      <c r="L34" s="272"/>
      <c r="M34" s="272"/>
      <c r="N34" s="272"/>
      <c r="O34" s="272"/>
      <c r="P34" s="272"/>
      <c r="Q34" s="272"/>
      <c r="R34" s="272"/>
      <c r="S34" s="272"/>
      <c r="T34" s="272"/>
    </row>
    <row r="35" spans="1:20">
      <c r="A35" s="290"/>
      <c r="B35" s="272"/>
      <c r="C35" s="272"/>
      <c r="D35" s="272"/>
      <c r="E35" s="272"/>
      <c r="F35" s="272"/>
      <c r="G35" s="272"/>
      <c r="H35" s="272"/>
      <c r="I35" s="272"/>
      <c r="J35" s="272"/>
      <c r="K35" s="272"/>
      <c r="L35" s="272"/>
      <c r="M35" s="272"/>
      <c r="N35" s="272"/>
      <c r="O35" s="272"/>
      <c r="P35" s="272"/>
      <c r="Q35" s="272"/>
      <c r="R35" s="272"/>
      <c r="S35" s="272"/>
      <c r="T35" s="272"/>
    </row>
    <row r="36" spans="1:20">
      <c r="A36" s="290"/>
      <c r="B36" s="272"/>
      <c r="C36" s="272"/>
      <c r="D36" s="272"/>
      <c r="E36" s="272"/>
      <c r="F36" s="272"/>
      <c r="G36" s="272"/>
      <c r="H36" s="272"/>
      <c r="I36" s="272"/>
      <c r="J36" s="272"/>
      <c r="K36" s="272"/>
      <c r="L36" s="272"/>
      <c r="M36" s="272"/>
      <c r="N36" s="272"/>
      <c r="O36" s="272"/>
      <c r="P36" s="272"/>
      <c r="Q36" s="272"/>
      <c r="R36" s="272"/>
      <c r="S36" s="272"/>
      <c r="T36" s="272"/>
    </row>
    <row r="37" spans="1:20">
      <c r="A37" s="290"/>
      <c r="B37" s="272"/>
      <c r="C37" s="272"/>
      <c r="D37" s="272"/>
      <c r="E37" s="272"/>
      <c r="F37" s="272"/>
      <c r="G37" s="272"/>
      <c r="H37" s="272"/>
      <c r="I37" s="272"/>
      <c r="J37" s="272"/>
      <c r="K37" s="272"/>
      <c r="L37" s="272"/>
      <c r="M37" s="272"/>
      <c r="N37" s="272"/>
      <c r="O37" s="272"/>
      <c r="P37" s="272"/>
      <c r="Q37" s="272"/>
      <c r="R37" s="272"/>
      <c r="S37" s="272"/>
      <c r="T37" s="272"/>
    </row>
    <row r="38" spans="1:20">
      <c r="A38" s="290"/>
      <c r="B38" s="272"/>
      <c r="C38" s="272"/>
      <c r="D38" s="272"/>
      <c r="E38" s="272"/>
      <c r="F38" s="272"/>
      <c r="G38" s="272"/>
      <c r="H38" s="272"/>
      <c r="I38" s="272"/>
      <c r="J38" s="272"/>
      <c r="K38" s="272"/>
      <c r="L38" s="272"/>
      <c r="M38" s="272"/>
      <c r="N38" s="272"/>
      <c r="O38" s="272"/>
      <c r="P38" s="272"/>
      <c r="Q38" s="272"/>
      <c r="R38" s="272"/>
      <c r="S38" s="272"/>
      <c r="T38" s="272"/>
    </row>
    <row r="39" spans="1:20">
      <c r="A39" s="290"/>
      <c r="B39" s="272"/>
      <c r="C39" s="272"/>
      <c r="D39" s="272"/>
      <c r="E39" s="272"/>
      <c r="F39" s="272"/>
      <c r="G39" s="272"/>
      <c r="H39" s="272"/>
      <c r="I39" s="272"/>
      <c r="J39" s="272"/>
      <c r="K39" s="272"/>
      <c r="L39" s="272"/>
      <c r="M39" s="272"/>
      <c r="N39" s="272"/>
      <c r="O39" s="272"/>
      <c r="P39" s="272"/>
      <c r="Q39" s="272"/>
      <c r="R39" s="272"/>
      <c r="S39" s="272"/>
      <c r="T39" s="272"/>
    </row>
    <row r="40" spans="1:20">
      <c r="A40" s="290"/>
      <c r="B40" s="272"/>
      <c r="C40" s="272"/>
      <c r="D40" s="272"/>
      <c r="E40" s="272"/>
      <c r="F40" s="272"/>
      <c r="G40" s="272"/>
      <c r="H40" s="272"/>
      <c r="I40" s="272"/>
      <c r="J40" s="272"/>
      <c r="K40" s="272"/>
      <c r="L40" s="272"/>
      <c r="M40" s="272"/>
      <c r="N40" s="272"/>
      <c r="O40" s="272"/>
      <c r="P40" s="272"/>
      <c r="Q40" s="272"/>
      <c r="R40" s="272"/>
      <c r="S40" s="272"/>
      <c r="T40" s="272"/>
    </row>
    <row r="41" spans="1:20">
      <c r="A41" s="290"/>
      <c r="B41" s="272"/>
      <c r="C41" s="272"/>
      <c r="D41" s="272"/>
      <c r="E41" s="272"/>
      <c r="F41" s="272"/>
      <c r="G41" s="272"/>
      <c r="H41" s="272"/>
      <c r="I41" s="272"/>
      <c r="J41" s="272"/>
      <c r="K41" s="272"/>
      <c r="L41" s="272"/>
      <c r="M41" s="272"/>
      <c r="N41" s="272"/>
      <c r="O41" s="272"/>
      <c r="P41" s="272"/>
      <c r="Q41" s="272"/>
      <c r="R41" s="272"/>
      <c r="S41" s="272"/>
      <c r="T41" s="272"/>
    </row>
    <row r="42" spans="1:20">
      <c r="A42" s="290"/>
      <c r="B42" s="272"/>
      <c r="C42" s="272"/>
      <c r="D42" s="272"/>
      <c r="E42" s="272"/>
      <c r="F42" s="272"/>
      <c r="G42" s="272"/>
      <c r="H42" s="272"/>
      <c r="I42" s="272"/>
      <c r="J42" s="272"/>
      <c r="K42" s="272"/>
      <c r="L42" s="272"/>
      <c r="M42" s="272"/>
      <c r="N42" s="272"/>
      <c r="O42" s="272"/>
      <c r="P42" s="272"/>
      <c r="Q42" s="272"/>
      <c r="R42" s="272"/>
      <c r="S42" s="272"/>
      <c r="T42" s="272"/>
    </row>
    <row r="43" spans="1:20">
      <c r="A43" s="290"/>
      <c r="B43" s="272"/>
      <c r="C43" s="272"/>
      <c r="D43" s="272"/>
      <c r="E43" s="272"/>
      <c r="F43" s="272"/>
      <c r="G43" s="272"/>
      <c r="H43" s="272"/>
      <c r="I43" s="272"/>
      <c r="J43" s="272"/>
      <c r="K43" s="272"/>
      <c r="L43" s="272"/>
      <c r="M43" s="272"/>
      <c r="N43" s="272"/>
      <c r="O43" s="272"/>
      <c r="P43" s="272"/>
      <c r="Q43" s="272"/>
      <c r="R43" s="272"/>
      <c r="S43" s="272"/>
      <c r="T43" s="272"/>
    </row>
    <row r="44" spans="1:20">
      <c r="A44" s="290"/>
      <c r="B44" s="272"/>
      <c r="C44" s="272"/>
      <c r="D44" s="272"/>
      <c r="E44" s="272"/>
      <c r="F44" s="272"/>
      <c r="G44" s="272"/>
      <c r="H44" s="272"/>
      <c r="I44" s="272"/>
      <c r="J44" s="272"/>
      <c r="K44" s="272"/>
      <c r="L44" s="272"/>
      <c r="M44" s="272"/>
      <c r="N44" s="272"/>
      <c r="O44" s="272"/>
      <c r="P44" s="272"/>
      <c r="Q44" s="272"/>
      <c r="R44" s="272"/>
      <c r="S44" s="272"/>
      <c r="T44" s="272"/>
    </row>
    <row r="45" spans="1:20">
      <c r="A45" s="290"/>
      <c r="B45" s="272"/>
      <c r="C45" s="272"/>
      <c r="D45" s="272"/>
      <c r="E45" s="272"/>
      <c r="F45" s="272"/>
      <c r="G45" s="272"/>
      <c r="H45" s="272"/>
      <c r="I45" s="272"/>
      <c r="J45" s="272"/>
      <c r="K45" s="272"/>
      <c r="L45" s="272"/>
      <c r="M45" s="272"/>
      <c r="N45" s="272"/>
      <c r="O45" s="272"/>
      <c r="P45" s="272"/>
      <c r="Q45" s="272"/>
      <c r="R45" s="272"/>
      <c r="S45" s="272"/>
      <c r="T45" s="272"/>
    </row>
    <row r="46" spans="1:20">
      <c r="A46" s="290"/>
      <c r="B46" s="272"/>
      <c r="C46" s="272"/>
      <c r="D46" s="272"/>
      <c r="E46" s="272"/>
      <c r="F46" s="272"/>
      <c r="G46" s="272"/>
      <c r="H46" s="272"/>
      <c r="I46" s="272"/>
      <c r="J46" s="272"/>
      <c r="K46" s="272"/>
      <c r="L46" s="272"/>
      <c r="M46" s="272"/>
      <c r="N46" s="272"/>
      <c r="O46" s="272"/>
      <c r="P46" s="272"/>
      <c r="Q46" s="272"/>
      <c r="R46" s="272"/>
      <c r="S46" s="272"/>
      <c r="T46" s="272"/>
    </row>
    <row r="47" spans="1:20">
      <c r="A47" s="290"/>
      <c r="B47" s="272"/>
      <c r="C47" s="272"/>
      <c r="D47" s="272"/>
      <c r="E47" s="272"/>
      <c r="F47" s="272"/>
      <c r="G47" s="272"/>
      <c r="H47" s="272"/>
      <c r="I47" s="272"/>
      <c r="J47" s="272"/>
      <c r="K47" s="272"/>
      <c r="L47" s="272"/>
      <c r="M47" s="272"/>
      <c r="N47" s="272"/>
      <c r="O47" s="272"/>
      <c r="P47" s="272"/>
      <c r="Q47" s="272"/>
      <c r="R47" s="272"/>
      <c r="S47" s="272"/>
      <c r="T47" s="272"/>
    </row>
    <row r="48" spans="1:20">
      <c r="A48" s="290"/>
      <c r="B48" s="272"/>
      <c r="C48" s="272"/>
      <c r="D48" s="272"/>
      <c r="E48" s="272"/>
      <c r="F48" s="272"/>
      <c r="G48" s="272"/>
      <c r="H48" s="272"/>
      <c r="I48" s="272"/>
      <c r="J48" s="272"/>
      <c r="K48" s="272"/>
      <c r="L48" s="272"/>
      <c r="M48" s="272"/>
      <c r="N48" s="272"/>
      <c r="O48" s="272"/>
      <c r="P48" s="272"/>
      <c r="Q48" s="272"/>
      <c r="R48" s="272"/>
      <c r="S48" s="272"/>
      <c r="T48" s="272"/>
    </row>
    <row r="49" spans="1:20">
      <c r="A49" s="290"/>
      <c r="B49" s="272"/>
      <c r="C49" s="272"/>
      <c r="D49" s="272"/>
      <c r="E49" s="272"/>
      <c r="F49" s="272"/>
      <c r="G49" s="272"/>
      <c r="H49" s="272"/>
      <c r="I49" s="272"/>
      <c r="J49" s="272"/>
      <c r="K49" s="272"/>
      <c r="L49" s="272"/>
      <c r="M49" s="272"/>
      <c r="N49" s="272"/>
      <c r="O49" s="272"/>
      <c r="P49" s="272"/>
      <c r="Q49" s="272"/>
      <c r="R49" s="272"/>
      <c r="S49" s="272"/>
      <c r="T49" s="272"/>
    </row>
    <row r="50" spans="1:20">
      <c r="A50" s="290"/>
      <c r="B50" s="272"/>
      <c r="C50" s="272"/>
      <c r="D50" s="272"/>
      <c r="E50" s="272"/>
      <c r="F50" s="272"/>
      <c r="G50" s="272"/>
      <c r="H50" s="272"/>
      <c r="I50" s="272"/>
      <c r="J50" s="272"/>
      <c r="K50" s="272"/>
      <c r="L50" s="272"/>
      <c r="M50" s="272"/>
      <c r="N50" s="272"/>
      <c r="O50" s="272"/>
      <c r="P50" s="272"/>
      <c r="Q50" s="272"/>
      <c r="R50" s="272"/>
      <c r="S50" s="272"/>
      <c r="T50" s="272"/>
    </row>
    <row r="51" spans="1:20">
      <c r="A51" s="290"/>
      <c r="B51" s="272"/>
      <c r="C51" s="272"/>
      <c r="D51" s="272"/>
      <c r="E51" s="272"/>
      <c r="F51" s="272"/>
      <c r="G51" s="272"/>
      <c r="H51" s="272"/>
      <c r="I51" s="272"/>
      <c r="J51" s="272"/>
      <c r="K51" s="272"/>
      <c r="L51" s="272"/>
      <c r="M51" s="272"/>
      <c r="N51" s="272"/>
      <c r="O51" s="272"/>
      <c r="P51" s="272"/>
      <c r="Q51" s="272"/>
      <c r="R51" s="272"/>
      <c r="S51" s="272"/>
      <c r="T51" s="272"/>
    </row>
    <row r="52" spans="1:20">
      <c r="A52" s="290"/>
      <c r="B52" s="272"/>
      <c r="C52" s="272"/>
      <c r="D52" s="272"/>
      <c r="E52" s="272"/>
      <c r="F52" s="272"/>
      <c r="G52" s="272"/>
      <c r="H52" s="272"/>
      <c r="I52" s="272"/>
      <c r="J52" s="272"/>
      <c r="K52" s="272"/>
      <c r="L52" s="272"/>
      <c r="M52" s="272"/>
      <c r="N52" s="272"/>
      <c r="O52" s="272"/>
      <c r="P52" s="272"/>
      <c r="Q52" s="272"/>
      <c r="R52" s="272"/>
      <c r="S52" s="272"/>
      <c r="T52" s="272"/>
    </row>
    <row r="53" spans="1:20">
      <c r="A53" s="290"/>
      <c r="B53" s="272"/>
      <c r="C53" s="272"/>
      <c r="D53" s="272"/>
      <c r="E53" s="272"/>
      <c r="F53" s="272"/>
      <c r="G53" s="272"/>
      <c r="H53" s="272"/>
      <c r="I53" s="272"/>
      <c r="J53" s="272"/>
      <c r="K53" s="272"/>
      <c r="L53" s="272"/>
      <c r="M53" s="272"/>
      <c r="N53" s="272"/>
      <c r="O53" s="272"/>
      <c r="P53" s="272"/>
      <c r="Q53" s="272"/>
      <c r="R53" s="272"/>
      <c r="S53" s="272"/>
      <c r="T53" s="272"/>
    </row>
    <row r="54" spans="1:20">
      <c r="A54" s="290"/>
      <c r="B54" s="272"/>
      <c r="C54" s="272"/>
      <c r="D54" s="272"/>
      <c r="E54" s="272"/>
      <c r="F54" s="272"/>
      <c r="G54" s="272"/>
      <c r="H54" s="272"/>
      <c r="I54" s="272"/>
      <c r="J54" s="272"/>
      <c r="K54" s="272"/>
      <c r="L54" s="272"/>
      <c r="M54" s="272"/>
      <c r="N54" s="272"/>
      <c r="O54" s="272"/>
      <c r="P54" s="272"/>
      <c r="Q54" s="272"/>
      <c r="R54" s="272"/>
      <c r="S54" s="272"/>
      <c r="T54" s="272"/>
    </row>
    <row r="55" spans="1:20">
      <c r="A55" s="290"/>
      <c r="B55" s="272"/>
      <c r="C55" s="272"/>
      <c r="D55" s="272"/>
      <c r="E55" s="272"/>
      <c r="F55" s="272"/>
      <c r="G55" s="272"/>
      <c r="H55" s="272"/>
      <c r="I55" s="272"/>
      <c r="J55" s="272"/>
      <c r="K55" s="272"/>
      <c r="L55" s="272"/>
      <c r="M55" s="272"/>
      <c r="N55" s="272"/>
      <c r="O55" s="272"/>
      <c r="P55" s="272"/>
      <c r="Q55" s="272"/>
      <c r="R55" s="272"/>
      <c r="S55" s="272"/>
      <c r="T55" s="272"/>
    </row>
    <row r="56" spans="1:20">
      <c r="A56" s="290"/>
      <c r="B56" s="272"/>
      <c r="C56" s="272"/>
      <c r="D56" s="272"/>
      <c r="E56" s="272"/>
      <c r="F56" s="272"/>
      <c r="G56" s="272"/>
      <c r="H56" s="272"/>
      <c r="I56" s="272"/>
      <c r="J56" s="272"/>
      <c r="K56" s="272"/>
      <c r="L56" s="272"/>
      <c r="M56" s="272"/>
      <c r="N56" s="272"/>
      <c r="O56" s="272"/>
      <c r="P56" s="272"/>
      <c r="Q56" s="272"/>
      <c r="R56" s="272"/>
      <c r="S56" s="272"/>
      <c r="T56" s="272"/>
    </row>
    <row r="57" spans="1:20">
      <c r="A57" s="290"/>
      <c r="B57" s="272"/>
      <c r="C57" s="272"/>
      <c r="D57" s="272"/>
      <c r="E57" s="272"/>
      <c r="F57" s="272"/>
      <c r="G57" s="272"/>
      <c r="H57" s="272"/>
      <c r="I57" s="272"/>
      <c r="J57" s="272"/>
      <c r="K57" s="272"/>
      <c r="L57" s="272"/>
      <c r="M57" s="272"/>
      <c r="N57" s="272"/>
      <c r="O57" s="272"/>
      <c r="P57" s="272"/>
      <c r="Q57" s="272"/>
      <c r="R57" s="272"/>
      <c r="S57" s="272"/>
      <c r="T57" s="272"/>
    </row>
    <row r="58" spans="1:20">
      <c r="A58" s="290"/>
      <c r="B58" s="272"/>
      <c r="C58" s="272"/>
      <c r="D58" s="272"/>
      <c r="E58" s="272"/>
      <c r="F58" s="272"/>
      <c r="G58" s="272"/>
      <c r="H58" s="272"/>
      <c r="I58" s="272"/>
      <c r="J58" s="272"/>
      <c r="K58" s="272"/>
      <c r="L58" s="272"/>
      <c r="M58" s="272"/>
      <c r="N58" s="272"/>
      <c r="O58" s="272"/>
      <c r="P58" s="272"/>
      <c r="Q58" s="272"/>
      <c r="R58" s="272"/>
      <c r="S58" s="272"/>
      <c r="T58" s="272"/>
    </row>
    <row r="59" spans="1:20">
      <c r="A59" s="290"/>
      <c r="B59" s="272"/>
      <c r="C59" s="272"/>
      <c r="D59" s="272"/>
      <c r="E59" s="272"/>
      <c r="F59" s="272"/>
      <c r="G59" s="272"/>
      <c r="H59" s="272"/>
      <c r="I59" s="272"/>
      <c r="J59" s="272"/>
      <c r="K59" s="272"/>
      <c r="L59" s="272"/>
      <c r="M59" s="272"/>
      <c r="N59" s="272"/>
      <c r="O59" s="272"/>
      <c r="P59" s="272"/>
      <c r="Q59" s="272"/>
      <c r="R59" s="272"/>
      <c r="S59" s="272"/>
      <c r="T59" s="272"/>
    </row>
    <row r="60" spans="1:20">
      <c r="A60" s="290"/>
      <c r="B60" s="272"/>
      <c r="C60" s="272"/>
      <c r="D60" s="272"/>
      <c r="E60" s="272"/>
      <c r="F60" s="272"/>
      <c r="G60" s="272"/>
      <c r="H60" s="272"/>
      <c r="I60" s="272"/>
      <c r="J60" s="272"/>
      <c r="K60" s="272"/>
      <c r="L60" s="272"/>
      <c r="M60" s="272"/>
      <c r="N60" s="272"/>
      <c r="O60" s="272"/>
      <c r="P60" s="272"/>
      <c r="Q60" s="272"/>
      <c r="R60" s="272"/>
      <c r="S60" s="272"/>
      <c r="T60" s="272"/>
    </row>
    <row r="61" spans="1:20">
      <c r="A61" s="290"/>
      <c r="B61" s="272"/>
      <c r="C61" s="272"/>
      <c r="D61" s="272"/>
      <c r="E61" s="272"/>
      <c r="F61" s="272"/>
      <c r="G61" s="272"/>
      <c r="H61" s="272"/>
      <c r="I61" s="272"/>
      <c r="J61" s="272"/>
      <c r="K61" s="272"/>
      <c r="L61" s="272"/>
      <c r="M61" s="272"/>
      <c r="N61" s="272"/>
      <c r="O61" s="272"/>
      <c r="P61" s="272"/>
      <c r="Q61" s="272"/>
      <c r="R61" s="272"/>
      <c r="S61" s="272"/>
      <c r="T61" s="272"/>
    </row>
    <row r="62" spans="1:20">
      <c r="A62" s="290"/>
      <c r="B62" s="272"/>
      <c r="C62" s="272"/>
      <c r="D62" s="272"/>
      <c r="E62" s="272"/>
      <c r="F62" s="272"/>
      <c r="G62" s="272"/>
      <c r="H62" s="272"/>
      <c r="I62" s="272"/>
      <c r="J62" s="272"/>
      <c r="K62" s="272"/>
      <c r="L62" s="272"/>
      <c r="M62" s="272"/>
      <c r="N62" s="272"/>
      <c r="O62" s="272"/>
      <c r="P62" s="272"/>
      <c r="Q62" s="272"/>
      <c r="R62" s="272"/>
      <c r="S62" s="272"/>
      <c r="T62" s="272"/>
    </row>
    <row r="63" spans="1:20">
      <c r="A63" s="290"/>
      <c r="B63" s="272"/>
      <c r="C63" s="272"/>
      <c r="D63" s="272"/>
      <c r="E63" s="272"/>
      <c r="F63" s="272"/>
      <c r="G63" s="272"/>
      <c r="H63" s="272"/>
      <c r="I63" s="272"/>
      <c r="J63" s="272"/>
      <c r="K63" s="272"/>
      <c r="L63" s="272"/>
      <c r="M63" s="272"/>
      <c r="N63" s="272"/>
      <c r="O63" s="272"/>
      <c r="P63" s="272"/>
      <c r="Q63" s="272"/>
      <c r="R63" s="272"/>
      <c r="S63" s="272"/>
      <c r="T63" s="272"/>
    </row>
    <row r="64" spans="1:20">
      <c r="A64" s="290"/>
      <c r="B64" s="272"/>
      <c r="C64" s="272"/>
      <c r="D64" s="272"/>
      <c r="E64" s="272"/>
      <c r="F64" s="272"/>
      <c r="G64" s="272"/>
      <c r="H64" s="272"/>
      <c r="I64" s="272"/>
      <c r="J64" s="272"/>
      <c r="K64" s="272"/>
      <c r="L64" s="272"/>
      <c r="M64" s="272"/>
      <c r="N64" s="272"/>
      <c r="O64" s="272"/>
      <c r="P64" s="272"/>
      <c r="Q64" s="272"/>
      <c r="R64" s="272"/>
      <c r="S64" s="272"/>
      <c r="T64" s="272"/>
    </row>
    <row r="65" spans="1:20">
      <c r="A65" s="290"/>
      <c r="B65" s="272"/>
      <c r="C65" s="272"/>
      <c r="D65" s="272"/>
      <c r="E65" s="272"/>
      <c r="F65" s="272"/>
      <c r="G65" s="272"/>
      <c r="H65" s="272"/>
      <c r="I65" s="272"/>
      <c r="J65" s="272"/>
      <c r="K65" s="272"/>
      <c r="L65" s="272"/>
      <c r="M65" s="272"/>
      <c r="N65" s="272"/>
      <c r="O65" s="272"/>
      <c r="P65" s="272"/>
      <c r="Q65" s="272"/>
      <c r="R65" s="272"/>
      <c r="S65" s="272"/>
      <c r="T65" s="272"/>
    </row>
    <row r="66" spans="1:20">
      <c r="A66" s="290"/>
      <c r="B66" s="272"/>
      <c r="C66" s="272"/>
      <c r="D66" s="272"/>
      <c r="E66" s="272"/>
      <c r="F66" s="272"/>
      <c r="G66" s="272"/>
      <c r="H66" s="272"/>
      <c r="I66" s="272"/>
      <c r="J66" s="272"/>
      <c r="K66" s="272"/>
      <c r="L66" s="272"/>
      <c r="M66" s="272"/>
      <c r="N66" s="272"/>
      <c r="O66" s="272"/>
      <c r="P66" s="272"/>
      <c r="Q66" s="272"/>
      <c r="R66" s="272"/>
      <c r="S66" s="272"/>
      <c r="T66" s="272"/>
    </row>
    <row r="67" spans="1:20">
      <c r="A67" s="290"/>
      <c r="B67" s="272"/>
      <c r="C67" s="272"/>
      <c r="D67" s="272"/>
      <c r="E67" s="272"/>
      <c r="F67" s="272"/>
      <c r="G67" s="272"/>
      <c r="H67" s="272"/>
      <c r="I67" s="272"/>
      <c r="J67" s="272"/>
      <c r="K67" s="272"/>
      <c r="L67" s="272"/>
      <c r="M67" s="272"/>
      <c r="N67" s="272"/>
      <c r="O67" s="272"/>
      <c r="P67" s="272"/>
      <c r="Q67" s="272"/>
      <c r="R67" s="272"/>
      <c r="S67" s="272"/>
      <c r="T67" s="272"/>
    </row>
    <row r="68" spans="1:20">
      <c r="A68" s="290"/>
      <c r="B68" s="272"/>
      <c r="C68" s="272"/>
      <c r="D68" s="272"/>
      <c r="E68" s="272"/>
      <c r="F68" s="272"/>
      <c r="G68" s="272"/>
      <c r="H68" s="272"/>
      <c r="I68" s="272"/>
      <c r="J68" s="272"/>
      <c r="K68" s="272"/>
      <c r="L68" s="272"/>
      <c r="M68" s="272"/>
      <c r="N68" s="272"/>
      <c r="O68" s="272"/>
      <c r="P68" s="272"/>
      <c r="Q68" s="272"/>
      <c r="R68" s="272"/>
      <c r="S68" s="272"/>
      <c r="T68" s="272"/>
    </row>
    <row r="69" spans="1:20">
      <c r="A69" s="290"/>
      <c r="B69" s="272"/>
      <c r="C69" s="272"/>
      <c r="D69" s="272"/>
      <c r="E69" s="272"/>
      <c r="F69" s="272"/>
      <c r="G69" s="272"/>
      <c r="H69" s="272"/>
      <c r="I69" s="272"/>
      <c r="J69" s="272"/>
      <c r="K69" s="272"/>
      <c r="L69" s="272"/>
      <c r="M69" s="272"/>
      <c r="N69" s="272"/>
      <c r="O69" s="272"/>
      <c r="P69" s="272"/>
      <c r="Q69" s="272"/>
      <c r="R69" s="272"/>
      <c r="S69" s="272"/>
      <c r="T69" s="272"/>
    </row>
    <row r="70" spans="1:20">
      <c r="A70" s="290"/>
      <c r="B70" s="272"/>
      <c r="C70" s="272"/>
      <c r="D70" s="272"/>
      <c r="E70" s="272"/>
      <c r="F70" s="272"/>
      <c r="G70" s="272"/>
      <c r="H70" s="272"/>
      <c r="I70" s="272"/>
      <c r="J70" s="272"/>
      <c r="K70" s="272"/>
      <c r="L70" s="272"/>
      <c r="M70" s="272"/>
      <c r="N70" s="272"/>
      <c r="O70" s="272"/>
      <c r="P70" s="272"/>
      <c r="Q70" s="272"/>
      <c r="R70" s="272"/>
      <c r="S70" s="272"/>
      <c r="T70" s="272"/>
    </row>
    <row r="71" spans="1:20">
      <c r="A71" s="290"/>
      <c r="B71" s="272"/>
      <c r="C71" s="272"/>
      <c r="D71" s="272"/>
      <c r="E71" s="272"/>
      <c r="F71" s="272"/>
      <c r="G71" s="272"/>
      <c r="H71" s="272"/>
      <c r="I71" s="272"/>
      <c r="J71" s="272"/>
      <c r="K71" s="272"/>
      <c r="L71" s="272"/>
      <c r="M71" s="272"/>
      <c r="N71" s="272"/>
      <c r="O71" s="272"/>
      <c r="P71" s="272"/>
      <c r="Q71" s="272"/>
      <c r="R71" s="272"/>
      <c r="S71" s="272"/>
      <c r="T71" s="272"/>
    </row>
    <row r="72" spans="1:20">
      <c r="A72" s="290"/>
      <c r="B72" s="272"/>
      <c r="C72" s="272"/>
      <c r="D72" s="272"/>
      <c r="E72" s="272"/>
      <c r="F72" s="272"/>
      <c r="G72" s="272"/>
      <c r="H72" s="272"/>
      <c r="I72" s="272"/>
      <c r="J72" s="272"/>
      <c r="K72" s="272"/>
      <c r="L72" s="272"/>
      <c r="M72" s="272"/>
      <c r="N72" s="272"/>
      <c r="O72" s="272"/>
      <c r="P72" s="272"/>
      <c r="Q72" s="272"/>
      <c r="R72" s="272"/>
      <c r="S72" s="272"/>
      <c r="T72" s="272"/>
    </row>
    <row r="73" spans="1:20">
      <c r="A73" s="290"/>
      <c r="B73" s="272"/>
      <c r="C73" s="272"/>
      <c r="D73" s="272"/>
      <c r="E73" s="272"/>
      <c r="F73" s="272"/>
      <c r="G73" s="272"/>
      <c r="H73" s="272"/>
      <c r="I73" s="272"/>
      <c r="J73" s="272"/>
      <c r="K73" s="272"/>
      <c r="L73" s="272"/>
      <c r="M73" s="272"/>
      <c r="N73" s="272"/>
      <c r="O73" s="272"/>
      <c r="P73" s="272"/>
      <c r="Q73" s="272"/>
      <c r="R73" s="272"/>
      <c r="S73" s="272"/>
      <c r="T73" s="272"/>
    </row>
    <row r="74" spans="1:20">
      <c r="A74" s="290"/>
      <c r="B74" s="272"/>
      <c r="C74" s="272"/>
      <c r="D74" s="272"/>
      <c r="E74" s="272"/>
      <c r="F74" s="272"/>
      <c r="G74" s="272"/>
      <c r="H74" s="272"/>
      <c r="I74" s="272"/>
      <c r="J74" s="272"/>
      <c r="K74" s="272"/>
      <c r="L74" s="272"/>
      <c r="M74" s="272"/>
      <c r="N74" s="272"/>
      <c r="O74" s="272"/>
      <c r="P74" s="272"/>
      <c r="Q74" s="272"/>
      <c r="R74" s="272"/>
      <c r="S74" s="272"/>
      <c r="T74" s="272"/>
    </row>
    <row r="75" spans="1:20">
      <c r="A75" s="290"/>
      <c r="B75" s="272"/>
      <c r="C75" s="272"/>
      <c r="D75" s="272"/>
      <c r="E75" s="272"/>
      <c r="F75" s="272"/>
      <c r="G75" s="272"/>
      <c r="H75" s="272"/>
      <c r="I75" s="272"/>
      <c r="J75" s="272"/>
      <c r="K75" s="272"/>
      <c r="L75" s="272"/>
      <c r="M75" s="272"/>
      <c r="N75" s="272"/>
      <c r="O75" s="272"/>
      <c r="P75" s="272"/>
      <c r="Q75" s="272"/>
      <c r="R75" s="272"/>
      <c r="S75" s="272"/>
      <c r="T75" s="272"/>
    </row>
    <row r="76" spans="1:20">
      <c r="A76" s="290"/>
      <c r="B76" s="272"/>
      <c r="C76" s="272"/>
      <c r="D76" s="272"/>
      <c r="E76" s="272"/>
      <c r="F76" s="272"/>
      <c r="G76" s="272"/>
      <c r="H76" s="272"/>
      <c r="I76" s="272"/>
      <c r="J76" s="272"/>
      <c r="K76" s="272"/>
      <c r="L76" s="272"/>
      <c r="M76" s="272"/>
      <c r="N76" s="272"/>
      <c r="O76" s="272"/>
      <c r="P76" s="272"/>
      <c r="Q76" s="272"/>
      <c r="R76" s="272"/>
      <c r="S76" s="272"/>
      <c r="T76" s="272"/>
    </row>
    <row r="77" spans="1:20">
      <c r="A77" s="290"/>
      <c r="B77" s="272"/>
      <c r="C77" s="272"/>
      <c r="D77" s="272"/>
      <c r="E77" s="272"/>
      <c r="F77" s="272"/>
      <c r="G77" s="272"/>
      <c r="H77" s="272"/>
      <c r="I77" s="272"/>
      <c r="J77" s="272"/>
      <c r="K77" s="272"/>
      <c r="L77" s="272"/>
      <c r="M77" s="272"/>
      <c r="N77" s="272"/>
      <c r="O77" s="272"/>
      <c r="P77" s="272"/>
      <c r="Q77" s="272"/>
      <c r="R77" s="272"/>
      <c r="S77" s="272"/>
      <c r="T77" s="272"/>
    </row>
    <row r="78" spans="1:20">
      <c r="A78" s="290"/>
      <c r="B78" s="272"/>
      <c r="C78" s="272"/>
      <c r="D78" s="272"/>
      <c r="E78" s="272"/>
      <c r="F78" s="272"/>
      <c r="G78" s="272"/>
      <c r="H78" s="272"/>
      <c r="I78" s="272"/>
      <c r="J78" s="272"/>
      <c r="K78" s="272"/>
      <c r="L78" s="272"/>
      <c r="M78" s="272"/>
      <c r="N78" s="272"/>
      <c r="O78" s="272"/>
      <c r="P78" s="272"/>
      <c r="Q78" s="272"/>
      <c r="R78" s="272"/>
      <c r="S78" s="272"/>
      <c r="T78" s="272"/>
    </row>
    <row r="79" spans="1:20">
      <c r="A79" s="290"/>
      <c r="B79" s="272"/>
      <c r="C79" s="272"/>
      <c r="D79" s="272"/>
      <c r="E79" s="272"/>
      <c r="F79" s="272"/>
      <c r="G79" s="272"/>
      <c r="H79" s="272"/>
      <c r="I79" s="272"/>
      <c r="J79" s="272"/>
      <c r="K79" s="272"/>
      <c r="L79" s="272"/>
      <c r="M79" s="272"/>
      <c r="N79" s="272"/>
      <c r="O79" s="272"/>
      <c r="P79" s="272"/>
      <c r="Q79" s="272"/>
      <c r="R79" s="272"/>
      <c r="S79" s="272"/>
      <c r="T79" s="272"/>
    </row>
    <row r="80" spans="1:20">
      <c r="A80" s="290"/>
      <c r="B80" s="272"/>
      <c r="C80" s="272"/>
      <c r="D80" s="272"/>
      <c r="E80" s="272"/>
      <c r="F80" s="272"/>
      <c r="G80" s="272"/>
      <c r="H80" s="272"/>
      <c r="I80" s="272"/>
      <c r="J80" s="272"/>
      <c r="K80" s="272"/>
      <c r="L80" s="272"/>
      <c r="M80" s="272"/>
      <c r="N80" s="272"/>
      <c r="O80" s="272"/>
      <c r="P80" s="272"/>
      <c r="Q80" s="272"/>
      <c r="R80" s="272"/>
      <c r="S80" s="272"/>
      <c r="T80" s="272"/>
    </row>
    <row r="81" spans="1:20">
      <c r="A81" s="290"/>
      <c r="B81" s="272"/>
      <c r="C81" s="272"/>
      <c r="D81" s="272"/>
      <c r="E81" s="272"/>
      <c r="F81" s="272"/>
      <c r="G81" s="272"/>
      <c r="H81" s="272"/>
      <c r="I81" s="272"/>
      <c r="J81" s="272"/>
      <c r="K81" s="272"/>
      <c r="L81" s="272"/>
      <c r="M81" s="272"/>
      <c r="N81" s="272"/>
      <c r="O81" s="272"/>
      <c r="P81" s="272"/>
      <c r="Q81" s="272"/>
      <c r="R81" s="272"/>
      <c r="S81" s="272"/>
      <c r="T81" s="272"/>
    </row>
    <row r="82" spans="1:20">
      <c r="A82" s="290"/>
      <c r="B82" s="272"/>
      <c r="C82" s="272"/>
      <c r="D82" s="272"/>
      <c r="E82" s="272"/>
      <c r="F82" s="272"/>
      <c r="G82" s="272"/>
      <c r="H82" s="272"/>
      <c r="I82" s="272"/>
      <c r="J82" s="272"/>
      <c r="K82" s="272"/>
      <c r="L82" s="272"/>
      <c r="M82" s="272"/>
      <c r="N82" s="272"/>
      <c r="O82" s="272"/>
      <c r="P82" s="272"/>
      <c r="Q82" s="272"/>
      <c r="R82" s="272"/>
      <c r="S82" s="272"/>
      <c r="T82" s="272"/>
    </row>
    <row r="83" spans="1:20">
      <c r="A83" s="290"/>
      <c r="B83" s="272"/>
      <c r="C83" s="272"/>
      <c r="D83" s="272"/>
      <c r="E83" s="272"/>
      <c r="F83" s="272"/>
      <c r="G83" s="272"/>
      <c r="H83" s="272"/>
      <c r="I83" s="272"/>
      <c r="J83" s="272"/>
      <c r="K83" s="272"/>
      <c r="L83" s="272"/>
      <c r="M83" s="272"/>
      <c r="N83" s="272"/>
      <c r="O83" s="272"/>
      <c r="P83" s="272"/>
      <c r="Q83" s="272"/>
      <c r="R83" s="272"/>
      <c r="S83" s="272"/>
      <c r="T83" s="272"/>
    </row>
    <row r="84" spans="1:20">
      <c r="A84" s="290"/>
      <c r="B84" s="272"/>
      <c r="C84" s="272"/>
      <c r="D84" s="272"/>
      <c r="E84" s="272"/>
      <c r="F84" s="272"/>
      <c r="G84" s="272"/>
      <c r="H84" s="272"/>
      <c r="I84" s="272"/>
      <c r="J84" s="272"/>
      <c r="K84" s="272"/>
      <c r="L84" s="272"/>
      <c r="M84" s="272"/>
      <c r="N84" s="272"/>
      <c r="O84" s="272"/>
      <c r="P84" s="272"/>
      <c r="Q84" s="272"/>
      <c r="R84" s="272"/>
      <c r="S84" s="272"/>
      <c r="T84" s="272"/>
    </row>
    <row r="85" spans="1:20">
      <c r="A85" s="290"/>
      <c r="B85" s="272"/>
      <c r="C85" s="272"/>
      <c r="D85" s="272"/>
      <c r="E85" s="272"/>
      <c r="F85" s="272"/>
      <c r="G85" s="272"/>
      <c r="H85" s="272"/>
      <c r="I85" s="272"/>
      <c r="J85" s="272"/>
      <c r="K85" s="272"/>
      <c r="L85" s="272"/>
      <c r="M85" s="272"/>
      <c r="N85" s="272"/>
      <c r="O85" s="272"/>
      <c r="P85" s="272"/>
      <c r="Q85" s="272"/>
      <c r="R85" s="272"/>
      <c r="S85" s="272"/>
      <c r="T85" s="272"/>
    </row>
    <row r="86" spans="1:20">
      <c r="A86" s="290"/>
      <c r="B86" s="272"/>
      <c r="C86" s="272"/>
      <c r="D86" s="272"/>
      <c r="E86" s="272"/>
      <c r="F86" s="272"/>
      <c r="G86" s="272"/>
      <c r="H86" s="272"/>
      <c r="I86" s="272"/>
      <c r="J86" s="272"/>
      <c r="K86" s="272"/>
      <c r="L86" s="272"/>
      <c r="M86" s="272"/>
      <c r="N86" s="272"/>
      <c r="O86" s="272"/>
      <c r="P86" s="272"/>
      <c r="Q86" s="272"/>
      <c r="R86" s="272"/>
      <c r="S86" s="272"/>
      <c r="T86" s="272"/>
    </row>
    <row r="87" spans="1:20">
      <c r="A87" s="290"/>
      <c r="B87" s="272"/>
      <c r="C87" s="272"/>
      <c r="D87" s="272"/>
      <c r="E87" s="272"/>
      <c r="F87" s="272"/>
      <c r="G87" s="272"/>
      <c r="H87" s="272"/>
      <c r="I87" s="272"/>
      <c r="J87" s="272"/>
      <c r="K87" s="272"/>
      <c r="L87" s="272"/>
      <c r="M87" s="272"/>
      <c r="N87" s="272"/>
      <c r="O87" s="272"/>
      <c r="P87" s="272"/>
      <c r="Q87" s="272"/>
      <c r="R87" s="272"/>
      <c r="S87" s="272"/>
      <c r="T87" s="272"/>
    </row>
    <row r="88" spans="1:20">
      <c r="A88" s="290"/>
      <c r="B88" s="272"/>
      <c r="C88" s="272"/>
      <c r="D88" s="272"/>
      <c r="E88" s="272"/>
      <c r="F88" s="272"/>
      <c r="G88" s="272"/>
      <c r="H88" s="272"/>
      <c r="I88" s="272"/>
      <c r="J88" s="272"/>
      <c r="K88" s="272"/>
      <c r="L88" s="272"/>
      <c r="M88" s="272"/>
      <c r="N88" s="272"/>
      <c r="O88" s="272"/>
      <c r="P88" s="272"/>
      <c r="Q88" s="272"/>
      <c r="R88" s="272"/>
      <c r="S88" s="272"/>
      <c r="T88" s="272"/>
    </row>
    <row r="89" spans="1:20">
      <c r="A89" s="290"/>
      <c r="B89" s="272"/>
      <c r="C89" s="272"/>
      <c r="D89" s="272"/>
      <c r="E89" s="272"/>
      <c r="F89" s="272"/>
      <c r="G89" s="272"/>
      <c r="H89" s="272"/>
      <c r="I89" s="272"/>
      <c r="J89" s="272"/>
      <c r="K89" s="272"/>
      <c r="L89" s="272"/>
      <c r="M89" s="272"/>
      <c r="N89" s="272"/>
      <c r="O89" s="272"/>
      <c r="P89" s="272"/>
      <c r="Q89" s="272"/>
      <c r="R89" s="272"/>
      <c r="S89" s="272"/>
      <c r="T89" s="272"/>
    </row>
    <row r="90" spans="1:20">
      <c r="A90" s="290"/>
      <c r="B90" s="272"/>
      <c r="C90" s="272"/>
      <c r="D90" s="272"/>
      <c r="E90" s="272"/>
      <c r="F90" s="272"/>
      <c r="G90" s="272"/>
      <c r="H90" s="272"/>
      <c r="I90" s="272"/>
      <c r="J90" s="272"/>
      <c r="K90" s="272"/>
      <c r="L90" s="272"/>
      <c r="M90" s="272"/>
      <c r="N90" s="272"/>
      <c r="O90" s="272"/>
      <c r="P90" s="272"/>
      <c r="Q90" s="272"/>
      <c r="R90" s="272"/>
      <c r="S90" s="272"/>
      <c r="T90" s="272"/>
    </row>
    <row r="91" spans="1:20">
      <c r="A91" s="290"/>
      <c r="B91" s="272"/>
      <c r="C91" s="272"/>
      <c r="D91" s="272"/>
      <c r="E91" s="272"/>
      <c r="F91" s="272"/>
      <c r="G91" s="272"/>
      <c r="H91" s="272"/>
      <c r="I91" s="272"/>
      <c r="J91" s="272"/>
      <c r="K91" s="272"/>
      <c r="L91" s="272"/>
      <c r="M91" s="272"/>
      <c r="N91" s="272"/>
      <c r="O91" s="272"/>
      <c r="P91" s="272"/>
      <c r="Q91" s="272"/>
      <c r="R91" s="272"/>
      <c r="S91" s="272"/>
      <c r="T91" s="272"/>
    </row>
    <row r="92" spans="1:20">
      <c r="A92" s="290"/>
      <c r="B92" s="272"/>
      <c r="C92" s="272"/>
      <c r="D92" s="272"/>
      <c r="E92" s="272"/>
      <c r="F92" s="272"/>
      <c r="G92" s="272"/>
      <c r="H92" s="272"/>
      <c r="I92" s="272"/>
      <c r="J92" s="272"/>
      <c r="K92" s="272"/>
      <c r="L92" s="272"/>
      <c r="M92" s="272"/>
      <c r="N92" s="272"/>
      <c r="O92" s="272"/>
      <c r="P92" s="272"/>
      <c r="Q92" s="272"/>
      <c r="R92" s="272"/>
      <c r="S92" s="272"/>
      <c r="T92" s="272"/>
    </row>
    <row r="93" spans="1:20">
      <c r="A93" s="290"/>
      <c r="B93" s="272"/>
      <c r="C93" s="272"/>
      <c r="D93" s="272"/>
      <c r="E93" s="272"/>
      <c r="F93" s="272"/>
      <c r="G93" s="272"/>
      <c r="H93" s="272"/>
      <c r="I93" s="272"/>
      <c r="J93" s="272"/>
      <c r="K93" s="272"/>
      <c r="L93" s="272"/>
      <c r="M93" s="272"/>
      <c r="N93" s="272"/>
      <c r="O93" s="272"/>
      <c r="P93" s="272"/>
      <c r="Q93" s="272"/>
      <c r="R93" s="272"/>
      <c r="S93" s="272"/>
      <c r="T93" s="272"/>
    </row>
    <row r="94" spans="1:20">
      <c r="A94" s="290"/>
      <c r="B94" s="272"/>
      <c r="C94" s="272"/>
      <c r="D94" s="272"/>
      <c r="E94" s="272"/>
      <c r="F94" s="272"/>
      <c r="G94" s="272"/>
      <c r="H94" s="272"/>
      <c r="I94" s="272"/>
      <c r="J94" s="272"/>
      <c r="K94" s="272"/>
      <c r="L94" s="272"/>
      <c r="M94" s="272"/>
      <c r="N94" s="272"/>
      <c r="O94" s="272"/>
      <c r="P94" s="272"/>
      <c r="Q94" s="272"/>
      <c r="R94" s="272"/>
      <c r="S94" s="272"/>
      <c r="T94" s="272"/>
    </row>
    <row r="95" spans="1:20">
      <c r="A95" s="290"/>
      <c r="B95" s="272"/>
      <c r="C95" s="272"/>
      <c r="D95" s="272"/>
      <c r="E95" s="272"/>
      <c r="F95" s="272"/>
      <c r="G95" s="272"/>
      <c r="H95" s="272"/>
      <c r="I95" s="272"/>
      <c r="J95" s="272"/>
      <c r="K95" s="272"/>
      <c r="L95" s="272"/>
      <c r="M95" s="272"/>
      <c r="N95" s="272"/>
      <c r="O95" s="272"/>
      <c r="P95" s="272"/>
      <c r="Q95" s="272"/>
      <c r="R95" s="272"/>
      <c r="S95" s="272"/>
      <c r="T95" s="272"/>
    </row>
    <row r="96" spans="1:20">
      <c r="A96" s="290"/>
      <c r="B96" s="272"/>
      <c r="C96" s="272"/>
      <c r="D96" s="272"/>
      <c r="E96" s="272"/>
      <c r="F96" s="272"/>
      <c r="G96" s="272"/>
      <c r="H96" s="272"/>
      <c r="I96" s="272"/>
      <c r="J96" s="272"/>
      <c r="K96" s="272"/>
      <c r="L96" s="272"/>
      <c r="M96" s="272"/>
      <c r="N96" s="272"/>
      <c r="O96" s="272"/>
      <c r="P96" s="272"/>
      <c r="Q96" s="272"/>
      <c r="R96" s="272"/>
      <c r="S96" s="272"/>
      <c r="T96" s="272"/>
    </row>
    <row r="97" spans="1:20">
      <c r="A97" s="290"/>
      <c r="B97" s="272"/>
      <c r="C97" s="272"/>
      <c r="D97" s="272"/>
      <c r="E97" s="272"/>
      <c r="F97" s="272"/>
      <c r="G97" s="272"/>
      <c r="H97" s="272"/>
      <c r="I97" s="272"/>
      <c r="J97" s="272"/>
      <c r="K97" s="272"/>
      <c r="L97" s="272"/>
      <c r="M97" s="272"/>
      <c r="N97" s="272"/>
      <c r="O97" s="272"/>
      <c r="P97" s="272"/>
      <c r="Q97" s="272"/>
      <c r="R97" s="272"/>
      <c r="S97" s="272"/>
      <c r="T97" s="272"/>
    </row>
    <row r="98" spans="1:20">
      <c r="A98" s="290"/>
      <c r="B98" s="272"/>
      <c r="C98" s="272"/>
      <c r="D98" s="272"/>
      <c r="E98" s="272"/>
      <c r="F98" s="272"/>
      <c r="G98" s="272"/>
      <c r="H98" s="272"/>
      <c r="I98" s="272"/>
      <c r="J98" s="272"/>
      <c r="K98" s="272"/>
      <c r="L98" s="272"/>
      <c r="M98" s="272"/>
      <c r="N98" s="272"/>
      <c r="O98" s="272"/>
      <c r="P98" s="272"/>
      <c r="Q98" s="272"/>
      <c r="R98" s="272"/>
      <c r="S98" s="272"/>
      <c r="T98" s="272"/>
    </row>
    <row r="99" spans="1:20">
      <c r="A99" s="290"/>
      <c r="B99" s="272"/>
      <c r="C99" s="272"/>
      <c r="D99" s="272"/>
      <c r="E99" s="272"/>
      <c r="F99" s="272"/>
      <c r="G99" s="272"/>
      <c r="H99" s="272"/>
      <c r="I99" s="272"/>
      <c r="J99" s="272"/>
      <c r="K99" s="272"/>
      <c r="L99" s="272"/>
      <c r="M99" s="272"/>
      <c r="N99" s="272"/>
      <c r="O99" s="272"/>
      <c r="P99" s="272"/>
      <c r="Q99" s="272"/>
      <c r="R99" s="272"/>
      <c r="S99" s="272"/>
      <c r="T99" s="272"/>
    </row>
    <row r="100" spans="1:20">
      <c r="A100" s="290"/>
      <c r="B100" s="272"/>
      <c r="C100" s="272"/>
      <c r="D100" s="272"/>
      <c r="E100" s="272"/>
      <c r="F100" s="272"/>
      <c r="G100" s="272"/>
      <c r="H100" s="272"/>
      <c r="I100" s="272"/>
      <c r="J100" s="272"/>
      <c r="K100" s="272"/>
      <c r="L100" s="272"/>
      <c r="M100" s="272"/>
      <c r="N100" s="272"/>
      <c r="O100" s="272"/>
      <c r="P100" s="272"/>
      <c r="Q100" s="272"/>
      <c r="R100" s="272"/>
      <c r="S100" s="272"/>
      <c r="T100" s="272"/>
    </row>
    <row r="101" spans="1:20">
      <c r="A101" s="290"/>
      <c r="B101" s="272"/>
      <c r="C101" s="272"/>
      <c r="D101" s="272"/>
      <c r="E101" s="272"/>
      <c r="F101" s="272"/>
      <c r="G101" s="272"/>
      <c r="H101" s="272"/>
      <c r="I101" s="272"/>
      <c r="J101" s="272"/>
      <c r="K101" s="272"/>
      <c r="L101" s="272"/>
      <c r="M101" s="272"/>
      <c r="N101" s="272"/>
      <c r="O101" s="272"/>
      <c r="P101" s="272"/>
      <c r="Q101" s="272"/>
      <c r="R101" s="272"/>
      <c r="S101" s="272"/>
      <c r="T101" s="272"/>
    </row>
    <row r="102" spans="1:20">
      <c r="A102" s="290"/>
      <c r="B102" s="272"/>
      <c r="C102" s="272"/>
      <c r="D102" s="272"/>
      <c r="E102" s="272"/>
      <c r="F102" s="272"/>
      <c r="G102" s="272"/>
      <c r="H102" s="272"/>
      <c r="I102" s="272"/>
      <c r="J102" s="272"/>
      <c r="K102" s="272"/>
      <c r="L102" s="272"/>
      <c r="M102" s="272"/>
      <c r="N102" s="272"/>
      <c r="O102" s="272"/>
      <c r="P102" s="272"/>
      <c r="Q102" s="272"/>
      <c r="R102" s="272"/>
      <c r="S102" s="272"/>
      <c r="T102" s="272"/>
    </row>
    <row r="103" spans="1:20">
      <c r="A103" s="290"/>
      <c r="B103" s="272"/>
      <c r="C103" s="272"/>
      <c r="D103" s="272"/>
      <c r="E103" s="272"/>
      <c r="F103" s="272"/>
      <c r="G103" s="272"/>
      <c r="H103" s="272"/>
      <c r="I103" s="272"/>
      <c r="J103" s="272"/>
      <c r="K103" s="272"/>
      <c r="L103" s="272"/>
      <c r="M103" s="272"/>
      <c r="N103" s="272"/>
      <c r="O103" s="272"/>
      <c r="P103" s="272"/>
      <c r="Q103" s="272"/>
      <c r="R103" s="272"/>
      <c r="S103" s="272"/>
      <c r="T103" s="272"/>
    </row>
    <row r="104" spans="1:20">
      <c r="A104" s="290"/>
      <c r="B104" s="272"/>
      <c r="C104" s="272"/>
      <c r="D104" s="272"/>
      <c r="E104" s="272"/>
      <c r="F104" s="272"/>
      <c r="G104" s="272"/>
      <c r="H104" s="272"/>
      <c r="I104" s="272"/>
      <c r="J104" s="272"/>
      <c r="K104" s="272"/>
      <c r="L104" s="272"/>
      <c r="M104" s="272"/>
      <c r="N104" s="272"/>
      <c r="O104" s="272"/>
      <c r="P104" s="272"/>
      <c r="Q104" s="272"/>
      <c r="R104" s="272"/>
      <c r="S104" s="272"/>
      <c r="T104" s="272"/>
    </row>
    <row r="105" spans="1:20">
      <c r="A105" s="290"/>
      <c r="B105" s="272"/>
      <c r="C105" s="272"/>
      <c r="D105" s="272"/>
      <c r="E105" s="272"/>
      <c r="F105" s="272"/>
      <c r="G105" s="272"/>
      <c r="H105" s="272"/>
      <c r="I105" s="272"/>
      <c r="J105" s="272"/>
      <c r="K105" s="272"/>
      <c r="L105" s="272"/>
      <c r="M105" s="272"/>
      <c r="N105" s="272"/>
      <c r="O105" s="272"/>
      <c r="P105" s="272"/>
      <c r="Q105" s="272"/>
      <c r="R105" s="272"/>
      <c r="S105" s="272"/>
      <c r="T105" s="272"/>
    </row>
    <row r="106" spans="1:20">
      <c r="A106" s="290"/>
      <c r="B106" s="272"/>
      <c r="C106" s="272"/>
      <c r="D106" s="272"/>
      <c r="E106" s="272"/>
      <c r="F106" s="272"/>
      <c r="G106" s="272"/>
      <c r="H106" s="272"/>
      <c r="I106" s="272"/>
      <c r="J106" s="272"/>
      <c r="K106" s="272"/>
      <c r="L106" s="272"/>
      <c r="M106" s="272"/>
      <c r="N106" s="272"/>
      <c r="O106" s="272"/>
      <c r="P106" s="272"/>
      <c r="Q106" s="272"/>
      <c r="R106" s="272"/>
      <c r="S106" s="272"/>
      <c r="T106" s="272"/>
    </row>
    <row r="107" spans="1:20">
      <c r="A107" s="290"/>
      <c r="B107" s="272"/>
      <c r="C107" s="272"/>
      <c r="D107" s="272"/>
      <c r="E107" s="272"/>
      <c r="F107" s="272"/>
      <c r="G107" s="272"/>
      <c r="H107" s="272"/>
      <c r="I107" s="272"/>
      <c r="J107" s="272"/>
      <c r="K107" s="272"/>
      <c r="L107" s="272"/>
      <c r="M107" s="272"/>
      <c r="N107" s="272"/>
      <c r="O107" s="272"/>
      <c r="P107" s="272"/>
      <c r="Q107" s="272"/>
      <c r="R107" s="272"/>
      <c r="S107" s="272"/>
      <c r="T107" s="272"/>
    </row>
    <row r="108" spans="1:20">
      <c r="A108" s="290"/>
      <c r="B108" s="272"/>
      <c r="C108" s="272"/>
      <c r="D108" s="272"/>
      <c r="E108" s="272"/>
      <c r="F108" s="272"/>
      <c r="G108" s="272"/>
      <c r="H108" s="272"/>
      <c r="I108" s="272"/>
      <c r="J108" s="272"/>
      <c r="K108" s="272"/>
      <c r="L108" s="272"/>
      <c r="M108" s="272"/>
      <c r="N108" s="272"/>
      <c r="O108" s="272"/>
      <c r="P108" s="272"/>
      <c r="Q108" s="272"/>
      <c r="R108" s="272"/>
      <c r="S108" s="272"/>
      <c r="T108" s="272"/>
    </row>
    <row r="109" spans="1:20">
      <c r="A109" s="290"/>
      <c r="B109" s="272"/>
      <c r="C109" s="272"/>
      <c r="D109" s="272"/>
      <c r="E109" s="272"/>
      <c r="F109" s="272"/>
      <c r="G109" s="272"/>
      <c r="H109" s="272"/>
      <c r="I109" s="272"/>
      <c r="J109" s="272"/>
      <c r="K109" s="272"/>
      <c r="L109" s="272"/>
      <c r="M109" s="272"/>
      <c r="N109" s="272"/>
      <c r="O109" s="272"/>
      <c r="P109" s="272"/>
      <c r="Q109" s="272"/>
      <c r="R109" s="272"/>
      <c r="S109" s="272"/>
      <c r="T109" s="272"/>
    </row>
    <row r="110" spans="1:20">
      <c r="A110" s="290"/>
      <c r="B110" s="272"/>
      <c r="C110" s="272"/>
      <c r="D110" s="272"/>
      <c r="E110" s="272"/>
      <c r="F110" s="272"/>
      <c r="G110" s="272"/>
      <c r="H110" s="272"/>
      <c r="I110" s="272"/>
      <c r="J110" s="272"/>
      <c r="K110" s="272"/>
      <c r="L110" s="272"/>
      <c r="M110" s="272"/>
      <c r="N110" s="272"/>
      <c r="O110" s="272"/>
      <c r="P110" s="272"/>
      <c r="Q110" s="272"/>
      <c r="R110" s="272"/>
      <c r="S110" s="272"/>
      <c r="T110" s="272"/>
    </row>
    <row r="111" spans="1:20">
      <c r="A111" s="290"/>
      <c r="B111" s="272"/>
      <c r="C111" s="272"/>
      <c r="D111" s="272"/>
      <c r="E111" s="272"/>
      <c r="F111" s="272"/>
      <c r="G111" s="272"/>
      <c r="H111" s="272"/>
      <c r="I111" s="272"/>
      <c r="J111" s="272"/>
      <c r="K111" s="272"/>
      <c r="L111" s="272"/>
      <c r="M111" s="272"/>
      <c r="N111" s="272"/>
      <c r="O111" s="272"/>
      <c r="P111" s="272"/>
      <c r="Q111" s="272"/>
      <c r="R111" s="272"/>
      <c r="S111" s="272"/>
      <c r="T111" s="272"/>
    </row>
    <row r="112" spans="1:20">
      <c r="A112" s="290"/>
      <c r="B112" s="272"/>
      <c r="C112" s="272"/>
      <c r="D112" s="272"/>
      <c r="E112" s="272"/>
      <c r="F112" s="272"/>
      <c r="G112" s="272"/>
      <c r="H112" s="272"/>
      <c r="I112" s="272"/>
      <c r="J112" s="272"/>
      <c r="K112" s="272"/>
      <c r="L112" s="272"/>
      <c r="M112" s="272"/>
      <c r="N112" s="272"/>
      <c r="O112" s="272"/>
      <c r="P112" s="272"/>
      <c r="Q112" s="272"/>
      <c r="R112" s="272"/>
      <c r="S112" s="272"/>
      <c r="T112" s="272"/>
    </row>
    <row r="113" spans="1:20">
      <c r="A113" s="290"/>
      <c r="B113" s="272"/>
      <c r="C113" s="272"/>
      <c r="D113" s="272"/>
      <c r="E113" s="272"/>
      <c r="F113" s="272"/>
      <c r="G113" s="272"/>
      <c r="H113" s="272"/>
      <c r="I113" s="272"/>
      <c r="J113" s="272"/>
      <c r="K113" s="272"/>
      <c r="L113" s="272"/>
      <c r="M113" s="272"/>
      <c r="N113" s="272"/>
      <c r="O113" s="272"/>
      <c r="P113" s="272"/>
      <c r="Q113" s="272"/>
      <c r="R113" s="272"/>
      <c r="S113" s="272"/>
      <c r="T113" s="272"/>
    </row>
    <row r="114" spans="1:20">
      <c r="A114" s="290"/>
      <c r="B114" s="272"/>
      <c r="C114" s="272"/>
      <c r="D114" s="272"/>
      <c r="E114" s="272"/>
      <c r="F114" s="272"/>
      <c r="G114" s="272"/>
      <c r="H114" s="272"/>
      <c r="I114" s="272"/>
      <c r="J114" s="272"/>
      <c r="K114" s="272"/>
      <c r="L114" s="272"/>
      <c r="M114" s="272"/>
      <c r="N114" s="272"/>
      <c r="O114" s="272"/>
      <c r="P114" s="272"/>
      <c r="Q114" s="272"/>
      <c r="R114" s="272"/>
      <c r="S114" s="272"/>
      <c r="T114" s="272"/>
    </row>
    <row r="115" spans="1:20">
      <c r="A115" s="290"/>
      <c r="B115" s="272"/>
      <c r="C115" s="272"/>
      <c r="D115" s="272"/>
      <c r="E115" s="272"/>
      <c r="F115" s="272"/>
      <c r="G115" s="272"/>
      <c r="H115" s="272"/>
      <c r="I115" s="272"/>
      <c r="J115" s="272"/>
      <c r="K115" s="272"/>
      <c r="L115" s="272"/>
      <c r="M115" s="272"/>
      <c r="N115" s="272"/>
      <c r="O115" s="272"/>
      <c r="P115" s="272"/>
      <c r="Q115" s="272"/>
      <c r="R115" s="272"/>
      <c r="S115" s="272"/>
      <c r="T115" s="272"/>
    </row>
    <row r="116" spans="1:20">
      <c r="A116" s="290"/>
      <c r="B116" s="272"/>
      <c r="C116" s="272"/>
      <c r="D116" s="272"/>
      <c r="E116" s="272"/>
      <c r="F116" s="272"/>
      <c r="G116" s="272"/>
      <c r="H116" s="272"/>
      <c r="I116" s="272"/>
      <c r="J116" s="272"/>
      <c r="K116" s="272"/>
      <c r="L116" s="272"/>
      <c r="M116" s="272"/>
      <c r="N116" s="272"/>
      <c r="O116" s="272"/>
      <c r="P116" s="272"/>
      <c r="Q116" s="272"/>
      <c r="R116" s="272"/>
      <c r="S116" s="272"/>
      <c r="T116" s="272"/>
    </row>
    <row r="117" spans="1:20">
      <c r="A117" s="290"/>
      <c r="B117" s="272"/>
      <c r="C117" s="272"/>
      <c r="D117" s="272"/>
      <c r="E117" s="272"/>
      <c r="F117" s="272"/>
      <c r="G117" s="272"/>
      <c r="H117" s="272"/>
      <c r="I117" s="272"/>
      <c r="J117" s="272"/>
      <c r="K117" s="272"/>
      <c r="L117" s="272"/>
      <c r="M117" s="272"/>
      <c r="N117" s="272"/>
      <c r="O117" s="272"/>
      <c r="P117" s="272"/>
      <c r="Q117" s="272"/>
      <c r="R117" s="272"/>
      <c r="S117" s="272"/>
      <c r="T117" s="272"/>
    </row>
    <row r="118" spans="1:20">
      <c r="A118" s="290"/>
      <c r="B118" s="272"/>
      <c r="C118" s="272"/>
      <c r="D118" s="272"/>
      <c r="E118" s="272"/>
      <c r="F118" s="272"/>
      <c r="G118" s="272"/>
      <c r="H118" s="272"/>
      <c r="I118" s="272"/>
      <c r="J118" s="272"/>
      <c r="K118" s="272"/>
      <c r="L118" s="272"/>
      <c r="M118" s="272"/>
      <c r="N118" s="272"/>
      <c r="O118" s="272"/>
      <c r="P118" s="272"/>
      <c r="Q118" s="272"/>
      <c r="R118" s="272"/>
      <c r="S118" s="272"/>
      <c r="T118" s="272"/>
    </row>
    <row r="119" spans="1:20">
      <c r="A119" s="290"/>
      <c r="B119" s="272"/>
      <c r="C119" s="272"/>
      <c r="D119" s="272"/>
      <c r="E119" s="272"/>
      <c r="F119" s="272"/>
      <c r="G119" s="272"/>
      <c r="H119" s="272"/>
      <c r="I119" s="272"/>
      <c r="J119" s="272"/>
      <c r="K119" s="272"/>
      <c r="L119" s="272"/>
      <c r="M119" s="272"/>
      <c r="N119" s="272"/>
      <c r="O119" s="272"/>
      <c r="P119" s="272"/>
      <c r="Q119" s="272"/>
      <c r="R119" s="272"/>
      <c r="S119" s="272"/>
      <c r="T119" s="272"/>
    </row>
    <row r="120" spans="1:20">
      <c r="A120" s="290"/>
      <c r="B120" s="272"/>
      <c r="C120" s="272"/>
      <c r="D120" s="272"/>
      <c r="E120" s="272"/>
      <c r="F120" s="272"/>
      <c r="G120" s="272"/>
      <c r="H120" s="272"/>
      <c r="I120" s="272"/>
      <c r="J120" s="272"/>
      <c r="K120" s="272"/>
      <c r="L120" s="272"/>
      <c r="M120" s="272"/>
      <c r="N120" s="272"/>
      <c r="O120" s="272"/>
      <c r="P120" s="272"/>
      <c r="Q120" s="272"/>
      <c r="R120" s="272"/>
      <c r="S120" s="272"/>
      <c r="T120" s="272"/>
    </row>
    <row r="121" spans="1:20">
      <c r="A121" s="290"/>
      <c r="B121" s="272"/>
      <c r="C121" s="272"/>
      <c r="D121" s="272"/>
      <c r="E121" s="272"/>
      <c r="F121" s="272"/>
      <c r="G121" s="272"/>
      <c r="H121" s="272"/>
      <c r="I121" s="272"/>
      <c r="J121" s="272"/>
      <c r="K121" s="272"/>
      <c r="L121" s="272"/>
      <c r="M121" s="272"/>
      <c r="N121" s="272"/>
      <c r="O121" s="272"/>
      <c r="P121" s="272"/>
      <c r="Q121" s="272"/>
      <c r="R121" s="272"/>
      <c r="S121" s="272"/>
      <c r="T121" s="272"/>
    </row>
    <row r="122" spans="1:20">
      <c r="A122" s="290"/>
      <c r="B122" s="272"/>
      <c r="C122" s="272"/>
      <c r="D122" s="272"/>
      <c r="E122" s="272"/>
      <c r="F122" s="272"/>
      <c r="G122" s="272"/>
      <c r="H122" s="272"/>
      <c r="I122" s="272"/>
      <c r="J122" s="272"/>
      <c r="K122" s="272"/>
      <c r="L122" s="272"/>
      <c r="M122" s="272"/>
      <c r="N122" s="272"/>
      <c r="O122" s="272"/>
      <c r="P122" s="272"/>
      <c r="Q122" s="272"/>
      <c r="R122" s="272"/>
      <c r="S122" s="272"/>
      <c r="T122" s="272"/>
    </row>
    <row r="123" spans="1:20">
      <c r="A123" s="290"/>
      <c r="B123" s="272"/>
      <c r="C123" s="272"/>
      <c r="D123" s="272"/>
      <c r="E123" s="272"/>
      <c r="F123" s="272"/>
      <c r="G123" s="272"/>
      <c r="H123" s="272"/>
      <c r="I123" s="272"/>
      <c r="J123" s="272"/>
      <c r="K123" s="272"/>
      <c r="L123" s="272"/>
      <c r="M123" s="272"/>
      <c r="N123" s="272"/>
      <c r="O123" s="272"/>
      <c r="P123" s="272"/>
      <c r="Q123" s="272"/>
      <c r="R123" s="272"/>
      <c r="S123" s="272"/>
      <c r="T123" s="272"/>
    </row>
    <row r="124" spans="1:20">
      <c r="A124" s="290"/>
      <c r="B124" s="272"/>
      <c r="C124" s="272"/>
      <c r="D124" s="272"/>
      <c r="E124" s="272"/>
      <c r="F124" s="272"/>
      <c r="G124" s="272"/>
      <c r="H124" s="272"/>
      <c r="I124" s="272"/>
      <c r="J124" s="272"/>
      <c r="K124" s="272"/>
      <c r="L124" s="272"/>
      <c r="M124" s="272"/>
      <c r="N124" s="272"/>
      <c r="O124" s="272"/>
      <c r="P124" s="272"/>
      <c r="Q124" s="272"/>
      <c r="R124" s="272"/>
      <c r="S124" s="272"/>
      <c r="T124" s="272"/>
    </row>
    <row r="125" spans="1:20">
      <c r="A125" s="290"/>
      <c r="B125" s="272"/>
      <c r="C125" s="272"/>
      <c r="D125" s="272"/>
      <c r="E125" s="272"/>
      <c r="F125" s="272"/>
      <c r="G125" s="272"/>
      <c r="H125" s="272"/>
      <c r="I125" s="272"/>
      <c r="J125" s="272"/>
      <c r="K125" s="272"/>
      <c r="L125" s="272"/>
      <c r="M125" s="272"/>
      <c r="N125" s="272"/>
      <c r="O125" s="272"/>
      <c r="P125" s="272"/>
      <c r="Q125" s="272"/>
      <c r="R125" s="272"/>
      <c r="S125" s="272"/>
      <c r="T125" s="272"/>
    </row>
    <row r="126" spans="1:20">
      <c r="A126" s="290"/>
      <c r="B126" s="272"/>
      <c r="C126" s="272"/>
      <c r="D126" s="272"/>
      <c r="E126" s="272"/>
      <c r="F126" s="272"/>
      <c r="G126" s="272"/>
      <c r="H126" s="272"/>
      <c r="I126" s="272"/>
      <c r="J126" s="272"/>
      <c r="K126" s="272"/>
      <c r="L126" s="272"/>
      <c r="M126" s="272"/>
      <c r="N126" s="272"/>
      <c r="O126" s="272"/>
      <c r="P126" s="272"/>
      <c r="Q126" s="272"/>
      <c r="R126" s="272"/>
      <c r="S126" s="272"/>
      <c r="T126" s="272"/>
    </row>
    <row r="127" spans="1:20">
      <c r="A127" s="290"/>
      <c r="B127" s="272"/>
      <c r="C127" s="272"/>
      <c r="D127" s="272"/>
      <c r="E127" s="272"/>
      <c r="F127" s="272"/>
      <c r="G127" s="272"/>
      <c r="H127" s="272"/>
      <c r="I127" s="272"/>
      <c r="J127" s="272"/>
      <c r="K127" s="272"/>
      <c r="L127" s="272"/>
      <c r="M127" s="272"/>
      <c r="N127" s="272"/>
      <c r="O127" s="272"/>
      <c r="P127" s="272"/>
      <c r="Q127" s="272"/>
      <c r="R127" s="272"/>
      <c r="S127" s="272"/>
      <c r="T127" s="272"/>
    </row>
    <row r="128" spans="1:20">
      <c r="A128" s="290"/>
      <c r="B128" s="272"/>
      <c r="C128" s="272"/>
      <c r="D128" s="272"/>
      <c r="E128" s="272"/>
      <c r="F128" s="272"/>
      <c r="G128" s="272"/>
      <c r="H128" s="272"/>
      <c r="I128" s="272"/>
      <c r="J128" s="272"/>
      <c r="K128" s="272"/>
      <c r="L128" s="272"/>
      <c r="M128" s="272"/>
      <c r="N128" s="272"/>
      <c r="O128" s="272"/>
      <c r="P128" s="272"/>
      <c r="Q128" s="272"/>
      <c r="R128" s="272"/>
      <c r="S128" s="272"/>
      <c r="T128" s="272"/>
    </row>
    <row r="129" spans="1:20">
      <c r="A129" s="290"/>
      <c r="B129" s="272"/>
      <c r="C129" s="272"/>
      <c r="D129" s="272"/>
      <c r="E129" s="272"/>
      <c r="F129" s="272"/>
      <c r="G129" s="272"/>
      <c r="H129" s="272"/>
      <c r="I129" s="272"/>
      <c r="J129" s="272"/>
      <c r="K129" s="272"/>
      <c r="L129" s="272"/>
      <c r="M129" s="272"/>
      <c r="N129" s="272"/>
      <c r="O129" s="272"/>
      <c r="P129" s="272"/>
      <c r="Q129" s="272"/>
      <c r="R129" s="272"/>
      <c r="S129" s="272"/>
      <c r="T129" s="272"/>
    </row>
    <row r="130" spans="1:20">
      <c r="A130" s="290"/>
      <c r="B130" s="272"/>
      <c r="C130" s="272"/>
      <c r="D130" s="272"/>
      <c r="E130" s="272"/>
      <c r="F130" s="272"/>
      <c r="G130" s="272"/>
      <c r="H130" s="272"/>
      <c r="I130" s="272"/>
      <c r="J130" s="272"/>
      <c r="K130" s="272"/>
      <c r="L130" s="272"/>
      <c r="M130" s="272"/>
      <c r="N130" s="272"/>
      <c r="O130" s="272"/>
      <c r="P130" s="272"/>
      <c r="Q130" s="272"/>
      <c r="R130" s="272"/>
      <c r="S130" s="272"/>
      <c r="T130" s="272"/>
    </row>
    <row r="131" spans="1:20">
      <c r="A131" s="290"/>
      <c r="B131" s="272"/>
      <c r="C131" s="272"/>
      <c r="D131" s="272"/>
      <c r="E131" s="272"/>
      <c r="F131" s="272"/>
      <c r="G131" s="272"/>
      <c r="H131" s="272"/>
      <c r="I131" s="272"/>
      <c r="J131" s="272"/>
      <c r="K131" s="272"/>
      <c r="L131" s="272"/>
      <c r="M131" s="272"/>
      <c r="N131" s="272"/>
      <c r="O131" s="272"/>
      <c r="P131" s="272"/>
      <c r="Q131" s="272"/>
      <c r="R131" s="272"/>
      <c r="S131" s="272"/>
      <c r="T131" s="272"/>
    </row>
    <row r="132" spans="1:20">
      <c r="A132" s="290"/>
      <c r="B132" s="272"/>
      <c r="C132" s="272"/>
      <c r="D132" s="272"/>
      <c r="E132" s="272"/>
      <c r="F132" s="272"/>
      <c r="G132" s="272"/>
      <c r="H132" s="272"/>
      <c r="I132" s="272"/>
      <c r="J132" s="272"/>
      <c r="K132" s="272"/>
      <c r="L132" s="272"/>
      <c r="M132" s="272"/>
      <c r="N132" s="272"/>
      <c r="O132" s="272"/>
      <c r="P132" s="272"/>
      <c r="Q132" s="272"/>
      <c r="R132" s="272"/>
      <c r="S132" s="272"/>
      <c r="T132" s="272"/>
    </row>
    <row r="133" spans="1:20">
      <c r="A133" s="290"/>
      <c r="B133" s="272"/>
      <c r="C133" s="272"/>
      <c r="D133" s="272"/>
      <c r="E133" s="272"/>
      <c r="F133" s="272"/>
      <c r="G133" s="272"/>
      <c r="H133" s="272"/>
      <c r="I133" s="272"/>
      <c r="J133" s="272"/>
      <c r="K133" s="272"/>
      <c r="L133" s="272"/>
      <c r="M133" s="272"/>
      <c r="N133" s="272"/>
      <c r="O133" s="272"/>
      <c r="P133" s="272"/>
      <c r="Q133" s="272"/>
      <c r="R133" s="272"/>
      <c r="S133" s="272"/>
      <c r="T133" s="272"/>
    </row>
    <row r="134" spans="1:20">
      <c r="A134" s="290"/>
      <c r="B134" s="272"/>
      <c r="C134" s="272"/>
      <c r="D134" s="272"/>
      <c r="E134" s="272"/>
      <c r="F134" s="272"/>
      <c r="G134" s="272"/>
      <c r="H134" s="272"/>
      <c r="I134" s="272"/>
      <c r="J134" s="272"/>
      <c r="K134" s="272"/>
      <c r="L134" s="272"/>
      <c r="M134" s="272"/>
      <c r="N134" s="272"/>
      <c r="O134" s="272"/>
      <c r="P134" s="272"/>
      <c r="Q134" s="272"/>
      <c r="R134" s="272"/>
      <c r="S134" s="272"/>
      <c r="T134" s="272"/>
    </row>
    <row r="135" spans="1:20">
      <c r="A135" s="290"/>
      <c r="B135" s="272"/>
      <c r="C135" s="272"/>
      <c r="D135" s="272"/>
      <c r="E135" s="272"/>
      <c r="F135" s="272"/>
      <c r="G135" s="272"/>
      <c r="H135" s="272"/>
      <c r="I135" s="272"/>
      <c r="J135" s="272"/>
      <c r="K135" s="272"/>
      <c r="L135" s="272"/>
      <c r="M135" s="272"/>
      <c r="N135" s="272"/>
      <c r="O135" s="272"/>
      <c r="P135" s="272"/>
      <c r="Q135" s="272"/>
      <c r="R135" s="272"/>
      <c r="S135" s="272"/>
      <c r="T135" s="272"/>
    </row>
    <row r="136" spans="1:20">
      <c r="A136" s="290"/>
      <c r="B136" s="272"/>
      <c r="C136" s="272"/>
      <c r="D136" s="272"/>
      <c r="E136" s="272"/>
      <c r="F136" s="272"/>
      <c r="G136" s="272"/>
      <c r="H136" s="272"/>
      <c r="I136" s="272"/>
      <c r="J136" s="272"/>
      <c r="K136" s="272"/>
      <c r="L136" s="272"/>
      <c r="M136" s="272"/>
      <c r="N136" s="272"/>
      <c r="O136" s="272"/>
      <c r="P136" s="272"/>
      <c r="Q136" s="272"/>
      <c r="R136" s="272"/>
      <c r="S136" s="272"/>
      <c r="T136" s="272"/>
    </row>
    <row r="137" spans="1:20">
      <c r="A137" s="290"/>
      <c r="B137" s="272"/>
      <c r="C137" s="272"/>
      <c r="D137" s="272"/>
      <c r="E137" s="272"/>
      <c r="F137" s="272"/>
      <c r="G137" s="272"/>
      <c r="H137" s="272"/>
      <c r="I137" s="272"/>
      <c r="J137" s="272"/>
      <c r="K137" s="272"/>
      <c r="L137" s="272"/>
      <c r="M137" s="272"/>
      <c r="N137" s="272"/>
      <c r="O137" s="272"/>
      <c r="P137" s="272"/>
      <c r="Q137" s="272"/>
      <c r="R137" s="272"/>
      <c r="S137" s="272"/>
      <c r="T137" s="272"/>
    </row>
    <row r="138" spans="1:20">
      <c r="A138" s="290"/>
      <c r="B138" s="272"/>
      <c r="C138" s="272"/>
      <c r="D138" s="272"/>
      <c r="E138" s="272"/>
      <c r="F138" s="272"/>
      <c r="G138" s="272"/>
      <c r="H138" s="272"/>
      <c r="I138" s="272"/>
      <c r="J138" s="272"/>
      <c r="K138" s="272"/>
      <c r="L138" s="272"/>
      <c r="M138" s="272"/>
      <c r="N138" s="272"/>
      <c r="O138" s="272"/>
      <c r="P138" s="272"/>
      <c r="Q138" s="272"/>
      <c r="R138" s="272"/>
      <c r="S138" s="272"/>
      <c r="T138" s="272"/>
    </row>
    <row r="139" spans="1:20">
      <c r="A139" s="290"/>
      <c r="B139" s="272"/>
      <c r="C139" s="272"/>
      <c r="D139" s="272"/>
      <c r="E139" s="272"/>
      <c r="F139" s="272"/>
      <c r="G139" s="272"/>
      <c r="H139" s="272"/>
      <c r="I139" s="272"/>
      <c r="J139" s="272"/>
      <c r="K139" s="272"/>
      <c r="L139" s="272"/>
      <c r="M139" s="272"/>
      <c r="N139" s="272"/>
      <c r="O139" s="272"/>
      <c r="P139" s="272"/>
      <c r="Q139" s="272"/>
      <c r="R139" s="272"/>
      <c r="S139" s="272"/>
      <c r="T139" s="272"/>
    </row>
    <row r="140" spans="1:20">
      <c r="A140" s="290"/>
      <c r="B140" s="272"/>
      <c r="C140" s="272"/>
      <c r="D140" s="272"/>
      <c r="E140" s="272"/>
      <c r="F140" s="272"/>
      <c r="G140" s="272"/>
      <c r="H140" s="272"/>
      <c r="I140" s="272"/>
      <c r="J140" s="272"/>
      <c r="K140" s="272"/>
      <c r="L140" s="272"/>
      <c r="M140" s="272"/>
      <c r="N140" s="272"/>
      <c r="O140" s="272"/>
      <c r="P140" s="272"/>
      <c r="Q140" s="272"/>
      <c r="R140" s="272"/>
      <c r="S140" s="272"/>
      <c r="T140" s="272"/>
    </row>
    <row r="141" spans="1:20">
      <c r="A141" s="290"/>
      <c r="B141" s="272"/>
      <c r="C141" s="272"/>
      <c r="D141" s="272"/>
      <c r="E141" s="272"/>
      <c r="F141" s="272"/>
      <c r="G141" s="272"/>
      <c r="H141" s="272"/>
      <c r="I141" s="272"/>
      <c r="J141" s="272"/>
      <c r="K141" s="272"/>
      <c r="L141" s="272"/>
      <c r="M141" s="272"/>
      <c r="N141" s="272"/>
      <c r="O141" s="272"/>
      <c r="P141" s="272"/>
      <c r="Q141" s="272"/>
      <c r="R141" s="272"/>
      <c r="S141" s="272"/>
      <c r="T141" s="272"/>
    </row>
    <row r="142" spans="1:20">
      <c r="A142" s="290"/>
      <c r="B142" s="272"/>
      <c r="C142" s="272"/>
      <c r="D142" s="272"/>
      <c r="E142" s="272"/>
      <c r="F142" s="272"/>
      <c r="G142" s="272"/>
      <c r="H142" s="272"/>
      <c r="I142" s="272"/>
      <c r="J142" s="272"/>
      <c r="K142" s="272"/>
      <c r="L142" s="272"/>
      <c r="M142" s="272"/>
      <c r="N142" s="272"/>
      <c r="O142" s="272"/>
      <c r="P142" s="272"/>
      <c r="Q142" s="272"/>
      <c r="R142" s="272"/>
      <c r="S142" s="272"/>
      <c r="T142" s="272"/>
    </row>
    <row r="143" spans="1:20">
      <c r="A143" s="290"/>
      <c r="B143" s="272"/>
      <c r="C143" s="272"/>
      <c r="D143" s="272"/>
      <c r="E143" s="272"/>
      <c r="F143" s="272"/>
      <c r="G143" s="272"/>
      <c r="H143" s="272"/>
      <c r="I143" s="272"/>
      <c r="J143" s="272"/>
      <c r="K143" s="272"/>
      <c r="L143" s="272"/>
      <c r="M143" s="272"/>
      <c r="N143" s="272"/>
      <c r="O143" s="272"/>
      <c r="P143" s="272"/>
      <c r="Q143" s="272"/>
      <c r="R143" s="272"/>
      <c r="S143" s="272"/>
      <c r="T143" s="272"/>
    </row>
    <row r="144" spans="1:20">
      <c r="A144" s="290"/>
      <c r="B144" s="272"/>
      <c r="C144" s="272"/>
      <c r="D144" s="272"/>
      <c r="E144" s="272"/>
      <c r="F144" s="272"/>
      <c r="G144" s="272"/>
      <c r="H144" s="272"/>
      <c r="I144" s="272"/>
      <c r="J144" s="272"/>
      <c r="K144" s="272"/>
      <c r="L144" s="272"/>
      <c r="M144" s="272"/>
      <c r="N144" s="272"/>
      <c r="O144" s="272"/>
      <c r="P144" s="272"/>
      <c r="Q144" s="272"/>
      <c r="R144" s="272"/>
      <c r="S144" s="272"/>
      <c r="T144" s="272"/>
    </row>
    <row r="145" spans="1:20">
      <c r="A145" s="290"/>
      <c r="B145" s="272"/>
      <c r="C145" s="272"/>
      <c r="D145" s="272"/>
      <c r="E145" s="272"/>
      <c r="F145" s="272"/>
      <c r="G145" s="272"/>
      <c r="H145" s="272"/>
      <c r="I145" s="272"/>
      <c r="J145" s="272"/>
      <c r="K145" s="272"/>
      <c r="L145" s="272"/>
      <c r="M145" s="272"/>
      <c r="N145" s="272"/>
      <c r="O145" s="272"/>
      <c r="P145" s="272"/>
      <c r="Q145" s="272"/>
      <c r="R145" s="272"/>
      <c r="S145" s="272"/>
      <c r="T145" s="272"/>
    </row>
    <row r="146" spans="1:20">
      <c r="A146" s="290"/>
      <c r="B146" s="272"/>
      <c r="C146" s="272"/>
      <c r="D146" s="272"/>
      <c r="E146" s="272"/>
      <c r="F146" s="272"/>
      <c r="G146" s="272"/>
      <c r="H146" s="272"/>
      <c r="I146" s="272"/>
      <c r="J146" s="272"/>
      <c r="K146" s="272"/>
      <c r="L146" s="272"/>
      <c r="M146" s="272"/>
      <c r="N146" s="272"/>
      <c r="O146" s="272"/>
      <c r="P146" s="272"/>
      <c r="Q146" s="272"/>
      <c r="R146" s="272"/>
      <c r="S146" s="272"/>
      <c r="T146" s="272"/>
    </row>
    <row r="147" spans="1:20">
      <c r="A147" s="290"/>
      <c r="B147" s="272"/>
      <c r="C147" s="272"/>
      <c r="D147" s="272"/>
      <c r="E147" s="272"/>
      <c r="F147" s="272"/>
      <c r="G147" s="272"/>
      <c r="H147" s="272"/>
      <c r="I147" s="272"/>
      <c r="J147" s="272"/>
      <c r="K147" s="272"/>
      <c r="L147" s="272"/>
      <c r="M147" s="272"/>
      <c r="N147" s="272"/>
      <c r="O147" s="272"/>
      <c r="P147" s="272"/>
      <c r="Q147" s="272"/>
      <c r="R147" s="272"/>
      <c r="S147" s="272"/>
      <c r="T147" s="272"/>
    </row>
    <row r="148" spans="1:20">
      <c r="A148" s="366"/>
      <c r="B148" s="272"/>
      <c r="C148" s="272"/>
      <c r="D148" s="272"/>
      <c r="E148" s="272"/>
      <c r="F148" s="272"/>
      <c r="G148" s="272"/>
      <c r="H148" s="272"/>
      <c r="I148" s="272"/>
      <c r="J148" s="272"/>
      <c r="K148" s="272"/>
      <c r="L148" s="272"/>
      <c r="M148" s="272"/>
      <c r="N148" s="272"/>
      <c r="O148" s="272"/>
      <c r="P148" s="272"/>
      <c r="Q148" s="272"/>
      <c r="R148" s="272"/>
      <c r="S148" s="272"/>
      <c r="T148" s="272"/>
    </row>
    <row r="149" spans="1:20">
      <c r="A149" s="366"/>
      <c r="B149" s="272"/>
      <c r="C149" s="272"/>
      <c r="D149" s="272"/>
      <c r="E149" s="272"/>
      <c r="F149" s="272"/>
      <c r="G149" s="272"/>
      <c r="H149" s="272"/>
      <c r="I149" s="272"/>
      <c r="J149" s="272"/>
      <c r="K149" s="272"/>
      <c r="L149" s="272"/>
      <c r="M149" s="272"/>
      <c r="N149" s="272"/>
      <c r="O149" s="272"/>
      <c r="P149" s="272"/>
      <c r="Q149" s="272"/>
      <c r="R149" s="272"/>
      <c r="S149" s="272"/>
      <c r="T149" s="272"/>
    </row>
    <row r="150" spans="1:20">
      <c r="A150" s="366"/>
      <c r="B150" s="272"/>
      <c r="C150" s="272"/>
      <c r="D150" s="272"/>
      <c r="E150" s="272"/>
      <c r="F150" s="272"/>
      <c r="G150" s="272"/>
      <c r="H150" s="272"/>
      <c r="I150" s="272"/>
      <c r="J150" s="272"/>
      <c r="K150" s="272"/>
      <c r="L150" s="272"/>
      <c r="M150" s="272"/>
      <c r="N150" s="272"/>
      <c r="O150" s="272"/>
      <c r="P150" s="272"/>
      <c r="Q150" s="272"/>
      <c r="R150" s="272"/>
      <c r="S150" s="272"/>
      <c r="T150" s="272"/>
    </row>
    <row r="151" spans="1:20">
      <c r="A151" s="366"/>
      <c r="B151" s="272"/>
      <c r="C151" s="272"/>
      <c r="D151" s="272"/>
      <c r="E151" s="272"/>
      <c r="F151" s="272"/>
      <c r="G151" s="272"/>
      <c r="H151" s="272"/>
      <c r="I151" s="272"/>
      <c r="J151" s="272"/>
      <c r="K151" s="272"/>
      <c r="L151" s="272"/>
      <c r="M151" s="272"/>
      <c r="N151" s="272"/>
      <c r="O151" s="272"/>
      <c r="P151" s="272"/>
      <c r="Q151" s="272"/>
      <c r="R151" s="272"/>
      <c r="S151" s="272"/>
      <c r="T151" s="272"/>
    </row>
    <row r="152" spans="1:20">
      <c r="A152" s="366"/>
      <c r="B152" s="272"/>
      <c r="C152" s="272"/>
      <c r="D152" s="272"/>
      <c r="E152" s="272"/>
      <c r="F152" s="272"/>
      <c r="G152" s="272"/>
      <c r="H152" s="272"/>
      <c r="I152" s="272"/>
      <c r="J152" s="272"/>
      <c r="K152" s="272"/>
      <c r="L152" s="272"/>
      <c r="M152" s="272"/>
      <c r="N152" s="272"/>
      <c r="O152" s="272"/>
      <c r="P152" s="272"/>
      <c r="Q152" s="272"/>
      <c r="R152" s="272"/>
      <c r="S152" s="272"/>
      <c r="T152" s="272"/>
    </row>
    <row r="153" spans="1:20">
      <c r="A153" s="366"/>
      <c r="B153" s="272"/>
      <c r="C153" s="272"/>
      <c r="D153" s="272"/>
      <c r="E153" s="272"/>
      <c r="F153" s="272"/>
      <c r="G153" s="272"/>
      <c r="H153" s="272"/>
      <c r="I153" s="272"/>
      <c r="J153" s="272"/>
      <c r="K153" s="272"/>
      <c r="L153" s="272"/>
      <c r="M153" s="272"/>
      <c r="N153" s="272"/>
      <c r="O153" s="272"/>
      <c r="P153" s="272"/>
      <c r="Q153" s="272"/>
      <c r="R153" s="272"/>
      <c r="S153" s="272"/>
      <c r="T153" s="272"/>
    </row>
    <row r="154" spans="1:20">
      <c r="A154" s="366"/>
      <c r="B154" s="272"/>
      <c r="C154" s="272"/>
      <c r="D154" s="272"/>
      <c r="E154" s="272"/>
      <c r="F154" s="272"/>
      <c r="G154" s="272"/>
      <c r="H154" s="272"/>
      <c r="I154" s="272"/>
      <c r="J154" s="272"/>
      <c r="K154" s="272"/>
      <c r="L154" s="272"/>
      <c r="M154" s="272"/>
      <c r="N154" s="272"/>
      <c r="O154" s="272"/>
      <c r="P154" s="272"/>
      <c r="Q154" s="272"/>
      <c r="R154" s="272"/>
      <c r="S154" s="272"/>
      <c r="T154" s="272"/>
    </row>
    <row r="155" spans="1:20">
      <c r="A155" s="366"/>
      <c r="B155" s="272"/>
      <c r="C155" s="272"/>
      <c r="D155" s="272"/>
      <c r="E155" s="272"/>
      <c r="F155" s="272"/>
      <c r="G155" s="272"/>
      <c r="H155" s="272"/>
      <c r="I155" s="272"/>
      <c r="J155" s="272"/>
      <c r="K155" s="272"/>
      <c r="L155" s="272"/>
      <c r="M155" s="272"/>
      <c r="N155" s="272"/>
      <c r="O155" s="272"/>
      <c r="P155" s="272"/>
      <c r="Q155" s="272"/>
      <c r="R155" s="272"/>
      <c r="S155" s="272"/>
      <c r="T155" s="272"/>
    </row>
    <row r="156" spans="1:20">
      <c r="A156" s="366"/>
      <c r="B156" s="272"/>
      <c r="C156" s="272"/>
      <c r="D156" s="272"/>
      <c r="E156" s="272"/>
      <c r="F156" s="272"/>
      <c r="G156" s="272"/>
      <c r="H156" s="272"/>
      <c r="I156" s="272"/>
      <c r="J156" s="272"/>
      <c r="K156" s="272"/>
      <c r="L156" s="272"/>
      <c r="M156" s="272"/>
      <c r="N156" s="272"/>
      <c r="O156" s="272"/>
      <c r="P156" s="272"/>
      <c r="Q156" s="272"/>
      <c r="R156" s="272"/>
      <c r="S156" s="272"/>
      <c r="T156" s="272"/>
    </row>
    <row r="157" spans="1:20">
      <c r="A157" s="366"/>
      <c r="B157" s="272"/>
      <c r="C157" s="272"/>
      <c r="D157" s="272"/>
      <c r="E157" s="272"/>
      <c r="F157" s="272"/>
      <c r="G157" s="272"/>
      <c r="H157" s="272"/>
      <c r="I157" s="272"/>
      <c r="J157" s="272"/>
      <c r="K157" s="272"/>
      <c r="L157" s="272"/>
      <c r="M157" s="272"/>
      <c r="N157" s="272"/>
      <c r="O157" s="272"/>
      <c r="P157" s="272"/>
      <c r="Q157" s="272"/>
      <c r="R157" s="272"/>
      <c r="S157" s="272"/>
      <c r="T157" s="272"/>
    </row>
    <row r="158" spans="1:20">
      <c r="A158" s="366"/>
      <c r="B158" s="272"/>
      <c r="C158" s="272"/>
      <c r="D158" s="272"/>
      <c r="E158" s="272"/>
      <c r="F158" s="272"/>
      <c r="G158" s="272"/>
      <c r="H158" s="272"/>
      <c r="I158" s="272"/>
      <c r="J158" s="272"/>
      <c r="K158" s="272"/>
      <c r="L158" s="272"/>
      <c r="M158" s="272"/>
      <c r="N158" s="272"/>
      <c r="O158" s="272"/>
      <c r="P158" s="272"/>
      <c r="Q158" s="272"/>
      <c r="R158" s="272"/>
      <c r="S158" s="272"/>
      <c r="T158" s="272"/>
    </row>
    <row r="159" spans="1:20">
      <c r="A159" s="366"/>
      <c r="B159" s="272"/>
      <c r="C159" s="272"/>
      <c r="D159" s="272"/>
      <c r="E159" s="272"/>
      <c r="F159" s="272"/>
      <c r="G159" s="272"/>
      <c r="H159" s="272"/>
      <c r="I159" s="272"/>
      <c r="J159" s="272"/>
      <c r="K159" s="272"/>
      <c r="L159" s="272"/>
      <c r="M159" s="272"/>
      <c r="N159" s="272"/>
      <c r="O159" s="272"/>
      <c r="P159" s="272"/>
      <c r="Q159" s="272"/>
      <c r="R159" s="272"/>
      <c r="S159" s="272"/>
      <c r="T159" s="272"/>
    </row>
    <row r="160" spans="1:20">
      <c r="A160" s="366"/>
      <c r="B160" s="272"/>
      <c r="C160" s="272"/>
      <c r="D160" s="272"/>
      <c r="E160" s="272"/>
      <c r="F160" s="272"/>
      <c r="G160" s="272"/>
      <c r="H160" s="272"/>
      <c r="I160" s="272"/>
      <c r="J160" s="272"/>
      <c r="K160" s="272"/>
      <c r="L160" s="272"/>
      <c r="M160" s="272"/>
      <c r="N160" s="272"/>
      <c r="O160" s="272"/>
      <c r="P160" s="272"/>
      <c r="Q160" s="272"/>
      <c r="R160" s="272"/>
      <c r="S160" s="272"/>
      <c r="T160" s="272"/>
    </row>
    <row r="161" spans="1:20">
      <c r="A161" s="366"/>
      <c r="B161" s="272"/>
      <c r="C161" s="272"/>
      <c r="D161" s="272"/>
      <c r="E161" s="272"/>
      <c r="F161" s="272"/>
      <c r="G161" s="272"/>
      <c r="H161" s="272"/>
      <c r="I161" s="272"/>
      <c r="J161" s="272"/>
      <c r="K161" s="272"/>
      <c r="L161" s="272"/>
      <c r="M161" s="272"/>
      <c r="N161" s="272"/>
      <c r="O161" s="272"/>
      <c r="P161" s="272"/>
      <c r="Q161" s="272"/>
      <c r="R161" s="272"/>
      <c r="S161" s="272"/>
      <c r="T161" s="272"/>
    </row>
    <row r="162" spans="1:20">
      <c r="A162" s="366"/>
      <c r="B162" s="272"/>
      <c r="C162" s="272"/>
      <c r="D162" s="272"/>
      <c r="E162" s="272"/>
      <c r="F162" s="272"/>
      <c r="G162" s="272"/>
      <c r="H162" s="272"/>
      <c r="I162" s="272"/>
      <c r="J162" s="272"/>
      <c r="K162" s="272"/>
      <c r="L162" s="272"/>
      <c r="M162" s="272"/>
      <c r="N162" s="272"/>
      <c r="O162" s="272"/>
      <c r="P162" s="272"/>
      <c r="Q162" s="272"/>
      <c r="R162" s="272"/>
      <c r="S162" s="272"/>
      <c r="T162" s="272"/>
    </row>
    <row r="163" spans="1:20">
      <c r="A163" s="366"/>
      <c r="B163" s="272"/>
      <c r="C163" s="272"/>
      <c r="D163" s="272"/>
      <c r="E163" s="272"/>
      <c r="F163" s="272"/>
      <c r="G163" s="272"/>
      <c r="H163" s="272"/>
      <c r="I163" s="272"/>
      <c r="J163" s="272"/>
      <c r="K163" s="272"/>
      <c r="L163" s="272"/>
      <c r="M163" s="272"/>
      <c r="N163" s="272"/>
      <c r="O163" s="272"/>
      <c r="P163" s="272"/>
      <c r="Q163" s="272"/>
      <c r="R163" s="272"/>
      <c r="S163" s="272"/>
      <c r="T163" s="272"/>
    </row>
    <row r="164" spans="1:20">
      <c r="A164" s="366"/>
      <c r="B164" s="272"/>
      <c r="C164" s="272"/>
      <c r="D164" s="272"/>
      <c r="E164" s="272"/>
      <c r="F164" s="272"/>
      <c r="G164" s="272"/>
      <c r="H164" s="272"/>
      <c r="I164" s="272"/>
      <c r="J164" s="272"/>
      <c r="K164" s="272"/>
      <c r="L164" s="272"/>
      <c r="M164" s="272"/>
      <c r="N164" s="272"/>
      <c r="O164" s="272"/>
      <c r="P164" s="272"/>
      <c r="Q164" s="272"/>
      <c r="R164" s="272"/>
      <c r="S164" s="272"/>
      <c r="T164" s="272"/>
    </row>
    <row r="165" spans="1:20">
      <c r="A165" s="366"/>
      <c r="B165" s="272"/>
      <c r="C165" s="272"/>
      <c r="D165" s="272"/>
      <c r="E165" s="272"/>
      <c r="F165" s="272"/>
      <c r="G165" s="272"/>
      <c r="H165" s="272"/>
      <c r="I165" s="272"/>
      <c r="J165" s="272"/>
      <c r="K165" s="272"/>
      <c r="L165" s="272"/>
      <c r="M165" s="272"/>
      <c r="N165" s="272"/>
      <c r="O165" s="272"/>
      <c r="P165" s="272"/>
      <c r="Q165" s="272"/>
      <c r="R165" s="272"/>
      <c r="S165" s="272"/>
      <c r="T165" s="272"/>
    </row>
    <row r="166" spans="1:20">
      <c r="A166" s="366"/>
      <c r="B166" s="272"/>
      <c r="C166" s="272"/>
      <c r="D166" s="272"/>
      <c r="E166" s="272"/>
      <c r="F166" s="272"/>
      <c r="G166" s="272"/>
      <c r="H166" s="272"/>
      <c r="I166" s="272"/>
      <c r="J166" s="272"/>
      <c r="K166" s="272"/>
      <c r="L166" s="272"/>
      <c r="M166" s="272"/>
      <c r="N166" s="272"/>
      <c r="O166" s="272"/>
      <c r="P166" s="272"/>
      <c r="Q166" s="272"/>
      <c r="R166" s="272"/>
      <c r="S166" s="272"/>
      <c r="T166" s="272"/>
    </row>
    <row r="167" spans="1:20">
      <c r="A167" s="366"/>
      <c r="B167" s="272"/>
      <c r="C167" s="272"/>
      <c r="D167" s="272"/>
      <c r="E167" s="272"/>
      <c r="F167" s="272"/>
      <c r="G167" s="272"/>
      <c r="H167" s="272"/>
      <c r="I167" s="272"/>
      <c r="J167" s="272"/>
      <c r="K167" s="272"/>
      <c r="L167" s="272"/>
      <c r="M167" s="272"/>
      <c r="N167" s="272"/>
      <c r="O167" s="272"/>
      <c r="P167" s="272"/>
      <c r="Q167" s="272"/>
      <c r="R167" s="272"/>
      <c r="S167" s="272"/>
      <c r="T167" s="272"/>
    </row>
    <row r="168" spans="1:20">
      <c r="A168" s="366"/>
      <c r="B168" s="272"/>
      <c r="C168" s="272"/>
      <c r="D168" s="272"/>
      <c r="E168" s="272"/>
      <c r="F168" s="272"/>
      <c r="G168" s="272"/>
      <c r="H168" s="272"/>
      <c r="I168" s="272"/>
      <c r="J168" s="272"/>
      <c r="K168" s="272"/>
      <c r="L168" s="272"/>
      <c r="M168" s="272"/>
      <c r="N168" s="272"/>
      <c r="O168" s="272"/>
      <c r="P168" s="272"/>
      <c r="Q168" s="272"/>
      <c r="R168" s="272"/>
      <c r="S168" s="272"/>
      <c r="T168" s="272"/>
    </row>
    <row r="169" spans="1:20">
      <c r="A169" s="366"/>
      <c r="B169" s="272"/>
      <c r="C169" s="272"/>
      <c r="D169" s="272"/>
      <c r="E169" s="272"/>
      <c r="F169" s="272"/>
      <c r="G169" s="272"/>
      <c r="H169" s="272"/>
      <c r="I169" s="272"/>
      <c r="J169" s="272"/>
      <c r="K169" s="272"/>
      <c r="L169" s="272"/>
      <c r="M169" s="272"/>
      <c r="N169" s="272"/>
      <c r="O169" s="272"/>
      <c r="P169" s="272"/>
      <c r="Q169" s="272"/>
      <c r="R169" s="272"/>
      <c r="S169" s="272"/>
      <c r="T169" s="272"/>
    </row>
    <row r="170" spans="1:20">
      <c r="A170" s="366"/>
      <c r="B170" s="272"/>
      <c r="C170" s="272"/>
      <c r="D170" s="272"/>
      <c r="E170" s="272"/>
      <c r="F170" s="272"/>
      <c r="G170" s="272"/>
      <c r="H170" s="272"/>
      <c r="I170" s="272"/>
      <c r="J170" s="272"/>
      <c r="K170" s="272"/>
      <c r="L170" s="272"/>
      <c r="M170" s="272"/>
      <c r="N170" s="272"/>
      <c r="O170" s="272"/>
      <c r="P170" s="272"/>
      <c r="Q170" s="272"/>
      <c r="R170" s="272"/>
      <c r="S170" s="272"/>
      <c r="T170" s="272"/>
    </row>
    <row r="171" spans="1:20">
      <c r="A171" s="366"/>
      <c r="B171" s="272"/>
      <c r="C171" s="272"/>
      <c r="D171" s="272"/>
      <c r="E171" s="272"/>
      <c r="F171" s="272"/>
      <c r="G171" s="272"/>
      <c r="H171" s="272"/>
      <c r="I171" s="272"/>
      <c r="J171" s="272"/>
      <c r="K171" s="272"/>
      <c r="L171" s="272"/>
      <c r="M171" s="272"/>
      <c r="N171" s="272"/>
      <c r="O171" s="272"/>
      <c r="P171" s="272"/>
      <c r="Q171" s="272"/>
      <c r="R171" s="272"/>
      <c r="S171" s="272"/>
      <c r="T171" s="272"/>
    </row>
    <row r="172" spans="1:20">
      <c r="A172" s="366"/>
      <c r="B172" s="272"/>
      <c r="C172" s="272"/>
      <c r="D172" s="272"/>
      <c r="E172" s="272"/>
      <c r="F172" s="272"/>
      <c r="G172" s="272"/>
      <c r="H172" s="272"/>
      <c r="I172" s="272"/>
      <c r="J172" s="272"/>
      <c r="K172" s="272"/>
      <c r="L172" s="272"/>
      <c r="M172" s="272"/>
      <c r="N172" s="272"/>
      <c r="O172" s="272"/>
      <c r="P172" s="272"/>
      <c r="Q172" s="272"/>
      <c r="R172" s="272"/>
      <c r="S172" s="272"/>
      <c r="T172" s="272"/>
    </row>
    <row r="173" spans="1:20">
      <c r="A173" s="366"/>
      <c r="B173" s="272"/>
      <c r="C173" s="272"/>
      <c r="D173" s="272"/>
      <c r="E173" s="272"/>
      <c r="F173" s="272"/>
      <c r="G173" s="272"/>
      <c r="H173" s="272"/>
      <c r="I173" s="272"/>
      <c r="J173" s="272"/>
      <c r="K173" s="272"/>
      <c r="L173" s="272"/>
      <c r="M173" s="272"/>
      <c r="N173" s="272"/>
      <c r="O173" s="272"/>
      <c r="P173" s="272"/>
      <c r="Q173" s="272"/>
      <c r="R173" s="272"/>
      <c r="S173" s="272"/>
      <c r="T173" s="272"/>
    </row>
    <row r="174" spans="1:20">
      <c r="A174" s="366"/>
      <c r="B174" s="272"/>
      <c r="C174" s="272"/>
      <c r="D174" s="272"/>
      <c r="E174" s="272"/>
      <c r="F174" s="272"/>
      <c r="G174" s="272"/>
      <c r="H174" s="272"/>
      <c r="I174" s="272"/>
      <c r="J174" s="272"/>
      <c r="K174" s="272"/>
      <c r="L174" s="272"/>
      <c r="M174" s="272"/>
      <c r="N174" s="272"/>
      <c r="O174" s="272"/>
      <c r="P174" s="272"/>
      <c r="Q174" s="272"/>
      <c r="R174" s="272"/>
      <c r="S174" s="272"/>
      <c r="T174" s="272"/>
    </row>
    <row r="175" spans="1:20">
      <c r="A175" s="366"/>
      <c r="B175" s="272"/>
      <c r="C175" s="272"/>
      <c r="D175" s="272"/>
      <c r="E175" s="272"/>
      <c r="F175" s="272"/>
      <c r="G175" s="272"/>
      <c r="H175" s="272"/>
      <c r="I175" s="272"/>
      <c r="J175" s="272"/>
      <c r="K175" s="272"/>
      <c r="L175" s="272"/>
      <c r="M175" s="272"/>
      <c r="N175" s="272"/>
      <c r="O175" s="272"/>
      <c r="P175" s="272"/>
      <c r="Q175" s="272"/>
      <c r="R175" s="272"/>
      <c r="S175" s="272"/>
      <c r="T175" s="272"/>
    </row>
    <row r="176" spans="1:20">
      <c r="A176" s="366"/>
      <c r="B176" s="272"/>
      <c r="C176" s="272"/>
      <c r="D176" s="272"/>
      <c r="E176" s="272"/>
      <c r="F176" s="272"/>
      <c r="G176" s="272"/>
      <c r="H176" s="272"/>
      <c r="I176" s="272"/>
      <c r="J176" s="272"/>
      <c r="K176" s="272"/>
      <c r="L176" s="272"/>
      <c r="M176" s="272"/>
      <c r="N176" s="272"/>
      <c r="O176" s="272"/>
      <c r="P176" s="272"/>
      <c r="Q176" s="272"/>
      <c r="R176" s="272"/>
      <c r="S176" s="272"/>
      <c r="T176" s="272"/>
    </row>
    <row r="177" spans="1:20">
      <c r="A177" s="366"/>
      <c r="B177" s="272"/>
      <c r="C177" s="272"/>
      <c r="D177" s="272"/>
      <c r="E177" s="272"/>
      <c r="F177" s="272"/>
      <c r="G177" s="272"/>
      <c r="H177" s="272"/>
      <c r="I177" s="272"/>
      <c r="J177" s="272"/>
      <c r="K177" s="272"/>
      <c r="L177" s="272"/>
      <c r="M177" s="272"/>
      <c r="N177" s="272"/>
      <c r="O177" s="272"/>
      <c r="P177" s="272"/>
      <c r="Q177" s="272"/>
      <c r="R177" s="272"/>
      <c r="S177" s="272"/>
      <c r="T177" s="272"/>
    </row>
    <row r="178" spans="1:20">
      <c r="A178" s="366"/>
      <c r="B178" s="272"/>
      <c r="C178" s="272"/>
      <c r="D178" s="272"/>
      <c r="E178" s="272"/>
      <c r="F178" s="272"/>
      <c r="G178" s="272"/>
      <c r="H178" s="272"/>
      <c r="I178" s="272"/>
      <c r="J178" s="272"/>
      <c r="K178" s="272"/>
      <c r="L178" s="272"/>
      <c r="M178" s="272"/>
      <c r="N178" s="272"/>
      <c r="O178" s="272"/>
      <c r="P178" s="272"/>
      <c r="Q178" s="272"/>
      <c r="R178" s="272"/>
      <c r="S178" s="272"/>
      <c r="T178" s="272"/>
    </row>
    <row r="179" spans="1:20">
      <c r="A179" s="366"/>
      <c r="B179" s="272"/>
      <c r="C179" s="272"/>
      <c r="D179" s="272"/>
      <c r="E179" s="272"/>
      <c r="F179" s="272"/>
      <c r="G179" s="272"/>
      <c r="H179" s="272"/>
      <c r="I179" s="272"/>
      <c r="J179" s="272"/>
      <c r="K179" s="272"/>
      <c r="L179" s="272"/>
      <c r="M179" s="272"/>
      <c r="N179" s="272"/>
      <c r="O179" s="272"/>
      <c r="P179" s="272"/>
      <c r="Q179" s="272"/>
      <c r="R179" s="272"/>
      <c r="S179" s="272"/>
      <c r="T179" s="272"/>
    </row>
    <row r="180" spans="1:20">
      <c r="A180" s="366"/>
      <c r="B180" s="272"/>
      <c r="C180" s="272"/>
      <c r="D180" s="272"/>
      <c r="E180" s="272"/>
      <c r="F180" s="272"/>
      <c r="G180" s="272"/>
      <c r="H180" s="272"/>
      <c r="I180" s="272"/>
      <c r="J180" s="272"/>
      <c r="K180" s="272"/>
      <c r="L180" s="272"/>
      <c r="M180" s="272"/>
      <c r="N180" s="272"/>
      <c r="O180" s="272"/>
      <c r="P180" s="272"/>
      <c r="Q180" s="272"/>
      <c r="R180" s="272"/>
      <c r="S180" s="272"/>
      <c r="T180" s="272"/>
    </row>
    <row r="181" spans="1:20">
      <c r="A181" s="366"/>
      <c r="B181" s="272"/>
      <c r="C181" s="272"/>
      <c r="D181" s="272"/>
      <c r="E181" s="272"/>
      <c r="F181" s="272"/>
      <c r="G181" s="272"/>
      <c r="H181" s="272"/>
      <c r="I181" s="272"/>
      <c r="J181" s="272"/>
      <c r="K181" s="272"/>
      <c r="L181" s="272"/>
      <c r="M181" s="272"/>
      <c r="N181" s="272"/>
      <c r="O181" s="272"/>
      <c r="P181" s="272"/>
      <c r="Q181" s="272"/>
      <c r="R181" s="272"/>
      <c r="S181" s="272"/>
      <c r="T181" s="272"/>
    </row>
    <row r="182" spans="1:20">
      <c r="A182" s="366"/>
      <c r="B182" s="272"/>
      <c r="C182" s="272"/>
      <c r="D182" s="272"/>
      <c r="E182" s="272"/>
      <c r="F182" s="272"/>
      <c r="G182" s="272"/>
      <c r="H182" s="272"/>
      <c r="I182" s="272"/>
      <c r="J182" s="272"/>
      <c r="K182" s="272"/>
      <c r="L182" s="272"/>
      <c r="M182" s="272"/>
      <c r="N182" s="272"/>
      <c r="O182" s="272"/>
      <c r="P182" s="272"/>
      <c r="Q182" s="272"/>
      <c r="R182" s="272"/>
      <c r="S182" s="272"/>
      <c r="T182" s="272"/>
    </row>
    <row r="183" spans="1:20">
      <c r="A183" s="366"/>
      <c r="B183" s="272"/>
      <c r="C183" s="272"/>
      <c r="D183" s="272"/>
      <c r="E183" s="272"/>
      <c r="F183" s="272"/>
      <c r="G183" s="272"/>
      <c r="H183" s="272"/>
      <c r="I183" s="272"/>
      <c r="J183" s="272"/>
      <c r="K183" s="272"/>
      <c r="L183" s="272"/>
      <c r="M183" s="272"/>
      <c r="N183" s="272"/>
      <c r="O183" s="272"/>
      <c r="P183" s="272"/>
      <c r="Q183" s="272"/>
      <c r="R183" s="272"/>
      <c r="S183" s="272"/>
      <c r="T183" s="272"/>
    </row>
    <row r="184" spans="1:20">
      <c r="A184" s="366"/>
      <c r="B184" s="272"/>
      <c r="C184" s="272"/>
      <c r="D184" s="272"/>
      <c r="E184" s="272"/>
      <c r="F184" s="272"/>
      <c r="G184" s="272"/>
      <c r="H184" s="272"/>
      <c r="I184" s="272"/>
      <c r="J184" s="272"/>
      <c r="K184" s="272"/>
      <c r="L184" s="272"/>
      <c r="M184" s="272"/>
      <c r="N184" s="272"/>
      <c r="O184" s="272"/>
      <c r="P184" s="272"/>
      <c r="Q184" s="272"/>
      <c r="R184" s="272"/>
      <c r="S184" s="272"/>
      <c r="T184" s="2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84"/>
  <sheetViews>
    <sheetView workbookViewId="0">
      <pane xSplit="1" ySplit="1" topLeftCell="B63" activePane="bottomRight" state="frozen"/>
      <selection pane="topRight" activeCell="B1" sqref="B1"/>
      <selection pane="bottomLeft" activeCell="A3" sqref="A3"/>
      <selection pane="bottomRight" activeCell="B181" sqref="B181:I184"/>
    </sheetView>
  </sheetViews>
  <sheetFormatPr defaultColWidth="9" defaultRowHeight="15.75"/>
  <cols>
    <col min="1" max="1" width="9.875" style="98" bestFit="1" customWidth="1"/>
    <col min="2" max="2" width="8.875" style="98" bestFit="1" customWidth="1"/>
    <col min="3" max="3" width="12.75" style="98" bestFit="1" customWidth="1"/>
    <col min="4" max="4" width="11.875" style="98" bestFit="1" customWidth="1"/>
    <col min="5" max="5" width="8.5" style="98" bestFit="1" customWidth="1"/>
    <col min="6" max="7" width="9" style="98"/>
    <col min="8" max="8" width="13.5" style="98" bestFit="1" customWidth="1"/>
    <col min="9" max="9" width="10.375" style="98" bestFit="1" customWidth="1"/>
    <col min="10" max="16384" width="9" style="98"/>
  </cols>
  <sheetData>
    <row r="1" spans="1:9" s="273" customFormat="1">
      <c r="A1" t="s">
        <v>499</v>
      </c>
      <c r="B1" t="s">
        <v>324</v>
      </c>
      <c r="C1" t="s">
        <v>458</v>
      </c>
      <c r="D1" t="s">
        <v>459</v>
      </c>
      <c r="E1" t="s">
        <v>500</v>
      </c>
      <c r="F1" t="s">
        <v>460</v>
      </c>
      <c r="G1" t="s">
        <v>461</v>
      </c>
      <c r="H1" t="s">
        <v>462</v>
      </c>
      <c r="I1" t="s">
        <v>501</v>
      </c>
    </row>
    <row r="2" spans="1:9">
      <c r="A2" s="290" t="str">
        <f>_xll.BDH(B$1,"PX_LAST","2023-05-05","","Dir=V","CDR=5D","Days=A","Dts=S")</f>
        <v>#N/A Review</v>
      </c>
      <c r="B2" s="272"/>
      <c r="C2" s="272" t="str">
        <f>_xll.BDH(C$1,"PX_LAST","2023-05-05","","Dir=V","CDR=5D","Days=A","Dts=H")</f>
        <v>#N/A Review</v>
      </c>
      <c r="D2" s="272" t="str">
        <f>_xll.BDH(D$1,"PX_LAST","2023-05-05","","Dir=V","CDR=5D","Days=A","Dts=H")</f>
        <v>#N/A Review</v>
      </c>
      <c r="E2" s="272" t="str">
        <f>_xll.BDH(E$1,"PX_LAST","2023-05-05","","Dir=V","CDR=5D","Days=A","Dts=H")</f>
        <v>#N/A Review</v>
      </c>
      <c r="F2" s="272" t="str">
        <f>_xll.BDH(F$1,"PX_LAST","2023-05-05","","Dir=V","CDR=5D","Days=A","Dts=H")</f>
        <v>#N/A Review</v>
      </c>
      <c r="G2" s="272" t="str">
        <f>_xll.BDH(G$1,"PX_LAST","2023-05-05","","Dir=V","CDR=5D","Days=A","Dts=H")</f>
        <v>#N/A Review</v>
      </c>
      <c r="H2" s="272" t="str">
        <f>_xll.BDH(H$1,"PX_LAST","2023-05-05","","Dir=V","CDR=5D","Days=A","Dts=H","cols=1;rows=183")</f>
        <v>#N/A Requesting Data...</v>
      </c>
      <c r="I2" s="272" t="str">
        <f>_xll.BDH(I$1,"PX_LAST","2023-05-05","","Dir=V","CDR=5D","Days=A","Dts=H")</f>
        <v>#N/A Review</v>
      </c>
    </row>
    <row r="3" spans="1:9">
      <c r="A3" s="290"/>
      <c r="B3" s="272"/>
      <c r="C3" s="272"/>
      <c r="D3" s="272"/>
      <c r="E3" s="272"/>
      <c r="F3" s="272"/>
      <c r="G3" s="272"/>
      <c r="H3" s="272">
        <v>390.80610000000001</v>
      </c>
      <c r="I3" s="272"/>
    </row>
    <row r="4" spans="1:9">
      <c r="A4" s="290"/>
      <c r="B4" s="272"/>
      <c r="C4" s="272"/>
      <c r="D4" s="272"/>
      <c r="E4" s="272"/>
      <c r="F4" s="272"/>
      <c r="G4" s="272"/>
      <c r="H4" s="272">
        <v>390.31790000000001</v>
      </c>
      <c r="I4" s="272"/>
    </row>
    <row r="5" spans="1:9">
      <c r="A5" s="290"/>
      <c r="B5" s="272"/>
      <c r="C5" s="272"/>
      <c r="D5" s="272"/>
      <c r="E5" s="272"/>
      <c r="F5" s="272"/>
      <c r="G5" s="272"/>
      <c r="H5" s="272">
        <v>391.44880000000001</v>
      </c>
      <c r="I5" s="272"/>
    </row>
    <row r="6" spans="1:9">
      <c r="A6" s="290"/>
      <c r="B6" s="272"/>
      <c r="C6" s="272"/>
      <c r="D6" s="272"/>
      <c r="E6" s="272"/>
      <c r="F6" s="272"/>
      <c r="G6" s="272"/>
      <c r="H6" s="272">
        <v>392.26080000000002</v>
      </c>
      <c r="I6" s="272"/>
    </row>
    <row r="7" spans="1:9">
      <c r="A7" s="290"/>
      <c r="B7" s="272"/>
      <c r="C7" s="272"/>
      <c r="D7" s="272"/>
      <c r="E7" s="272"/>
      <c r="F7" s="272"/>
      <c r="G7" s="272"/>
      <c r="H7" s="272">
        <v>391.2355</v>
      </c>
      <c r="I7" s="272"/>
    </row>
    <row r="8" spans="1:9">
      <c r="A8" s="290"/>
      <c r="B8" s="272"/>
      <c r="C8" s="272"/>
      <c r="D8" s="272"/>
      <c r="E8" s="272"/>
      <c r="F8" s="272"/>
      <c r="G8" s="272"/>
      <c r="H8" s="272">
        <v>389.73579999999998</v>
      </c>
      <c r="I8" s="272"/>
    </row>
    <row r="9" spans="1:9">
      <c r="A9" s="290"/>
      <c r="B9" s="272"/>
      <c r="C9" s="272"/>
      <c r="D9" s="272"/>
      <c r="E9" s="272"/>
      <c r="F9" s="272"/>
      <c r="G9" s="272"/>
      <c r="H9" s="272">
        <v>389.02910000000003</v>
      </c>
      <c r="I9" s="272"/>
    </row>
    <row r="10" spans="1:9">
      <c r="A10" s="290"/>
      <c r="B10" s="272"/>
      <c r="C10" s="272"/>
      <c r="D10" s="272"/>
      <c r="E10" s="272"/>
      <c r="F10" s="272"/>
      <c r="G10" s="272"/>
      <c r="H10" s="272">
        <v>388.12889999999999</v>
      </c>
      <c r="I10" s="272"/>
    </row>
    <row r="11" spans="1:9">
      <c r="A11" s="290"/>
      <c r="B11" s="272"/>
      <c r="C11" s="272"/>
      <c r="D11" s="272"/>
      <c r="E11" s="272"/>
      <c r="F11" s="272"/>
      <c r="G11" s="272"/>
      <c r="H11" s="272">
        <v>386.85419999999999</v>
      </c>
      <c r="I11" s="272"/>
    </row>
    <row r="12" spans="1:9">
      <c r="A12" s="290"/>
      <c r="B12" s="272"/>
      <c r="C12" s="272"/>
      <c r="D12" s="272"/>
      <c r="E12" s="272"/>
      <c r="F12" s="272"/>
      <c r="G12" s="272"/>
      <c r="H12" s="272">
        <v>386.82490000000001</v>
      </c>
      <c r="I12" s="272"/>
    </row>
    <row r="13" spans="1:9">
      <c r="A13" s="290"/>
      <c r="B13" s="272"/>
      <c r="C13" s="272"/>
      <c r="D13" s="272"/>
      <c r="E13" s="272"/>
      <c r="F13" s="272"/>
      <c r="G13" s="272"/>
      <c r="H13" s="272">
        <v>386.3621</v>
      </c>
      <c r="I13" s="272"/>
    </row>
    <row r="14" spans="1:9">
      <c r="A14" s="290"/>
      <c r="B14" s="272"/>
      <c r="C14" s="272"/>
      <c r="D14" s="272"/>
      <c r="E14" s="272"/>
      <c r="F14" s="272"/>
      <c r="G14" s="272"/>
      <c r="H14" s="272">
        <v>386.26119999999997</v>
      </c>
      <c r="I14" s="272"/>
    </row>
    <row r="15" spans="1:9">
      <c r="A15" s="290"/>
      <c r="B15" s="272"/>
      <c r="C15" s="272"/>
      <c r="D15" s="272"/>
      <c r="E15" s="272"/>
      <c r="F15" s="272"/>
      <c r="G15" s="272"/>
      <c r="H15" s="272">
        <v>385.87790000000001</v>
      </c>
      <c r="I15" s="272"/>
    </row>
    <row r="16" spans="1:9">
      <c r="A16" s="290"/>
      <c r="B16" s="272"/>
      <c r="C16" s="272"/>
      <c r="D16" s="272"/>
      <c r="E16" s="272"/>
      <c r="F16" s="272"/>
      <c r="G16" s="272"/>
      <c r="H16" s="272">
        <v>384.99990000000003</v>
      </c>
      <c r="I16" s="272"/>
    </row>
    <row r="17" spans="1:9">
      <c r="A17" s="290"/>
      <c r="B17" s="272"/>
      <c r="C17" s="272"/>
      <c r="D17" s="272"/>
      <c r="E17" s="272"/>
      <c r="F17" s="272"/>
      <c r="G17" s="272"/>
      <c r="H17" s="272">
        <v>384.8449</v>
      </c>
      <c r="I17" s="272"/>
    </row>
    <row r="18" spans="1:9">
      <c r="A18" s="290"/>
      <c r="B18" s="272"/>
      <c r="C18" s="272"/>
      <c r="D18" s="272"/>
      <c r="E18" s="272"/>
      <c r="F18" s="272"/>
      <c r="G18" s="272"/>
      <c r="H18" s="272">
        <v>384.9212</v>
      </c>
      <c r="I18" s="272"/>
    </row>
    <row r="19" spans="1:9">
      <c r="A19" s="290"/>
      <c r="B19" s="272"/>
      <c r="C19" s="272"/>
      <c r="D19" s="272"/>
      <c r="E19" s="272"/>
      <c r="F19" s="272"/>
      <c r="G19" s="272"/>
      <c r="H19" s="272">
        <v>387.2672</v>
      </c>
      <c r="I19" s="272"/>
    </row>
    <row r="20" spans="1:9">
      <c r="A20" s="290"/>
      <c r="B20" s="272"/>
      <c r="C20" s="272"/>
      <c r="D20" s="272"/>
      <c r="E20" s="272"/>
      <c r="F20" s="272"/>
      <c r="G20" s="272"/>
      <c r="H20" s="272">
        <v>387.47190000000001</v>
      </c>
      <c r="I20" s="272"/>
    </row>
    <row r="21" spans="1:9">
      <c r="A21" s="290"/>
      <c r="B21" s="272"/>
      <c r="C21" s="272"/>
      <c r="D21" s="272"/>
      <c r="E21" s="272"/>
      <c r="F21" s="272"/>
      <c r="G21" s="272"/>
      <c r="H21" s="272">
        <v>388.2636</v>
      </c>
      <c r="I21" s="272"/>
    </row>
    <row r="22" spans="1:9">
      <c r="A22" s="290"/>
      <c r="B22" s="272"/>
      <c r="C22" s="272"/>
      <c r="D22" s="272"/>
      <c r="E22" s="272"/>
      <c r="F22" s="272"/>
      <c r="G22" s="272"/>
      <c r="H22" s="272">
        <v>388.4504</v>
      </c>
      <c r="I22" s="272"/>
    </row>
    <row r="23" spans="1:9">
      <c r="A23" s="290"/>
      <c r="B23" s="272"/>
      <c r="C23" s="272"/>
      <c r="D23" s="272"/>
      <c r="E23" s="272"/>
      <c r="F23" s="272"/>
      <c r="G23" s="272"/>
      <c r="H23" s="272">
        <v>389.1687</v>
      </c>
      <c r="I23" s="272"/>
    </row>
    <row r="24" spans="1:9">
      <c r="A24" s="290"/>
      <c r="B24" s="272"/>
      <c r="C24" s="272"/>
      <c r="D24" s="272"/>
      <c r="E24" s="272"/>
      <c r="F24" s="272"/>
      <c r="G24" s="272"/>
      <c r="H24" s="272">
        <v>389.55959999999999</v>
      </c>
      <c r="I24" s="272"/>
    </row>
    <row r="25" spans="1:9">
      <c r="A25" s="290"/>
      <c r="B25" s="272"/>
      <c r="C25" s="272"/>
      <c r="D25" s="272"/>
      <c r="E25" s="272"/>
      <c r="F25" s="272"/>
      <c r="G25" s="272"/>
      <c r="H25" s="272">
        <v>389.20740000000001</v>
      </c>
      <c r="I25" s="272"/>
    </row>
    <row r="26" spans="1:9">
      <c r="A26" s="290"/>
      <c r="B26" s="272"/>
      <c r="C26" s="272"/>
      <c r="D26" s="272"/>
      <c r="E26" s="272"/>
      <c r="F26" s="272"/>
      <c r="G26" s="272"/>
      <c r="H26" s="272">
        <v>389.80959999999999</v>
      </c>
      <c r="I26" s="272"/>
    </row>
    <row r="27" spans="1:9">
      <c r="A27" s="290"/>
      <c r="B27" s="272"/>
      <c r="C27" s="272"/>
      <c r="D27" s="272"/>
      <c r="E27" s="272"/>
      <c r="F27" s="272"/>
      <c r="G27" s="272"/>
      <c r="H27" s="272">
        <v>389.91129999999998</v>
      </c>
      <c r="I27" s="272"/>
    </row>
    <row r="28" spans="1:9">
      <c r="A28" s="290"/>
      <c r="B28" s="272"/>
      <c r="C28" s="272"/>
      <c r="D28" s="272"/>
      <c r="E28" s="272"/>
      <c r="F28" s="272"/>
      <c r="G28" s="272"/>
      <c r="H28" s="272">
        <v>390.70260000000002</v>
      </c>
      <c r="I28" s="272"/>
    </row>
    <row r="29" spans="1:9">
      <c r="A29" s="290"/>
      <c r="B29" s="272"/>
      <c r="C29" s="272"/>
      <c r="D29" s="272"/>
      <c r="E29" s="272"/>
      <c r="F29" s="272"/>
      <c r="G29" s="272"/>
      <c r="H29" s="272">
        <v>390.89690000000002</v>
      </c>
      <c r="I29" s="272"/>
    </row>
    <row r="30" spans="1:9">
      <c r="A30" s="290"/>
      <c r="B30" s="272"/>
      <c r="C30" s="272"/>
      <c r="D30" s="272"/>
      <c r="E30" s="272"/>
      <c r="F30" s="272"/>
      <c r="G30" s="272"/>
      <c r="H30" s="272">
        <v>391.66480000000001</v>
      </c>
      <c r="I30" s="272"/>
    </row>
    <row r="31" spans="1:9">
      <c r="A31" s="290"/>
      <c r="B31" s="272"/>
      <c r="C31" s="272"/>
      <c r="D31" s="272"/>
      <c r="E31" s="272"/>
      <c r="F31" s="272"/>
      <c r="G31" s="272"/>
      <c r="H31" s="272">
        <v>392.75529999999998</v>
      </c>
      <c r="I31" s="272"/>
    </row>
    <row r="32" spans="1:9">
      <c r="A32" s="290"/>
      <c r="B32" s="272"/>
      <c r="C32" s="272"/>
      <c r="D32" s="272"/>
      <c r="E32" s="272"/>
      <c r="F32" s="272"/>
      <c r="G32" s="272"/>
      <c r="H32" s="272">
        <v>392.83640000000003</v>
      </c>
      <c r="I32" s="272"/>
    </row>
    <row r="33" spans="1:9">
      <c r="A33" s="290"/>
      <c r="B33" s="272"/>
      <c r="C33" s="272"/>
      <c r="D33" s="272"/>
      <c r="E33" s="272"/>
      <c r="F33" s="272"/>
      <c r="G33" s="272"/>
      <c r="H33" s="272">
        <v>392.81130000000002</v>
      </c>
      <c r="I33" s="272"/>
    </row>
    <row r="34" spans="1:9">
      <c r="A34" s="290"/>
      <c r="B34" s="272"/>
      <c r="C34" s="272"/>
      <c r="D34" s="272"/>
      <c r="E34" s="272"/>
      <c r="F34" s="272"/>
      <c r="G34" s="272"/>
      <c r="H34" s="272">
        <v>392.8947</v>
      </c>
      <c r="I34" s="272"/>
    </row>
    <row r="35" spans="1:9">
      <c r="A35" s="290"/>
      <c r="B35" s="272"/>
      <c r="C35" s="272"/>
      <c r="D35" s="272"/>
      <c r="E35" s="272"/>
      <c r="F35" s="272"/>
      <c r="G35" s="272"/>
      <c r="H35" s="272">
        <v>393.77100000000002</v>
      </c>
      <c r="I35" s="272"/>
    </row>
    <row r="36" spans="1:9">
      <c r="A36" s="290"/>
      <c r="B36" s="272"/>
      <c r="C36" s="272"/>
      <c r="D36" s="272"/>
      <c r="E36" s="272"/>
      <c r="F36" s="272"/>
      <c r="G36" s="272"/>
      <c r="H36" s="272">
        <v>393.56060000000002</v>
      </c>
      <c r="I36" s="272"/>
    </row>
    <row r="37" spans="1:9">
      <c r="A37" s="290"/>
      <c r="B37" s="272"/>
      <c r="C37" s="272"/>
      <c r="D37" s="272"/>
      <c r="E37" s="272"/>
      <c r="F37" s="272"/>
      <c r="G37" s="272"/>
      <c r="H37" s="272">
        <v>393.85930000000002</v>
      </c>
      <c r="I37" s="272"/>
    </row>
    <row r="38" spans="1:9">
      <c r="A38" s="290"/>
      <c r="B38" s="272"/>
      <c r="C38" s="272"/>
      <c r="D38" s="272"/>
      <c r="E38" s="272"/>
      <c r="F38" s="272"/>
      <c r="G38" s="272"/>
      <c r="H38" s="272">
        <v>394.815</v>
      </c>
      <c r="I38" s="272"/>
    </row>
    <row r="39" spans="1:9">
      <c r="A39" s="290"/>
      <c r="B39" s="272"/>
      <c r="C39" s="272"/>
      <c r="D39" s="272"/>
      <c r="E39" s="272"/>
      <c r="F39" s="272"/>
      <c r="G39" s="272"/>
      <c r="H39" s="272">
        <v>394.72570000000002</v>
      </c>
      <c r="I39" s="272"/>
    </row>
    <row r="40" spans="1:9">
      <c r="A40" s="290"/>
      <c r="B40" s="272"/>
      <c r="C40" s="272"/>
      <c r="D40" s="272"/>
      <c r="E40" s="272"/>
      <c r="F40" s="272"/>
      <c r="G40" s="272"/>
      <c r="H40" s="272">
        <v>394.99919999999997</v>
      </c>
      <c r="I40" s="272"/>
    </row>
    <row r="41" spans="1:9">
      <c r="A41" s="290"/>
      <c r="B41" s="272"/>
      <c r="C41" s="272"/>
      <c r="D41" s="272"/>
      <c r="E41" s="272"/>
      <c r="F41" s="272"/>
      <c r="G41" s="272"/>
      <c r="H41" s="272">
        <v>393.39240000000001</v>
      </c>
      <c r="I41" s="272"/>
    </row>
    <row r="42" spans="1:9">
      <c r="A42" s="290"/>
      <c r="B42" s="272"/>
      <c r="C42" s="272"/>
      <c r="D42" s="272"/>
      <c r="E42" s="272"/>
      <c r="F42" s="272"/>
      <c r="G42" s="272"/>
      <c r="H42" s="272">
        <v>394.23820000000001</v>
      </c>
      <c r="I42" s="272"/>
    </row>
    <row r="43" spans="1:9">
      <c r="A43" s="290"/>
      <c r="B43" s="272"/>
      <c r="C43" s="272"/>
      <c r="D43" s="272"/>
      <c r="E43" s="272"/>
      <c r="F43" s="272"/>
      <c r="G43" s="272"/>
      <c r="H43" s="272">
        <v>394.11290000000002</v>
      </c>
      <c r="I43" s="272"/>
    </row>
    <row r="44" spans="1:9">
      <c r="A44" s="290"/>
      <c r="B44" s="272"/>
      <c r="C44" s="272"/>
      <c r="D44" s="272"/>
      <c r="E44" s="272"/>
      <c r="F44" s="272"/>
      <c r="G44" s="272"/>
      <c r="H44" s="272">
        <v>394.11649999999997</v>
      </c>
      <c r="I44" s="272"/>
    </row>
    <row r="45" spans="1:9">
      <c r="A45" s="290"/>
      <c r="B45" s="272"/>
      <c r="C45" s="272"/>
      <c r="D45" s="272"/>
      <c r="E45" s="272"/>
      <c r="F45" s="272"/>
      <c r="G45" s="272"/>
      <c r="H45" s="272">
        <v>393.7398</v>
      </c>
      <c r="I45" s="272"/>
    </row>
    <row r="46" spans="1:9">
      <c r="A46" s="290"/>
      <c r="B46" s="272"/>
      <c r="C46" s="272"/>
      <c r="D46" s="272"/>
      <c r="E46" s="272"/>
      <c r="F46" s="272"/>
      <c r="G46" s="272"/>
      <c r="H46" s="272">
        <v>390.9436</v>
      </c>
      <c r="I46" s="272"/>
    </row>
    <row r="47" spans="1:9">
      <c r="A47" s="290"/>
      <c r="B47" s="272"/>
      <c r="C47" s="272"/>
      <c r="D47" s="272"/>
      <c r="E47" s="272"/>
      <c r="F47" s="272"/>
      <c r="G47" s="272"/>
      <c r="H47" s="272">
        <v>390.27140000000003</v>
      </c>
      <c r="I47" s="272"/>
    </row>
    <row r="48" spans="1:9">
      <c r="A48" s="290"/>
      <c r="B48" s="272"/>
      <c r="C48" s="272"/>
      <c r="D48" s="272"/>
      <c r="E48" s="272"/>
      <c r="F48" s="272"/>
      <c r="G48" s="272"/>
      <c r="H48" s="272">
        <v>390.935</v>
      </c>
      <c r="I48" s="272"/>
    </row>
    <row r="49" spans="1:9">
      <c r="A49" s="290"/>
      <c r="B49" s="272"/>
      <c r="C49" s="272"/>
      <c r="D49" s="272"/>
      <c r="E49" s="272"/>
      <c r="F49" s="272"/>
      <c r="G49" s="272"/>
      <c r="H49" s="272">
        <v>392.36090000000002</v>
      </c>
      <c r="I49" s="272"/>
    </row>
    <row r="50" spans="1:9">
      <c r="A50" s="290"/>
      <c r="B50" s="272"/>
      <c r="C50" s="272"/>
      <c r="D50" s="272"/>
      <c r="E50" s="272"/>
      <c r="F50" s="272"/>
      <c r="G50" s="272"/>
      <c r="H50" s="272">
        <v>395.36720000000003</v>
      </c>
      <c r="I50" s="272"/>
    </row>
    <row r="51" spans="1:9">
      <c r="A51" s="290"/>
      <c r="B51" s="272"/>
      <c r="C51" s="272"/>
      <c r="D51" s="272"/>
      <c r="E51" s="272"/>
      <c r="F51" s="272"/>
      <c r="G51" s="272"/>
      <c r="H51" s="272">
        <v>398.1354</v>
      </c>
      <c r="I51" s="272"/>
    </row>
    <row r="52" spans="1:9">
      <c r="A52" s="290"/>
      <c r="B52" s="272"/>
      <c r="C52" s="272"/>
      <c r="D52" s="272"/>
      <c r="E52" s="272"/>
      <c r="F52" s="272"/>
      <c r="G52" s="272"/>
      <c r="H52" s="272">
        <v>398.19229999999999</v>
      </c>
      <c r="I52" s="272"/>
    </row>
    <row r="53" spans="1:9">
      <c r="A53" s="290"/>
      <c r="B53" s="272"/>
      <c r="C53" s="272"/>
      <c r="D53" s="272"/>
      <c r="E53" s="272"/>
      <c r="F53" s="272"/>
      <c r="G53" s="272"/>
      <c r="H53" s="272">
        <v>398.59539999999998</v>
      </c>
      <c r="I53" s="272"/>
    </row>
    <row r="54" spans="1:9">
      <c r="A54" s="290"/>
      <c r="B54" s="272"/>
      <c r="C54" s="272"/>
      <c r="D54" s="272"/>
      <c r="E54" s="272"/>
      <c r="F54" s="272"/>
      <c r="G54" s="272"/>
      <c r="H54" s="272">
        <v>399.38830000000002</v>
      </c>
      <c r="I54" s="272"/>
    </row>
    <row r="55" spans="1:9">
      <c r="A55" s="290"/>
      <c r="B55" s="272"/>
      <c r="C55" s="272"/>
      <c r="D55" s="272"/>
      <c r="E55" s="272"/>
      <c r="F55" s="272"/>
      <c r="G55" s="272"/>
      <c r="H55" s="272">
        <v>399.71179999999998</v>
      </c>
      <c r="I55" s="272"/>
    </row>
    <row r="56" spans="1:9">
      <c r="A56" s="290"/>
      <c r="B56" s="272"/>
      <c r="C56" s="272"/>
      <c r="D56" s="272"/>
      <c r="E56" s="272"/>
      <c r="F56" s="272"/>
      <c r="G56" s="272"/>
      <c r="H56" s="272">
        <v>398.18299999999999</v>
      </c>
      <c r="I56" s="272"/>
    </row>
    <row r="57" spans="1:9">
      <c r="A57" s="290"/>
      <c r="B57" s="272"/>
      <c r="C57" s="272"/>
      <c r="D57" s="272"/>
      <c r="E57" s="272"/>
      <c r="F57" s="272"/>
      <c r="G57" s="272"/>
      <c r="H57" s="272">
        <v>398.18079999999998</v>
      </c>
      <c r="I57" s="272"/>
    </row>
    <row r="58" spans="1:9">
      <c r="A58" s="290"/>
      <c r="B58" s="272"/>
      <c r="C58" s="272"/>
      <c r="D58" s="272"/>
      <c r="E58" s="272"/>
      <c r="F58" s="272"/>
      <c r="G58" s="272"/>
      <c r="H58" s="272">
        <v>397.99279999999999</v>
      </c>
      <c r="I58" s="272"/>
    </row>
    <row r="59" spans="1:9">
      <c r="A59" s="290"/>
      <c r="B59" s="272"/>
      <c r="C59" s="272"/>
      <c r="D59" s="272"/>
      <c r="E59" s="272"/>
      <c r="F59" s="272"/>
      <c r="G59" s="272"/>
      <c r="H59" s="272">
        <v>397.7269</v>
      </c>
      <c r="I59" s="272"/>
    </row>
    <row r="60" spans="1:9">
      <c r="A60" s="290"/>
      <c r="B60" s="272"/>
      <c r="C60" s="272"/>
      <c r="D60" s="272"/>
      <c r="E60" s="272"/>
      <c r="F60" s="272"/>
      <c r="G60" s="272"/>
      <c r="H60" s="272">
        <v>398.22140000000002</v>
      </c>
      <c r="I60" s="272"/>
    </row>
    <row r="61" spans="1:9">
      <c r="A61" s="290"/>
      <c r="B61" s="272"/>
      <c r="C61" s="272"/>
      <c r="D61" s="272"/>
      <c r="E61" s="272"/>
      <c r="F61" s="272"/>
      <c r="G61" s="272"/>
      <c r="H61" s="272">
        <v>397.56529999999998</v>
      </c>
      <c r="I61" s="272"/>
    </row>
    <row r="62" spans="1:9">
      <c r="A62" s="290"/>
      <c r="B62" s="272"/>
      <c r="C62" s="272"/>
      <c r="D62" s="272"/>
      <c r="E62" s="272"/>
      <c r="F62" s="272"/>
      <c r="G62" s="272"/>
      <c r="H62" s="272">
        <v>398.70280000000002</v>
      </c>
      <c r="I62" s="272"/>
    </row>
    <row r="63" spans="1:9">
      <c r="A63" s="290"/>
      <c r="B63" s="272"/>
      <c r="C63" s="272"/>
      <c r="D63" s="272"/>
      <c r="E63" s="272"/>
      <c r="F63" s="272"/>
      <c r="G63" s="272"/>
      <c r="H63" s="272">
        <v>399.45479999999998</v>
      </c>
      <c r="I63" s="272"/>
    </row>
    <row r="64" spans="1:9">
      <c r="A64" s="290"/>
      <c r="B64" s="272"/>
      <c r="C64" s="272"/>
      <c r="D64" s="272"/>
      <c r="E64" s="272"/>
      <c r="F64" s="272"/>
      <c r="G64" s="272"/>
      <c r="H64" s="272">
        <v>397.59249999999997</v>
      </c>
      <c r="I64" s="272"/>
    </row>
    <row r="65" spans="1:9">
      <c r="A65" s="290"/>
      <c r="B65" s="272"/>
      <c r="C65" s="272"/>
      <c r="D65" s="272"/>
      <c r="E65" s="272"/>
      <c r="F65" s="272"/>
      <c r="G65" s="272"/>
      <c r="H65" s="272">
        <v>395.70150000000001</v>
      </c>
      <c r="I65" s="272"/>
    </row>
    <row r="66" spans="1:9">
      <c r="A66" s="290"/>
      <c r="B66" s="272"/>
      <c r="C66" s="272"/>
      <c r="D66" s="272"/>
      <c r="E66" s="272"/>
      <c r="F66" s="272"/>
      <c r="G66" s="272"/>
      <c r="H66" s="272">
        <v>393.83139999999997</v>
      </c>
      <c r="I66" s="272"/>
    </row>
    <row r="67" spans="1:9">
      <c r="A67" s="290"/>
      <c r="B67" s="272"/>
      <c r="C67" s="272"/>
      <c r="D67" s="272"/>
      <c r="E67" s="272"/>
      <c r="F67" s="272"/>
      <c r="G67" s="272"/>
      <c r="H67" s="272">
        <v>395.90440000000001</v>
      </c>
      <c r="I67" s="272"/>
    </row>
    <row r="68" spans="1:9">
      <c r="A68" s="290"/>
      <c r="B68" s="272"/>
      <c r="C68" s="272"/>
      <c r="D68" s="272"/>
      <c r="E68" s="272"/>
      <c r="F68" s="272"/>
      <c r="G68" s="272"/>
      <c r="H68" s="272">
        <v>395.57220000000001</v>
      </c>
      <c r="I68" s="272"/>
    </row>
    <row r="69" spans="1:9">
      <c r="A69" s="290"/>
      <c r="B69" s="272"/>
      <c r="C69" s="272"/>
      <c r="D69" s="272"/>
      <c r="E69" s="272"/>
      <c r="F69" s="272"/>
      <c r="G69" s="272"/>
      <c r="H69" s="272">
        <v>396.21420000000001</v>
      </c>
      <c r="I69" s="272"/>
    </row>
    <row r="70" spans="1:9">
      <c r="A70" s="290"/>
      <c r="B70" s="272"/>
      <c r="C70" s="272"/>
      <c r="D70" s="272"/>
      <c r="E70" s="272"/>
      <c r="F70" s="272"/>
      <c r="G70" s="272"/>
      <c r="H70" s="272">
        <v>396.84440000000001</v>
      </c>
      <c r="I70" s="272"/>
    </row>
    <row r="71" spans="1:9">
      <c r="A71" s="290"/>
      <c r="B71" s="272"/>
      <c r="C71" s="272"/>
      <c r="D71" s="272"/>
      <c r="E71" s="272"/>
      <c r="F71" s="272"/>
      <c r="G71" s="272"/>
      <c r="H71" s="272">
        <v>396.41230000000002</v>
      </c>
      <c r="I71" s="272"/>
    </row>
    <row r="72" spans="1:9">
      <c r="A72" s="290"/>
      <c r="B72" s="272"/>
      <c r="C72" s="272"/>
      <c r="D72" s="272"/>
      <c r="E72" s="272"/>
      <c r="F72" s="272"/>
      <c r="G72" s="272"/>
      <c r="H72" s="272">
        <v>395.62299999999999</v>
      </c>
      <c r="I72" s="272"/>
    </row>
    <row r="73" spans="1:9">
      <c r="A73" s="290"/>
      <c r="B73" s="272"/>
      <c r="C73" s="272"/>
      <c r="D73" s="272"/>
      <c r="E73" s="272"/>
      <c r="F73" s="272"/>
      <c r="G73" s="272"/>
      <c r="H73" s="272">
        <v>393.65260000000001</v>
      </c>
      <c r="I73" s="272"/>
    </row>
    <row r="74" spans="1:9">
      <c r="A74" s="290"/>
      <c r="B74" s="272"/>
      <c r="C74" s="272"/>
      <c r="D74" s="272"/>
      <c r="E74" s="272"/>
      <c r="F74" s="272"/>
      <c r="G74" s="272"/>
      <c r="H74" s="272">
        <v>391.78429999999997</v>
      </c>
      <c r="I74" s="272"/>
    </row>
    <row r="75" spans="1:9">
      <c r="A75" s="290"/>
      <c r="B75" s="272"/>
      <c r="C75" s="272"/>
      <c r="D75" s="272"/>
      <c r="E75" s="272"/>
      <c r="F75" s="272"/>
      <c r="G75" s="272"/>
      <c r="H75" s="272">
        <v>390.92309999999998</v>
      </c>
      <c r="I75" s="272"/>
    </row>
    <row r="76" spans="1:9">
      <c r="A76" s="290"/>
      <c r="B76" s="272"/>
      <c r="C76" s="272"/>
      <c r="D76" s="272"/>
      <c r="E76" s="272"/>
      <c r="F76" s="272"/>
      <c r="G76" s="272"/>
      <c r="H76" s="272">
        <v>389.90980000000002</v>
      </c>
      <c r="I76" s="272"/>
    </row>
    <row r="77" spans="1:9">
      <c r="A77" s="290"/>
      <c r="B77" s="272"/>
      <c r="C77" s="272"/>
      <c r="D77" s="272"/>
      <c r="E77" s="272"/>
      <c r="F77" s="272"/>
      <c r="G77" s="272"/>
      <c r="H77" s="272">
        <v>389.79059999999998</v>
      </c>
      <c r="I77" s="272"/>
    </row>
    <row r="78" spans="1:9">
      <c r="A78" s="290"/>
      <c r="B78" s="272"/>
      <c r="C78" s="272"/>
      <c r="D78" s="272"/>
      <c r="E78" s="272"/>
      <c r="F78" s="272"/>
      <c r="G78" s="272"/>
      <c r="H78" s="272">
        <v>388.34140000000002</v>
      </c>
      <c r="I78" s="272"/>
    </row>
    <row r="79" spans="1:9">
      <c r="A79" s="290"/>
      <c r="B79" s="272"/>
      <c r="C79" s="272"/>
      <c r="D79" s="272"/>
      <c r="E79" s="272"/>
      <c r="F79" s="272"/>
      <c r="G79" s="272"/>
      <c r="H79" s="272">
        <v>388.93529999999998</v>
      </c>
      <c r="I79" s="272"/>
    </row>
    <row r="80" spans="1:9">
      <c r="A80" s="290"/>
      <c r="B80" s="272"/>
      <c r="C80" s="272"/>
      <c r="D80" s="272"/>
      <c r="E80" s="272"/>
      <c r="F80" s="272"/>
      <c r="G80" s="272"/>
      <c r="H80" s="272">
        <v>391.55680000000001</v>
      </c>
      <c r="I80" s="272"/>
    </row>
    <row r="81" spans="1:9">
      <c r="A81" s="290"/>
      <c r="B81" s="272"/>
      <c r="C81" s="272"/>
      <c r="D81" s="272"/>
      <c r="E81" s="272"/>
      <c r="F81" s="272"/>
      <c r="G81" s="272"/>
      <c r="H81" s="272">
        <v>391.71159999999998</v>
      </c>
      <c r="I81" s="272"/>
    </row>
    <row r="82" spans="1:9">
      <c r="A82" s="290"/>
      <c r="B82" s="272"/>
      <c r="C82" s="272"/>
      <c r="D82" s="272"/>
      <c r="E82" s="272"/>
      <c r="F82" s="272"/>
      <c r="G82" s="272"/>
      <c r="H82" s="272">
        <v>391.23559999999998</v>
      </c>
      <c r="I82" s="272"/>
    </row>
    <row r="83" spans="1:9">
      <c r="A83" s="290"/>
      <c r="B83" s="272"/>
      <c r="C83" s="272"/>
      <c r="D83" s="272"/>
      <c r="E83" s="272"/>
      <c r="F83" s="272"/>
      <c r="G83" s="272"/>
      <c r="H83" s="272">
        <v>391.72480000000002</v>
      </c>
      <c r="I83" s="272"/>
    </row>
    <row r="84" spans="1:9">
      <c r="A84" s="290"/>
      <c r="B84" s="272"/>
      <c r="C84" s="272"/>
      <c r="D84" s="272"/>
      <c r="E84" s="272"/>
      <c r="F84" s="272"/>
      <c r="G84" s="272"/>
      <c r="H84" s="272">
        <v>393.51490000000001</v>
      </c>
      <c r="I84" s="272"/>
    </row>
    <row r="85" spans="1:9">
      <c r="A85" s="290"/>
      <c r="B85" s="272"/>
      <c r="C85" s="272"/>
      <c r="D85" s="272"/>
      <c r="E85" s="272"/>
      <c r="F85" s="272"/>
      <c r="G85" s="272"/>
      <c r="H85" s="272">
        <v>394.3759</v>
      </c>
      <c r="I85" s="272"/>
    </row>
    <row r="86" spans="1:9">
      <c r="A86" s="290"/>
      <c r="B86" s="272"/>
      <c r="C86" s="272"/>
      <c r="D86" s="272"/>
      <c r="E86" s="272"/>
      <c r="F86" s="272"/>
      <c r="G86" s="272"/>
      <c r="H86" s="272">
        <v>394.29649999999998</v>
      </c>
      <c r="I86" s="272"/>
    </row>
    <row r="87" spans="1:9">
      <c r="A87" s="290"/>
      <c r="B87" s="272"/>
      <c r="C87" s="272"/>
      <c r="D87" s="272"/>
      <c r="E87" s="272"/>
      <c r="F87" s="272"/>
      <c r="G87" s="272"/>
      <c r="H87" s="272">
        <v>393.47210000000001</v>
      </c>
      <c r="I87" s="272"/>
    </row>
    <row r="88" spans="1:9">
      <c r="A88" s="290"/>
      <c r="B88" s="272"/>
      <c r="C88" s="272"/>
      <c r="D88" s="272"/>
      <c r="E88" s="272"/>
      <c r="F88" s="272"/>
      <c r="G88" s="272"/>
      <c r="H88" s="272">
        <v>393.36320000000001</v>
      </c>
      <c r="I88" s="272"/>
    </row>
    <row r="89" spans="1:9">
      <c r="A89" s="290"/>
      <c r="B89" s="272"/>
      <c r="C89" s="272"/>
      <c r="D89" s="272"/>
      <c r="E89" s="272"/>
      <c r="F89" s="272"/>
      <c r="G89" s="272"/>
      <c r="H89" s="272">
        <v>391.8972</v>
      </c>
      <c r="I89" s="272"/>
    </row>
    <row r="90" spans="1:9">
      <c r="A90" s="290"/>
      <c r="B90" s="272"/>
      <c r="C90" s="272"/>
      <c r="D90" s="272"/>
      <c r="E90" s="272"/>
      <c r="F90" s="272"/>
      <c r="G90" s="272"/>
      <c r="H90" s="272">
        <v>390.78519999999997</v>
      </c>
      <c r="I90" s="272"/>
    </row>
    <row r="91" spans="1:9">
      <c r="A91" s="290"/>
      <c r="B91" s="272"/>
      <c r="C91" s="272"/>
      <c r="D91" s="272"/>
      <c r="E91" s="272"/>
      <c r="F91" s="272"/>
      <c r="G91" s="272"/>
      <c r="H91" s="272">
        <v>391.238</v>
      </c>
      <c r="I91" s="272"/>
    </row>
    <row r="92" spans="1:9">
      <c r="A92" s="290"/>
      <c r="B92" s="272"/>
      <c r="C92" s="272"/>
      <c r="D92" s="272"/>
      <c r="E92" s="272"/>
      <c r="F92" s="272"/>
      <c r="G92" s="272"/>
      <c r="H92" s="272">
        <v>391.79419999999999</v>
      </c>
      <c r="I92" s="272"/>
    </row>
    <row r="93" spans="1:9">
      <c r="A93" s="290"/>
      <c r="B93" s="272"/>
      <c r="C93" s="272"/>
      <c r="D93" s="272"/>
      <c r="E93" s="272"/>
      <c r="F93" s="272"/>
      <c r="G93" s="272"/>
      <c r="H93" s="272">
        <v>391.41079999999999</v>
      </c>
      <c r="I93" s="272"/>
    </row>
    <row r="94" spans="1:9">
      <c r="A94" s="290"/>
      <c r="B94" s="272"/>
      <c r="C94" s="272"/>
      <c r="D94" s="272"/>
      <c r="E94" s="272"/>
      <c r="F94" s="272"/>
      <c r="G94" s="272"/>
      <c r="H94" s="272">
        <v>391.27249999999998</v>
      </c>
      <c r="I94" s="272"/>
    </row>
    <row r="95" spans="1:9">
      <c r="A95" s="290"/>
      <c r="B95" s="272"/>
      <c r="C95" s="272"/>
      <c r="D95" s="272"/>
      <c r="E95" s="272"/>
      <c r="F95" s="272"/>
      <c r="G95" s="272"/>
      <c r="H95" s="272">
        <v>391.54309999999998</v>
      </c>
      <c r="I95" s="272"/>
    </row>
    <row r="96" spans="1:9">
      <c r="A96" s="290"/>
      <c r="B96" s="272"/>
      <c r="C96" s="272"/>
      <c r="D96" s="272"/>
      <c r="E96" s="272"/>
      <c r="F96" s="272"/>
      <c r="G96" s="272"/>
      <c r="H96" s="272">
        <v>391.5247</v>
      </c>
      <c r="I96" s="272"/>
    </row>
    <row r="97" spans="1:9">
      <c r="A97" s="290"/>
      <c r="B97" s="272"/>
      <c r="C97" s="272"/>
      <c r="D97" s="272"/>
      <c r="E97" s="272"/>
      <c r="F97" s="272"/>
      <c r="G97" s="272"/>
      <c r="H97" s="272">
        <v>391.03820000000002</v>
      </c>
      <c r="I97" s="272"/>
    </row>
    <row r="98" spans="1:9">
      <c r="A98" s="290"/>
      <c r="B98" s="272"/>
      <c r="C98" s="272"/>
      <c r="D98" s="272"/>
      <c r="E98" s="272"/>
      <c r="F98" s="272"/>
      <c r="G98" s="272"/>
      <c r="H98" s="272">
        <v>390.90989999999999</v>
      </c>
      <c r="I98" s="272"/>
    </row>
    <row r="99" spans="1:9">
      <c r="A99" s="290"/>
      <c r="B99" s="272"/>
      <c r="C99" s="272"/>
      <c r="D99" s="272"/>
      <c r="E99" s="272"/>
      <c r="F99" s="272"/>
      <c r="G99" s="272"/>
      <c r="H99" s="272">
        <v>390.63760000000002</v>
      </c>
      <c r="I99" s="272"/>
    </row>
    <row r="100" spans="1:9">
      <c r="A100" s="290"/>
      <c r="B100" s="272"/>
      <c r="C100" s="272"/>
      <c r="D100" s="272"/>
      <c r="E100" s="272"/>
      <c r="F100" s="272"/>
      <c r="G100" s="272"/>
      <c r="H100" s="272">
        <v>391.04090000000002</v>
      </c>
      <c r="I100" s="272"/>
    </row>
    <row r="101" spans="1:9">
      <c r="A101" s="290"/>
      <c r="B101" s="272"/>
      <c r="C101" s="272"/>
      <c r="D101" s="272"/>
      <c r="E101" s="272"/>
      <c r="F101" s="272"/>
      <c r="G101" s="272"/>
      <c r="H101" s="272">
        <v>388.31639999999999</v>
      </c>
      <c r="I101" s="272"/>
    </row>
    <row r="102" spans="1:9">
      <c r="A102" s="290"/>
      <c r="B102" s="272"/>
      <c r="C102" s="272"/>
      <c r="D102" s="272"/>
      <c r="E102" s="272"/>
      <c r="F102" s="272"/>
      <c r="G102" s="272"/>
      <c r="H102" s="272">
        <v>388.7115</v>
      </c>
      <c r="I102" s="272"/>
    </row>
    <row r="103" spans="1:9">
      <c r="A103" s="290"/>
      <c r="B103" s="272"/>
      <c r="C103" s="272"/>
      <c r="D103" s="272"/>
      <c r="E103" s="272"/>
      <c r="F103" s="272"/>
      <c r="G103" s="272"/>
      <c r="H103" s="272">
        <v>387.07220000000001</v>
      </c>
      <c r="I103" s="272"/>
    </row>
    <row r="104" spans="1:9">
      <c r="A104" s="290"/>
      <c r="B104" s="272"/>
      <c r="C104" s="272"/>
      <c r="D104" s="272"/>
      <c r="E104" s="272"/>
      <c r="F104" s="272"/>
      <c r="G104" s="272"/>
      <c r="H104" s="272">
        <v>386.30160000000001</v>
      </c>
      <c r="I104" s="272"/>
    </row>
    <row r="105" spans="1:9">
      <c r="A105" s="290"/>
      <c r="B105" s="272"/>
      <c r="C105" s="272"/>
      <c r="D105" s="272"/>
      <c r="E105" s="272"/>
      <c r="F105" s="272"/>
      <c r="G105" s="272"/>
      <c r="H105" s="272">
        <v>385.11970000000002</v>
      </c>
      <c r="I105" s="272"/>
    </row>
    <row r="106" spans="1:9">
      <c r="A106" s="290"/>
      <c r="B106" s="272"/>
      <c r="C106" s="272"/>
      <c r="D106" s="272"/>
      <c r="E106" s="272"/>
      <c r="F106" s="272"/>
      <c r="G106" s="272"/>
      <c r="H106" s="272">
        <v>384.18700000000001</v>
      </c>
      <c r="I106" s="272"/>
    </row>
    <row r="107" spans="1:9">
      <c r="A107" s="290"/>
      <c r="B107" s="272"/>
      <c r="C107" s="272"/>
      <c r="D107" s="272"/>
      <c r="E107" s="272"/>
      <c r="F107" s="272"/>
      <c r="G107" s="272"/>
      <c r="H107" s="272">
        <v>384.75799999999998</v>
      </c>
      <c r="I107" s="272"/>
    </row>
    <row r="108" spans="1:9">
      <c r="A108" s="290"/>
      <c r="B108" s="272"/>
      <c r="C108" s="272"/>
      <c r="D108" s="272"/>
      <c r="E108" s="272"/>
      <c r="F108" s="272"/>
      <c r="G108" s="272"/>
      <c r="H108" s="272">
        <v>382.4119</v>
      </c>
      <c r="I108" s="272"/>
    </row>
    <row r="109" spans="1:9">
      <c r="A109" s="290"/>
      <c r="B109" s="272"/>
      <c r="C109" s="272"/>
      <c r="D109" s="272"/>
      <c r="E109" s="272"/>
      <c r="F109" s="272"/>
      <c r="G109" s="272"/>
      <c r="H109" s="272">
        <v>379.52609999999999</v>
      </c>
      <c r="I109" s="272"/>
    </row>
    <row r="110" spans="1:9">
      <c r="A110" s="290"/>
      <c r="B110" s="272"/>
      <c r="C110" s="272"/>
      <c r="D110" s="272"/>
      <c r="E110" s="272"/>
      <c r="F110" s="272"/>
      <c r="G110" s="272"/>
      <c r="H110" s="272">
        <v>379.20600000000002</v>
      </c>
      <c r="I110" s="272"/>
    </row>
    <row r="111" spans="1:9">
      <c r="A111" s="290"/>
      <c r="B111" s="272"/>
      <c r="C111" s="272"/>
      <c r="D111" s="272"/>
      <c r="E111" s="272"/>
      <c r="F111" s="272"/>
      <c r="G111" s="272"/>
      <c r="H111" s="272">
        <v>379.47239999999999</v>
      </c>
      <c r="I111" s="272"/>
    </row>
    <row r="112" spans="1:9">
      <c r="A112" s="290"/>
      <c r="B112" s="272"/>
      <c r="C112" s="272"/>
      <c r="D112" s="272"/>
      <c r="E112" s="272"/>
      <c r="F112" s="272"/>
      <c r="G112" s="272"/>
      <c r="H112" s="272">
        <v>378.54329999999999</v>
      </c>
      <c r="I112" s="272"/>
    </row>
    <row r="113" spans="1:9">
      <c r="A113" s="290"/>
      <c r="B113" s="272"/>
      <c r="C113" s="272"/>
      <c r="D113" s="272"/>
      <c r="E113" s="272"/>
      <c r="F113" s="272"/>
      <c r="G113" s="272"/>
      <c r="H113" s="272">
        <v>378.59530000000001</v>
      </c>
      <c r="I113" s="272"/>
    </row>
    <row r="114" spans="1:9">
      <c r="A114" s="290"/>
      <c r="B114" s="272"/>
      <c r="C114" s="272"/>
      <c r="D114" s="272"/>
      <c r="E114" s="272"/>
      <c r="F114" s="272"/>
      <c r="G114" s="272"/>
      <c r="H114" s="272">
        <v>381.30110000000002</v>
      </c>
      <c r="I114" s="272"/>
    </row>
    <row r="115" spans="1:9">
      <c r="A115" s="290"/>
      <c r="B115" s="272"/>
      <c r="C115" s="272"/>
      <c r="D115" s="272"/>
      <c r="E115" s="272"/>
      <c r="F115" s="272"/>
      <c r="G115" s="272"/>
      <c r="H115" s="272">
        <v>383.25319999999999</v>
      </c>
      <c r="I115" s="272"/>
    </row>
    <row r="116" spans="1:9">
      <c r="A116" s="290"/>
      <c r="B116" s="272"/>
      <c r="C116" s="272"/>
      <c r="D116" s="272"/>
      <c r="E116" s="272"/>
      <c r="F116" s="272"/>
      <c r="G116" s="272"/>
      <c r="H116" s="272">
        <v>381.51659999999998</v>
      </c>
      <c r="I116" s="272"/>
    </row>
    <row r="117" spans="1:9">
      <c r="A117" s="290"/>
      <c r="B117" s="272"/>
      <c r="C117" s="272"/>
      <c r="D117" s="272"/>
      <c r="E117" s="272"/>
      <c r="F117" s="272"/>
      <c r="G117" s="272"/>
      <c r="H117" s="272">
        <v>381.62090000000001</v>
      </c>
      <c r="I117" s="272"/>
    </row>
    <row r="118" spans="1:9">
      <c r="A118" s="290"/>
      <c r="B118" s="272"/>
      <c r="C118" s="272"/>
      <c r="D118" s="272"/>
      <c r="E118" s="272"/>
      <c r="F118" s="272"/>
      <c r="G118" s="272"/>
      <c r="H118" s="272">
        <v>380.9624</v>
      </c>
      <c r="I118" s="272"/>
    </row>
    <row r="119" spans="1:9">
      <c r="A119" s="290"/>
      <c r="B119" s="272"/>
      <c r="C119" s="272"/>
      <c r="D119" s="272"/>
      <c r="E119" s="272"/>
      <c r="F119" s="272"/>
      <c r="G119" s="272"/>
      <c r="H119" s="272">
        <v>379.85750000000002</v>
      </c>
      <c r="I119" s="272"/>
    </row>
    <row r="120" spans="1:9">
      <c r="A120" s="290"/>
      <c r="B120" s="272"/>
      <c r="C120" s="272"/>
      <c r="D120" s="272"/>
      <c r="E120" s="272"/>
      <c r="F120" s="272"/>
      <c r="G120" s="272"/>
      <c r="H120" s="272">
        <v>378.39299999999997</v>
      </c>
      <c r="I120" s="272"/>
    </row>
    <row r="121" spans="1:9">
      <c r="A121" s="290"/>
      <c r="B121" s="272"/>
      <c r="C121" s="272"/>
      <c r="D121" s="272"/>
      <c r="E121" s="272"/>
      <c r="F121" s="272"/>
      <c r="G121" s="272"/>
      <c r="H121" s="272">
        <v>377.17070000000001</v>
      </c>
      <c r="I121" s="272"/>
    </row>
    <row r="122" spans="1:9">
      <c r="A122" s="290"/>
      <c r="B122" s="272"/>
      <c r="C122" s="272"/>
      <c r="D122" s="272"/>
      <c r="E122" s="272"/>
      <c r="F122" s="272"/>
      <c r="G122" s="272"/>
      <c r="H122" s="272">
        <v>377.68470000000002</v>
      </c>
      <c r="I122" s="272"/>
    </row>
    <row r="123" spans="1:9">
      <c r="A123" s="290"/>
      <c r="B123" s="272"/>
      <c r="C123" s="272"/>
      <c r="D123" s="272"/>
      <c r="E123" s="272"/>
      <c r="F123" s="272"/>
      <c r="G123" s="272"/>
      <c r="H123" s="272">
        <v>378.02730000000003</v>
      </c>
      <c r="I123" s="272"/>
    </row>
    <row r="124" spans="1:9">
      <c r="A124" s="290"/>
      <c r="B124" s="272"/>
      <c r="C124" s="272"/>
      <c r="D124" s="272"/>
      <c r="E124" s="272"/>
      <c r="F124" s="272"/>
      <c r="G124" s="272"/>
      <c r="H124" s="272">
        <v>379.68630000000002</v>
      </c>
      <c r="I124" s="272"/>
    </row>
    <row r="125" spans="1:9">
      <c r="A125" s="290"/>
      <c r="B125" s="272"/>
      <c r="C125" s="272"/>
      <c r="D125" s="272"/>
      <c r="E125" s="272"/>
      <c r="F125" s="272"/>
      <c r="G125" s="272"/>
      <c r="H125" s="272">
        <v>378.94909999999999</v>
      </c>
      <c r="I125" s="272"/>
    </row>
    <row r="126" spans="1:9">
      <c r="A126" s="290"/>
      <c r="B126" s="272"/>
      <c r="C126" s="272"/>
      <c r="D126" s="272"/>
      <c r="E126" s="272"/>
      <c r="F126" s="272"/>
      <c r="G126" s="272"/>
      <c r="H126" s="272">
        <v>379.06119999999999</v>
      </c>
      <c r="I126" s="272"/>
    </row>
    <row r="127" spans="1:9">
      <c r="A127" s="290"/>
      <c r="B127" s="272"/>
      <c r="C127" s="272"/>
      <c r="D127" s="272"/>
      <c r="E127" s="272"/>
      <c r="F127" s="272"/>
      <c r="G127" s="272"/>
      <c r="H127" s="272">
        <v>379.50009999999997</v>
      </c>
      <c r="I127" s="272"/>
    </row>
    <row r="128" spans="1:9">
      <c r="A128" s="290"/>
      <c r="B128" s="272"/>
      <c r="C128" s="272"/>
      <c r="D128" s="272"/>
      <c r="E128" s="272"/>
      <c r="F128" s="272"/>
      <c r="G128" s="272"/>
      <c r="H128" s="272">
        <v>379.73430000000002</v>
      </c>
      <c r="I128" s="272"/>
    </row>
    <row r="129" spans="1:9">
      <c r="A129" s="290"/>
      <c r="B129" s="272"/>
      <c r="C129" s="272"/>
      <c r="D129" s="272"/>
      <c r="E129" s="272"/>
      <c r="F129" s="272"/>
      <c r="G129" s="272"/>
      <c r="H129" s="272">
        <v>379.70850000000002</v>
      </c>
      <c r="I129" s="272"/>
    </row>
    <row r="130" spans="1:9">
      <c r="A130" s="290"/>
      <c r="B130" s="272"/>
      <c r="C130" s="272"/>
      <c r="D130" s="272"/>
      <c r="E130" s="272"/>
      <c r="F130" s="272"/>
      <c r="G130" s="272"/>
      <c r="H130" s="272">
        <v>381.16419999999999</v>
      </c>
      <c r="I130" s="272"/>
    </row>
    <row r="131" spans="1:9">
      <c r="A131" s="290"/>
      <c r="B131" s="272"/>
      <c r="C131" s="272"/>
      <c r="D131" s="272"/>
      <c r="E131" s="272"/>
      <c r="F131" s="272"/>
      <c r="G131" s="272"/>
      <c r="H131" s="272">
        <v>384.9434</v>
      </c>
      <c r="I131" s="272"/>
    </row>
    <row r="132" spans="1:9">
      <c r="A132" s="290"/>
      <c r="B132" s="272"/>
      <c r="C132" s="272"/>
      <c r="D132" s="272"/>
      <c r="E132" s="272"/>
      <c r="F132" s="272"/>
      <c r="G132" s="272"/>
      <c r="H132" s="272">
        <v>387.9683</v>
      </c>
      <c r="I132" s="272"/>
    </row>
    <row r="133" spans="1:9">
      <c r="A133" s="290"/>
      <c r="B133" s="272"/>
      <c r="C133" s="272"/>
      <c r="D133" s="272"/>
      <c r="E133" s="272"/>
      <c r="F133" s="272"/>
      <c r="G133" s="272"/>
      <c r="H133" s="272">
        <v>387.48950000000002</v>
      </c>
      <c r="I133" s="272"/>
    </row>
    <row r="134" spans="1:9">
      <c r="A134" s="290"/>
      <c r="B134" s="272"/>
      <c r="C134" s="272"/>
      <c r="D134" s="272"/>
      <c r="E134" s="272"/>
      <c r="F134" s="272"/>
      <c r="G134" s="272"/>
      <c r="H134" s="272">
        <v>387.77769999999998</v>
      </c>
      <c r="I134" s="272"/>
    </row>
    <row r="135" spans="1:9">
      <c r="A135" s="290"/>
      <c r="B135" s="272"/>
      <c r="C135" s="272"/>
      <c r="D135" s="272"/>
      <c r="E135" s="272"/>
      <c r="F135" s="272"/>
      <c r="G135" s="272"/>
      <c r="H135" s="272">
        <v>388.7878</v>
      </c>
      <c r="I135" s="272"/>
    </row>
    <row r="136" spans="1:9">
      <c r="A136" s="290"/>
      <c r="B136" s="272"/>
      <c r="C136" s="272"/>
      <c r="D136" s="272"/>
      <c r="E136" s="272"/>
      <c r="F136" s="272"/>
      <c r="G136" s="272"/>
      <c r="H136" s="272">
        <v>387.44240000000002</v>
      </c>
      <c r="I136" s="272"/>
    </row>
    <row r="137" spans="1:9">
      <c r="A137" s="290"/>
      <c r="B137" s="272"/>
      <c r="C137" s="272"/>
      <c r="D137" s="272"/>
      <c r="E137" s="272"/>
      <c r="F137" s="272"/>
      <c r="G137" s="272"/>
      <c r="H137" s="272">
        <v>386.98219999999998</v>
      </c>
      <c r="I137" s="272"/>
    </row>
    <row r="138" spans="1:9">
      <c r="A138" s="290"/>
      <c r="B138" s="272"/>
      <c r="C138" s="272"/>
      <c r="D138" s="272"/>
      <c r="E138" s="272"/>
      <c r="F138" s="272"/>
      <c r="G138" s="272"/>
      <c r="H138" s="272">
        <v>386.77069999999998</v>
      </c>
      <c r="I138" s="272"/>
    </row>
    <row r="139" spans="1:9">
      <c r="A139" s="290"/>
      <c r="B139" s="272"/>
      <c r="C139" s="272"/>
      <c r="D139" s="272"/>
      <c r="E139" s="272"/>
      <c r="F139" s="272"/>
      <c r="G139" s="272"/>
      <c r="H139" s="272">
        <v>390.43279999999999</v>
      </c>
      <c r="I139" s="272"/>
    </row>
    <row r="140" spans="1:9">
      <c r="A140" s="290"/>
      <c r="B140" s="272"/>
      <c r="C140" s="272"/>
      <c r="D140" s="272"/>
      <c r="E140" s="272"/>
      <c r="F140" s="272"/>
      <c r="G140" s="272"/>
      <c r="H140" s="272">
        <v>390.50330000000002</v>
      </c>
      <c r="I140" s="272"/>
    </row>
    <row r="141" spans="1:9">
      <c r="A141" s="290"/>
      <c r="B141" s="272"/>
      <c r="C141" s="272"/>
      <c r="D141" s="272"/>
      <c r="E141" s="272"/>
      <c r="F141" s="272"/>
      <c r="G141" s="272"/>
      <c r="H141" s="272">
        <v>391.84730000000002</v>
      </c>
      <c r="I141" s="272"/>
    </row>
    <row r="142" spans="1:9">
      <c r="A142" s="290"/>
      <c r="B142" s="272"/>
      <c r="C142" s="272"/>
      <c r="D142" s="272"/>
      <c r="E142" s="272"/>
      <c r="F142" s="272"/>
      <c r="G142" s="272"/>
      <c r="H142" s="272">
        <v>392.60289999999998</v>
      </c>
      <c r="I142" s="272"/>
    </row>
    <row r="143" spans="1:9">
      <c r="A143" s="290"/>
      <c r="B143" s="272"/>
      <c r="C143" s="272"/>
      <c r="D143" s="272"/>
      <c r="E143" s="272"/>
      <c r="F143" s="272"/>
      <c r="G143" s="272"/>
      <c r="H143" s="272">
        <v>394.01280000000003</v>
      </c>
      <c r="I143" s="272"/>
    </row>
    <row r="144" spans="1:9">
      <c r="A144" s="290"/>
      <c r="B144" s="272"/>
      <c r="C144" s="272"/>
      <c r="D144" s="272"/>
      <c r="E144" s="272"/>
      <c r="F144" s="272"/>
      <c r="G144" s="272"/>
      <c r="H144" s="272">
        <v>395.55950000000001</v>
      </c>
      <c r="I144" s="272"/>
    </row>
    <row r="145" spans="1:9">
      <c r="A145" s="290"/>
      <c r="B145" s="272"/>
      <c r="C145" s="272"/>
      <c r="D145" s="272"/>
      <c r="E145" s="272"/>
      <c r="F145" s="272"/>
      <c r="G145" s="272"/>
      <c r="H145" s="272">
        <v>395.98160000000001</v>
      </c>
      <c r="I145" s="272"/>
    </row>
    <row r="146" spans="1:9">
      <c r="A146" s="290"/>
      <c r="B146" s="272"/>
      <c r="C146" s="272"/>
      <c r="D146" s="272"/>
      <c r="E146" s="272"/>
      <c r="F146" s="272"/>
      <c r="G146" s="272"/>
      <c r="H146" s="272">
        <v>396.16079999999999</v>
      </c>
      <c r="I146" s="272"/>
    </row>
    <row r="147" spans="1:9">
      <c r="A147" s="290"/>
      <c r="B147" s="272"/>
      <c r="C147" s="272"/>
      <c r="D147" s="272"/>
      <c r="E147" s="272"/>
      <c r="F147" s="272"/>
      <c r="G147" s="272"/>
      <c r="H147" s="272">
        <v>396.36180000000002</v>
      </c>
      <c r="I147" s="272"/>
    </row>
    <row r="148" spans="1:9">
      <c r="A148" s="366"/>
      <c r="B148" s="272"/>
      <c r="C148" s="272"/>
      <c r="D148" s="272"/>
      <c r="E148" s="272"/>
      <c r="F148" s="272"/>
      <c r="G148" s="272"/>
      <c r="H148" s="272">
        <v>397.3646</v>
      </c>
      <c r="I148" s="272"/>
    </row>
    <row r="149" spans="1:9">
      <c r="A149" s="366"/>
      <c r="B149" s="272"/>
      <c r="C149" s="272"/>
      <c r="D149" s="272"/>
      <c r="E149" s="272"/>
      <c r="F149" s="272"/>
      <c r="G149" s="272"/>
      <c r="H149" s="272">
        <v>398.30680000000001</v>
      </c>
      <c r="I149" s="272"/>
    </row>
    <row r="150" spans="1:9">
      <c r="A150" s="366"/>
      <c r="B150" s="272"/>
      <c r="C150" s="272"/>
      <c r="D150" s="272"/>
      <c r="E150" s="272"/>
      <c r="F150" s="272"/>
      <c r="G150" s="272"/>
      <c r="H150" s="272">
        <v>400.74020000000002</v>
      </c>
      <c r="I150" s="272"/>
    </row>
    <row r="151" spans="1:9">
      <c r="A151" s="366"/>
      <c r="B151" s="272"/>
      <c r="C151" s="272"/>
      <c r="D151" s="272"/>
      <c r="E151" s="272"/>
      <c r="F151" s="272"/>
      <c r="G151" s="272"/>
      <c r="H151" s="272">
        <v>400.27620000000002</v>
      </c>
      <c r="I151" s="272"/>
    </row>
    <row r="152" spans="1:9">
      <c r="A152" s="366"/>
      <c r="B152" s="272"/>
      <c r="C152" s="272"/>
      <c r="D152" s="272"/>
      <c r="E152" s="272"/>
      <c r="F152" s="272"/>
      <c r="G152" s="272"/>
      <c r="H152" s="272">
        <v>401.4633</v>
      </c>
      <c r="I152" s="272"/>
    </row>
    <row r="153" spans="1:9">
      <c r="A153" s="366"/>
      <c r="B153" s="272"/>
      <c r="C153" s="272"/>
      <c r="D153" s="272"/>
      <c r="E153" s="272"/>
      <c r="F153" s="272"/>
      <c r="G153" s="272"/>
      <c r="H153" s="272">
        <v>401.79860000000002</v>
      </c>
      <c r="I153" s="272"/>
    </row>
    <row r="154" spans="1:9">
      <c r="A154" s="366"/>
      <c r="B154" s="272"/>
      <c r="C154" s="272"/>
      <c r="D154" s="272"/>
      <c r="E154" s="272"/>
      <c r="F154" s="272"/>
      <c r="G154" s="272"/>
      <c r="H154" s="272">
        <v>403.62150000000003</v>
      </c>
      <c r="I154" s="272"/>
    </row>
    <row r="155" spans="1:9">
      <c r="A155" s="366"/>
      <c r="B155" s="272"/>
      <c r="C155" s="272"/>
      <c r="D155" s="272"/>
      <c r="E155" s="272"/>
      <c r="F155" s="272"/>
      <c r="G155" s="272"/>
      <c r="H155" s="272">
        <v>405.23059999999998</v>
      </c>
      <c r="I155" s="272"/>
    </row>
    <row r="156" spans="1:9">
      <c r="A156" s="366"/>
      <c r="B156" s="272"/>
      <c r="C156" s="272"/>
      <c r="D156" s="272"/>
      <c r="E156" s="272"/>
      <c r="F156" s="272"/>
      <c r="G156" s="272"/>
      <c r="H156" s="272">
        <v>405.11189999999999</v>
      </c>
      <c r="I156" s="272"/>
    </row>
    <row r="157" spans="1:9">
      <c r="A157" s="366"/>
      <c r="B157" s="272"/>
      <c r="C157" s="272"/>
      <c r="D157" s="272"/>
      <c r="E157" s="272"/>
      <c r="F157" s="272"/>
      <c r="G157" s="272"/>
      <c r="H157" s="272">
        <v>404.24560000000002</v>
      </c>
      <c r="I157" s="272"/>
    </row>
    <row r="158" spans="1:9">
      <c r="A158" s="366"/>
      <c r="B158" s="272"/>
      <c r="C158" s="272"/>
      <c r="D158" s="272"/>
      <c r="E158" s="272"/>
      <c r="F158" s="272"/>
      <c r="G158" s="272"/>
      <c r="H158" s="272">
        <v>403.99200000000002</v>
      </c>
      <c r="I158" s="272"/>
    </row>
    <row r="159" spans="1:9">
      <c r="A159" s="366"/>
      <c r="B159" s="272"/>
      <c r="C159" s="272"/>
      <c r="D159" s="272"/>
      <c r="E159" s="272"/>
      <c r="F159" s="272"/>
      <c r="G159" s="272"/>
      <c r="H159" s="272">
        <v>404.66849999999999</v>
      </c>
      <c r="I159" s="272"/>
    </row>
    <row r="160" spans="1:9">
      <c r="A160" s="366"/>
      <c r="B160" s="272"/>
      <c r="C160" s="272"/>
      <c r="D160" s="272"/>
      <c r="E160" s="272"/>
      <c r="F160" s="272"/>
      <c r="G160" s="272"/>
      <c r="H160" s="272">
        <v>407.3689</v>
      </c>
      <c r="I160" s="272"/>
    </row>
    <row r="161" spans="1:9">
      <c r="A161" s="366"/>
      <c r="B161" s="272"/>
      <c r="C161" s="272"/>
      <c r="D161" s="272"/>
      <c r="E161" s="272"/>
      <c r="F161" s="272"/>
      <c r="G161" s="272"/>
      <c r="H161" s="272">
        <v>413.38440000000003</v>
      </c>
      <c r="I161" s="272"/>
    </row>
    <row r="162" spans="1:9">
      <c r="A162" s="366"/>
      <c r="B162" s="272"/>
      <c r="C162" s="272"/>
      <c r="D162" s="272"/>
      <c r="E162" s="272"/>
      <c r="F162" s="272"/>
      <c r="G162" s="272"/>
      <c r="H162" s="272">
        <v>413.5607</v>
      </c>
      <c r="I162" s="272"/>
    </row>
    <row r="163" spans="1:9">
      <c r="A163" s="366"/>
      <c r="B163" s="272"/>
      <c r="C163" s="272"/>
      <c r="D163" s="272"/>
      <c r="E163" s="272"/>
      <c r="F163" s="272"/>
      <c r="G163" s="272"/>
      <c r="H163" s="272">
        <v>413.65280000000001</v>
      </c>
      <c r="I163" s="272"/>
    </row>
    <row r="164" spans="1:9">
      <c r="A164" s="366"/>
      <c r="B164" s="272"/>
      <c r="C164" s="272"/>
      <c r="D164" s="272"/>
      <c r="E164" s="272"/>
      <c r="F164" s="272"/>
      <c r="G164" s="272"/>
      <c r="H164" s="272">
        <v>414.69009999999997</v>
      </c>
      <c r="I164" s="272"/>
    </row>
    <row r="165" spans="1:9">
      <c r="A165" s="366"/>
      <c r="B165" s="272"/>
      <c r="C165" s="272"/>
      <c r="D165" s="272"/>
      <c r="E165" s="272"/>
      <c r="F165" s="272"/>
      <c r="G165" s="272"/>
      <c r="H165" s="272">
        <v>415.60289999999998</v>
      </c>
      <c r="I165" s="272"/>
    </row>
    <row r="166" spans="1:9">
      <c r="A166" s="366"/>
      <c r="B166" s="272"/>
      <c r="C166" s="272"/>
      <c r="D166" s="272"/>
      <c r="E166" s="272"/>
      <c r="F166" s="272"/>
      <c r="G166" s="272"/>
      <c r="H166" s="272">
        <v>415.73660000000001</v>
      </c>
      <c r="I166" s="272"/>
    </row>
    <row r="167" spans="1:9">
      <c r="A167" s="366"/>
      <c r="B167" s="272"/>
      <c r="C167" s="272"/>
      <c r="D167" s="272"/>
      <c r="E167" s="272"/>
      <c r="F167" s="272"/>
      <c r="G167" s="272"/>
      <c r="H167" s="272">
        <v>415.80459999999999</v>
      </c>
      <c r="I167" s="272"/>
    </row>
    <row r="168" spans="1:9">
      <c r="A168" s="366"/>
      <c r="B168" s="272"/>
      <c r="C168" s="272"/>
      <c r="D168" s="272"/>
      <c r="E168" s="272"/>
      <c r="F168" s="272"/>
      <c r="G168" s="272"/>
      <c r="H168" s="272">
        <v>415.80459999999999</v>
      </c>
      <c r="I168" s="272"/>
    </row>
    <row r="169" spans="1:9">
      <c r="A169" s="366"/>
      <c r="B169" s="272"/>
      <c r="C169" s="272"/>
      <c r="D169" s="272"/>
      <c r="E169" s="272"/>
      <c r="F169" s="272"/>
      <c r="G169" s="272"/>
      <c r="H169" s="272">
        <v>416.04700000000003</v>
      </c>
      <c r="I169" s="272"/>
    </row>
    <row r="170" spans="1:9">
      <c r="A170" s="366"/>
      <c r="B170" s="272"/>
      <c r="C170" s="272"/>
      <c r="D170" s="272"/>
      <c r="E170" s="272"/>
      <c r="F170" s="272"/>
      <c r="G170" s="272"/>
      <c r="H170" s="272">
        <v>417.76679999999999</v>
      </c>
      <c r="I170" s="272"/>
    </row>
    <row r="171" spans="1:9">
      <c r="A171" s="366"/>
      <c r="B171" s="272"/>
      <c r="C171" s="272"/>
      <c r="D171" s="272"/>
      <c r="E171" s="272"/>
      <c r="F171" s="272"/>
      <c r="G171" s="272"/>
      <c r="H171" s="272">
        <v>417.62520000000001</v>
      </c>
      <c r="I171" s="272"/>
    </row>
    <row r="172" spans="1:9">
      <c r="A172" s="366"/>
      <c r="B172" s="272"/>
      <c r="C172" s="272"/>
      <c r="D172" s="272"/>
      <c r="E172" s="272"/>
      <c r="F172" s="272"/>
      <c r="G172" s="272"/>
      <c r="H172" s="272">
        <v>417.38080000000002</v>
      </c>
      <c r="I172" s="272"/>
    </row>
    <row r="173" spans="1:9">
      <c r="A173" s="366"/>
      <c r="B173" s="272"/>
      <c r="C173" s="272"/>
      <c r="D173" s="272"/>
      <c r="E173" s="272"/>
      <c r="F173" s="272"/>
      <c r="G173" s="272"/>
      <c r="H173" s="272">
        <v>417.38080000000002</v>
      </c>
      <c r="I173" s="272"/>
    </row>
    <row r="174" spans="1:9">
      <c r="A174" s="366"/>
      <c r="B174" s="272"/>
      <c r="C174" s="272"/>
      <c r="D174" s="272"/>
      <c r="E174" s="272"/>
      <c r="F174" s="272"/>
      <c r="G174" s="272"/>
      <c r="H174" s="272">
        <v>415.32089999999999</v>
      </c>
      <c r="I174" s="272"/>
    </row>
    <row r="175" spans="1:9">
      <c r="A175" s="366"/>
      <c r="B175" s="272"/>
      <c r="C175" s="272"/>
      <c r="D175" s="272"/>
      <c r="E175" s="272"/>
      <c r="F175" s="272"/>
      <c r="G175" s="272"/>
      <c r="H175" s="272">
        <v>413.34010000000001</v>
      </c>
      <c r="I175" s="272"/>
    </row>
    <row r="176" spans="1:9">
      <c r="A176" s="366"/>
      <c r="B176" s="272"/>
      <c r="C176" s="272"/>
      <c r="D176" s="272"/>
      <c r="E176" s="272"/>
      <c r="F176" s="272"/>
      <c r="G176" s="272"/>
      <c r="H176" s="272">
        <v>412.14240000000001</v>
      </c>
      <c r="I176" s="272"/>
    </row>
    <row r="177" spans="1:9">
      <c r="A177" s="366"/>
      <c r="B177" s="272"/>
      <c r="C177" s="272"/>
      <c r="D177" s="272"/>
      <c r="E177" s="272"/>
      <c r="F177" s="272"/>
      <c r="G177" s="272"/>
      <c r="H177" s="272">
        <v>411.39370000000002</v>
      </c>
      <c r="I177" s="272"/>
    </row>
    <row r="178" spans="1:9">
      <c r="A178" s="366"/>
      <c r="B178" s="272"/>
      <c r="C178" s="272"/>
      <c r="D178" s="272"/>
      <c r="E178" s="272"/>
      <c r="F178" s="272"/>
      <c r="G178" s="272"/>
      <c r="H178" s="272">
        <v>411.16969999999998</v>
      </c>
      <c r="I178" s="272"/>
    </row>
    <row r="179" spans="1:9">
      <c r="A179" s="366"/>
      <c r="B179" s="272"/>
      <c r="C179" s="272"/>
      <c r="D179" s="272"/>
      <c r="E179" s="272"/>
      <c r="F179" s="272"/>
      <c r="G179" s="272"/>
      <c r="H179" s="272">
        <v>410.44080000000002</v>
      </c>
      <c r="I179" s="272"/>
    </row>
    <row r="180" spans="1:9">
      <c r="A180" s="366"/>
      <c r="B180" s="272"/>
      <c r="C180" s="272"/>
      <c r="D180" s="272"/>
      <c r="E180" s="272"/>
      <c r="F180" s="272"/>
      <c r="G180" s="272"/>
      <c r="H180" s="272">
        <v>411.62900000000002</v>
      </c>
      <c r="I180" s="272"/>
    </row>
    <row r="181" spans="1:9">
      <c r="A181" s="366"/>
      <c r="B181" s="272"/>
      <c r="C181" s="272"/>
      <c r="D181" s="272"/>
      <c r="E181" s="272"/>
      <c r="F181" s="272"/>
      <c r="G181" s="272"/>
      <c r="H181" s="272">
        <v>413.0865</v>
      </c>
      <c r="I181" s="272"/>
    </row>
    <row r="182" spans="1:9">
      <c r="A182" s="366"/>
      <c r="B182" s="272"/>
      <c r="C182" s="272"/>
      <c r="D182" s="272"/>
      <c r="E182" s="272"/>
      <c r="F182" s="272"/>
      <c r="G182" s="272"/>
      <c r="H182" s="272">
        <v>414.41109999999998</v>
      </c>
      <c r="I182" s="272"/>
    </row>
    <row r="183" spans="1:9">
      <c r="A183" s="366"/>
      <c r="B183" s="272"/>
      <c r="C183" s="272"/>
      <c r="D183" s="272"/>
      <c r="E183" s="272"/>
      <c r="F183" s="272"/>
      <c r="G183" s="272"/>
      <c r="H183" s="272">
        <v>414.35120000000001</v>
      </c>
      <c r="I183" s="272"/>
    </row>
    <row r="184" spans="1:9">
      <c r="A184" s="366"/>
      <c r="B184" s="272"/>
      <c r="C184" s="272"/>
      <c r="D184" s="272"/>
      <c r="E184" s="272"/>
      <c r="F184" s="272"/>
      <c r="G184" s="272"/>
      <c r="H184" s="272">
        <v>414.35120000000001</v>
      </c>
      <c r="I184" s="27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50"/>
  <sheetViews>
    <sheetView showGridLines="0" zoomScale="80" zoomScaleNormal="80" workbookViewId="0">
      <pane xSplit="4" ySplit="1" topLeftCell="E2" activePane="bottomRight" state="frozen"/>
      <selection sqref="A1:XFD1048576"/>
      <selection pane="topRight" sqref="A1:XFD1048576"/>
      <selection pane="bottomLeft" sqref="A1:XFD1048576"/>
      <selection pane="bottomRight" activeCell="B6" sqref="B6"/>
    </sheetView>
  </sheetViews>
  <sheetFormatPr defaultRowHeight="15.75"/>
  <cols>
    <col min="1" max="1" width="19.625" bestFit="1" customWidth="1"/>
    <col min="2" max="2" width="32.125"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6"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36" customFormat="1" ht="45">
      <c r="A1" s="231" t="s">
        <v>0</v>
      </c>
      <c r="B1" s="231" t="s">
        <v>3</v>
      </c>
      <c r="C1" s="232" t="s">
        <v>295</v>
      </c>
      <c r="D1" s="232" t="s">
        <v>296</v>
      </c>
      <c r="E1" s="232" t="s">
        <v>297</v>
      </c>
      <c r="F1" s="232" t="s">
        <v>298</v>
      </c>
      <c r="G1" s="232" t="s">
        <v>535</v>
      </c>
      <c r="H1" s="233" t="s">
        <v>287</v>
      </c>
      <c r="I1" s="232" t="s">
        <v>284</v>
      </c>
      <c r="J1" s="231" t="s">
        <v>127</v>
      </c>
      <c r="K1" s="231" t="s">
        <v>5</v>
      </c>
      <c r="L1" s="231" t="s">
        <v>102</v>
      </c>
      <c r="M1" s="232" t="s">
        <v>11</v>
      </c>
      <c r="N1" s="232" t="s">
        <v>120</v>
      </c>
      <c r="O1" s="232" t="s">
        <v>294</v>
      </c>
      <c r="P1" s="232" t="s">
        <v>209</v>
      </c>
      <c r="Q1" s="232" t="s">
        <v>208</v>
      </c>
      <c r="R1" s="233" t="s">
        <v>207</v>
      </c>
      <c r="S1" s="233" t="s">
        <v>210</v>
      </c>
      <c r="T1" s="233" t="s">
        <v>211</v>
      </c>
      <c r="U1" s="233" t="s">
        <v>217</v>
      </c>
      <c r="V1" s="233" t="s">
        <v>218</v>
      </c>
      <c r="W1" s="231" t="s">
        <v>130</v>
      </c>
      <c r="X1" s="234" t="s">
        <v>35</v>
      </c>
      <c r="Y1" s="232" t="s">
        <v>128</v>
      </c>
      <c r="Z1" s="232" t="s">
        <v>216</v>
      </c>
      <c r="AA1" s="232" t="s">
        <v>215</v>
      </c>
      <c r="AB1" s="232" t="s">
        <v>94</v>
      </c>
      <c r="AC1" s="232" t="s">
        <v>205</v>
      </c>
      <c r="AD1" s="232" t="s">
        <v>32</v>
      </c>
      <c r="AE1" s="232" t="s">
        <v>225</v>
      </c>
      <c r="AF1" s="235" t="s">
        <v>344</v>
      </c>
      <c r="AG1" s="231" t="s">
        <v>285</v>
      </c>
      <c r="AH1" s="231" t="s">
        <v>286</v>
      </c>
      <c r="AI1" s="231" t="s">
        <v>345</v>
      </c>
      <c r="AJ1" s="231" t="s">
        <v>212</v>
      </c>
      <c r="AK1" s="231" t="s">
        <v>257</v>
      </c>
      <c r="AL1" s="232" t="s">
        <v>258</v>
      </c>
      <c r="AM1" s="232" t="s">
        <v>119</v>
      </c>
      <c r="AN1" s="232" t="s">
        <v>147</v>
      </c>
      <c r="AO1" s="231" t="s">
        <v>259</v>
      </c>
      <c r="AP1" s="232" t="s">
        <v>206</v>
      </c>
      <c r="AQ1" s="232" t="s">
        <v>31</v>
      </c>
      <c r="AR1" s="232" t="s">
        <v>327</v>
      </c>
      <c r="AS1" s="232" t="s">
        <v>517</v>
      </c>
    </row>
    <row r="2" spans="1:45">
      <c r="A2" s="5" t="s">
        <v>1</v>
      </c>
      <c r="B2" s="5" t="str">
        <f>_xll.BDP(K2&amp;" Corp","SECURITY_NAME")</f>
        <v>#N/A Review</v>
      </c>
      <c r="C2" s="107" t="e">
        <f>U2/H2-1</f>
        <v>#N/A</v>
      </c>
      <c r="D2" s="107">
        <f>S2/O2-1</f>
        <v>1.2281345565749233</v>
      </c>
      <c r="E2" s="107" t="e">
        <f>U2/R2-1</f>
        <v>#N/A</v>
      </c>
      <c r="F2" s="107">
        <f t="shared" ref="F2:F7" si="0">S2/P2-1</f>
        <v>-0.38416025695207512</v>
      </c>
      <c r="G2" s="107" t="e">
        <f t="shared" ref="G2:G29" si="1">AI2/$C$39</f>
        <v>#N/A</v>
      </c>
      <c r="H2" s="124">
        <f>N2 * O2 / AS2</f>
        <v>1519.6367742804962</v>
      </c>
      <c r="I2" s="107"/>
      <c r="J2" s="5" t="str">
        <f>'4. FIEQCMDT_Price'!B$1</f>
        <v>MS 0 10/28/2035 Corp</v>
      </c>
      <c r="K2" s="5" t="s">
        <v>91</v>
      </c>
      <c r="L2" s="5" t="s">
        <v>99</v>
      </c>
      <c r="M2" s="39" t="str">
        <f>_xll.BDP(K2&amp;" Corp","CRNCY")</f>
        <v>#N/A Review</v>
      </c>
      <c r="N2" s="77">
        <v>1000000</v>
      </c>
      <c r="O2" s="77">
        <v>3.27E-2</v>
      </c>
      <c r="P2" s="79">
        <v>0.11831</v>
      </c>
      <c r="Q2" s="79">
        <f>1/0.312513</f>
        <v>3.1998668855375616</v>
      </c>
      <c r="R2" s="79">
        <f t="shared" ref="R2:R17" si="2">P2*N2/Q2</f>
        <v>36973.413030000003</v>
      </c>
      <c r="S2" s="79">
        <f>0.07286</f>
        <v>7.2859999999999994E-2</v>
      </c>
      <c r="T2" s="79" t="e">
        <f>VLOOKUP(M2,'3. FX_Current'!$B$3:$C$23,2,FALSE)</f>
        <v>#N/A</v>
      </c>
      <c r="U2" s="79" t="e">
        <f>(S2*N2)/T2</f>
        <v>#N/A</v>
      </c>
      <c r="V2" s="79"/>
      <c r="W2" s="11">
        <v>42305</v>
      </c>
      <c r="X2" s="82">
        <v>45065</v>
      </c>
      <c r="Y2" s="82" t="str">
        <f>_xll.BDP(K2&amp;" Corp","Maturity")</f>
        <v>#N/A Review</v>
      </c>
      <c r="Z2" s="82"/>
      <c r="AA2" s="82"/>
      <c r="AB2" s="39"/>
      <c r="AC2" s="39"/>
      <c r="AD2" s="308" t="str">
        <f t="shared" ref="AD2:AD27" si="3">M2</f>
        <v>#N/A Review</v>
      </c>
      <c r="AE2" s="77"/>
      <c r="AF2" s="351"/>
      <c r="AG2" s="5"/>
      <c r="AH2" s="5"/>
      <c r="AI2" s="79" t="e">
        <f t="shared" ref="AI2:AI9" si="4">U2</f>
        <v>#N/A</v>
      </c>
      <c r="AJ2" s="147" t="s">
        <v>213</v>
      </c>
      <c r="AK2" s="148" t="str">
        <f>_xll.BDP(K2&amp;" corp","COUPON")</f>
        <v>#N/A Review</v>
      </c>
      <c r="AL2" s="85"/>
      <c r="AM2" s="77" t="s">
        <v>105</v>
      </c>
      <c r="AN2" s="39" t="s">
        <v>145</v>
      </c>
      <c r="AO2" s="5" t="s">
        <v>214</v>
      </c>
      <c r="AP2" s="308" t="s">
        <v>33</v>
      </c>
      <c r="AQ2" s="39">
        <v>0</v>
      </c>
      <c r="AR2" s="301" t="s">
        <v>33</v>
      </c>
      <c r="AS2" s="124">
        <v>21.5183</v>
      </c>
    </row>
    <row r="3" spans="1:45">
      <c r="A3" s="74" t="s">
        <v>1</v>
      </c>
      <c r="B3" s="5" t="str">
        <f>_xll.BDP(K3&amp;" Corp","SECURITY_NAME")</f>
        <v>#N/A Review</v>
      </c>
      <c r="C3" s="107" t="e">
        <f>U3/H3-1</f>
        <v>#VALUE!</v>
      </c>
      <c r="D3" s="107" t="e">
        <f>S3/O3-1</f>
        <v>#VALUE!</v>
      </c>
      <c r="E3" s="107" t="e">
        <f t="shared" ref="E3:E7" si="5">U3/R3-1</f>
        <v>#VALUE!</v>
      </c>
      <c r="F3" s="107" t="e">
        <f t="shared" si="0"/>
        <v>#VALUE!</v>
      </c>
      <c r="G3" s="107" t="e">
        <f t="shared" si="1"/>
        <v>#VALUE!</v>
      </c>
      <c r="H3" s="124">
        <f t="shared" ref="H3:H24" si="6">N3 * O3 / AS3</f>
        <v>100565.91823809427</v>
      </c>
      <c r="I3" s="107"/>
      <c r="J3" s="5" t="str">
        <f>'4. FIEQCMDT_Price'!C$1</f>
        <v>MBONO 7.75 11/13/2042 Govt</v>
      </c>
      <c r="K3" s="12" t="s">
        <v>92</v>
      </c>
      <c r="L3" s="12" t="s">
        <v>100</v>
      </c>
      <c r="M3" s="39" t="str">
        <f>_xll.BDP(K3&amp;" Corp","CRNCY")</f>
        <v>#N/A Review</v>
      </c>
      <c r="N3" s="77">
        <v>22400</v>
      </c>
      <c r="O3" s="77">
        <v>87.9</v>
      </c>
      <c r="P3" s="79">
        <v>104.633</v>
      </c>
      <c r="Q3" s="79">
        <f>1/0.042254</f>
        <v>23.666398447484262</v>
      </c>
      <c r="R3" s="79">
        <f t="shared" si="2"/>
        <v>99034.046316799984</v>
      </c>
      <c r="S3" s="79" t="str">
        <f>_xll.BDP(K3&amp;" Corp","PX_LAST")</f>
        <v>#N/A Review</v>
      </c>
      <c r="T3" s="79" t="e">
        <f>VLOOKUP(M3,'3. FX_Current'!$B$3:$C$23,2,FALSE)</f>
        <v>#N/A</v>
      </c>
      <c r="U3" s="79" t="e">
        <f>(S3*N3)/T3</f>
        <v>#VALUE!</v>
      </c>
      <c r="V3" s="79"/>
      <c r="W3" s="11">
        <v>44441</v>
      </c>
      <c r="X3" s="82" t="str">
        <f>_xll.BDP(K3&amp;" Corp","LAST_UPDATE_DT")</f>
        <v>#N/A Review</v>
      </c>
      <c r="Y3" s="82" t="str">
        <f>_xll.BDP(K3&amp;" Corp","Maturity")</f>
        <v>#N/A Review</v>
      </c>
      <c r="Z3" s="82"/>
      <c r="AA3" s="82"/>
      <c r="AB3" s="39"/>
      <c r="AC3" s="39"/>
      <c r="AD3" s="308" t="str">
        <f t="shared" si="3"/>
        <v>#N/A Review</v>
      </c>
      <c r="AE3" s="77"/>
      <c r="AF3" s="351"/>
      <c r="AG3" s="5"/>
      <c r="AH3" s="5"/>
      <c r="AI3" s="79" t="e">
        <f t="shared" si="4"/>
        <v>#VALUE!</v>
      </c>
      <c r="AJ3" s="147" t="str">
        <f>_xll.BDP(K3&amp;" corp","COUPON_FREQUENCY_DESCRIPTION")</f>
        <v>#N/A Review</v>
      </c>
      <c r="AK3" s="148" t="str">
        <f>_xll.BDP(K3&amp;" corp","COUPON")</f>
        <v>#N/A Review</v>
      </c>
      <c r="AL3" s="148" t="str">
        <f>IF(_xll.BDP(K3&amp;" Corp","Defaulted")="Y",0,_xll.BDP(K3&amp;" ISIN","YLD_YTM_MID"))</f>
        <v>#N/A Review</v>
      </c>
      <c r="AM3" s="77" t="str">
        <f>_xll.BDP(K3&amp;" Corp","YAS_MOD_DUR")</f>
        <v>#N/A Review</v>
      </c>
      <c r="AN3" s="39" t="s">
        <v>146</v>
      </c>
      <c r="AO3" s="5" t="s">
        <v>214</v>
      </c>
      <c r="AP3" s="308" t="s">
        <v>33</v>
      </c>
      <c r="AQ3" s="39">
        <v>0</v>
      </c>
      <c r="AR3" s="301" t="s">
        <v>33</v>
      </c>
      <c r="AS3" s="124">
        <v>19.578800000000001</v>
      </c>
    </row>
    <row r="4" spans="1:45">
      <c r="A4" s="5" t="s">
        <v>1</v>
      </c>
      <c r="B4" s="5" t="str">
        <f>_xll.BDP(K4&amp;" Corp","SECURITY_NAME")</f>
        <v>#N/A Review</v>
      </c>
      <c r="C4" s="107">
        <v>0</v>
      </c>
      <c r="D4" s="107">
        <v>0</v>
      </c>
      <c r="E4" s="107">
        <f t="shared" si="5"/>
        <v>-1</v>
      </c>
      <c r="F4" s="107">
        <f t="shared" si="0"/>
        <v>-1</v>
      </c>
      <c r="G4" s="107" t="e">
        <f t="shared" si="1"/>
        <v>#N/A</v>
      </c>
      <c r="H4" s="124">
        <v>0</v>
      </c>
      <c r="I4" s="107"/>
      <c r="J4" s="5" t="str">
        <f>'4. FIEQCMDT_Price'!D$1</f>
        <v>RFLB 7.7 03/16/2039 Govt</v>
      </c>
      <c r="K4" s="135" t="s">
        <v>95</v>
      </c>
      <c r="L4" s="135" t="s">
        <v>98</v>
      </c>
      <c r="M4" s="39" t="str">
        <f>_xll.BDP(K4&amp;" Corp","CRNCY")</f>
        <v>#N/A Review</v>
      </c>
      <c r="N4" s="77">
        <v>9000000</v>
      </c>
      <c r="O4" s="77">
        <v>0</v>
      </c>
      <c r="P4" s="79">
        <v>0.85140000000000005</v>
      </c>
      <c r="Q4" s="79">
        <f>1/0.011518</f>
        <v>86.820628581350931</v>
      </c>
      <c r="R4" s="79">
        <f t="shared" si="2"/>
        <v>88257.826799999995</v>
      </c>
      <c r="S4" s="79">
        <v>0</v>
      </c>
      <c r="T4" s="79" t="e">
        <f>VLOOKUP(M4,'3. FX_Current'!$B$3:$C$23,2,FALSE)</f>
        <v>#N/A</v>
      </c>
      <c r="U4" s="79">
        <v>0</v>
      </c>
      <c r="V4" s="79"/>
      <c r="W4" s="11">
        <v>44610</v>
      </c>
      <c r="X4" s="82" t="str">
        <f>_xll.BDP(K4&amp;" Corp","LAST_UPDATE_DT")</f>
        <v>#N/A Review</v>
      </c>
      <c r="Y4" s="82" t="str">
        <f>_xll.BDP(K4&amp;" Corp","Maturity")</f>
        <v>#N/A Review</v>
      </c>
      <c r="Z4" s="82"/>
      <c r="AA4" s="82"/>
      <c r="AB4" s="39"/>
      <c r="AC4" s="39"/>
      <c r="AD4" s="308" t="str">
        <f t="shared" si="3"/>
        <v>#N/A Review</v>
      </c>
      <c r="AE4" s="77"/>
      <c r="AF4" s="351"/>
      <c r="AG4" s="5"/>
      <c r="AH4" s="5"/>
      <c r="AI4" s="79">
        <f t="shared" si="4"/>
        <v>0</v>
      </c>
      <c r="AJ4" s="147" t="str">
        <f>_xll.BDP(K4&amp;" corp","COUPON_FREQUENCY_DESCRIPTION")</f>
        <v>#N/A Review</v>
      </c>
      <c r="AK4" s="148" t="str">
        <f>_xll.BDP(K4&amp;" corp","COUPON")</f>
        <v>#N/A Review</v>
      </c>
      <c r="AL4" s="148" t="str">
        <f>IF(_xll.BDP(K4&amp;" Corp","Defaulted")="Y",0,_xll.BDP(K4&amp;" ISIN","YLD_YTM_MID"))</f>
        <v>#N/A Review</v>
      </c>
      <c r="AM4" s="77" t="str">
        <f>_xll.BDP(K4&amp;" Corp","YAS_MOD_DUR")</f>
        <v>#N/A Review</v>
      </c>
      <c r="AN4" s="39" t="s">
        <v>145</v>
      </c>
      <c r="AO4" s="5" t="s">
        <v>214</v>
      </c>
      <c r="AP4" s="308" t="s">
        <v>33</v>
      </c>
      <c r="AQ4" s="39">
        <v>0</v>
      </c>
      <c r="AR4" s="301" t="s">
        <v>33</v>
      </c>
      <c r="AS4" s="124">
        <v>0</v>
      </c>
    </row>
    <row r="5" spans="1:45">
      <c r="A5" s="5" t="s">
        <v>1</v>
      </c>
      <c r="B5" s="5" t="str">
        <f>_xll.BDP(K5&amp;" Corp","SECURITY_NAME")</f>
        <v>#N/A Review</v>
      </c>
      <c r="C5" s="107">
        <v>0</v>
      </c>
      <c r="D5" s="107">
        <v>0</v>
      </c>
      <c r="E5" s="107">
        <f t="shared" si="5"/>
        <v>-1</v>
      </c>
      <c r="F5" s="107">
        <f t="shared" si="0"/>
        <v>-1</v>
      </c>
      <c r="G5" s="107" t="e">
        <f t="shared" si="1"/>
        <v>#N/A</v>
      </c>
      <c r="H5" s="124">
        <v>0</v>
      </c>
      <c r="I5" s="107"/>
      <c r="J5" s="5" t="str">
        <f>'4. FIEQCMDT_Price'!E$1</f>
        <v>RFLB 5.9 03/12/2031 Govt</v>
      </c>
      <c r="K5" s="135" t="s">
        <v>96</v>
      </c>
      <c r="L5" s="135" t="s">
        <v>98</v>
      </c>
      <c r="M5" s="39" t="str">
        <f>_xll.BDP(K5&amp;" Corp","CRNCY")</f>
        <v>#N/A Review</v>
      </c>
      <c r="N5" s="77">
        <v>7000000</v>
      </c>
      <c r="O5" s="77">
        <v>0</v>
      </c>
      <c r="P5" s="79">
        <v>0.92090000000000005</v>
      </c>
      <c r="Q5" s="79">
        <f>1/0.011605</f>
        <v>86.169754416199908</v>
      </c>
      <c r="R5" s="79">
        <f t="shared" si="2"/>
        <v>74809.311500000011</v>
      </c>
      <c r="S5" s="79">
        <v>0</v>
      </c>
      <c r="T5" s="79" t="e">
        <f>VLOOKUP(M5,'3. FX_Current'!$B$3:$C$23,2,FALSE)</f>
        <v>#N/A</v>
      </c>
      <c r="U5" s="79">
        <v>0</v>
      </c>
      <c r="V5" s="79"/>
      <c r="W5" s="11">
        <v>44460</v>
      </c>
      <c r="X5" s="82" t="str">
        <f>_xll.BDP(K5&amp;" Corp","LAST_UPDATE_DT")</f>
        <v>#N/A Review</v>
      </c>
      <c r="Y5" s="82" t="str">
        <f>_xll.BDP(K5&amp;" Corp","Maturity")</f>
        <v>#N/A Review</v>
      </c>
      <c r="Z5" s="82"/>
      <c r="AA5" s="82"/>
      <c r="AB5" s="39"/>
      <c r="AC5" s="39"/>
      <c r="AD5" s="308" t="str">
        <f t="shared" si="3"/>
        <v>#N/A Review</v>
      </c>
      <c r="AE5" s="77"/>
      <c r="AF5" s="351"/>
      <c r="AG5" s="5"/>
      <c r="AH5" s="5"/>
      <c r="AI5" s="79">
        <f t="shared" si="4"/>
        <v>0</v>
      </c>
      <c r="AJ5" s="147" t="str">
        <f>_xll.BDP(K5&amp;" corp","COUPON_FREQUENCY_DESCRIPTION")</f>
        <v>#N/A Review</v>
      </c>
      <c r="AK5" s="148" t="str">
        <f>_xll.BDP(K5&amp;" corp","COUPON")</f>
        <v>#N/A Review</v>
      </c>
      <c r="AL5" s="148" t="str">
        <f>IF(_xll.BDP(K5&amp;" Corp","Defaulted")="Y",0,_xll.BDP(K5&amp;" ISIN","YLD_YTM_MID"))</f>
        <v>#N/A Review</v>
      </c>
      <c r="AM5" s="77" t="str">
        <f>_xll.BDP(K5&amp;" Corp","YAS_MOD_DUR")</f>
        <v>#N/A Review</v>
      </c>
      <c r="AN5" s="39" t="s">
        <v>145</v>
      </c>
      <c r="AO5" s="5" t="s">
        <v>214</v>
      </c>
      <c r="AP5" s="308" t="s">
        <v>33</v>
      </c>
      <c r="AQ5" s="39">
        <v>0</v>
      </c>
      <c r="AR5" s="301" t="s">
        <v>33</v>
      </c>
      <c r="AS5" s="124">
        <v>0</v>
      </c>
    </row>
    <row r="6" spans="1:45">
      <c r="A6" s="5" t="s">
        <v>1</v>
      </c>
      <c r="B6" s="5" t="str">
        <f>_xll.BDP(K6&amp;" Corp","SECURITY_NAME")</f>
        <v>#N/A Review</v>
      </c>
      <c r="C6" s="107">
        <f t="shared" ref="C6:C19" si="7">U6/H6-1</f>
        <v>5.7306241819127024E-2</v>
      </c>
      <c r="D6" s="107" t="e">
        <f t="shared" ref="D6:D19" si="8">S6/O6-1</f>
        <v>#N/A</v>
      </c>
      <c r="E6" s="107">
        <f t="shared" si="5"/>
        <v>1.6635203772650291</v>
      </c>
      <c r="F6" s="107" t="e">
        <f t="shared" si="0"/>
        <v>#N/A</v>
      </c>
      <c r="G6" s="107" t="e">
        <f t="shared" si="1"/>
        <v>#N/A</v>
      </c>
      <c r="H6" s="124">
        <f t="shared" si="6"/>
        <v>37537.847059063883</v>
      </c>
      <c r="I6" s="107"/>
      <c r="J6" s="5" t="str">
        <f>'4. FIEQCMDT_Price'!F$1</f>
        <v>ZO744871  Corp</v>
      </c>
      <c r="K6" s="5" t="s">
        <v>93</v>
      </c>
      <c r="L6" s="5" t="s">
        <v>101</v>
      </c>
      <c r="M6" s="39" t="str">
        <f>_xll.BDP(K6&amp;" Corp","CRNCY")</f>
        <v>#N/A Review</v>
      </c>
      <c r="N6" s="77">
        <v>2118000</v>
      </c>
      <c r="O6" s="77">
        <v>0.34699999999999998</v>
      </c>
      <c r="P6" s="79">
        <v>0.16514999999999999</v>
      </c>
      <c r="Q6" s="79">
        <f>1/0.0426</f>
        <v>23.474178403755868</v>
      </c>
      <c r="R6" s="79">
        <f t="shared" si="2"/>
        <v>14900.956019999998</v>
      </c>
      <c r="S6" s="79" t="e">
        <f>U6*T6/N6</f>
        <v>#N/A</v>
      </c>
      <c r="T6" s="79" t="e">
        <f>VLOOKUP(M6,'3. FX_Current'!$B$3:$C$23,2,FALSE)</f>
        <v>#N/A</v>
      </c>
      <c r="U6" s="79">
        <v>39689</v>
      </c>
      <c r="V6" s="79"/>
      <c r="W6" s="11">
        <v>44469</v>
      </c>
      <c r="X6" s="82">
        <v>45065</v>
      </c>
      <c r="Y6" s="82" t="str">
        <f>_xll.BDP(K6&amp;" Corp","Maturity")</f>
        <v>#N/A Review</v>
      </c>
      <c r="Z6" s="82"/>
      <c r="AA6" s="82"/>
      <c r="AB6" s="136"/>
      <c r="AC6" s="136"/>
      <c r="AD6" s="308" t="str">
        <f t="shared" si="3"/>
        <v>#N/A Review</v>
      </c>
      <c r="AE6" s="360"/>
      <c r="AF6" s="352"/>
      <c r="AG6" s="5"/>
      <c r="AH6" s="5"/>
      <c r="AI6" s="79">
        <f t="shared" si="4"/>
        <v>39689</v>
      </c>
      <c r="AJ6" s="147" t="s">
        <v>213</v>
      </c>
      <c r="AK6" s="148" t="str">
        <f>_xll.BDP(K6&amp;" corp","COUPON")</f>
        <v>#N/A Review</v>
      </c>
      <c r="AL6" s="148"/>
      <c r="AM6" s="77" t="s">
        <v>105</v>
      </c>
      <c r="AN6" s="39" t="s">
        <v>145</v>
      </c>
      <c r="AO6" s="5" t="s">
        <v>214</v>
      </c>
      <c r="AP6" s="308" t="s">
        <v>33</v>
      </c>
      <c r="AQ6" s="136">
        <v>3</v>
      </c>
      <c r="AR6" s="302" t="s">
        <v>33</v>
      </c>
      <c r="AS6" s="313">
        <v>19.578800000000001</v>
      </c>
    </row>
    <row r="7" spans="1:45">
      <c r="A7" s="5" t="s">
        <v>1</v>
      </c>
      <c r="B7" s="5" t="str">
        <f>_xll.BDP(K7&amp;" Corp","SECURITY_NAME")</f>
        <v>#N/A Review</v>
      </c>
      <c r="C7" s="107" t="e">
        <f t="shared" si="7"/>
        <v>#VALUE!</v>
      </c>
      <c r="D7" s="107" t="e">
        <f t="shared" si="8"/>
        <v>#VALUE!</v>
      </c>
      <c r="E7" s="107" t="e">
        <f t="shared" si="5"/>
        <v>#VALUE!</v>
      </c>
      <c r="F7" s="107" t="e">
        <f t="shared" si="0"/>
        <v>#VALUE!</v>
      </c>
      <c r="G7" s="107" t="e">
        <f t="shared" si="1"/>
        <v>#VALUE!</v>
      </c>
      <c r="H7" s="124">
        <f t="shared" si="6"/>
        <v>127216.74425424288</v>
      </c>
      <c r="I7" s="107"/>
      <c r="J7" s="5" t="str">
        <f>'4. FIEQCMDT_Price'!G$1</f>
        <v>IFC 0 02/25/2041 Corp</v>
      </c>
      <c r="K7" s="5" t="s">
        <v>169</v>
      </c>
      <c r="L7" s="5" t="s">
        <v>170</v>
      </c>
      <c r="M7" s="39" t="str">
        <f>_xll.BDP(K7&amp;" Corp","CRNCY")</f>
        <v>#N/A Review</v>
      </c>
      <c r="N7" s="77">
        <v>3700000</v>
      </c>
      <c r="O7" s="77">
        <v>0.18759999999999999</v>
      </c>
      <c r="P7" s="79">
        <v>0.19506000000000001</v>
      </c>
      <c r="Q7" s="79">
        <f>1/0.192533</f>
        <v>5.1939148094092955</v>
      </c>
      <c r="R7" s="79">
        <f t="shared" si="2"/>
        <v>138955.30182600001</v>
      </c>
      <c r="S7" s="79" t="e">
        <f>_xll.BDP(K7&amp;" Corp","PX_LAST")/100</f>
        <v>#VALUE!</v>
      </c>
      <c r="T7" s="79" t="e">
        <f>VLOOKUP(M7,'3. FX_Current'!$B$3:$C$23,2,FALSE)</f>
        <v>#N/A</v>
      </c>
      <c r="U7" s="79" t="e">
        <f t="shared" ref="U7:U19" si="9">(S7*N7)/T7</f>
        <v>#VALUE!</v>
      </c>
      <c r="V7" s="79"/>
      <c r="W7" s="11">
        <v>44775</v>
      </c>
      <c r="X7" s="82" t="str">
        <f>_xll.BDP(K7&amp;" Corp","LAST_UPDATE_DT")</f>
        <v>#N/A Review</v>
      </c>
      <c r="Y7" s="82" t="str">
        <f>_xll.BDP(K7&amp;" Corp","Maturity")</f>
        <v>#N/A Review</v>
      </c>
      <c r="Z7" s="82"/>
      <c r="AA7" s="82"/>
      <c r="AB7" s="40"/>
      <c r="AC7" s="40"/>
      <c r="AD7" s="308" t="str">
        <f t="shared" si="3"/>
        <v>#N/A Review</v>
      </c>
      <c r="AE7" s="361"/>
      <c r="AF7" s="352"/>
      <c r="AG7" s="5"/>
      <c r="AH7" s="5"/>
      <c r="AI7" s="79" t="e">
        <f t="shared" si="4"/>
        <v>#VALUE!</v>
      </c>
      <c r="AJ7" s="147" t="s">
        <v>213</v>
      </c>
      <c r="AK7" s="148" t="str">
        <f>_xll.BDP(K7&amp;" corp","COUPON")</f>
        <v>#N/A Review</v>
      </c>
      <c r="AL7" s="148" t="str">
        <f>IF(_xll.BDP(K7&amp;" Corp","Defaulted")="Y",0,_xll.BDP(K7&amp;" ISIN","YLD_YTM_MID"))</f>
        <v>#N/A Review</v>
      </c>
      <c r="AM7" s="77" t="str">
        <f>_xll.BDP(K7&amp;" Corp","YAS_MOD_DUR")</f>
        <v>#N/A Review</v>
      </c>
      <c r="AN7" s="39" t="s">
        <v>268</v>
      </c>
      <c r="AO7" s="5" t="s">
        <v>214</v>
      </c>
      <c r="AP7" s="308" t="s">
        <v>140</v>
      </c>
      <c r="AQ7" s="40">
        <v>0</v>
      </c>
      <c r="AR7" s="303" t="s">
        <v>33</v>
      </c>
      <c r="AS7" s="314">
        <v>5.4561999999999999</v>
      </c>
    </row>
    <row r="8" spans="1:45" s="9" customFormat="1">
      <c r="B8" s="158" t="s">
        <v>292</v>
      </c>
      <c r="C8" s="127" t="e">
        <f t="shared" si="7"/>
        <v>#VALUE!</v>
      </c>
      <c r="D8" s="127" t="e">
        <f t="shared" si="8"/>
        <v>#VALUE!</v>
      </c>
      <c r="E8" s="156" t="e">
        <f t="shared" ref="E8:E12" si="10">U8/R8-1</f>
        <v>#VALUE!</v>
      </c>
      <c r="F8" s="156" t="e">
        <f t="shared" ref="F8:F12" si="11">S8/P8-1</f>
        <v>#VALUE!</v>
      </c>
      <c r="G8" s="156" t="e">
        <f t="shared" si="1"/>
        <v>#VALUE!</v>
      </c>
      <c r="H8" s="257">
        <f t="shared" si="6"/>
        <v>52439.868975198871</v>
      </c>
      <c r="I8" s="127"/>
      <c r="J8" s="271" t="str">
        <f>'4. FIEQCMDT_Price'!G$1</f>
        <v>IFC 0 02/25/2041 Corp</v>
      </c>
      <c r="K8" s="368" t="s">
        <v>522</v>
      </c>
      <c r="L8" s="271" t="s">
        <v>170</v>
      </c>
      <c r="M8" s="128" t="s">
        <v>47</v>
      </c>
      <c r="N8" s="130">
        <v>1600000</v>
      </c>
      <c r="O8" s="130">
        <v>0.17510000000000001</v>
      </c>
      <c r="P8" s="129">
        <v>0.17505999999999999</v>
      </c>
      <c r="Q8" s="129">
        <f>1/0.18718</f>
        <v>5.342451116572283</v>
      </c>
      <c r="R8" s="372">
        <f t="shared" si="2"/>
        <v>52428.369280000006</v>
      </c>
      <c r="S8" s="129" t="e">
        <f>S7</f>
        <v>#VALUE!</v>
      </c>
      <c r="T8" s="129" t="e">
        <f>T7</f>
        <v>#N/A</v>
      </c>
      <c r="U8" s="129" t="e">
        <f t="shared" si="9"/>
        <v>#VALUE!</v>
      </c>
      <c r="V8" s="129"/>
      <c r="W8" s="131">
        <v>44775</v>
      </c>
      <c r="X8" s="132"/>
      <c r="Y8" s="132"/>
      <c r="Z8" s="132"/>
      <c r="AA8" s="132"/>
      <c r="AB8" s="133"/>
      <c r="AC8" s="133"/>
      <c r="AD8" s="312" t="str">
        <f t="shared" si="3"/>
        <v>BRL</v>
      </c>
      <c r="AE8" s="362"/>
      <c r="AF8" s="134"/>
      <c r="AI8" s="261" t="e">
        <f t="shared" si="4"/>
        <v>#VALUE!</v>
      </c>
      <c r="AJ8" s="359" t="s">
        <v>213</v>
      </c>
      <c r="AK8" s="150"/>
      <c r="AL8" s="150"/>
      <c r="AM8" s="130"/>
      <c r="AN8" s="260" t="s">
        <v>268</v>
      </c>
      <c r="AP8" s="309"/>
      <c r="AQ8" s="133"/>
      <c r="AR8" s="304"/>
      <c r="AS8" s="315">
        <v>5.3425000000000002</v>
      </c>
    </row>
    <row r="9" spans="1:45" s="9" customFormat="1">
      <c r="B9" s="158" t="s">
        <v>293</v>
      </c>
      <c r="C9" s="127" t="e">
        <f t="shared" si="7"/>
        <v>#VALUE!</v>
      </c>
      <c r="D9" s="127" t="e">
        <f t="shared" si="8"/>
        <v>#VALUE!</v>
      </c>
      <c r="E9" s="156" t="e">
        <f t="shared" si="10"/>
        <v>#VALUE!</v>
      </c>
      <c r="F9" s="156" t="e">
        <f t="shared" si="11"/>
        <v>#VALUE!</v>
      </c>
      <c r="G9" s="156" t="e">
        <f t="shared" si="1"/>
        <v>#VALUE!</v>
      </c>
      <c r="H9" s="257">
        <f t="shared" si="6"/>
        <v>86527.94921530594</v>
      </c>
      <c r="I9" s="127"/>
      <c r="J9" s="271" t="str">
        <f>'4. FIEQCMDT_Price'!G$1</f>
        <v>IFC 0 02/25/2041 Corp</v>
      </c>
      <c r="K9" s="368" t="s">
        <v>523</v>
      </c>
      <c r="L9" s="271" t="s">
        <v>170</v>
      </c>
      <c r="M9" s="128" t="s">
        <v>47</v>
      </c>
      <c r="N9" s="130">
        <v>2100000</v>
      </c>
      <c r="O9" s="130">
        <v>0.21029999999999999</v>
      </c>
      <c r="P9" s="129">
        <v>0.21029999999999999</v>
      </c>
      <c r="Q9" s="129">
        <f>1/0.195929</f>
        <v>5.1038896743207998</v>
      </c>
      <c r="R9" s="372">
        <f t="shared" si="2"/>
        <v>86528.12427</v>
      </c>
      <c r="S9" s="129" t="e">
        <f>S7</f>
        <v>#VALUE!</v>
      </c>
      <c r="T9" s="129" t="e">
        <f>T7</f>
        <v>#N/A</v>
      </c>
      <c r="U9" s="129" t="e">
        <f t="shared" si="9"/>
        <v>#VALUE!</v>
      </c>
      <c r="V9" s="129"/>
      <c r="W9" s="131">
        <v>44841</v>
      </c>
      <c r="X9" s="132"/>
      <c r="Y9" s="132"/>
      <c r="Z9" s="132"/>
      <c r="AA9" s="132"/>
      <c r="AB9" s="133"/>
      <c r="AC9" s="133"/>
      <c r="AD9" s="312" t="str">
        <f t="shared" si="3"/>
        <v>BRL</v>
      </c>
      <c r="AE9" s="362"/>
      <c r="AF9" s="134"/>
      <c r="AI9" s="261" t="e">
        <f t="shared" si="4"/>
        <v>#VALUE!</v>
      </c>
      <c r="AJ9" s="359" t="s">
        <v>213</v>
      </c>
      <c r="AK9" s="150"/>
      <c r="AL9" s="150"/>
      <c r="AM9" s="130"/>
      <c r="AN9" s="260" t="s">
        <v>268</v>
      </c>
      <c r="AP9" s="309"/>
      <c r="AQ9" s="133"/>
      <c r="AR9" s="304"/>
      <c r="AS9" s="315">
        <v>5.1039000000000003</v>
      </c>
    </row>
    <row r="10" spans="1:45">
      <c r="A10" s="91" t="s">
        <v>1</v>
      </c>
      <c r="B10" s="5" t="str">
        <f>_xll.BDP(K10&amp;" Corp","SECURITY_NAME")</f>
        <v>#N/A Review</v>
      </c>
      <c r="C10" s="107" t="e">
        <f t="shared" si="7"/>
        <v>#VALUE!</v>
      </c>
      <c r="D10" s="107" t="e">
        <f t="shared" si="8"/>
        <v>#VALUE!</v>
      </c>
      <c r="E10" s="107" t="e">
        <f t="shared" si="10"/>
        <v>#VALUE!</v>
      </c>
      <c r="F10" s="107" t="e">
        <f t="shared" si="11"/>
        <v>#VALUE!</v>
      </c>
      <c r="G10" s="107" t="e">
        <f t="shared" si="1"/>
        <v>#VALUE!</v>
      </c>
      <c r="H10" s="124">
        <f t="shared" si="6"/>
        <v>15587.405390232974</v>
      </c>
      <c r="I10" s="107"/>
      <c r="J10" s="5" t="str">
        <f>'4. FIEQCMDT_Price'!H$1</f>
        <v>SAGB 8.25 03/31/2032 Govt</v>
      </c>
      <c r="K10" s="244" t="s">
        <v>226</v>
      </c>
      <c r="L10" s="92" t="s">
        <v>223</v>
      </c>
      <c r="M10" s="39" t="s">
        <v>42</v>
      </c>
      <c r="N10" s="77">
        <v>370000</v>
      </c>
      <c r="O10" s="77">
        <v>0.85550000000000004</v>
      </c>
      <c r="P10" s="79">
        <v>0.85297999999999996</v>
      </c>
      <c r="Q10" s="79">
        <f>1/0.057205</f>
        <v>17.4809894240014</v>
      </c>
      <c r="R10" s="79">
        <f t="shared" si="2"/>
        <v>18054.046732999996</v>
      </c>
      <c r="S10" s="79" t="e">
        <f>_xll.BDP(K10&amp;" Corp","PX_LAST")/100</f>
        <v>#VALUE!</v>
      </c>
      <c r="T10" s="79" t="str">
        <f>VLOOKUP(M10,'3. FX_Current'!B:C,2,FALSE)</f>
        <v>#N/A Review</v>
      </c>
      <c r="U10" s="79" t="e">
        <f t="shared" si="9"/>
        <v>#VALUE!</v>
      </c>
      <c r="V10" s="79"/>
      <c r="W10" s="13">
        <v>44819</v>
      </c>
      <c r="X10" s="82" t="str">
        <f>_xll.BDP(K10&amp;" Corp","LAST_UPDATE_DT")</f>
        <v>#N/A Review</v>
      </c>
      <c r="Y10" s="82" t="str">
        <f>_xll.BDP(K10&amp;" Corp","Maturity")</f>
        <v>#N/A Review</v>
      </c>
      <c r="Z10" s="82"/>
      <c r="AA10" s="82"/>
      <c r="AB10" s="40"/>
      <c r="AC10" s="40"/>
      <c r="AD10" s="39" t="str">
        <f t="shared" si="3"/>
        <v>ZAR</v>
      </c>
      <c r="AE10" s="361"/>
      <c r="AF10" s="352"/>
      <c r="AG10" s="5"/>
      <c r="AH10" s="5"/>
      <c r="AI10" s="79" t="e">
        <f t="shared" ref="AI10:AI27" si="12">U10</f>
        <v>#VALUE!</v>
      </c>
      <c r="AJ10" s="147" t="str">
        <f>_xll.BDP(K10&amp;" ISIN","COUPON_FREQUENCY_DESCRIPTION")</f>
        <v>#N/A Review</v>
      </c>
      <c r="AK10" s="148" t="str">
        <f>_xll.BDP(K10&amp;" corp","COUPON")</f>
        <v>#N/A Review</v>
      </c>
      <c r="AL10" s="148" t="str">
        <f>IF(_xll.BDP(K10&amp;" Corp","Defaulted")="Y",0,_xll.BDP(K10&amp;" ISIN","YLD_YTM_MID"))</f>
        <v>#N/A Review</v>
      </c>
      <c r="AM10" s="77" t="str">
        <f>_xll.BDP(K10&amp;" Corp","YAS_MOD_DUR")</f>
        <v>#N/A Review</v>
      </c>
      <c r="AN10" s="39" t="s">
        <v>227</v>
      </c>
      <c r="AO10" s="5" t="s">
        <v>214</v>
      </c>
      <c r="AP10" s="308" t="s">
        <v>140</v>
      </c>
      <c r="AQ10" s="40">
        <v>0</v>
      </c>
      <c r="AR10" s="303" t="s">
        <v>33</v>
      </c>
      <c r="AS10" s="314">
        <v>20.307099999999998</v>
      </c>
    </row>
    <row r="11" spans="1:45">
      <c r="A11" s="91" t="s">
        <v>1</v>
      </c>
      <c r="B11" s="5" t="str">
        <f>_xll.BDP(K11&amp;" Corp","SECURITY_NAME")</f>
        <v>#N/A Review</v>
      </c>
      <c r="C11" s="107" t="e">
        <f t="shared" si="7"/>
        <v>#VALUE!</v>
      </c>
      <c r="D11" s="107" t="e">
        <f t="shared" si="8"/>
        <v>#VALUE!</v>
      </c>
      <c r="E11" s="107" t="e">
        <f t="shared" si="10"/>
        <v>#VALUE!</v>
      </c>
      <c r="F11" s="107" t="e">
        <f t="shared" si="11"/>
        <v>#VALUE!</v>
      </c>
      <c r="G11" s="107" t="e">
        <f t="shared" si="1"/>
        <v>#VALUE!</v>
      </c>
      <c r="H11" s="124">
        <f t="shared" si="6"/>
        <v>50051.944359389359</v>
      </c>
      <c r="I11" s="107"/>
      <c r="J11" s="5" t="str">
        <f>'4. FIEQCMDT_Price'!I$1</f>
        <v>POLGB 1.75 04/25/2032 Govt</v>
      </c>
      <c r="K11" s="246" t="s">
        <v>367</v>
      </c>
      <c r="L11" s="200" t="s">
        <v>194</v>
      </c>
      <c r="M11" s="39" t="s">
        <v>43</v>
      </c>
      <c r="N11" s="77">
        <v>315000</v>
      </c>
      <c r="O11" s="77">
        <v>0.72650000000000003</v>
      </c>
      <c r="P11" s="79">
        <v>0.67520999999999998</v>
      </c>
      <c r="Q11" s="79">
        <f>1/0.21334</f>
        <v>4.6873535202024934</v>
      </c>
      <c r="R11" s="79">
        <f t="shared" si="2"/>
        <v>45375.529941000001</v>
      </c>
      <c r="S11" s="79" t="e">
        <f>_xll.BDP(K11&amp;" Corp","PX_LAST")/100</f>
        <v>#VALUE!</v>
      </c>
      <c r="T11" s="79" t="str">
        <f>VLOOKUP(M11,'3. FX_Current'!B:C,2,FALSE)</f>
        <v>#N/A Review</v>
      </c>
      <c r="U11" s="79" t="e">
        <f t="shared" si="9"/>
        <v>#VALUE!</v>
      </c>
      <c r="V11" s="79"/>
      <c r="W11" s="13">
        <v>44903</v>
      </c>
      <c r="X11" s="82" t="str">
        <f>_xll.BDP(K11&amp;" Corp","LAST_UPDATE_DT")</f>
        <v>#N/A Review</v>
      </c>
      <c r="Y11" s="82">
        <v>48329</v>
      </c>
      <c r="Z11" s="82"/>
      <c r="AA11" s="82"/>
      <c r="AB11" s="40"/>
      <c r="AC11" s="40"/>
      <c r="AD11" s="39" t="str">
        <f t="shared" si="3"/>
        <v>PLN</v>
      </c>
      <c r="AE11" s="361"/>
      <c r="AF11" s="352"/>
      <c r="AG11" s="5"/>
      <c r="AH11" s="5"/>
      <c r="AI11" s="79" t="e">
        <f t="shared" si="12"/>
        <v>#VALUE!</v>
      </c>
      <c r="AJ11" s="147" t="str">
        <f>_xll.BDP(K11&amp;" ISIN","COUPON_FREQUENCY_DESCRIPTION")</f>
        <v>#N/A Review</v>
      </c>
      <c r="AK11" s="148" t="str">
        <f>_xll.BDP(K11&amp;" corp","COUPON")</f>
        <v>#N/A Review</v>
      </c>
      <c r="AL11" s="148" t="str">
        <f>IF(_xll.BDP(K11&amp;" Corp","Defaulted")="Y",0,_xll.BDP(K11&amp;" ISIN","YLD_YTM_MID"))</f>
        <v>#N/A Review</v>
      </c>
      <c r="AM11" s="77" t="str">
        <f>_xll.BDP(K11&amp;" Corp","YAS_MOD_DUR")</f>
        <v>#N/A Review</v>
      </c>
      <c r="AN11" s="39" t="s">
        <v>370</v>
      </c>
      <c r="AO11" s="5" t="s">
        <v>214</v>
      </c>
      <c r="AP11" s="308" t="s">
        <v>140</v>
      </c>
      <c r="AQ11" s="40">
        <v>0</v>
      </c>
      <c r="AR11" s="303" t="s">
        <v>33</v>
      </c>
      <c r="AS11" s="314">
        <v>4.5721999999999996</v>
      </c>
    </row>
    <row r="12" spans="1:45" ht="17.25" customHeight="1">
      <c r="A12" s="91" t="s">
        <v>1</v>
      </c>
      <c r="B12" s="5" t="str">
        <f>_xll.BDP(K12&amp;" Corp","SECURITY_NAME")</f>
        <v>#N/A Review</v>
      </c>
      <c r="C12" s="107" t="e">
        <f t="shared" ref="C12" si="13">U12/H12-1</f>
        <v>#VALUE!</v>
      </c>
      <c r="D12" s="107" t="e">
        <f t="shared" ref="D12" si="14">S12/O12-1</f>
        <v>#VALUE!</v>
      </c>
      <c r="E12" s="107" t="e">
        <f t="shared" si="10"/>
        <v>#VALUE!</v>
      </c>
      <c r="F12" s="107" t="e">
        <f t="shared" si="11"/>
        <v>#VALUE!</v>
      </c>
      <c r="G12" s="107" t="e">
        <f t="shared" si="1"/>
        <v>#VALUE!</v>
      </c>
      <c r="H12" s="124">
        <f>N12 * O12 /AS12</f>
        <v>103895.41362660541</v>
      </c>
      <c r="I12" s="107"/>
      <c r="J12" s="5" t="str">
        <f>'4. FIEQCMDT_Price'!J$1</f>
        <v>MBONO 8 11/07/2047 Govt</v>
      </c>
      <c r="K12" s="246" t="s">
        <v>372</v>
      </c>
      <c r="L12" s="200" t="s">
        <v>100</v>
      </c>
      <c r="M12" s="39" t="s">
        <v>48</v>
      </c>
      <c r="N12" s="77">
        <f>N13+N14</f>
        <v>23200</v>
      </c>
      <c r="O12" s="77">
        <f>O13*8200/23200 + O14*15000/23200</f>
        <v>87.955624999999998</v>
      </c>
      <c r="P12" s="79">
        <f>P13*N13/(N13+N14) + P14*N14/(N13+N14)</f>
        <v>88.503380758620693</v>
      </c>
      <c r="Q12" s="79">
        <f>(Q13*8200+Q14*15000)/23200</f>
        <v>19.64062454191496</v>
      </c>
      <c r="R12" s="79">
        <f t="shared" si="2"/>
        <v>104542.42069635355</v>
      </c>
      <c r="S12" s="79" t="str">
        <f>_xll.BDP(K12&amp;" Corp","PX_LAST")</f>
        <v>#N/A Review</v>
      </c>
      <c r="T12" s="79" t="str">
        <f>VLOOKUP(M12,'3. FX_Current'!B:C,2,FALSE)</f>
        <v>#N/A Review</v>
      </c>
      <c r="U12" s="79" t="e">
        <f t="shared" ref="U12" si="15">(S12*N12)/T12</f>
        <v>#VALUE!</v>
      </c>
      <c r="V12" s="79"/>
      <c r="W12" s="13">
        <v>44909</v>
      </c>
      <c r="X12" s="82" t="str">
        <f>_xll.BDP(K12&amp;" Corp","LAST_UPDATE_DT")</f>
        <v>#N/A Review</v>
      </c>
      <c r="Y12" s="82">
        <v>53884</v>
      </c>
      <c r="Z12" s="82"/>
      <c r="AA12" s="82"/>
      <c r="AB12" s="40"/>
      <c r="AC12" s="40"/>
      <c r="AD12" s="39" t="str">
        <f t="shared" ref="AD12" si="16">M12</f>
        <v>MXN</v>
      </c>
      <c r="AE12" s="361"/>
      <c r="AF12" s="352"/>
      <c r="AG12" s="5"/>
      <c r="AH12" s="5"/>
      <c r="AI12" s="79" t="e">
        <f t="shared" ref="AI12" si="17">U12</f>
        <v>#VALUE!</v>
      </c>
      <c r="AJ12" s="147" t="str">
        <f>_xll.BDP(K12&amp;" ISIN","COUPON_FREQUENCY_DESCRIPTION")</f>
        <v>#N/A Review</v>
      </c>
      <c r="AK12" s="148" t="str">
        <f>_xll.BDP(K12&amp;" corp","COUPON")</f>
        <v>#N/A Review</v>
      </c>
      <c r="AL12" s="148" t="str">
        <f>IF(_xll.BDP(K12&amp;" Corp","Defaulted")="Y",0,_xll.BDP(K12&amp;" ISIN","YLD_YTM_MID"))</f>
        <v>#N/A Review</v>
      </c>
      <c r="AM12" s="77" t="str">
        <f>_xll.BDP(K12&amp;" Corp","YAS_MOD_DUR")</f>
        <v>#N/A Review</v>
      </c>
      <c r="AN12" s="39" t="s">
        <v>146</v>
      </c>
      <c r="AO12" s="5" t="s">
        <v>214</v>
      </c>
      <c r="AP12" s="308" t="s">
        <v>140</v>
      </c>
      <c r="AQ12" s="40">
        <v>0</v>
      </c>
      <c r="AR12" s="303" t="s">
        <v>33</v>
      </c>
      <c r="AS12" s="314">
        <f>AS13*8200/23200 + AS14*15000/23200</f>
        <v>19.640621551724138</v>
      </c>
    </row>
    <row r="13" spans="1:45" s="9" customFormat="1">
      <c r="A13" s="251"/>
      <c r="B13" s="158" t="s">
        <v>292</v>
      </c>
      <c r="C13" s="127" t="e">
        <f t="shared" si="7"/>
        <v>#VALUE!</v>
      </c>
      <c r="D13" s="127" t="e">
        <f t="shared" si="8"/>
        <v>#VALUE!</v>
      </c>
      <c r="E13" s="156" t="e">
        <f t="shared" ref="E13" si="18">U13/R13-1</f>
        <v>#VALUE!</v>
      </c>
      <c r="F13" s="156" t="e">
        <f t="shared" ref="F13" si="19">S13/P13-1</f>
        <v>#VALUE!</v>
      </c>
      <c r="G13" s="127" t="e">
        <f t="shared" si="1"/>
        <v>#VALUE!</v>
      </c>
      <c r="H13" s="257">
        <f t="shared" si="6"/>
        <v>35063.490627574029</v>
      </c>
      <c r="I13" s="127"/>
      <c r="J13" s="271" t="str">
        <f>'4. FIEQCMDT_Price'!J$1</f>
        <v>MBONO 8 11/07/2047 Govt</v>
      </c>
      <c r="K13" s="252" t="s">
        <v>372</v>
      </c>
      <c r="L13" s="253" t="s">
        <v>100</v>
      </c>
      <c r="M13" s="128" t="s">
        <v>48</v>
      </c>
      <c r="N13" s="130">
        <v>8200</v>
      </c>
      <c r="O13" s="130">
        <v>89.81</v>
      </c>
      <c r="P13" s="129">
        <v>91.359747999999996</v>
      </c>
      <c r="Q13" s="129">
        <f>1/0.047612</f>
        <v>21.003108460052086</v>
      </c>
      <c r="R13" s="372">
        <f t="shared" si="2"/>
        <v>35668.526638563199</v>
      </c>
      <c r="S13" s="129" t="str">
        <f>_xll.BDP(K13&amp;" Corp","PX_LAST")</f>
        <v>#N/A Review</v>
      </c>
      <c r="T13" s="129" t="str">
        <f>VLOOKUP(M13,'3. FX_Current'!B:C,2,FALSE)</f>
        <v>#N/A Review</v>
      </c>
      <c r="U13" s="129" t="e">
        <f t="shared" si="9"/>
        <v>#VALUE!</v>
      </c>
      <c r="V13" s="129"/>
      <c r="W13" s="254">
        <v>44909</v>
      </c>
      <c r="X13" s="132"/>
      <c r="Y13" s="132"/>
      <c r="Z13" s="132"/>
      <c r="AA13" s="132"/>
      <c r="AB13" s="133"/>
      <c r="AC13" s="133"/>
      <c r="AD13" s="128" t="str">
        <f t="shared" si="3"/>
        <v>MXN</v>
      </c>
      <c r="AE13" s="362"/>
      <c r="AF13" s="134"/>
      <c r="AI13" s="129" t="e">
        <f t="shared" si="12"/>
        <v>#VALUE!</v>
      </c>
      <c r="AJ13" s="149" t="str">
        <f>_xll.BDP(K13&amp;" ISIN","COUPON_FREQUENCY_DESCRIPTION")</f>
        <v>#N/A Review</v>
      </c>
      <c r="AK13" s="150" t="str">
        <f>_xll.BDP(K13&amp;" corp","COUPON")</f>
        <v>#N/A Review</v>
      </c>
      <c r="AL13" s="150" t="str">
        <f>IF(_xll.BDP(K13&amp;" Corp","Defaulted")="Y",0,_xll.BDP(K13&amp;" ISIN","YLD_YTM_MID"))</f>
        <v>#N/A Review</v>
      </c>
      <c r="AM13" s="130" t="str">
        <f>_xll.BDP(K13&amp;" Corp","YAS_MOD_DUR")</f>
        <v>#N/A Review</v>
      </c>
      <c r="AN13" s="128" t="s">
        <v>146</v>
      </c>
      <c r="AO13" s="9" t="s">
        <v>214</v>
      </c>
      <c r="AP13" s="309" t="s">
        <v>140</v>
      </c>
      <c r="AQ13" s="133">
        <v>0</v>
      </c>
      <c r="AR13" s="304" t="s">
        <v>33</v>
      </c>
      <c r="AS13" s="315">
        <v>21.0031</v>
      </c>
    </row>
    <row r="14" spans="1:45" s="9" customFormat="1">
      <c r="A14" s="251"/>
      <c r="B14" s="158" t="s">
        <v>293</v>
      </c>
      <c r="C14" s="127" t="e">
        <f t="shared" ref="C14" si="20">U14/H14-1</f>
        <v>#VALUE!</v>
      </c>
      <c r="D14" s="127" t="e">
        <f t="shared" ref="D14" si="21">S14/O14-1</f>
        <v>#VALUE!</v>
      </c>
      <c r="E14" s="156" t="e">
        <f t="shared" ref="E14:E20" si="22">U14/R14-1</f>
        <v>#VALUE!</v>
      </c>
      <c r="F14" s="156" t="e">
        <f t="shared" ref="F14:F20" si="23">S14/P14-1</f>
        <v>#VALUE!</v>
      </c>
      <c r="G14" s="127" t="e">
        <f t="shared" si="1"/>
        <v>#VALUE!</v>
      </c>
      <c r="H14" s="257">
        <f>N14 * O14 / Q14</f>
        <v>69016.845013177532</v>
      </c>
      <c r="I14" s="127"/>
      <c r="J14" s="271" t="str">
        <f>'4. FIEQCMDT_Price'!J$1</f>
        <v>MBONO 8 11/07/2047 Govt</v>
      </c>
      <c r="K14" s="255" t="s">
        <v>372</v>
      </c>
      <c r="L14" s="253" t="s">
        <v>100</v>
      </c>
      <c r="M14" s="128" t="s">
        <v>48</v>
      </c>
      <c r="N14" s="130">
        <v>15000</v>
      </c>
      <c r="O14" s="130">
        <v>86.941900000000004</v>
      </c>
      <c r="P14" s="129">
        <v>86.941900000000004</v>
      </c>
      <c r="Q14" s="129">
        <v>18.895800000000001</v>
      </c>
      <c r="R14" s="372">
        <f t="shared" si="2"/>
        <v>69016.845013177532</v>
      </c>
      <c r="S14" s="129" t="str">
        <f>_xll.BDP(K14&amp;" Corp","PX_LAST")</f>
        <v>#N/A Review</v>
      </c>
      <c r="T14" s="129" t="str">
        <f>VLOOKUP(M14,'3. FX_Current'!B:C,2,FALSE)</f>
        <v>#N/A Review</v>
      </c>
      <c r="U14" s="129" t="e">
        <f t="shared" ref="U14" si="24">(S14*N14)/T14</f>
        <v>#VALUE!</v>
      </c>
      <c r="V14" s="129"/>
      <c r="W14" s="254">
        <v>45212</v>
      </c>
      <c r="X14" s="132"/>
      <c r="Y14" s="132"/>
      <c r="Z14" s="132"/>
      <c r="AA14" s="132"/>
      <c r="AB14" s="133"/>
      <c r="AC14" s="133"/>
      <c r="AD14" s="128" t="s">
        <v>48</v>
      </c>
      <c r="AE14" s="362"/>
      <c r="AF14" s="134"/>
      <c r="AI14" s="129" t="e">
        <f>U14</f>
        <v>#VALUE!</v>
      </c>
      <c r="AJ14" s="149" t="s">
        <v>463</v>
      </c>
      <c r="AK14" s="150">
        <v>8</v>
      </c>
      <c r="AL14" s="150">
        <v>9.76</v>
      </c>
      <c r="AM14" s="130">
        <v>9.2200000000000006</v>
      </c>
      <c r="AN14" s="128" t="s">
        <v>146</v>
      </c>
      <c r="AO14" s="9" t="s">
        <v>214</v>
      </c>
      <c r="AP14" s="309" t="s">
        <v>33</v>
      </c>
      <c r="AQ14" s="133">
        <v>3</v>
      </c>
      <c r="AR14" s="304" t="s">
        <v>33</v>
      </c>
      <c r="AS14" s="315">
        <v>18.895800000000001</v>
      </c>
    </row>
    <row r="15" spans="1:45">
      <c r="A15" s="91" t="s">
        <v>1</v>
      </c>
      <c r="B15" s="5" t="str">
        <f>_xll.BDP(K15&amp;" Corp","SECURITY_NAME")</f>
        <v>#N/A Review</v>
      </c>
      <c r="C15" s="107" t="e">
        <f t="shared" si="7"/>
        <v>#VALUE!</v>
      </c>
      <c r="D15" s="107" t="e">
        <f t="shared" si="8"/>
        <v>#VALUE!</v>
      </c>
      <c r="E15" s="107" t="e">
        <f t="shared" si="22"/>
        <v>#VALUE!</v>
      </c>
      <c r="F15" s="107" t="e">
        <f t="shared" si="23"/>
        <v>#VALUE!</v>
      </c>
      <c r="G15" s="107" t="e">
        <f t="shared" si="1"/>
        <v>#VALUE!</v>
      </c>
      <c r="H15" s="124">
        <f t="shared" si="6"/>
        <v>112540.29910966459</v>
      </c>
      <c r="I15" s="107"/>
      <c r="J15" s="5" t="str">
        <f>'4. FIEQCMDT_Price'!L$1</f>
        <v>HGB 3 10/27/2038 38/A Govt</v>
      </c>
      <c r="K15" s="246" t="s">
        <v>386</v>
      </c>
      <c r="L15" s="213" t="s">
        <v>222</v>
      </c>
      <c r="M15" s="39" t="s">
        <v>70</v>
      </c>
      <c r="N15" s="77">
        <v>70710000</v>
      </c>
      <c r="O15" s="77">
        <v>0.5917</v>
      </c>
      <c r="P15" s="79">
        <f>O15</f>
        <v>0.5917</v>
      </c>
      <c r="Q15" s="79">
        <f>1/0.002583</f>
        <v>387.14672861014327</v>
      </c>
      <c r="R15" s="79">
        <f t="shared" si="2"/>
        <v>108070.41338099999</v>
      </c>
      <c r="S15" s="79" t="e">
        <f>_xll.BDP(K15&amp;" Isin","PX_LAST")/100</f>
        <v>#VALUE!</v>
      </c>
      <c r="T15" s="79" t="str">
        <f>VLOOKUP(M15,'3. FX_Current'!B:C,2,FALSE)</f>
        <v>#N/A Review</v>
      </c>
      <c r="U15" s="79" t="e">
        <f>(S15*N15)/T15</f>
        <v>#VALUE!</v>
      </c>
      <c r="V15" s="79"/>
      <c r="W15" s="13">
        <v>44937</v>
      </c>
      <c r="X15" s="82" t="str">
        <f>_xll.BDP(K15&amp;" Isin","LAST_UPDATE_DT")</f>
        <v>#N/A Review</v>
      </c>
      <c r="Y15" s="82">
        <v>50705</v>
      </c>
      <c r="Z15" s="82"/>
      <c r="AA15" s="82"/>
      <c r="AB15" s="40"/>
      <c r="AC15" s="40"/>
      <c r="AD15" s="39" t="str">
        <f t="shared" si="3"/>
        <v>HUF</v>
      </c>
      <c r="AE15" s="361"/>
      <c r="AF15" s="352"/>
      <c r="AG15" s="5"/>
      <c r="AH15" s="5"/>
      <c r="AI15" s="79" t="e">
        <f t="shared" si="12"/>
        <v>#VALUE!</v>
      </c>
      <c r="AJ15" s="147" t="str">
        <f>_xll.BDP(K15&amp;" ISIN","COUPON_FREQUENCY_DESCRIPTION")</f>
        <v>#N/A Review</v>
      </c>
      <c r="AK15" s="148" t="str">
        <f>_xll.BDP(K15&amp;" Isin","COUPON")</f>
        <v>#N/A Review</v>
      </c>
      <c r="AL15" s="148" t="str">
        <f>IF(_xll.BDP(K15&amp;" Isin","Defaulted")="Y",0,_xll.BDP(K15&amp;" Isin","YLD_YTM_MID"))</f>
        <v>#N/A Review</v>
      </c>
      <c r="AM15" s="77" t="str">
        <f>_xll.BDP(K15&amp;" Isin","YAS_MOD_DUR")</f>
        <v>#N/A Review</v>
      </c>
      <c r="AN15" s="39" t="s">
        <v>387</v>
      </c>
      <c r="AO15" s="5" t="s">
        <v>214</v>
      </c>
      <c r="AP15" s="308" t="s">
        <v>140</v>
      </c>
      <c r="AQ15" s="40">
        <v>0</v>
      </c>
      <c r="AR15" s="303" t="s">
        <v>33</v>
      </c>
      <c r="AS15" s="314">
        <v>371.77</v>
      </c>
    </row>
    <row r="16" spans="1:45">
      <c r="A16" s="91" t="s">
        <v>1</v>
      </c>
      <c r="B16" s="5" t="str">
        <f>_xll.BDP(K16&amp;" Corp","SECURITY_NAME")</f>
        <v>#N/A Review</v>
      </c>
      <c r="C16" s="107" t="e">
        <f>U16/H16-1</f>
        <v>#VALUE!</v>
      </c>
      <c r="D16" s="107" t="e">
        <f>S16/O16-1</f>
        <v>#VALUE!</v>
      </c>
      <c r="E16" s="107" t="e">
        <f t="shared" si="22"/>
        <v>#VALUE!</v>
      </c>
      <c r="F16" s="107" t="e">
        <f t="shared" si="23"/>
        <v>#VALUE!</v>
      </c>
      <c r="G16" s="107" t="e">
        <f t="shared" si="1"/>
        <v>#VALUE!</v>
      </c>
      <c r="H16" s="124">
        <f t="shared" si="6"/>
        <v>63119.023009844161</v>
      </c>
      <c r="I16" s="107"/>
      <c r="J16" s="5" t="str">
        <f>'4. FIEQCMDT_Price'!M$1</f>
        <v>ASIA 0 01/26/2035 Corp</v>
      </c>
      <c r="K16" s="238" t="s">
        <v>409</v>
      </c>
      <c r="L16" s="218" t="s">
        <v>410</v>
      </c>
      <c r="M16" s="39" t="s">
        <v>77</v>
      </c>
      <c r="N16" s="321">
        <v>1000000000</v>
      </c>
      <c r="O16" s="77">
        <v>0.3145</v>
      </c>
      <c r="P16" s="79">
        <v>0.32329999999999998</v>
      </c>
      <c r="Q16" s="79">
        <v>5083.67</v>
      </c>
      <c r="R16" s="79">
        <f t="shared" si="2"/>
        <v>63595.788082231928</v>
      </c>
      <c r="S16" s="79" t="e">
        <f>_xll.BDP(K16&amp;" Isin","PX_LAST")/100</f>
        <v>#VALUE!</v>
      </c>
      <c r="T16" s="79" t="str">
        <f>VLOOKUP(M16,'3. FX_Current'!B:C,2,FALSE)</f>
        <v>#N/A Review</v>
      </c>
      <c r="U16" s="79" t="e">
        <f>(S16*N16)/T16</f>
        <v>#VALUE!</v>
      </c>
      <c r="V16" s="79"/>
      <c r="W16" s="13">
        <v>44963</v>
      </c>
      <c r="X16" s="82" t="str">
        <f>_xll.BDP(K16&amp;" Isin","LAST_UPDATE_DT")</f>
        <v>#N/A Review</v>
      </c>
      <c r="Y16" s="82">
        <v>49335</v>
      </c>
      <c r="Z16" s="82"/>
      <c r="AA16" s="82"/>
      <c r="AB16" s="40"/>
      <c r="AC16" s="40"/>
      <c r="AD16" s="39" t="str">
        <f t="shared" si="3"/>
        <v>COP</v>
      </c>
      <c r="AE16" s="361"/>
      <c r="AF16" s="352"/>
      <c r="AG16" s="5"/>
      <c r="AH16" s="5"/>
      <c r="AI16" s="79" t="e">
        <f t="shared" si="12"/>
        <v>#VALUE!</v>
      </c>
      <c r="AJ16" s="371" t="s">
        <v>213</v>
      </c>
      <c r="AK16" s="148" t="str">
        <f>_xll.BDP(K16&amp;" Isin","COUPON")</f>
        <v>#N/A Review</v>
      </c>
      <c r="AL16" s="148" t="str">
        <f>IF(_xll.BDP(K16&amp;" Isin","Defaulted")="Y",0,_xll.BDP(K16&amp;" Isin","YLD_YTM_MID"))</f>
        <v>#N/A Review</v>
      </c>
      <c r="AM16" s="77" t="str">
        <f>_xll.BDP(K16&amp;" Isin","YAS_MOD_DUR")</f>
        <v>#N/A Review</v>
      </c>
      <c r="AN16" s="39" t="s">
        <v>145</v>
      </c>
      <c r="AO16" s="5" t="s">
        <v>214</v>
      </c>
      <c r="AP16" s="308" t="s">
        <v>140</v>
      </c>
      <c r="AQ16" s="40">
        <v>0</v>
      </c>
      <c r="AR16" s="303" t="s">
        <v>33</v>
      </c>
      <c r="AS16" s="314">
        <v>4982.6499999999996</v>
      </c>
    </row>
    <row r="17" spans="1:45">
      <c r="A17" s="91" t="s">
        <v>1</v>
      </c>
      <c r="B17" s="5" t="str">
        <f>_xll.BDP(K17&amp;" Isin","SECURITY_NAME")</f>
        <v>#N/A Review</v>
      </c>
      <c r="C17" s="107" t="e">
        <f t="shared" ref="C17:C18" si="25">U17/H17-1</f>
        <v>#VALUE!</v>
      </c>
      <c r="D17" s="107" t="e">
        <f t="shared" ref="D17:D18" si="26">S17/O17-1</f>
        <v>#VALUE!</v>
      </c>
      <c r="E17" s="107" t="e">
        <f t="shared" ref="E17:E18" si="27">U17/R17-1</f>
        <v>#VALUE!</v>
      </c>
      <c r="F17" s="107" t="e">
        <f t="shared" ref="F17:F18" si="28">S17/P17-1</f>
        <v>#VALUE!</v>
      </c>
      <c r="G17" s="107" t="e">
        <f t="shared" si="1"/>
        <v>#VALUE!</v>
      </c>
      <c r="H17" s="124">
        <f t="shared" ref="H17" si="29">N17 * O17 / AS17</f>
        <v>97225</v>
      </c>
      <c r="I17" s="107"/>
      <c r="J17" s="5" t="str">
        <f>'4. FIEQCMDT_Price'!N$1</f>
        <v>BX303989  Corp</v>
      </c>
      <c r="K17" s="238" t="s">
        <v>524</v>
      </c>
      <c r="L17" s="370" t="s">
        <v>29</v>
      </c>
      <c r="M17" s="369" t="s">
        <v>29</v>
      </c>
      <c r="N17" s="321">
        <v>100000</v>
      </c>
      <c r="O17" s="77">
        <v>0.97224999999999995</v>
      </c>
      <c r="P17" s="79">
        <v>0.97284999999999999</v>
      </c>
      <c r="Q17" s="79">
        <v>1</v>
      </c>
      <c r="R17" s="79">
        <f t="shared" si="2"/>
        <v>97285</v>
      </c>
      <c r="S17" s="79" t="e">
        <f>_xll.BDP(K17&amp;" isin","PX_LAST")/100</f>
        <v>#VALUE!</v>
      </c>
      <c r="T17" s="79">
        <f>VLOOKUP(M17,'3. FX_Current'!$B$3:$C$23,2,FALSE)</f>
        <v>1</v>
      </c>
      <c r="U17" s="79" t="e">
        <f t="shared" ref="U17" si="30">(S17*N17)/T17</f>
        <v>#VALUE!</v>
      </c>
      <c r="V17" s="79"/>
      <c r="W17" s="13">
        <v>45275</v>
      </c>
      <c r="X17" s="82" t="str">
        <f>_xll.BDP(K17&amp;" ISIN","LAST_UPDATE_DT")</f>
        <v>#N/A Review</v>
      </c>
      <c r="Y17" s="82">
        <v>46675</v>
      </c>
      <c r="Z17" s="82"/>
      <c r="AA17" s="82"/>
      <c r="AB17" s="40"/>
      <c r="AC17" s="40"/>
      <c r="AD17" s="39" t="str">
        <f t="shared" ref="AD17" si="31">M17</f>
        <v>EUR</v>
      </c>
      <c r="AE17" s="361"/>
      <c r="AF17" s="352"/>
      <c r="AG17" s="5"/>
      <c r="AH17" s="5"/>
      <c r="AI17" s="79" t="e">
        <f>U17</f>
        <v>#VALUE!</v>
      </c>
      <c r="AJ17" s="147" t="str">
        <f>_xll.BDP(K17&amp;" ISIN","COUPON_FREQUENCY_DESCRIPTION")</f>
        <v>#N/A Review</v>
      </c>
      <c r="AK17" s="148" t="str">
        <f>_xll.BDP(K17&amp;" Isin","COUPON")</f>
        <v>#N/A Review</v>
      </c>
      <c r="AL17" s="148" t="str">
        <f>IF(_xll.BDP(K17&amp;" Isin","Defaulted")="Y",0,_xll.BDP(K17&amp;" Isin","YLD_YTM_MID"))</f>
        <v>#N/A Review</v>
      </c>
      <c r="AM17" s="77" t="str">
        <f>_xll.BDP(K17&amp;" Isin","YAS_MOD_DUR")</f>
        <v>#N/A Review</v>
      </c>
      <c r="AN17" s="39" t="s">
        <v>145</v>
      </c>
      <c r="AO17" s="5" t="s">
        <v>214</v>
      </c>
      <c r="AP17" s="308" t="s">
        <v>140</v>
      </c>
      <c r="AQ17" s="40">
        <v>0</v>
      </c>
      <c r="AR17" s="303" t="s">
        <v>33</v>
      </c>
      <c r="AS17" s="314">
        <v>1</v>
      </c>
    </row>
    <row r="18" spans="1:45">
      <c r="A18" s="137" t="s">
        <v>2</v>
      </c>
      <c r="B18" s="137" t="str">
        <f>_xll.BDP(K18&amp;" Isin","SECURITY_NAME")</f>
        <v>#N/A Review</v>
      </c>
      <c r="C18" s="138">
        <f t="shared" si="25"/>
        <v>5.6546382752458824E-2</v>
      </c>
      <c r="D18" s="138">
        <f t="shared" si="26"/>
        <v>5.6546382752458602E-2</v>
      </c>
      <c r="E18" s="108">
        <f t="shared" si="27"/>
        <v>5.6546382752458824E-2</v>
      </c>
      <c r="F18" s="108">
        <f t="shared" si="28"/>
        <v>5.6546382752458602E-2</v>
      </c>
      <c r="G18" s="108" t="e">
        <f t="shared" si="1"/>
        <v>#N/A</v>
      </c>
      <c r="H18" s="319">
        <f t="shared" si="6"/>
        <v>32829.509963999997</v>
      </c>
      <c r="I18" s="320"/>
      <c r="J18" s="201" t="str">
        <f>_xll.BDP(K18&amp;" ISIN","TICKER_AND_EXCH_CODE")</f>
        <v>#N/A Review</v>
      </c>
      <c r="K18" s="409" t="s">
        <v>528</v>
      </c>
      <c r="L18" s="410" t="s">
        <v>29</v>
      </c>
      <c r="M18" s="411" t="s">
        <v>29</v>
      </c>
      <c r="N18" s="412">
        <v>167</v>
      </c>
      <c r="O18" s="202">
        <v>196.58389199999999</v>
      </c>
      <c r="P18" s="202">
        <v>196.58389199999999</v>
      </c>
      <c r="Q18" s="202">
        <v>1</v>
      </c>
      <c r="R18" s="141">
        <f t="shared" ref="R18:R21" si="32">P18*N18/Q18</f>
        <v>32829.509963999997</v>
      </c>
      <c r="S18" s="140">
        <f>207.7</f>
        <v>207.7</v>
      </c>
      <c r="T18" s="202">
        <v>1</v>
      </c>
      <c r="U18" s="202">
        <f t="shared" si="9"/>
        <v>34685.9</v>
      </c>
      <c r="V18" s="202"/>
      <c r="W18" s="413">
        <v>45257</v>
      </c>
      <c r="X18" s="143" t="str">
        <f>_xll.BDP(K18&amp;" ISIN","LAST_UPDATE_DT")</f>
        <v>#N/A Review</v>
      </c>
      <c r="Y18" s="414"/>
      <c r="Z18" s="414"/>
      <c r="AA18" s="414"/>
      <c r="AB18" s="406"/>
      <c r="AC18" s="406"/>
      <c r="AD18" s="27" t="s">
        <v>29</v>
      </c>
      <c r="AE18" s="415"/>
      <c r="AF18" s="416"/>
      <c r="AG18" s="417"/>
      <c r="AH18" s="417"/>
      <c r="AI18" s="140">
        <f>U18</f>
        <v>34685.9</v>
      </c>
      <c r="AJ18" s="374" t="s">
        <v>213</v>
      </c>
      <c r="AK18" s="151">
        <v>0</v>
      </c>
      <c r="AL18" s="151"/>
      <c r="AM18" s="405"/>
      <c r="AN18" s="27"/>
      <c r="AO18" s="144" t="s">
        <v>214</v>
      </c>
      <c r="AP18" s="310" t="s">
        <v>140</v>
      </c>
      <c r="AQ18" s="406">
        <v>0</v>
      </c>
      <c r="AR18" s="407" t="s">
        <v>33</v>
      </c>
      <c r="AS18" s="408">
        <v>1</v>
      </c>
    </row>
    <row r="19" spans="1:45" s="146" customFormat="1">
      <c r="A19" s="137" t="s">
        <v>2</v>
      </c>
      <c r="B19" s="137" t="str">
        <f>_xll.BDP(K19&amp;" Isin","SECURITY_NAME")</f>
        <v>#N/A Review</v>
      </c>
      <c r="C19" s="138" t="e">
        <f t="shared" si="7"/>
        <v>#VALUE!</v>
      </c>
      <c r="D19" s="138" t="e">
        <f t="shared" si="8"/>
        <v>#VALUE!</v>
      </c>
      <c r="E19" s="108" t="e">
        <f t="shared" si="22"/>
        <v>#VALUE!</v>
      </c>
      <c r="F19" s="108" t="e">
        <f t="shared" si="23"/>
        <v>#VALUE!</v>
      </c>
      <c r="G19" s="108" t="e">
        <f t="shared" si="1"/>
        <v>#VALUE!</v>
      </c>
      <c r="H19" s="319">
        <f t="shared" si="6"/>
        <v>37511.570922951265</v>
      </c>
      <c r="I19" s="320"/>
      <c r="J19" s="201" t="str">
        <f>_xll.BDP(K19&amp;" ISIN","TICKER_AND_EXCH_CODE")</f>
        <v>#N/A Review</v>
      </c>
      <c r="K19" s="201" t="s">
        <v>368</v>
      </c>
      <c r="L19" s="201" t="s">
        <v>37</v>
      </c>
      <c r="M19" s="27" t="s">
        <v>52</v>
      </c>
      <c r="N19" s="141">
        <v>200</v>
      </c>
      <c r="O19" s="141">
        <v>206.67</v>
      </c>
      <c r="P19" s="140">
        <v>207.46</v>
      </c>
      <c r="Q19" s="140">
        <v>0.948272</v>
      </c>
      <c r="R19" s="141">
        <f t="shared" si="32"/>
        <v>43755.378203722139</v>
      </c>
      <c r="S19" s="140" t="str">
        <f>_xll.BDP(K19&amp;" isin","PX_LAST")</f>
        <v>#N/A Review</v>
      </c>
      <c r="T19" s="140" t="str">
        <f>VLOOKUP(M19,'3. FX_Current'!$B$3:$C$23,2,FALSE)</f>
        <v>#N/A Review</v>
      </c>
      <c r="U19" s="202" t="e">
        <f t="shared" si="9"/>
        <v>#VALUE!</v>
      </c>
      <c r="V19" s="350"/>
      <c r="W19" s="142">
        <v>44903</v>
      </c>
      <c r="X19" s="143" t="str">
        <f>_xll.BDP(K19&amp;" ISIN","LAST_UPDATE_DT")</f>
        <v>#N/A Review</v>
      </c>
      <c r="Y19" s="355"/>
      <c r="Z19" s="349"/>
      <c r="AA19" s="349"/>
      <c r="AB19" s="346"/>
      <c r="AC19" s="346"/>
      <c r="AD19" s="139" t="str">
        <f t="shared" si="3"/>
        <v>USD</v>
      </c>
      <c r="AE19" s="363"/>
      <c r="AF19" s="347"/>
      <c r="AG19" s="348"/>
      <c r="AH19" s="348"/>
      <c r="AI19" s="140" t="e">
        <f>U19</f>
        <v>#VALUE!</v>
      </c>
      <c r="AJ19" s="374" t="str">
        <f>_xll.BDP(K19&amp;" ISIN","DVD_FREQ")</f>
        <v>#N/A Review</v>
      </c>
      <c r="AK19" s="151" t="str">
        <f>_xll.BDP(K19&amp;" Equity","EQY_DVD_YLD_IND")</f>
        <v>#N/A Review</v>
      </c>
      <c r="AL19" s="344"/>
      <c r="AM19" s="345"/>
      <c r="AN19" s="345"/>
      <c r="AO19" s="144" t="s">
        <v>214</v>
      </c>
      <c r="AP19" s="310" t="s">
        <v>140</v>
      </c>
      <c r="AQ19" s="145">
        <v>0</v>
      </c>
      <c r="AR19" s="305" t="s">
        <v>33</v>
      </c>
      <c r="AS19" s="316">
        <v>1.1019000000000001</v>
      </c>
    </row>
    <row r="20" spans="1:45" s="146" customFormat="1">
      <c r="A20" s="137" t="s">
        <v>2</v>
      </c>
      <c r="B20" s="137" t="str">
        <f>_xll.BDP(K20&amp;" Isin","SECURITY_NAME")</f>
        <v>#N/A Review</v>
      </c>
      <c r="C20" s="138">
        <v>0</v>
      </c>
      <c r="D20" s="138">
        <v>0</v>
      </c>
      <c r="E20" s="108">
        <f t="shared" si="22"/>
        <v>-1</v>
      </c>
      <c r="F20" s="108">
        <f t="shared" si="23"/>
        <v>-1</v>
      </c>
      <c r="G20" s="108" t="e">
        <f t="shared" si="1"/>
        <v>#N/A</v>
      </c>
      <c r="H20" s="319">
        <v>0</v>
      </c>
      <c r="I20" s="320"/>
      <c r="J20" s="201" t="str">
        <f>_xll.BDP(K20&amp;" ISIN","TICKER_AND_EXCH_CODE")</f>
        <v>#N/A Review</v>
      </c>
      <c r="K20" s="137" t="s">
        <v>97</v>
      </c>
      <c r="L20" s="137" t="s">
        <v>98</v>
      </c>
      <c r="M20" s="139" t="s">
        <v>29</v>
      </c>
      <c r="N20" s="141">
        <v>2422</v>
      </c>
      <c r="O20" s="141">
        <v>0</v>
      </c>
      <c r="P20" s="140">
        <v>51.615206000000001</v>
      </c>
      <c r="Q20" s="140">
        <v>1</v>
      </c>
      <c r="R20" s="141">
        <f t="shared" si="32"/>
        <v>125012.028932</v>
      </c>
      <c r="S20" s="140">
        <v>0</v>
      </c>
      <c r="T20" s="140">
        <f>VLOOKUP(M20,'3. FX_Current'!$B$3:$C$23,2,FALSE)</f>
        <v>1</v>
      </c>
      <c r="U20" s="202">
        <v>0</v>
      </c>
      <c r="V20" s="350"/>
      <c r="W20" s="142">
        <v>44512</v>
      </c>
      <c r="X20" s="143">
        <v>45030</v>
      </c>
      <c r="Y20" s="355"/>
      <c r="Z20" s="349"/>
      <c r="AA20" s="349"/>
      <c r="AB20" s="346"/>
      <c r="AC20" s="346"/>
      <c r="AD20" s="139" t="str">
        <f t="shared" si="3"/>
        <v>EUR</v>
      </c>
      <c r="AE20" s="363"/>
      <c r="AF20" s="347"/>
      <c r="AG20" s="348"/>
      <c r="AH20" s="348"/>
      <c r="AI20" s="140">
        <f t="shared" si="12"/>
        <v>0</v>
      </c>
      <c r="AJ20" s="374" t="s">
        <v>213</v>
      </c>
      <c r="AK20" s="151">
        <v>0</v>
      </c>
      <c r="AL20" s="344"/>
      <c r="AM20" s="345"/>
      <c r="AN20" s="345"/>
      <c r="AO20" s="144" t="s">
        <v>214</v>
      </c>
      <c r="AP20" s="311" t="s">
        <v>33</v>
      </c>
      <c r="AQ20" s="145">
        <v>0</v>
      </c>
      <c r="AR20" s="305" t="s">
        <v>33</v>
      </c>
      <c r="AS20" s="316">
        <v>0</v>
      </c>
    </row>
    <row r="21" spans="1:45" s="146" customFormat="1">
      <c r="A21" s="137" t="s">
        <v>2</v>
      </c>
      <c r="B21" s="137" t="str">
        <f>_xll.BDP(K21&amp;" Isin","SECURITY_NAME")</f>
        <v>#N/A Review</v>
      </c>
      <c r="C21" s="138">
        <f>U21/H21-1</f>
        <v>5.1692307692307704E-2</v>
      </c>
      <c r="D21" s="138">
        <f t="shared" ref="D21:D27" si="33">S21/O21-1</f>
        <v>5.1692307692307704E-2</v>
      </c>
      <c r="E21" s="108">
        <f t="shared" ref="E21" si="34">U21/R21-1</f>
        <v>-2.5415651456816235E-2</v>
      </c>
      <c r="F21" s="108">
        <f t="shared" ref="F21" si="35">S21/P21-1</f>
        <v>-2.5415651456816235E-2</v>
      </c>
      <c r="G21" s="108" t="e">
        <f t="shared" si="1"/>
        <v>#N/A</v>
      </c>
      <c r="H21" s="319">
        <f t="shared" si="6"/>
        <v>57525</v>
      </c>
      <c r="I21" s="320"/>
      <c r="J21" s="201" t="str">
        <f>_xll.BDP(K21&amp;" ISIN","TICKER_AND_EXCH_CODE")</f>
        <v>#N/A Review</v>
      </c>
      <c r="K21" s="201" t="s">
        <v>404</v>
      </c>
      <c r="L21" s="201" t="s">
        <v>405</v>
      </c>
      <c r="M21" s="27" t="s">
        <v>29</v>
      </c>
      <c r="N21" s="141">
        <v>885</v>
      </c>
      <c r="O21" s="141">
        <v>65</v>
      </c>
      <c r="P21" s="140">
        <v>70.142723000000004</v>
      </c>
      <c r="Q21" s="140">
        <v>1</v>
      </c>
      <c r="R21" s="141">
        <f t="shared" si="32"/>
        <v>62076.309855000007</v>
      </c>
      <c r="S21" s="140">
        <f>68.36</f>
        <v>68.36</v>
      </c>
      <c r="T21" s="140">
        <f>VLOOKUP(M21,'3. FX_Current'!$B$3:$C$23,2,FALSE)</f>
        <v>1</v>
      </c>
      <c r="U21" s="202">
        <f>(S21*N21)/T21</f>
        <v>60498.6</v>
      </c>
      <c r="V21" s="350"/>
      <c r="W21" s="142">
        <v>44956</v>
      </c>
      <c r="X21" s="143">
        <v>45289</v>
      </c>
      <c r="Y21" s="355"/>
      <c r="Z21" s="349"/>
      <c r="AA21" s="349"/>
      <c r="AB21" s="346"/>
      <c r="AC21" s="346"/>
      <c r="AD21" s="139" t="str">
        <f t="shared" si="3"/>
        <v>EUR</v>
      </c>
      <c r="AE21" s="363"/>
      <c r="AF21" s="347"/>
      <c r="AG21" s="348"/>
      <c r="AH21" s="348"/>
      <c r="AI21" s="140">
        <f>U21</f>
        <v>60498.6</v>
      </c>
      <c r="AJ21" s="374" t="s">
        <v>213</v>
      </c>
      <c r="AK21" s="151">
        <v>0</v>
      </c>
      <c r="AL21" s="344"/>
      <c r="AM21" s="345"/>
      <c r="AN21" s="345"/>
      <c r="AO21" s="144" t="s">
        <v>214</v>
      </c>
      <c r="AP21" s="310" t="s">
        <v>140</v>
      </c>
      <c r="AQ21" s="145">
        <v>0</v>
      </c>
      <c r="AR21" s="305" t="s">
        <v>33</v>
      </c>
      <c r="AS21" s="316">
        <v>1</v>
      </c>
    </row>
    <row r="22" spans="1:45" s="146" customFormat="1">
      <c r="A22" s="137" t="s">
        <v>2</v>
      </c>
      <c r="B22" s="137" t="str">
        <f>_xll.BDP(K22&amp;" Isin","SECURITY_NAME")</f>
        <v>#N/A Review</v>
      </c>
      <c r="C22" s="138" t="e">
        <f t="shared" ref="C22:C27" si="36">U22/H22-1</f>
        <v>#VALUE!</v>
      </c>
      <c r="D22" s="138" t="e">
        <f t="shared" si="33"/>
        <v>#VALUE!</v>
      </c>
      <c r="E22" s="108" t="e">
        <f t="shared" ref="E22:E26" si="37">U22/R22-1</f>
        <v>#VALUE!</v>
      </c>
      <c r="F22" s="108" t="e">
        <f t="shared" ref="F22:F26" si="38">S22/P22-1</f>
        <v>#VALUE!</v>
      </c>
      <c r="G22" s="108" t="e">
        <f t="shared" si="1"/>
        <v>#VALUE!</v>
      </c>
      <c r="H22" s="319">
        <f t="shared" si="6"/>
        <v>64912.5</v>
      </c>
      <c r="I22" s="320"/>
      <c r="J22" s="201" t="str">
        <f>_xll.BDP(K22&amp;" ISIN","TICKER_AND_EXCH_CODE")</f>
        <v>#N/A Review</v>
      </c>
      <c r="K22" s="201" t="s">
        <v>426</v>
      </c>
      <c r="L22" s="201" t="s">
        <v>427</v>
      </c>
      <c r="M22" s="27" t="s">
        <v>29</v>
      </c>
      <c r="N22" s="141">
        <v>450</v>
      </c>
      <c r="O22" s="141">
        <v>144.25</v>
      </c>
      <c r="P22" s="140">
        <v>133.20500000000001</v>
      </c>
      <c r="Q22" s="140">
        <v>1</v>
      </c>
      <c r="R22" s="141">
        <f>P22*N22/Q22</f>
        <v>59942.250000000007</v>
      </c>
      <c r="S22" s="140" t="str">
        <f>_xll.BDP(J22&amp;" Equity","PX_LAST")</f>
        <v>#N/A Review Equity</v>
      </c>
      <c r="T22" s="140">
        <f>VLOOKUP(M22,'3. FX_Current'!$B$3:$C$23,2,FALSE)</f>
        <v>1</v>
      </c>
      <c r="U22" s="202" t="e">
        <f t="shared" ref="U22:U27" si="39">(S22*N22)/T22</f>
        <v>#VALUE!</v>
      </c>
      <c r="V22" s="350"/>
      <c r="W22" s="142">
        <v>45002</v>
      </c>
      <c r="X22" s="143" t="str">
        <f>_xll.BDP(K22&amp;" ISIN","LAST_UPDATE_DT")</f>
        <v>#N/A Review</v>
      </c>
      <c r="Y22" s="355"/>
      <c r="Z22" s="349"/>
      <c r="AA22" s="349"/>
      <c r="AB22" s="346"/>
      <c r="AC22" s="346"/>
      <c r="AD22" s="139" t="str">
        <f>M22</f>
        <v>EUR</v>
      </c>
      <c r="AE22" s="363"/>
      <c r="AF22" s="347"/>
      <c r="AG22" s="348"/>
      <c r="AH22" s="348"/>
      <c r="AI22" s="140" t="e">
        <f>U22</f>
        <v>#VALUE!</v>
      </c>
      <c r="AJ22" s="374" t="s">
        <v>213</v>
      </c>
      <c r="AK22" s="151">
        <v>0</v>
      </c>
      <c r="AL22" s="344"/>
      <c r="AM22" s="345"/>
      <c r="AN22" s="345"/>
      <c r="AO22" s="144" t="s">
        <v>214</v>
      </c>
      <c r="AP22" s="310" t="s">
        <v>140</v>
      </c>
      <c r="AQ22" s="145">
        <v>0</v>
      </c>
      <c r="AR22" s="305" t="s">
        <v>33</v>
      </c>
      <c r="AS22" s="316">
        <v>1</v>
      </c>
    </row>
    <row r="23" spans="1:45" s="146" customFormat="1">
      <c r="A23" s="137" t="s">
        <v>2</v>
      </c>
      <c r="B23" s="137" t="str">
        <f>_xll.BDP(K23&amp;" Isin","SECURITY_NAME")</f>
        <v>#N/A Review</v>
      </c>
      <c r="C23" s="138" t="e">
        <f t="shared" si="36"/>
        <v>#VALUE!</v>
      </c>
      <c r="D23" s="138" t="e">
        <f t="shared" si="33"/>
        <v>#VALUE!</v>
      </c>
      <c r="E23" s="108" t="e">
        <f t="shared" si="37"/>
        <v>#VALUE!</v>
      </c>
      <c r="F23" s="108" t="e">
        <f t="shared" si="38"/>
        <v>#VALUE!</v>
      </c>
      <c r="G23" s="108" t="e">
        <f t="shared" si="1"/>
        <v>#VALUE!</v>
      </c>
      <c r="H23" s="319">
        <f t="shared" si="6"/>
        <v>57282.87503403212</v>
      </c>
      <c r="I23" s="320"/>
      <c r="J23" s="201" t="str">
        <f>_xll.BDP(K23&amp;" ISIN","TICKER_AND_EXCH_CODE")</f>
        <v>#N/A Review</v>
      </c>
      <c r="K23" s="201" t="s">
        <v>429</v>
      </c>
      <c r="L23" s="201" t="s">
        <v>170</v>
      </c>
      <c r="M23" s="27" t="s">
        <v>52</v>
      </c>
      <c r="N23" s="141">
        <v>2000</v>
      </c>
      <c r="O23" s="141">
        <v>31.56</v>
      </c>
      <c r="P23" s="140">
        <v>30.175000000000001</v>
      </c>
      <c r="Q23" s="140">
        <f xml:space="preserve"> 1/0.926655</f>
        <v>1.0791502770718335</v>
      </c>
      <c r="R23" s="141">
        <f>P23*N23/Q23</f>
        <v>55923.629250000005</v>
      </c>
      <c r="S23" s="140" t="str">
        <f>_xll.BDP(J23&amp;" Equity","PX_LAST")</f>
        <v>#N/A Review Equity</v>
      </c>
      <c r="T23" s="140" t="str">
        <f>VLOOKUP(M23,'3. FX_Current'!$B$3:$C$23,2,FALSE)</f>
        <v>#N/A Review</v>
      </c>
      <c r="U23" s="202" t="e">
        <f t="shared" si="39"/>
        <v>#VALUE!</v>
      </c>
      <c r="V23" s="350"/>
      <c r="W23" s="142">
        <v>45007</v>
      </c>
      <c r="X23" s="143" t="str">
        <f>_xll.BDP(K23&amp;" ISIN","LAST_UPDATE_DT")</f>
        <v>#N/A Review</v>
      </c>
      <c r="Y23" s="355"/>
      <c r="Z23" s="349"/>
      <c r="AA23" s="349"/>
      <c r="AB23" s="346"/>
      <c r="AC23" s="346"/>
      <c r="AD23" s="139" t="str">
        <f>M23</f>
        <v>USD</v>
      </c>
      <c r="AE23" s="363"/>
      <c r="AF23" s="347"/>
      <c r="AG23" s="348"/>
      <c r="AH23" s="348"/>
      <c r="AI23" s="140" t="e">
        <f>U23</f>
        <v>#VALUE!</v>
      </c>
      <c r="AJ23" s="374" t="s">
        <v>213</v>
      </c>
      <c r="AK23" s="151">
        <v>0</v>
      </c>
      <c r="AL23" s="344"/>
      <c r="AM23" s="345"/>
      <c r="AN23" s="345"/>
      <c r="AO23" s="144" t="s">
        <v>214</v>
      </c>
      <c r="AP23" s="310" t="s">
        <v>140</v>
      </c>
      <c r="AQ23" s="145">
        <v>0</v>
      </c>
      <c r="AR23" s="305" t="s">
        <v>33</v>
      </c>
      <c r="AS23" s="316">
        <v>1.1019000000000001</v>
      </c>
    </row>
    <row r="24" spans="1:45">
      <c r="A24" s="41" t="s">
        <v>229</v>
      </c>
      <c r="B24" s="41" t="str">
        <f>_xll.BDP(K24&amp;" Isin","SECURITY_NAME")</f>
        <v>#N/A Review</v>
      </c>
      <c r="C24" s="122" t="e">
        <f t="shared" si="36"/>
        <v>#VALUE!</v>
      </c>
      <c r="D24" s="122" t="e">
        <f t="shared" si="33"/>
        <v>#VALUE!</v>
      </c>
      <c r="E24" s="122" t="e">
        <f t="shared" si="37"/>
        <v>#VALUE!</v>
      </c>
      <c r="F24" s="122" t="e">
        <f t="shared" si="38"/>
        <v>#VALUE!</v>
      </c>
      <c r="G24" s="122" t="e">
        <f t="shared" si="1"/>
        <v>#VALUE!</v>
      </c>
      <c r="H24" s="318">
        <f t="shared" si="6"/>
        <v>50884.835284508568</v>
      </c>
      <c r="I24" s="122"/>
      <c r="J24" s="41" t="str">
        <f>_xll.BDP(K24&amp;" ISIN","TICKER_AND_EXCH_CODE")</f>
        <v>#N/A Review</v>
      </c>
      <c r="K24" s="41" t="s">
        <v>106</v>
      </c>
      <c r="L24" s="41" t="s">
        <v>37</v>
      </c>
      <c r="M24" s="43" t="str">
        <f>_xll.BDP(K24&amp;" ISIN","CRNCY")</f>
        <v>#N/A Review</v>
      </c>
      <c r="N24" s="78">
        <v>1800</v>
      </c>
      <c r="O24" s="78">
        <v>31.15</v>
      </c>
      <c r="P24" s="88">
        <f>66.88/2</f>
        <v>33.44</v>
      </c>
      <c r="Q24" s="88">
        <f>1/0.824776</f>
        <v>1.2124504107781993</v>
      </c>
      <c r="R24" s="88">
        <f t="shared" ref="R24:R30" si="40">P24*N24/Q24</f>
        <v>49644.916991999991</v>
      </c>
      <c r="S24" s="88" t="str">
        <f>_xll.BDP(K24&amp;" isin","PX_LAST")</f>
        <v>#N/A Review</v>
      </c>
      <c r="T24" s="88" t="e">
        <f>VLOOKUP(M24,'3. FX_Current'!$B$3:$C$23,2,FALSE)</f>
        <v>#N/A</v>
      </c>
      <c r="U24" s="88" t="e">
        <f t="shared" si="39"/>
        <v>#VALUE!</v>
      </c>
      <c r="V24" s="88"/>
      <c r="W24" s="339">
        <v>44676</v>
      </c>
      <c r="X24" s="83" t="str">
        <f>_xll.BDP(K24&amp;" ISIN","LAST_UPDATE_DT")</f>
        <v>#N/A Review</v>
      </c>
      <c r="Y24" s="356"/>
      <c r="Z24" s="84"/>
      <c r="AA24" s="84"/>
      <c r="AB24" s="44"/>
      <c r="AC24" s="44"/>
      <c r="AD24" s="43" t="str">
        <f t="shared" si="3"/>
        <v>#N/A Review</v>
      </c>
      <c r="AE24" s="364"/>
      <c r="AF24" s="86"/>
      <c r="AG24" s="42"/>
      <c r="AH24" s="42"/>
      <c r="AI24" s="88" t="e">
        <f t="shared" si="12"/>
        <v>#VALUE!</v>
      </c>
      <c r="AJ24" s="340" t="str">
        <f>_xll.BDP(K24&amp;" ISIN","DVD_FREQ")</f>
        <v>#N/A Review</v>
      </c>
      <c r="AK24" s="152" t="str">
        <f>_xll.BDP(K24&amp;" Equity","EQY_DVD_YLD_IND")</f>
        <v>#N/A Review</v>
      </c>
      <c r="AL24" s="152"/>
      <c r="AM24" s="43"/>
      <c r="AN24" s="43"/>
      <c r="AO24" s="10" t="s">
        <v>214</v>
      </c>
      <c r="AP24" s="341" t="s">
        <v>33</v>
      </c>
      <c r="AQ24" s="44">
        <v>0</v>
      </c>
      <c r="AR24" s="342" t="s">
        <v>33</v>
      </c>
      <c r="AS24" s="343">
        <v>1.1019000000000001</v>
      </c>
    </row>
    <row r="25" spans="1:45">
      <c r="A25" s="41" t="s">
        <v>229</v>
      </c>
      <c r="B25" s="41" t="str">
        <f>_xll.BDP(K25&amp;" ISIN","SECURITY_NAME")</f>
        <v>#N/A Review</v>
      </c>
      <c r="C25" s="122" t="e">
        <f t="shared" ref="C25" si="41">U25/H25-1</f>
        <v>#VALUE!</v>
      </c>
      <c r="D25" s="122" t="e">
        <f t="shared" ref="D25" si="42">S25/O25-1</f>
        <v>#VALUE!</v>
      </c>
      <c r="E25" s="122" t="e">
        <f t="shared" si="37"/>
        <v>#VALUE!</v>
      </c>
      <c r="F25" s="122" t="e">
        <f t="shared" si="38"/>
        <v>#VALUE!</v>
      </c>
      <c r="G25" s="122" t="e">
        <f t="shared" si="1"/>
        <v>#VALUE!</v>
      </c>
      <c r="H25" s="318">
        <f>N25 * O25 /AS25</f>
        <v>74080.002235684879</v>
      </c>
      <c r="I25" s="122"/>
      <c r="J25" s="41" t="str">
        <f>_xll.BDP(K25&amp;" ISIN","TICKER_AND_EXCH_CODE")</f>
        <v>#N/A Review</v>
      </c>
      <c r="K25" s="422" t="s">
        <v>532</v>
      </c>
      <c r="L25" s="42" t="s">
        <v>37</v>
      </c>
      <c r="M25" s="43" t="s">
        <v>52</v>
      </c>
      <c r="N25" s="78">
        <v>2541</v>
      </c>
      <c r="O25" s="78">
        <v>31.455832350000001</v>
      </c>
      <c r="P25" s="88">
        <f>P26*N26/(N26+N27) + P27*N27/(N26+N27)</f>
        <v>32.371003541912636</v>
      </c>
      <c r="Q25" s="88">
        <f>Q26*N26/(N26+N27) + Q27*N27/(N26+N27)</f>
        <v>1.029960084880001</v>
      </c>
      <c r="R25" s="88">
        <f>P25*N25/Q25</f>
        <v>79862.046313749495</v>
      </c>
      <c r="S25" s="88" t="str">
        <f>_xll.BDP(K25&amp;" Isin","PX_LAST")</f>
        <v>#N/A Review</v>
      </c>
      <c r="T25" s="88" t="str">
        <f>VLOOKUP(M25,'3. FX_Current'!$B$3:$C$23,2,FALSE)</f>
        <v>#N/A Review</v>
      </c>
      <c r="U25" s="88" t="e">
        <f t="shared" ref="U25" si="43">(S25*N25)/T25</f>
        <v>#VALUE!</v>
      </c>
      <c r="V25" s="88"/>
      <c r="W25" s="339">
        <v>44843</v>
      </c>
      <c r="X25" s="83" t="str">
        <f>_xll.BDP(K25&amp;" ISIN","LAST_UPDATE_DT")</f>
        <v>#N/A Review</v>
      </c>
      <c r="Y25" s="356"/>
      <c r="Z25" s="84"/>
      <c r="AA25" s="84"/>
      <c r="AB25" s="44"/>
      <c r="AC25" s="44"/>
      <c r="AD25" s="43" t="str">
        <f t="shared" ref="AD25" si="44">M25</f>
        <v>USD</v>
      </c>
      <c r="AE25" s="364"/>
      <c r="AF25" s="86"/>
      <c r="AG25" s="41"/>
      <c r="AH25" s="41"/>
      <c r="AI25" s="88" t="e">
        <f t="shared" ref="AI25" si="45">U25</f>
        <v>#VALUE!</v>
      </c>
      <c r="AJ25" s="340" t="str">
        <f>_xll.BDP(K25&amp;" ISIN","DVD_FREQ")</f>
        <v>#N/A Review</v>
      </c>
      <c r="AK25" s="152" t="str">
        <f>_xll.BDP(K25&amp;" Equity","EQY_DVD_YLD_IND")</f>
        <v>#N/A Review</v>
      </c>
      <c r="AL25" s="152"/>
      <c r="AM25" s="43"/>
      <c r="AN25" s="43"/>
      <c r="AO25" s="10" t="s">
        <v>214</v>
      </c>
      <c r="AP25" s="341" t="s">
        <v>33</v>
      </c>
      <c r="AQ25" s="44">
        <v>0</v>
      </c>
      <c r="AR25" s="342" t="s">
        <v>33</v>
      </c>
      <c r="AS25" s="343">
        <f>AS26*N26/(N26+N27) + AS27*N27/(N26+N27)</f>
        <v>1.0789587957497049</v>
      </c>
    </row>
    <row r="26" spans="1:45" s="271" customFormat="1">
      <c r="A26" s="256"/>
      <c r="B26" s="256"/>
      <c r="C26" s="156" t="e">
        <f t="shared" si="36"/>
        <v>#VALUE!</v>
      </c>
      <c r="D26" s="156" t="e">
        <f t="shared" si="33"/>
        <v>#VALUE!</v>
      </c>
      <c r="E26" s="156" t="e">
        <f t="shared" si="37"/>
        <v>#VALUE!</v>
      </c>
      <c r="F26" s="156" t="e">
        <f t="shared" si="38"/>
        <v>#VALUE!</v>
      </c>
      <c r="G26" s="156" t="e">
        <f t="shared" si="1"/>
        <v>#VALUE!</v>
      </c>
      <c r="H26" s="257">
        <f>N26 * O26 / Q26</f>
        <v>40020.937056318035</v>
      </c>
      <c r="I26" s="156"/>
      <c r="J26" s="256" t="str">
        <f>_xll.BDP(K26&amp;" ISIN","TICKER_AND_EXCH_CODE")</f>
        <v>#N/A Review</v>
      </c>
      <c r="K26" s="258" t="s">
        <v>532</v>
      </c>
      <c r="L26" s="259" t="s">
        <v>37</v>
      </c>
      <c r="M26" s="260" t="s">
        <v>52</v>
      </c>
      <c r="N26" s="262">
        <v>1284</v>
      </c>
      <c r="O26" s="262">
        <v>32.93</v>
      </c>
      <c r="P26" s="261">
        <v>32.93</v>
      </c>
      <c r="Q26" s="261">
        <f>1.0565</f>
        <v>1.0565</v>
      </c>
      <c r="R26" s="372">
        <f t="shared" si="40"/>
        <v>40020.937056318035</v>
      </c>
      <c r="S26" s="261" t="str">
        <f>_xll.BDP(K26&amp;" Isin","PX_LAST")</f>
        <v>#N/A Review</v>
      </c>
      <c r="T26" s="261" t="str">
        <f>VLOOKUP(M26,'3. FX_Current'!$B$3:$C$23,2,FALSE)</f>
        <v>#N/A Review</v>
      </c>
      <c r="U26" s="261" t="e">
        <f>(S26*N26)/T26</f>
        <v>#VALUE!</v>
      </c>
      <c r="V26" s="261"/>
      <c r="W26" s="263">
        <v>45226</v>
      </c>
      <c r="X26" s="264" t="str">
        <f>_xll.BDP(K26&amp;" ISIN","LAST_UPDATE_DT")</f>
        <v>#N/A Review</v>
      </c>
      <c r="Y26" s="357"/>
      <c r="Z26" s="265"/>
      <c r="AA26" s="265"/>
      <c r="AB26" s="266"/>
      <c r="AC26" s="266"/>
      <c r="AD26" s="260" t="str">
        <f t="shared" si="3"/>
        <v>USD</v>
      </c>
      <c r="AE26" s="365"/>
      <c r="AF26" s="267"/>
      <c r="AG26" s="256"/>
      <c r="AH26" s="256"/>
      <c r="AI26" s="261" t="e">
        <f t="shared" si="12"/>
        <v>#VALUE!</v>
      </c>
      <c r="AJ26" s="268" t="str">
        <f>_xll.BDP(K26&amp;" ISIN","DVD_FREQ")</f>
        <v>#N/A Review</v>
      </c>
      <c r="AK26" s="269">
        <v>0</v>
      </c>
      <c r="AL26" s="270"/>
      <c r="AM26" s="260"/>
      <c r="AN26" s="260"/>
      <c r="AO26" s="271" t="s">
        <v>214</v>
      </c>
      <c r="AP26" s="312" t="s">
        <v>33</v>
      </c>
      <c r="AQ26" s="266">
        <v>0</v>
      </c>
      <c r="AR26" s="306" t="s">
        <v>33</v>
      </c>
      <c r="AS26" s="317">
        <v>1.0565</v>
      </c>
    </row>
    <row r="27" spans="1:45" s="271" customFormat="1">
      <c r="A27" s="256"/>
      <c r="B27" s="256"/>
      <c r="C27" s="156" t="e">
        <f t="shared" si="36"/>
        <v>#VALUE!</v>
      </c>
      <c r="D27" s="156" t="e">
        <f t="shared" si="33"/>
        <v>#VALUE!</v>
      </c>
      <c r="E27" s="156" t="e">
        <f t="shared" ref="E27" si="46">U27/R27-1</f>
        <v>#VALUE!</v>
      </c>
      <c r="F27" s="156" t="e">
        <f t="shared" ref="F27" si="47">S27/P27-1</f>
        <v>#VALUE!</v>
      </c>
      <c r="G27" s="156" t="e">
        <f t="shared" si="1"/>
        <v>#VALUE!</v>
      </c>
      <c r="H27" s="257">
        <f>N27 * O27 / AS27</f>
        <v>34165.668390961066</v>
      </c>
      <c r="I27" s="156"/>
      <c r="J27" s="256" t="str">
        <f>_xll.BDP(K27&amp;" ISIN","TICKER_AND_EXCH_CODE")</f>
        <v>#N/A Review</v>
      </c>
      <c r="K27" s="258" t="s">
        <v>532</v>
      </c>
      <c r="L27" s="259" t="s">
        <v>37</v>
      </c>
      <c r="M27" s="260" t="s">
        <v>52</v>
      </c>
      <c r="N27" s="262">
        <f>N25-N26</f>
        <v>1257</v>
      </c>
      <c r="O27" s="262">
        <v>29.95</v>
      </c>
      <c r="P27" s="261">
        <v>31.8</v>
      </c>
      <c r="Q27" s="261">
        <f>1/0.997158</f>
        <v>1.002850099984155</v>
      </c>
      <c r="R27" s="372">
        <f t="shared" si="40"/>
        <v>39858.997870799998</v>
      </c>
      <c r="S27" s="261" t="str">
        <f>_xll.BDP(K27&amp;" Isin","PX_LAST")</f>
        <v>#N/A Review</v>
      </c>
      <c r="T27" s="261" t="str">
        <f>VLOOKUP(M27,'3. FX_Current'!$B$3:$C$23,2,FALSE)</f>
        <v>#N/A Review</v>
      </c>
      <c r="U27" s="261" t="e">
        <f t="shared" si="39"/>
        <v>#VALUE!</v>
      </c>
      <c r="V27" s="261"/>
      <c r="W27" s="263">
        <v>44843</v>
      </c>
      <c r="X27" s="264" t="str">
        <f>_xll.BDP(K27&amp;" ISIN","LAST_UPDATE_DT")</f>
        <v>#N/A Review</v>
      </c>
      <c r="Y27" s="357"/>
      <c r="Z27" s="265"/>
      <c r="AA27" s="265"/>
      <c r="AB27" s="266"/>
      <c r="AC27" s="266"/>
      <c r="AD27" s="260" t="str">
        <f t="shared" si="3"/>
        <v>USD</v>
      </c>
      <c r="AE27" s="365"/>
      <c r="AF27" s="267"/>
      <c r="AG27" s="256"/>
      <c r="AH27" s="256"/>
      <c r="AI27" s="261" t="e">
        <f t="shared" si="12"/>
        <v>#VALUE!</v>
      </c>
      <c r="AJ27" s="268" t="str">
        <f>_xll.BDP(K27&amp;" ISIN","DVD_FREQ")</f>
        <v>#N/A Review</v>
      </c>
      <c r="AK27" s="269">
        <v>0</v>
      </c>
      <c r="AL27" s="270"/>
      <c r="AM27" s="260"/>
      <c r="AN27" s="260"/>
      <c r="AO27" s="271" t="s">
        <v>214</v>
      </c>
      <c r="AP27" s="312" t="s">
        <v>33</v>
      </c>
      <c r="AQ27" s="266">
        <v>0</v>
      </c>
      <c r="AR27" s="306" t="s">
        <v>33</v>
      </c>
      <c r="AS27" s="317">
        <v>1.1019000000000001</v>
      </c>
    </row>
    <row r="28" spans="1:45" s="271" customFormat="1">
      <c r="A28" s="322" t="s">
        <v>518</v>
      </c>
      <c r="B28" s="322" t="s">
        <v>525</v>
      </c>
      <c r="C28" s="323">
        <f>U28/H28</f>
        <v>6.94E-3</v>
      </c>
      <c r="D28" s="323">
        <f>C28</f>
        <v>6.94E-3</v>
      </c>
      <c r="E28" s="323"/>
      <c r="F28" s="323"/>
      <c r="G28" s="323" t="e">
        <f t="shared" si="1"/>
        <v>#N/A</v>
      </c>
      <c r="H28" s="324">
        <v>50000</v>
      </c>
      <c r="I28" s="323"/>
      <c r="J28" s="322"/>
      <c r="K28" s="376"/>
      <c r="L28" s="325" t="s">
        <v>222</v>
      </c>
      <c r="M28" s="326" t="s">
        <v>70</v>
      </c>
      <c r="N28" s="327">
        <v>19233475</v>
      </c>
      <c r="O28" s="326"/>
      <c r="P28" s="328"/>
      <c r="Q28" s="328"/>
      <c r="R28" s="404"/>
      <c r="S28" s="328"/>
      <c r="T28" s="328" t="str">
        <f>VLOOKUP(M28,'3. FX_Current'!$B:$C,2,FALSE)</f>
        <v>#N/A Review</v>
      </c>
      <c r="U28" s="383">
        <v>347</v>
      </c>
      <c r="V28" s="328"/>
      <c r="W28" s="329"/>
      <c r="X28" s="330">
        <v>45290</v>
      </c>
      <c r="Y28" s="354">
        <v>45363</v>
      </c>
      <c r="Z28" s="377" t="s">
        <v>33</v>
      </c>
      <c r="AA28" s="331" t="s">
        <v>519</v>
      </c>
      <c r="AB28" s="378" t="s">
        <v>29</v>
      </c>
      <c r="AC28" s="332">
        <v>50000</v>
      </c>
      <c r="AD28" s="326" t="s">
        <v>70</v>
      </c>
      <c r="AE28" s="358">
        <v>19233475</v>
      </c>
      <c r="AF28" s="379">
        <v>50000</v>
      </c>
      <c r="AG28" s="384">
        <v>384.66950000000003</v>
      </c>
      <c r="AH28" s="384"/>
      <c r="AI28" s="334">
        <f t="shared" ref="AI28:AI29" si="48">U28 +AF28</f>
        <v>50347</v>
      </c>
      <c r="AJ28" s="333"/>
      <c r="AK28" s="380"/>
      <c r="AL28" s="334"/>
      <c r="AM28" s="326"/>
      <c r="AN28" s="326"/>
      <c r="AO28" s="335" t="s">
        <v>214</v>
      </c>
      <c r="AP28" s="326" t="s">
        <v>140</v>
      </c>
      <c r="AQ28" s="358">
        <v>9.0909090909090917</v>
      </c>
      <c r="AR28" s="381" t="s">
        <v>33</v>
      </c>
      <c r="AS28" s="382"/>
    </row>
    <row r="29" spans="1:45" s="271" customFormat="1">
      <c r="A29" s="322" t="s">
        <v>518</v>
      </c>
      <c r="B29" s="322" t="s">
        <v>526</v>
      </c>
      <c r="C29" s="323">
        <f>U29/H29</f>
        <v>1.2699999999999999E-2</v>
      </c>
      <c r="D29" s="323">
        <f>C29</f>
        <v>1.2699999999999999E-2</v>
      </c>
      <c r="E29" s="323"/>
      <c r="F29" s="323"/>
      <c r="G29" s="323" t="e">
        <f t="shared" si="1"/>
        <v>#N/A</v>
      </c>
      <c r="H29" s="324">
        <v>50000</v>
      </c>
      <c r="I29" s="323"/>
      <c r="J29" s="322"/>
      <c r="K29" s="376"/>
      <c r="L29" s="376" t="s">
        <v>527</v>
      </c>
      <c r="M29" s="326" t="s">
        <v>77</v>
      </c>
      <c r="N29" s="327">
        <v>219900000</v>
      </c>
      <c r="O29" s="326"/>
      <c r="P29" s="328"/>
      <c r="Q29" s="328"/>
      <c r="R29" s="404"/>
      <c r="S29" s="328"/>
      <c r="T29" s="328" t="str">
        <f>VLOOKUP(M29,'3. FX_Current'!$B:$C,2,FALSE)</f>
        <v>#N/A Review</v>
      </c>
      <c r="U29" s="383">
        <v>635</v>
      </c>
      <c r="V29" s="328"/>
      <c r="W29" s="329"/>
      <c r="X29" s="330">
        <v>45290</v>
      </c>
      <c r="Y29" s="354">
        <v>45366</v>
      </c>
      <c r="Z29" s="377" t="s">
        <v>140</v>
      </c>
      <c r="AA29" s="331" t="s">
        <v>519</v>
      </c>
      <c r="AB29" s="378" t="s">
        <v>29</v>
      </c>
      <c r="AC29" s="332">
        <v>50000</v>
      </c>
      <c r="AD29" s="326" t="s">
        <v>77</v>
      </c>
      <c r="AE29" s="358">
        <v>219900000</v>
      </c>
      <c r="AF29" s="379">
        <v>50000</v>
      </c>
      <c r="AG29" s="384">
        <v>4398</v>
      </c>
      <c r="AH29" s="384"/>
      <c r="AI29" s="334">
        <f t="shared" si="48"/>
        <v>50635</v>
      </c>
      <c r="AJ29" s="333"/>
      <c r="AK29" s="380"/>
      <c r="AL29" s="334"/>
      <c r="AM29" s="326"/>
      <c r="AN29" s="326"/>
      <c r="AO29" s="335" t="s">
        <v>214</v>
      </c>
      <c r="AP29" s="326" t="s">
        <v>140</v>
      </c>
      <c r="AQ29" s="358">
        <v>10.090909090909101</v>
      </c>
      <c r="AR29" s="381" t="s">
        <v>33</v>
      </c>
      <c r="AS29" s="382"/>
    </row>
    <row r="30" spans="1:45" s="271" customFormat="1">
      <c r="A30" s="385" t="s">
        <v>38</v>
      </c>
      <c r="B30" s="385" t="str">
        <f>_xll.BDP(K30&amp;" ISIN","SECURITY_NAME")</f>
        <v>#N/A Review</v>
      </c>
      <c r="C30" s="121" t="e">
        <f>U30/H30 -1</f>
        <v>#VALUE!</v>
      </c>
      <c r="D30" s="121" t="e">
        <f>S30/O30-1</f>
        <v>#VALUE!</v>
      </c>
      <c r="E30" s="121" t="e">
        <f>U30/R30 - 1</f>
        <v>#VALUE!</v>
      </c>
      <c r="F30" s="121" t="e">
        <f>S30/P30 - 1</f>
        <v>#VALUE!</v>
      </c>
      <c r="G30" s="121" t="e">
        <f>U30/$C$39</f>
        <v>#VALUE!</v>
      </c>
      <c r="H30" s="386">
        <f>N30 * O30 / AS30</f>
        <v>483042.78499999997</v>
      </c>
      <c r="I30" s="403" t="s">
        <v>4</v>
      </c>
      <c r="J30" s="385"/>
      <c r="K30" s="387" t="s">
        <v>521</v>
      </c>
      <c r="L30" s="387" t="s">
        <v>34</v>
      </c>
      <c r="M30" s="38" t="s">
        <v>29</v>
      </c>
      <c r="N30" s="81">
        <v>500000</v>
      </c>
      <c r="O30" s="80">
        <v>0.96608556999999995</v>
      </c>
      <c r="P30" s="80">
        <v>0.96608556999999995</v>
      </c>
      <c r="Q30" s="80">
        <v>1</v>
      </c>
      <c r="R30" s="373">
        <f t="shared" si="40"/>
        <v>483042.78499999997</v>
      </c>
      <c r="S30" s="80" t="e">
        <f>_xll.BDP(K30&amp;" Isin","PX_LAST")/100</f>
        <v>#VALUE!</v>
      </c>
      <c r="T30" s="80">
        <v>1</v>
      </c>
      <c r="U30" s="388" t="e">
        <f>(S30*N30)/T30</f>
        <v>#VALUE!</v>
      </c>
      <c r="V30" s="80"/>
      <c r="W30" s="389"/>
      <c r="X30" s="115">
        <v>45290</v>
      </c>
      <c r="Y30" s="390">
        <v>45616</v>
      </c>
      <c r="Z30" s="391"/>
      <c r="AA30" s="392"/>
      <c r="AB30" s="393"/>
      <c r="AC30" s="394"/>
      <c r="AD30" s="38" t="str">
        <f t="shared" ref="AD30:AD36" si="49">M30</f>
        <v>EUR</v>
      </c>
      <c r="AE30" s="395"/>
      <c r="AF30" s="396"/>
      <c r="AG30" s="397"/>
      <c r="AH30" s="397"/>
      <c r="AI30" s="80" t="e">
        <f t="shared" ref="AI30:AI34" si="50">U30-V30</f>
        <v>#VALUE!</v>
      </c>
      <c r="AJ30" s="399"/>
      <c r="AK30" s="400"/>
      <c r="AL30" s="398"/>
      <c r="AM30" s="38"/>
      <c r="AN30" s="38"/>
      <c r="AO30" s="14"/>
      <c r="AP30" s="38"/>
      <c r="AQ30" s="395"/>
      <c r="AR30" s="401" t="s">
        <v>33</v>
      </c>
      <c r="AS30" s="402">
        <v>1</v>
      </c>
    </row>
    <row r="31" spans="1:45">
      <c r="A31" s="14" t="s">
        <v>38</v>
      </c>
      <c r="B31" s="14" t="s">
        <v>52</v>
      </c>
      <c r="C31" s="38"/>
      <c r="D31" s="38"/>
      <c r="E31" s="38"/>
      <c r="F31" s="38"/>
      <c r="G31" s="121" t="e">
        <f t="shared" ref="G31:G33" si="51">U31/$C$39</f>
        <v>#VALUE!</v>
      </c>
      <c r="H31" s="81"/>
      <c r="I31" s="367" t="s">
        <v>4</v>
      </c>
      <c r="J31" s="336"/>
      <c r="K31" s="14"/>
      <c r="L31" s="353" t="s">
        <v>37</v>
      </c>
      <c r="M31" s="38" t="s">
        <v>52</v>
      </c>
      <c r="N31" s="81">
        <v>43756.58</v>
      </c>
      <c r="O31" s="38"/>
      <c r="P31" s="38"/>
      <c r="Q31" s="38"/>
      <c r="R31" s="81"/>
      <c r="S31" s="81"/>
      <c r="T31" s="80" t="str">
        <f>VLOOKUP(M31,'3. FX_Current'!$B:$C,2,FALSE)</f>
        <v>#N/A Review</v>
      </c>
      <c r="U31" s="81" t="e">
        <f t="shared" ref="U31:U36" si="52">N31/T31</f>
        <v>#VALUE!</v>
      </c>
      <c r="V31" s="81"/>
      <c r="W31" s="14"/>
      <c r="X31" s="115">
        <v>45290</v>
      </c>
      <c r="Y31" s="115"/>
      <c r="Z31" s="81"/>
      <c r="AA31" s="81"/>
      <c r="AB31" s="38"/>
      <c r="AC31" s="38"/>
      <c r="AD31" s="38" t="str">
        <f t="shared" si="49"/>
        <v>USD</v>
      </c>
      <c r="AE31" s="81"/>
      <c r="AF31" s="81"/>
      <c r="AG31" s="14"/>
      <c r="AH31" s="14"/>
      <c r="AI31" s="80" t="e">
        <f t="shared" si="50"/>
        <v>#VALUE!</v>
      </c>
      <c r="AJ31" s="337"/>
      <c r="AK31" s="337"/>
      <c r="AL31" s="115"/>
      <c r="AM31" s="38"/>
      <c r="AN31" s="38"/>
      <c r="AO31" s="14"/>
      <c r="AP31" s="338"/>
      <c r="AQ31" s="38"/>
      <c r="AR31" s="307" t="s">
        <v>33</v>
      </c>
      <c r="AS31" s="38"/>
    </row>
    <row r="32" spans="1:45">
      <c r="A32" s="14" t="s">
        <v>38</v>
      </c>
      <c r="B32" s="14" t="s">
        <v>42</v>
      </c>
      <c r="C32" s="38"/>
      <c r="D32" s="38"/>
      <c r="E32" s="38"/>
      <c r="F32" s="38"/>
      <c r="G32" s="121" t="e">
        <f t="shared" si="51"/>
        <v>#N/A</v>
      </c>
      <c r="H32" s="81"/>
      <c r="I32" s="367" t="s">
        <v>4</v>
      </c>
      <c r="J32" s="336"/>
      <c r="K32" s="14"/>
      <c r="L32" s="423" t="s">
        <v>533</v>
      </c>
      <c r="M32" s="38" t="s">
        <v>42</v>
      </c>
      <c r="N32" s="81">
        <v>13983.49</v>
      </c>
      <c r="O32" s="38"/>
      <c r="P32" s="38"/>
      <c r="Q32" s="38"/>
      <c r="R32" s="81"/>
      <c r="S32" s="81"/>
      <c r="T32" s="80">
        <v>20.018999999999998</v>
      </c>
      <c r="U32" s="81">
        <f t="shared" si="52"/>
        <v>698.51091463110049</v>
      </c>
      <c r="V32" s="81"/>
      <c r="W32" s="14"/>
      <c r="X32" s="115">
        <v>45290</v>
      </c>
      <c r="Y32" s="115"/>
      <c r="Z32" s="81"/>
      <c r="AA32" s="81"/>
      <c r="AB32" s="38"/>
      <c r="AC32" s="38"/>
      <c r="AD32" s="38" t="str">
        <f t="shared" si="49"/>
        <v>ZAR</v>
      </c>
      <c r="AE32" s="81"/>
      <c r="AF32" s="81"/>
      <c r="AG32" s="14"/>
      <c r="AH32" s="14"/>
      <c r="AI32" s="80">
        <f t="shared" si="50"/>
        <v>698.51091463110049</v>
      </c>
      <c r="AJ32" s="337"/>
      <c r="AK32" s="337"/>
      <c r="AL32" s="115"/>
      <c r="AM32" s="38"/>
      <c r="AN32" s="38"/>
      <c r="AO32" s="14"/>
      <c r="AP32" s="338"/>
      <c r="AQ32" s="38"/>
      <c r="AR32" s="307" t="s">
        <v>33</v>
      </c>
      <c r="AS32" s="38"/>
    </row>
    <row r="33" spans="1:45">
      <c r="A33" s="14" t="s">
        <v>38</v>
      </c>
      <c r="B33" s="14" t="s">
        <v>40</v>
      </c>
      <c r="C33" s="38"/>
      <c r="D33" s="38"/>
      <c r="E33" s="38"/>
      <c r="F33" s="38"/>
      <c r="G33" s="121" t="e">
        <f t="shared" si="51"/>
        <v>#VALUE!</v>
      </c>
      <c r="H33" s="81"/>
      <c r="I33" s="367" t="s">
        <v>4</v>
      </c>
      <c r="J33" s="336"/>
      <c r="K33" s="14"/>
      <c r="L33" s="126" t="s">
        <v>291</v>
      </c>
      <c r="M33" s="38" t="s">
        <v>40</v>
      </c>
      <c r="N33" s="81">
        <v>297265</v>
      </c>
      <c r="O33" s="38"/>
      <c r="P33" s="38"/>
      <c r="Q33" s="38"/>
      <c r="R33" s="81"/>
      <c r="S33" s="81"/>
      <c r="T33" s="80" t="str">
        <f>VLOOKUP(M33,'3. FX_Current'!$B:$C,2,FALSE)</f>
        <v>#N/A Review</v>
      </c>
      <c r="U33" s="81" t="e">
        <f t="shared" si="52"/>
        <v>#VALUE!</v>
      </c>
      <c r="V33" s="81"/>
      <c r="W33" s="14"/>
      <c r="X33" s="115">
        <v>45290</v>
      </c>
      <c r="Y33" s="115"/>
      <c r="Z33" s="81"/>
      <c r="AA33" s="81"/>
      <c r="AB33" s="38"/>
      <c r="AC33" s="38"/>
      <c r="AD33" s="38" t="str">
        <f t="shared" si="49"/>
        <v>JPY</v>
      </c>
      <c r="AE33" s="81"/>
      <c r="AF33" s="81"/>
      <c r="AG33" s="14"/>
      <c r="AH33" s="14"/>
      <c r="AI33" s="80" t="e">
        <f t="shared" si="50"/>
        <v>#VALUE!</v>
      </c>
      <c r="AJ33" s="337"/>
      <c r="AK33" s="337"/>
      <c r="AL33" s="115"/>
      <c r="AM33" s="38"/>
      <c r="AN33" s="38"/>
      <c r="AO33" s="14"/>
      <c r="AP33" s="338"/>
      <c r="AQ33" s="38"/>
      <c r="AR33" s="307" t="s">
        <v>33</v>
      </c>
      <c r="AS33" s="38"/>
    </row>
    <row r="34" spans="1:45">
      <c r="A34" s="14" t="s">
        <v>38</v>
      </c>
      <c r="B34" s="14" t="s">
        <v>48</v>
      </c>
      <c r="C34" s="38"/>
      <c r="D34" s="38"/>
      <c r="E34" s="38"/>
      <c r="F34" s="38"/>
      <c r="G34" s="121" t="e">
        <f t="shared" ref="G34" si="53">U34/$C$39</f>
        <v>#VALUE!</v>
      </c>
      <c r="H34" s="81"/>
      <c r="I34" s="367" t="s">
        <v>4</v>
      </c>
      <c r="J34" s="336"/>
      <c r="K34" s="14"/>
      <c r="L34" s="375" t="s">
        <v>100</v>
      </c>
      <c r="M34" s="38" t="s">
        <v>48</v>
      </c>
      <c r="N34" s="81">
        <v>181595.77</v>
      </c>
      <c r="O34" s="38"/>
      <c r="P34" s="38"/>
      <c r="Q34" s="38"/>
      <c r="R34" s="81"/>
      <c r="S34" s="81"/>
      <c r="T34" s="80" t="str">
        <f>VLOOKUP(M34,'3. FX_Current'!$B:$C,2,FALSE)</f>
        <v>#N/A Review</v>
      </c>
      <c r="U34" s="81" t="e">
        <f t="shared" si="52"/>
        <v>#VALUE!</v>
      </c>
      <c r="V34" s="81"/>
      <c r="W34" s="14"/>
      <c r="X34" s="115">
        <v>45290</v>
      </c>
      <c r="Y34" s="115"/>
      <c r="Z34" s="81"/>
      <c r="AA34" s="81"/>
      <c r="AB34" s="38"/>
      <c r="AC34" s="38"/>
      <c r="AD34" s="38" t="str">
        <f t="shared" si="49"/>
        <v>MXN</v>
      </c>
      <c r="AE34" s="81"/>
      <c r="AF34" s="81"/>
      <c r="AG34" s="14"/>
      <c r="AH34" s="14"/>
      <c r="AI34" s="80" t="e">
        <f t="shared" si="50"/>
        <v>#VALUE!</v>
      </c>
      <c r="AJ34" s="337"/>
      <c r="AK34" s="337"/>
      <c r="AL34" s="115"/>
      <c r="AM34" s="38"/>
      <c r="AN34" s="38"/>
      <c r="AO34" s="14"/>
      <c r="AP34" s="338"/>
      <c r="AQ34" s="38"/>
      <c r="AR34" s="307" t="s">
        <v>33</v>
      </c>
      <c r="AS34" s="38"/>
    </row>
    <row r="35" spans="1:45">
      <c r="A35" s="14" t="s">
        <v>38</v>
      </c>
      <c r="B35" s="14" t="s">
        <v>30</v>
      </c>
      <c r="C35" s="38"/>
      <c r="D35" s="38"/>
      <c r="E35" s="38"/>
      <c r="F35" s="38"/>
      <c r="G35" s="121" t="e">
        <f t="shared" ref="G35:G36" si="54">U35/$C$39</f>
        <v>#VALUE!</v>
      </c>
      <c r="H35" s="81"/>
      <c r="I35" s="367" t="s">
        <v>4</v>
      </c>
      <c r="J35" s="336"/>
      <c r="K35" s="14"/>
      <c r="L35" s="423" t="s">
        <v>534</v>
      </c>
      <c r="M35" s="38" t="s">
        <v>30</v>
      </c>
      <c r="N35" s="81">
        <v>-572</v>
      </c>
      <c r="O35" s="38"/>
      <c r="P35" s="38"/>
      <c r="Q35" s="38"/>
      <c r="R35" s="81"/>
      <c r="S35" s="81"/>
      <c r="T35" s="80" t="str">
        <f>VLOOKUP(M35,'3. FX_Current'!$B:$C,2,FALSE)</f>
        <v>#N/A Review</v>
      </c>
      <c r="U35" s="81" t="e">
        <f t="shared" si="52"/>
        <v>#VALUE!</v>
      </c>
      <c r="V35" s="81"/>
      <c r="W35" s="14"/>
      <c r="X35" s="115">
        <v>45290</v>
      </c>
      <c r="Y35" s="115"/>
      <c r="Z35" s="81"/>
      <c r="AA35" s="81"/>
      <c r="AB35" s="38"/>
      <c r="AC35" s="38"/>
      <c r="AD35" s="38" t="str">
        <f t="shared" si="49"/>
        <v>CHF</v>
      </c>
      <c r="AE35" s="81"/>
      <c r="AF35" s="81"/>
      <c r="AG35" s="14"/>
      <c r="AH35" s="14"/>
      <c r="AI35" s="80" t="e">
        <f t="shared" ref="AI35:AI36" si="55">U35-V35</f>
        <v>#VALUE!</v>
      </c>
      <c r="AJ35" s="337"/>
      <c r="AK35" s="337"/>
      <c r="AL35" s="115"/>
      <c r="AM35" s="38"/>
      <c r="AN35" s="38"/>
      <c r="AO35" s="14"/>
      <c r="AP35" s="338"/>
      <c r="AQ35" s="38"/>
      <c r="AR35" s="307" t="s">
        <v>33</v>
      </c>
      <c r="AS35" s="38"/>
    </row>
    <row r="36" spans="1:45">
      <c r="A36" s="14" t="s">
        <v>38</v>
      </c>
      <c r="B36" s="14" t="s">
        <v>70</v>
      </c>
      <c r="C36" s="38"/>
      <c r="D36" s="38"/>
      <c r="E36" s="38"/>
      <c r="F36" s="38"/>
      <c r="G36" s="121" t="e">
        <f t="shared" si="54"/>
        <v>#VALUE!</v>
      </c>
      <c r="H36" s="81"/>
      <c r="I36" s="367" t="s">
        <v>4</v>
      </c>
      <c r="J36" s="336"/>
      <c r="K36" s="14"/>
      <c r="L36" s="424" t="s">
        <v>222</v>
      </c>
      <c r="M36" s="38" t="s">
        <v>70</v>
      </c>
      <c r="N36" s="81">
        <v>296500.64</v>
      </c>
      <c r="O36" s="38"/>
      <c r="P36" s="38"/>
      <c r="Q36" s="38"/>
      <c r="R36" s="81"/>
      <c r="S36" s="81"/>
      <c r="T36" s="80" t="str">
        <f>VLOOKUP(M36,'3. FX_Current'!$B:$C,2,FALSE)</f>
        <v>#N/A Review</v>
      </c>
      <c r="U36" s="81" t="e">
        <f t="shared" si="52"/>
        <v>#VALUE!</v>
      </c>
      <c r="V36" s="81"/>
      <c r="W36" s="14"/>
      <c r="X36" s="115">
        <v>45290</v>
      </c>
      <c r="Y36" s="115"/>
      <c r="Z36" s="81"/>
      <c r="AA36" s="81"/>
      <c r="AB36" s="38"/>
      <c r="AC36" s="38"/>
      <c r="AD36" s="38" t="str">
        <f t="shared" si="49"/>
        <v>HUF</v>
      </c>
      <c r="AE36" s="81"/>
      <c r="AF36" s="81"/>
      <c r="AG36" s="14"/>
      <c r="AH36" s="14"/>
      <c r="AI36" s="80" t="e">
        <f t="shared" si="55"/>
        <v>#VALUE!</v>
      </c>
      <c r="AJ36" s="337"/>
      <c r="AK36" s="337"/>
      <c r="AL36" s="115"/>
      <c r="AM36" s="38"/>
      <c r="AN36" s="38"/>
      <c r="AO36" s="14"/>
      <c r="AP36" s="338"/>
      <c r="AQ36" s="38"/>
      <c r="AR36" s="307" t="s">
        <v>33</v>
      </c>
      <c r="AS36" s="38"/>
    </row>
    <row r="37" spans="1:45">
      <c r="U37" s="87" t="e">
        <f>SUM(U2:U7)+SUM(U10:U12)+SUM(U28:U36)+SUM(U15:U25)</f>
        <v>#N/A</v>
      </c>
      <c r="AI37" s="87"/>
    </row>
    <row r="39" spans="1:45">
      <c r="A39" s="153"/>
      <c r="B39" t="s">
        <v>299</v>
      </c>
      <c r="C39" s="154" t="e">
        <f>U37</f>
        <v>#N/A</v>
      </c>
      <c r="D39" s="32"/>
      <c r="L39" s="114"/>
      <c r="M39" s="75"/>
      <c r="N39"/>
      <c r="O39"/>
      <c r="AG39" s="76"/>
    </row>
    <row r="40" spans="1:45">
      <c r="C40" s="75"/>
      <c r="L40" s="114"/>
      <c r="M40" s="75"/>
      <c r="N40"/>
      <c r="O40"/>
    </row>
    <row r="41" spans="1:45">
      <c r="L41" s="114"/>
      <c r="M41" s="75"/>
      <c r="N41"/>
      <c r="O41"/>
    </row>
    <row r="42" spans="1:45">
      <c r="L42" s="2"/>
      <c r="M42" s="75"/>
    </row>
    <row r="43" spans="1:45">
      <c r="L43" s="114"/>
      <c r="M43" s="75"/>
    </row>
    <row r="44" spans="1:45">
      <c r="L44" s="114"/>
      <c r="M44" s="75"/>
    </row>
    <row r="45" spans="1:45">
      <c r="L45" s="114"/>
      <c r="M45" s="75"/>
      <c r="V45"/>
      <c r="X45"/>
      <c r="Y45"/>
    </row>
    <row r="46" spans="1:45">
      <c r="L46" s="2"/>
      <c r="M46" s="75"/>
    </row>
    <row r="47" spans="1:45">
      <c r="L47" s="114"/>
      <c r="M47" s="75"/>
      <c r="V47"/>
    </row>
    <row r="48" spans="1:45">
      <c r="V48"/>
    </row>
    <row r="49" spans="22:22">
      <c r="V49"/>
    </row>
    <row r="50" spans="22:22">
      <c r="V50"/>
    </row>
  </sheetData>
  <conditionalFormatting sqref="C26:D26 C2:F7 C8:D16 E7:F16 C19:D24 E19:F27 C18:F18 C28:D30">
    <cfRule type="cellIs" dxfId="25" priority="68" operator="equal">
      <formula>0</formula>
    </cfRule>
    <cfRule type="cellIs" dxfId="24" priority="69" operator="lessThan">
      <formula>0</formula>
    </cfRule>
  </conditionalFormatting>
  <conditionalFormatting sqref="C26:D26 C2:F7 C8:D16 E7:F16 C19:D24 E19:F27 C18:F18 C37:F38 C28:D30 C31:F34">
    <cfRule type="cellIs" dxfId="23" priority="67" operator="greaterThan">
      <formula>0</formula>
    </cfRule>
  </conditionalFormatting>
  <conditionalFormatting sqref="D39:F40 C41:F1048576">
    <cfRule type="cellIs" dxfId="22" priority="70" operator="greaterThan">
      <formula>0</formula>
    </cfRule>
  </conditionalFormatting>
  <conditionalFormatting sqref="C25:D25">
    <cfRule type="cellIs" dxfId="21" priority="38" operator="equal">
      <formula>0</formula>
    </cfRule>
    <cfRule type="cellIs" dxfId="20" priority="39" operator="lessThan">
      <formula>0</formula>
    </cfRule>
  </conditionalFormatting>
  <conditionalFormatting sqref="C25:D25">
    <cfRule type="cellIs" dxfId="19" priority="37" operator="greaterThan">
      <formula>0</formula>
    </cfRule>
  </conditionalFormatting>
  <conditionalFormatting sqref="C27:D27">
    <cfRule type="cellIs" dxfId="18" priority="35" operator="equal">
      <formula>0</formula>
    </cfRule>
    <cfRule type="cellIs" dxfId="17" priority="36" operator="lessThan">
      <formula>0</formula>
    </cfRule>
  </conditionalFormatting>
  <conditionalFormatting sqref="C27:D27">
    <cfRule type="cellIs" dxfId="16" priority="34" operator="greaterThan">
      <formula>0</formula>
    </cfRule>
  </conditionalFormatting>
  <conditionalFormatting sqref="C17:F17">
    <cfRule type="cellIs" dxfId="15" priority="28" operator="equal">
      <formula>0</formula>
    </cfRule>
    <cfRule type="cellIs" dxfId="14" priority="29" operator="lessThan">
      <formula>0</formula>
    </cfRule>
  </conditionalFormatting>
  <conditionalFormatting sqref="C17:F17">
    <cfRule type="cellIs" dxfId="13" priority="27" operator="greaterThan">
      <formula>0</formula>
    </cfRule>
  </conditionalFormatting>
  <conditionalFormatting sqref="E28:F30">
    <cfRule type="cellIs" dxfId="12" priority="11" operator="greaterThan">
      <formula>0</formula>
    </cfRule>
  </conditionalFormatting>
  <conditionalFormatting sqref="E28:F30">
    <cfRule type="cellIs" dxfId="11" priority="12" operator="equal">
      <formula>0</formula>
    </cfRule>
    <cfRule type="cellIs" dxfId="10" priority="13" operator="lessThan">
      <formula>0</formula>
    </cfRule>
  </conditionalFormatting>
  <conditionalFormatting sqref="C35:F36">
    <cfRule type="cellIs" dxfId="9" priority="1" operator="greaterThan">
      <formula>0</formula>
    </cfRule>
  </conditionalFormatting>
  <pageMargins left="0.7" right="0.7" top="0.75" bottom="0.75" header="0.3" footer="0.3"/>
  <pageSetup paperSize="9" orientation="portrait" r:id="rId1"/>
  <ignoredErrors>
    <ignoredError sqref="J3:J4 H12 H1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4"/>
  <sheetViews>
    <sheetView workbookViewId="0">
      <pane xSplit="1" ySplit="1" topLeftCell="B632" activePane="bottomRight" state="frozen"/>
      <selection sqref="A1:XFD1048576"/>
      <selection pane="topRight" sqref="A1:XFD1048576"/>
      <selection pane="bottomLeft" sqref="A1:XFD1048576"/>
      <selection pane="bottomRight" activeCell="B654" sqref="B654"/>
    </sheetView>
  </sheetViews>
  <sheetFormatPr defaultColWidth="9" defaultRowHeight="15.75"/>
  <cols>
    <col min="1" max="1" width="10.25" bestFit="1" customWidth="1"/>
    <col min="2" max="5" width="23.875" style="75" bestFit="1" customWidth="1"/>
    <col min="6" max="6" width="19.875" bestFit="1" customWidth="1"/>
    <col min="7" max="7" width="23.25" style="155" bestFit="1" customWidth="1"/>
    <col min="8" max="9" width="11.875" style="75" bestFit="1" customWidth="1"/>
  </cols>
  <sheetData>
    <row r="1" spans="1:9">
      <c r="A1" s="70" t="s">
        <v>9</v>
      </c>
      <c r="B1" s="182" t="s">
        <v>256</v>
      </c>
      <c r="C1" s="182" t="s">
        <v>397</v>
      </c>
      <c r="D1" s="182" t="s">
        <v>124</v>
      </c>
      <c r="E1" s="182" t="s">
        <v>346</v>
      </c>
      <c r="F1" s="70" t="s">
        <v>302</v>
      </c>
      <c r="G1" s="182" t="s">
        <v>301</v>
      </c>
      <c r="H1" s="182" t="s">
        <v>300</v>
      </c>
      <c r="I1" s="182" t="s">
        <v>347</v>
      </c>
    </row>
    <row r="2" spans="1:9">
      <c r="A2" s="94">
        <v>40683</v>
      </c>
      <c r="B2" s="183">
        <v>1190155.0375295556</v>
      </c>
      <c r="C2" s="183">
        <v>141.21001000000001</v>
      </c>
      <c r="D2" s="183"/>
      <c r="E2" s="183"/>
    </row>
    <row r="3" spans="1:9">
      <c r="A3" s="4">
        <v>40690</v>
      </c>
      <c r="B3" s="184">
        <v>1221753.24086</v>
      </c>
      <c r="C3" s="184">
        <v>140.08000000000001</v>
      </c>
      <c r="D3" s="184"/>
      <c r="E3" s="184"/>
    </row>
    <row r="4" spans="1:9">
      <c r="A4" s="4">
        <v>40697</v>
      </c>
      <c r="B4" s="184">
        <v>1206830.21138099</v>
      </c>
      <c r="C4" s="184">
        <v>138.41</v>
      </c>
      <c r="D4" s="184"/>
      <c r="E4" s="184"/>
    </row>
    <row r="5" spans="1:9">
      <c r="A5" s="4">
        <v>40704</v>
      </c>
      <c r="B5" s="184">
        <v>1205721.3231761691</v>
      </c>
      <c r="C5" s="184">
        <v>139.30000000000001</v>
      </c>
      <c r="D5" s="184"/>
      <c r="E5" s="184"/>
    </row>
    <row r="6" spans="1:9">
      <c r="A6" s="4">
        <v>40711</v>
      </c>
      <c r="B6" s="184">
        <v>1210680.0896328199</v>
      </c>
      <c r="C6" s="184">
        <v>139.81</v>
      </c>
      <c r="D6" s="184"/>
      <c r="E6" s="184"/>
    </row>
    <row r="7" spans="1:9">
      <c r="A7" s="4">
        <v>40718</v>
      </c>
      <c r="B7" s="184">
        <v>1205618.7102957342</v>
      </c>
      <c r="C7" s="184">
        <v>138.05000000000001</v>
      </c>
      <c r="D7" s="184"/>
      <c r="E7" s="184"/>
    </row>
    <row r="8" spans="1:9">
      <c r="A8" s="4">
        <v>40725</v>
      </c>
      <c r="B8" s="184">
        <v>1209014.7265036521</v>
      </c>
      <c r="C8" s="184">
        <v>133.75998999999999</v>
      </c>
      <c r="D8" s="184"/>
      <c r="E8" s="184"/>
    </row>
    <row r="9" spans="1:9">
      <c r="A9" s="4">
        <v>40732</v>
      </c>
      <c r="B9" s="184">
        <v>1211100.8319946399</v>
      </c>
      <c r="C9" s="184">
        <v>136.38999999999999</v>
      </c>
      <c r="D9" s="184"/>
      <c r="E9" s="184"/>
    </row>
    <row r="10" spans="1:9">
      <c r="A10" s="4">
        <v>40739</v>
      </c>
      <c r="B10" s="184">
        <v>1205475.2943889783</v>
      </c>
      <c r="C10" s="184">
        <v>134.91999999999999</v>
      </c>
      <c r="D10" s="184"/>
      <c r="E10" s="184"/>
    </row>
    <row r="11" spans="1:9">
      <c r="A11" s="4">
        <v>40746</v>
      </c>
      <c r="B11" s="184">
        <v>1206526.8834664999</v>
      </c>
      <c r="C11" s="184">
        <v>133.13</v>
      </c>
      <c r="D11" s="184"/>
      <c r="E11" s="184"/>
    </row>
    <row r="12" spans="1:9">
      <c r="A12" s="4">
        <v>40753</v>
      </c>
      <c r="B12" s="184">
        <v>1203649.7069025084</v>
      </c>
      <c r="C12" s="184">
        <v>131.17999</v>
      </c>
      <c r="D12" s="184"/>
      <c r="E12" s="184"/>
    </row>
    <row r="13" spans="1:9">
      <c r="A13" s="4">
        <v>40760</v>
      </c>
      <c r="B13" s="184">
        <v>1206968.0719625594</v>
      </c>
      <c r="C13" s="184">
        <v>133.94999999999999</v>
      </c>
      <c r="D13" s="184"/>
      <c r="E13" s="184"/>
    </row>
    <row r="14" spans="1:9">
      <c r="A14" s="4">
        <v>40767</v>
      </c>
      <c r="B14" s="184">
        <v>1195158.2390493525</v>
      </c>
      <c r="C14" s="184">
        <v>132.07001</v>
      </c>
      <c r="D14" s="184"/>
      <c r="E14" s="184"/>
    </row>
    <row r="15" spans="1:9">
      <c r="A15" s="4">
        <v>40774</v>
      </c>
      <c r="B15" s="184">
        <v>1193131.0211693281</v>
      </c>
      <c r="C15" s="184">
        <v>130.09</v>
      </c>
      <c r="D15" s="184"/>
      <c r="E15" s="184"/>
    </row>
    <row r="16" spans="1:9">
      <c r="A16" s="4">
        <v>40781</v>
      </c>
      <c r="B16" s="184">
        <v>1191436.3406697782</v>
      </c>
      <c r="C16" s="184">
        <v>129.50998999999999</v>
      </c>
      <c r="D16" s="184"/>
      <c r="E16" s="184"/>
    </row>
    <row r="17" spans="1:9">
      <c r="A17" s="4">
        <v>40788</v>
      </c>
      <c r="B17" s="184">
        <v>1195983.5130300098</v>
      </c>
      <c r="C17" s="184">
        <v>134.09</v>
      </c>
      <c r="D17" s="184"/>
      <c r="E17" s="184"/>
      <c r="G17"/>
      <c r="H17"/>
      <c r="I17"/>
    </row>
    <row r="18" spans="1:9">
      <c r="A18" s="4">
        <v>40795</v>
      </c>
      <c r="B18" s="184">
        <v>1193762.2597458498</v>
      </c>
      <c r="C18" s="184">
        <v>137.32001</v>
      </c>
      <c r="D18" s="184"/>
      <c r="E18" s="184"/>
      <c r="G18"/>
      <c r="H18"/>
      <c r="I18"/>
    </row>
    <row r="19" spans="1:9">
      <c r="A19" s="4">
        <v>40802</v>
      </c>
      <c r="B19" s="184">
        <v>1182239.1510143122</v>
      </c>
      <c r="C19" s="184">
        <v>132.09</v>
      </c>
      <c r="D19" s="184"/>
      <c r="E19" s="184"/>
      <c r="G19"/>
      <c r="H19"/>
      <c r="I19"/>
    </row>
    <row r="20" spans="1:9">
      <c r="A20" s="4">
        <v>40809</v>
      </c>
      <c r="B20" s="184">
        <v>1148951.0488836803</v>
      </c>
      <c r="C20" s="184">
        <v>127.81</v>
      </c>
      <c r="D20" s="184"/>
      <c r="E20" s="184"/>
      <c r="G20"/>
      <c r="H20"/>
      <c r="I20"/>
    </row>
    <row r="21" spans="1:9">
      <c r="A21" s="4">
        <v>40816</v>
      </c>
      <c r="B21" s="184">
        <v>1146737.56282491</v>
      </c>
      <c r="C21" s="184">
        <v>127.42</v>
      </c>
      <c r="D21" s="184"/>
      <c r="E21" s="184"/>
      <c r="G21"/>
      <c r="H21"/>
      <c r="I21"/>
    </row>
    <row r="22" spans="1:9">
      <c r="A22" s="4">
        <v>40823</v>
      </c>
      <c r="B22" s="184">
        <v>1152464.7638967999</v>
      </c>
      <c r="C22" s="184">
        <v>126.54</v>
      </c>
      <c r="D22" s="184"/>
      <c r="E22" s="184"/>
      <c r="G22"/>
      <c r="H22"/>
      <c r="I22"/>
    </row>
    <row r="23" spans="1:9">
      <c r="A23" s="4">
        <v>40830</v>
      </c>
      <c r="B23" s="184">
        <v>1154070.6149561997</v>
      </c>
      <c r="C23" s="184">
        <v>124.51</v>
      </c>
      <c r="D23" s="184"/>
      <c r="E23" s="184"/>
      <c r="G23"/>
      <c r="H23"/>
      <c r="I23"/>
    </row>
    <row r="24" spans="1:9">
      <c r="A24" s="4">
        <v>40837</v>
      </c>
      <c r="B24" s="184">
        <v>1133396.1257229</v>
      </c>
      <c r="C24" s="184">
        <v>120.41</v>
      </c>
      <c r="D24" s="184"/>
      <c r="E24" s="184"/>
      <c r="G24"/>
      <c r="H24"/>
      <c r="I24"/>
    </row>
    <row r="25" spans="1:9">
      <c r="A25" s="4">
        <v>40844</v>
      </c>
      <c r="B25" s="184">
        <v>1157649.76716278</v>
      </c>
      <c r="C25" s="184">
        <v>124.61</v>
      </c>
      <c r="D25" s="184"/>
      <c r="E25" s="184"/>
      <c r="G25"/>
      <c r="H25"/>
      <c r="I25"/>
    </row>
    <row r="26" spans="1:9">
      <c r="A26" s="4">
        <v>40851</v>
      </c>
      <c r="B26" s="184">
        <v>1156035.5119448199</v>
      </c>
      <c r="C26" s="184">
        <v>128.37</v>
      </c>
      <c r="D26" s="184"/>
      <c r="E26" s="184"/>
      <c r="G26"/>
      <c r="H26"/>
      <c r="I26"/>
    </row>
    <row r="27" spans="1:9">
      <c r="A27" s="4">
        <v>40858</v>
      </c>
      <c r="B27" s="184">
        <v>1143106.9379964999</v>
      </c>
      <c r="C27" s="184">
        <v>125.89</v>
      </c>
      <c r="D27" s="184"/>
      <c r="E27" s="184"/>
      <c r="G27"/>
      <c r="H27"/>
      <c r="I27"/>
    </row>
    <row r="28" spans="1:9">
      <c r="A28" s="4">
        <v>40865</v>
      </c>
      <c r="B28" s="184">
        <v>1119012.6970659702</v>
      </c>
      <c r="C28" s="184">
        <v>123.37</v>
      </c>
      <c r="D28" s="184"/>
      <c r="E28" s="184"/>
      <c r="G28"/>
      <c r="H28"/>
      <c r="I28"/>
    </row>
    <row r="29" spans="1:9">
      <c r="A29" s="4">
        <v>40872</v>
      </c>
      <c r="B29" s="184">
        <v>1088243.1289033999</v>
      </c>
      <c r="C29" s="184">
        <v>119.99</v>
      </c>
      <c r="D29" s="184"/>
      <c r="E29" s="184"/>
      <c r="G29"/>
      <c r="H29"/>
      <c r="I29"/>
    </row>
    <row r="30" spans="1:9">
      <c r="A30" s="4">
        <v>40879</v>
      </c>
      <c r="B30" s="184">
        <v>1131460.5805671799</v>
      </c>
      <c r="C30" s="184">
        <v>124.42</v>
      </c>
      <c r="D30" s="184"/>
      <c r="E30" s="184"/>
      <c r="G30"/>
      <c r="H30"/>
      <c r="I30"/>
    </row>
    <row r="31" spans="1:9">
      <c r="A31" s="4">
        <v>40886</v>
      </c>
      <c r="B31" s="184">
        <v>1137219.7484816499</v>
      </c>
      <c r="C31" s="184">
        <v>126.78</v>
      </c>
      <c r="D31" s="184"/>
      <c r="E31" s="184"/>
      <c r="G31"/>
      <c r="H31"/>
      <c r="I31"/>
    </row>
    <row r="32" spans="1:9">
      <c r="A32" s="4">
        <v>40893</v>
      </c>
      <c r="B32" s="184">
        <v>1130797.3814396001</v>
      </c>
      <c r="C32" s="184">
        <v>126.8</v>
      </c>
      <c r="D32" s="184"/>
      <c r="E32" s="184"/>
      <c r="G32"/>
      <c r="H32"/>
      <c r="I32"/>
    </row>
    <row r="33" spans="1:9">
      <c r="A33" s="4">
        <v>40900</v>
      </c>
      <c r="B33" s="184">
        <v>1131209.6090654999</v>
      </c>
      <c r="C33" s="184">
        <v>128.00998999999999</v>
      </c>
      <c r="D33" s="184"/>
      <c r="E33" s="184"/>
      <c r="G33"/>
      <c r="H33"/>
      <c r="I33"/>
    </row>
    <row r="34" spans="1:9">
      <c r="A34" s="4">
        <v>40907</v>
      </c>
      <c r="B34" s="184">
        <v>1148374.22199897</v>
      </c>
      <c r="C34" s="184">
        <v>126.81</v>
      </c>
      <c r="D34" s="184"/>
      <c r="E34" s="184"/>
      <c r="G34"/>
      <c r="H34"/>
      <c r="I34"/>
    </row>
    <row r="35" spans="1:9">
      <c r="A35" s="4">
        <v>40914</v>
      </c>
      <c r="B35" s="184">
        <v>1173092.5862405698</v>
      </c>
      <c r="C35" s="184">
        <v>128.35001</v>
      </c>
      <c r="D35" s="184"/>
      <c r="E35" s="184"/>
      <c r="G35"/>
      <c r="H35"/>
      <c r="I35"/>
    </row>
    <row r="36" spans="1:9">
      <c r="A36" s="4">
        <v>40921</v>
      </c>
      <c r="B36" s="184">
        <v>1201274.0951217099</v>
      </c>
      <c r="C36" s="184">
        <v>132.52000000000001</v>
      </c>
      <c r="D36" s="184"/>
      <c r="E36" s="184"/>
      <c r="G36"/>
      <c r="H36"/>
      <c r="I36"/>
    </row>
    <row r="37" spans="1:9">
      <c r="A37" s="4">
        <v>40928</v>
      </c>
      <c r="B37" s="184">
        <v>1230954.8004445098</v>
      </c>
      <c r="C37" s="184">
        <v>134.53998999999999</v>
      </c>
      <c r="D37" s="184"/>
      <c r="E37" s="184"/>
      <c r="G37"/>
      <c r="H37"/>
      <c r="I37"/>
    </row>
    <row r="38" spans="1:9">
      <c r="A38" s="4">
        <v>40935</v>
      </c>
      <c r="B38" s="184">
        <v>1235037.52450154</v>
      </c>
      <c r="C38" s="184">
        <v>137.5</v>
      </c>
      <c r="D38" s="184"/>
      <c r="E38" s="184"/>
      <c r="G38"/>
      <c r="H38"/>
      <c r="I38"/>
    </row>
    <row r="39" spans="1:9">
      <c r="A39" s="4">
        <v>40942</v>
      </c>
      <c r="B39" s="184">
        <v>1261552.5113058002</v>
      </c>
      <c r="C39" s="184">
        <v>142.36000000000001</v>
      </c>
      <c r="D39" s="184"/>
      <c r="E39" s="184"/>
      <c r="G39"/>
      <c r="H39"/>
      <c r="I39"/>
    </row>
    <row r="40" spans="1:9">
      <c r="A40" s="4">
        <v>40949</v>
      </c>
      <c r="B40" s="184">
        <v>1260150.7985834901</v>
      </c>
      <c r="C40" s="184">
        <v>144.31</v>
      </c>
      <c r="D40" s="184"/>
      <c r="E40" s="184"/>
      <c r="G40"/>
      <c r="H40"/>
      <c r="I40"/>
    </row>
    <row r="41" spans="1:9">
      <c r="A41" s="4">
        <v>40956</v>
      </c>
      <c r="B41" s="184">
        <v>1281215.19393432</v>
      </c>
      <c r="C41" s="184">
        <v>147.75998999999999</v>
      </c>
      <c r="D41" s="184"/>
      <c r="E41" s="184"/>
      <c r="G41"/>
      <c r="H41"/>
      <c r="I41"/>
    </row>
    <row r="42" spans="1:9">
      <c r="A42" s="4">
        <v>40963</v>
      </c>
      <c r="B42" s="184">
        <v>1276636.99264654</v>
      </c>
      <c r="C42" s="184">
        <v>146.21001000000001</v>
      </c>
      <c r="D42" s="184"/>
      <c r="E42" s="184"/>
      <c r="G42"/>
      <c r="H42"/>
      <c r="I42"/>
    </row>
    <row r="43" spans="1:9">
      <c r="A43" s="4">
        <v>40970</v>
      </c>
      <c r="B43" s="184">
        <v>1296921.599770295</v>
      </c>
      <c r="C43" s="184">
        <v>148.17999</v>
      </c>
      <c r="D43" s="184"/>
      <c r="E43" s="184"/>
      <c r="G43"/>
      <c r="H43"/>
      <c r="I43"/>
    </row>
    <row r="44" spans="1:9">
      <c r="A44" s="4">
        <v>40977</v>
      </c>
      <c r="B44" s="184">
        <v>1290536.2120595798</v>
      </c>
      <c r="C44" s="184">
        <v>147.66999999999999</v>
      </c>
      <c r="D44" s="184"/>
      <c r="E44" s="184"/>
      <c r="G44"/>
      <c r="H44"/>
      <c r="I44"/>
    </row>
    <row r="45" spans="1:9">
      <c r="A45" s="4">
        <v>40984</v>
      </c>
      <c r="B45" s="184">
        <v>1288846.7610205899</v>
      </c>
      <c r="C45" s="184">
        <v>148.64999</v>
      </c>
      <c r="D45" s="184"/>
      <c r="E45" s="184"/>
      <c r="G45"/>
      <c r="H45"/>
      <c r="I45"/>
    </row>
    <row r="46" spans="1:9">
      <c r="A46" s="4">
        <v>40991</v>
      </c>
      <c r="B46" s="184">
        <v>1264381.47227195</v>
      </c>
      <c r="C46" s="184">
        <v>143.22</v>
      </c>
      <c r="D46" s="184"/>
      <c r="E46" s="184"/>
      <c r="G46"/>
      <c r="H46"/>
      <c r="I46"/>
    </row>
    <row r="47" spans="1:9">
      <c r="A47" s="4">
        <v>40998</v>
      </c>
      <c r="B47" s="184">
        <v>1258624.0182300103</v>
      </c>
      <c r="C47" s="184">
        <v>145.78</v>
      </c>
      <c r="D47" s="184"/>
      <c r="E47" s="184"/>
      <c r="G47"/>
      <c r="H47"/>
      <c r="I47"/>
    </row>
    <row r="48" spans="1:9">
      <c r="A48" s="4">
        <v>41005</v>
      </c>
      <c r="B48" s="184">
        <v>1256843.6004947501</v>
      </c>
      <c r="C48" s="184">
        <v>146.03998999999999</v>
      </c>
      <c r="D48" s="184"/>
      <c r="E48" s="184"/>
      <c r="G48"/>
      <c r="H48"/>
      <c r="I48"/>
    </row>
    <row r="49" spans="1:9">
      <c r="A49" s="4">
        <v>41012</v>
      </c>
      <c r="B49" s="184">
        <v>1250290.8736582999</v>
      </c>
      <c r="C49" s="184">
        <v>139.72</v>
      </c>
      <c r="D49" s="184"/>
      <c r="E49" s="184"/>
      <c r="G49"/>
      <c r="H49"/>
      <c r="I49"/>
    </row>
    <row r="50" spans="1:9">
      <c r="A50" s="4">
        <v>41019</v>
      </c>
      <c r="B50" s="184">
        <v>1248227.6718488701</v>
      </c>
      <c r="C50" s="184">
        <v>140.78998999999999</v>
      </c>
      <c r="D50" s="184"/>
      <c r="E50" s="184"/>
      <c r="G50"/>
      <c r="H50"/>
      <c r="I50"/>
    </row>
    <row r="51" spans="1:9">
      <c r="A51" s="4">
        <v>41026</v>
      </c>
      <c r="B51" s="184">
        <v>1252600.5845568201</v>
      </c>
      <c r="C51" s="184">
        <v>140.60001</v>
      </c>
      <c r="D51" s="184"/>
      <c r="E51" s="184"/>
      <c r="G51"/>
      <c r="H51"/>
      <c r="I51"/>
    </row>
    <row r="52" spans="1:9">
      <c r="A52" s="94">
        <v>41033</v>
      </c>
      <c r="B52" s="183">
        <v>1247413.25334535</v>
      </c>
      <c r="C52" s="183">
        <v>141.13</v>
      </c>
      <c r="D52" s="183"/>
      <c r="E52" s="183"/>
      <c r="G52"/>
      <c r="H52"/>
      <c r="I52"/>
    </row>
    <row r="53" spans="1:9">
      <c r="A53" s="4">
        <v>41040</v>
      </c>
      <c r="B53" s="184">
        <v>1236121.3290152801</v>
      </c>
      <c r="C53" s="184">
        <v>140.11000000000001</v>
      </c>
      <c r="D53" s="184"/>
      <c r="E53" s="184"/>
      <c r="G53"/>
      <c r="H53"/>
      <c r="I53"/>
    </row>
    <row r="54" spans="1:9">
      <c r="A54" s="4">
        <v>41047</v>
      </c>
      <c r="B54" s="184">
        <v>1205873.4093784702</v>
      </c>
      <c r="C54" s="184">
        <v>136.21001000000001</v>
      </c>
      <c r="D54" s="184"/>
      <c r="E54" s="184"/>
      <c r="G54"/>
      <c r="H54"/>
      <c r="I54"/>
    </row>
    <row r="55" spans="1:9">
      <c r="A55" s="4">
        <v>41054</v>
      </c>
      <c r="B55" s="184">
        <v>1199513.6499486349</v>
      </c>
      <c r="C55" s="184">
        <v>135.41</v>
      </c>
      <c r="D55" s="184"/>
      <c r="E55" s="184"/>
      <c r="G55"/>
      <c r="H55"/>
      <c r="I55"/>
    </row>
    <row r="56" spans="1:9">
      <c r="A56" s="4">
        <v>41061</v>
      </c>
      <c r="B56" s="184">
        <v>1180295.6414521027</v>
      </c>
      <c r="C56" s="184">
        <v>132.13999999999999</v>
      </c>
      <c r="D56" s="184"/>
      <c r="E56" s="184"/>
      <c r="G56"/>
      <c r="H56"/>
      <c r="I56"/>
    </row>
    <row r="57" spans="1:9">
      <c r="A57" s="4">
        <v>41068</v>
      </c>
      <c r="B57" s="184">
        <v>1202267.296250355</v>
      </c>
      <c r="C57" s="184">
        <v>135.49001000000001</v>
      </c>
      <c r="D57" s="184"/>
      <c r="E57" s="184"/>
      <c r="G57"/>
      <c r="H57"/>
      <c r="I57"/>
    </row>
    <row r="58" spans="1:9">
      <c r="A58" s="4">
        <v>41075</v>
      </c>
      <c r="B58" s="184">
        <v>1197518.7813110999</v>
      </c>
      <c r="C58" s="184">
        <v>132.62</v>
      </c>
      <c r="D58" s="184"/>
      <c r="E58" s="184"/>
      <c r="G58"/>
      <c r="H58"/>
      <c r="I58"/>
    </row>
    <row r="59" spans="1:9">
      <c r="A59" s="4">
        <v>41082</v>
      </c>
      <c r="B59" s="184">
        <v>1200026.0680907499</v>
      </c>
      <c r="C59" s="184">
        <v>135.75998999999999</v>
      </c>
      <c r="D59" s="184"/>
      <c r="E59" s="184"/>
      <c r="G59"/>
      <c r="H59"/>
      <c r="I59"/>
    </row>
    <row r="60" spans="1:9">
      <c r="A60" s="4">
        <v>41089</v>
      </c>
      <c r="B60" s="184">
        <v>1211074.8640077449</v>
      </c>
      <c r="C60" s="184">
        <v>137.02000000000001</v>
      </c>
      <c r="D60" s="184"/>
      <c r="E60" s="184"/>
      <c r="G60"/>
      <c r="H60"/>
      <c r="I60"/>
    </row>
    <row r="61" spans="1:9">
      <c r="A61" s="4">
        <v>41096</v>
      </c>
      <c r="B61" s="184">
        <v>1237515.7169309952</v>
      </c>
      <c r="C61" s="184">
        <v>140.96001000000001</v>
      </c>
      <c r="D61" s="184"/>
      <c r="E61" s="184"/>
      <c r="G61"/>
      <c r="H61"/>
      <c r="I61"/>
    </row>
    <row r="62" spans="1:9">
      <c r="A62" s="4">
        <v>41103</v>
      </c>
      <c r="B62" s="184">
        <v>1236968.4748224451</v>
      </c>
      <c r="C62" s="184">
        <v>143.67999</v>
      </c>
      <c r="D62" s="184"/>
      <c r="E62" s="184"/>
      <c r="G62"/>
      <c r="H62"/>
      <c r="I62"/>
    </row>
    <row r="63" spans="1:9">
      <c r="A63" s="4">
        <v>41110</v>
      </c>
      <c r="B63" s="184">
        <v>1245299.7116933474</v>
      </c>
      <c r="C63" s="184">
        <v>144.62</v>
      </c>
      <c r="D63" s="184"/>
      <c r="E63" s="184"/>
      <c r="G63"/>
      <c r="H63"/>
      <c r="I63"/>
    </row>
    <row r="64" spans="1:9">
      <c r="A64" s="4">
        <v>41117</v>
      </c>
      <c r="B64" s="184">
        <v>1250508.1348895126</v>
      </c>
      <c r="C64" s="184">
        <v>142.88</v>
      </c>
      <c r="D64" s="184"/>
      <c r="E64" s="184"/>
      <c r="G64"/>
      <c r="H64"/>
      <c r="I64"/>
    </row>
    <row r="65" spans="1:9">
      <c r="A65" s="4">
        <v>41124</v>
      </c>
      <c r="B65" s="184">
        <v>1259386.72472652</v>
      </c>
      <c r="C65" s="184">
        <v>144.5</v>
      </c>
      <c r="D65" s="184"/>
      <c r="E65" s="184"/>
      <c r="G65"/>
      <c r="H65"/>
      <c r="I65"/>
    </row>
    <row r="66" spans="1:9">
      <c r="A66" s="4">
        <v>41131</v>
      </c>
      <c r="B66" s="184">
        <v>1275848.05702979</v>
      </c>
      <c r="C66" s="184">
        <v>145.91999999999999</v>
      </c>
      <c r="D66" s="184"/>
      <c r="E66" s="184"/>
      <c r="G66"/>
      <c r="H66"/>
      <c r="I66"/>
    </row>
    <row r="67" spans="1:9">
      <c r="A67" s="4">
        <v>41138</v>
      </c>
      <c r="B67" s="184">
        <v>1284098.9026501102</v>
      </c>
      <c r="C67" s="184">
        <v>146.94999999999999</v>
      </c>
      <c r="D67" s="184"/>
      <c r="E67" s="184"/>
      <c r="G67"/>
      <c r="H67"/>
      <c r="I67"/>
    </row>
    <row r="68" spans="1:9">
      <c r="A68" s="4">
        <v>41145</v>
      </c>
      <c r="B68" s="184">
        <v>1269908.6303523956</v>
      </c>
      <c r="C68" s="184">
        <v>143.25998999999999</v>
      </c>
      <c r="D68" s="184"/>
      <c r="E68" s="184"/>
      <c r="G68"/>
      <c r="H68"/>
      <c r="I68"/>
    </row>
    <row r="69" spans="1:9">
      <c r="A69" s="4">
        <v>41152</v>
      </c>
      <c r="B69" s="184">
        <v>1262170.8813027549</v>
      </c>
      <c r="C69" s="184">
        <v>141.61000000000001</v>
      </c>
      <c r="D69" s="184"/>
      <c r="E69" s="184"/>
      <c r="G69"/>
      <c r="H69"/>
      <c r="I69"/>
    </row>
    <row r="70" spans="1:9">
      <c r="A70" s="4">
        <v>41159</v>
      </c>
      <c r="B70" s="184">
        <v>1270395.0973573211</v>
      </c>
      <c r="C70" s="184">
        <v>141.81</v>
      </c>
      <c r="D70" s="184"/>
      <c r="E70" s="184"/>
      <c r="G70"/>
      <c r="H70"/>
      <c r="I70"/>
    </row>
    <row r="71" spans="1:9">
      <c r="A71" s="4">
        <v>41166</v>
      </c>
      <c r="B71" s="184">
        <v>1277266.9886816244</v>
      </c>
      <c r="C71" s="184">
        <v>139.67999</v>
      </c>
      <c r="D71" s="184"/>
      <c r="E71" s="184"/>
      <c r="G71"/>
      <c r="H71"/>
      <c r="I71"/>
    </row>
    <row r="72" spans="1:9">
      <c r="A72" s="4">
        <v>41173</v>
      </c>
      <c r="B72" s="184">
        <v>1276521.2410982247</v>
      </c>
      <c r="C72" s="184">
        <v>140.35001</v>
      </c>
      <c r="D72" s="184"/>
      <c r="E72" s="184"/>
      <c r="G72"/>
      <c r="H72"/>
      <c r="I72"/>
    </row>
    <row r="73" spans="1:9">
      <c r="A73" s="4">
        <v>41180</v>
      </c>
      <c r="B73" s="184">
        <v>1274790.4470700701</v>
      </c>
      <c r="C73" s="184">
        <v>142.14999</v>
      </c>
      <c r="D73" s="184"/>
      <c r="E73" s="184"/>
      <c r="G73"/>
      <c r="H73"/>
      <c r="I73"/>
    </row>
    <row r="74" spans="1:9">
      <c r="A74" s="4">
        <v>41187</v>
      </c>
      <c r="B74" s="184">
        <v>1274658.8669386327</v>
      </c>
      <c r="C74" s="184">
        <v>141.52000000000001</v>
      </c>
      <c r="D74" s="184"/>
      <c r="E74" s="184"/>
      <c r="G74"/>
      <c r="H74"/>
      <c r="I74"/>
    </row>
    <row r="75" spans="1:9">
      <c r="A75" s="4">
        <v>41194</v>
      </c>
      <c r="B75" s="184">
        <v>1270963.5650358824</v>
      </c>
      <c r="C75" s="184">
        <v>141.5</v>
      </c>
      <c r="D75" s="184"/>
      <c r="E75" s="184"/>
      <c r="G75"/>
      <c r="H75"/>
      <c r="I75"/>
    </row>
    <row r="76" spans="1:9">
      <c r="A76" s="4">
        <v>41201</v>
      </c>
      <c r="B76" s="184">
        <v>1276183.1373522927</v>
      </c>
      <c r="C76" s="184">
        <v>142.66999999999999</v>
      </c>
      <c r="D76" s="184"/>
      <c r="E76" s="184"/>
      <c r="G76"/>
      <c r="H76"/>
      <c r="I76"/>
    </row>
    <row r="77" spans="1:9">
      <c r="A77" s="4">
        <v>41208</v>
      </c>
      <c r="B77" s="184">
        <v>1267166.936335355</v>
      </c>
      <c r="C77" s="184">
        <v>144.06</v>
      </c>
      <c r="D77" s="184"/>
      <c r="E77" s="184"/>
      <c r="G77"/>
      <c r="H77"/>
      <c r="I77"/>
    </row>
    <row r="78" spans="1:9">
      <c r="A78" s="4">
        <v>41215</v>
      </c>
      <c r="B78" s="184">
        <v>1281266.8523640027</v>
      </c>
      <c r="C78" s="184">
        <v>146.06</v>
      </c>
      <c r="D78" s="184"/>
      <c r="E78" s="184"/>
      <c r="G78"/>
      <c r="H78"/>
      <c r="I78"/>
    </row>
    <row r="79" spans="1:9">
      <c r="A79" s="4">
        <v>41222</v>
      </c>
      <c r="B79" s="184">
        <v>1288617.3836589181</v>
      </c>
      <c r="C79" s="184">
        <v>148.83000000000001</v>
      </c>
      <c r="D79" s="184"/>
      <c r="E79" s="184"/>
      <c r="G79"/>
      <c r="H79"/>
      <c r="I79"/>
    </row>
    <row r="80" spans="1:9">
      <c r="A80" s="4">
        <v>41229</v>
      </c>
      <c r="B80" s="184">
        <v>1275992.9119334398</v>
      </c>
      <c r="C80" s="184">
        <v>149.57001</v>
      </c>
      <c r="D80" s="184"/>
      <c r="E80" s="184"/>
      <c r="G80"/>
      <c r="H80"/>
      <c r="I80"/>
    </row>
    <row r="81" spans="1:9">
      <c r="A81" s="4">
        <v>41236</v>
      </c>
      <c r="B81" s="184">
        <v>1288604.9352056149</v>
      </c>
      <c r="C81" s="184">
        <v>149.81</v>
      </c>
      <c r="D81" s="184"/>
      <c r="E81" s="184"/>
      <c r="G81"/>
      <c r="H81"/>
      <c r="I81"/>
    </row>
    <row r="82" spans="1:9">
      <c r="A82" s="4">
        <v>41243</v>
      </c>
      <c r="B82" s="184">
        <v>1290170.5252986653</v>
      </c>
      <c r="C82" s="184">
        <v>150.38</v>
      </c>
      <c r="D82" s="184"/>
      <c r="E82" s="184"/>
      <c r="G82"/>
      <c r="H82"/>
      <c r="I82"/>
    </row>
    <row r="83" spans="1:9">
      <c r="A83" s="4">
        <v>41250</v>
      </c>
      <c r="B83" s="184">
        <v>1313187.2662263575</v>
      </c>
      <c r="C83" s="184">
        <v>150.88</v>
      </c>
      <c r="D83" s="184"/>
      <c r="E83" s="184"/>
      <c r="G83"/>
      <c r="H83"/>
      <c r="I83"/>
    </row>
    <row r="84" spans="1:9">
      <c r="A84" s="4">
        <v>41257</v>
      </c>
      <c r="B84" s="184">
        <v>1320703.3581750551</v>
      </c>
      <c r="C84" s="184">
        <v>151.39999</v>
      </c>
      <c r="D84" s="184"/>
      <c r="E84" s="184"/>
      <c r="G84"/>
      <c r="H84"/>
      <c r="I84"/>
    </row>
    <row r="85" spans="1:9">
      <c r="A85" s="4">
        <v>41264</v>
      </c>
      <c r="B85" s="184">
        <v>1322156.3581750551</v>
      </c>
      <c r="C85" s="184">
        <v>151.42999</v>
      </c>
      <c r="D85" s="184"/>
      <c r="E85" s="184"/>
      <c r="G85"/>
      <c r="H85"/>
      <c r="I85"/>
    </row>
    <row r="86" spans="1:9">
      <c r="A86" s="4">
        <v>41271</v>
      </c>
      <c r="B86" s="184">
        <v>1334873.1928605</v>
      </c>
      <c r="C86" s="184">
        <v>153.94</v>
      </c>
      <c r="D86" s="184"/>
      <c r="E86" s="184"/>
      <c r="G86"/>
      <c r="H86"/>
      <c r="I86"/>
    </row>
    <row r="87" spans="1:9">
      <c r="A87" s="4">
        <v>41278</v>
      </c>
      <c r="B87" s="184">
        <v>1362906.9078181749</v>
      </c>
      <c r="C87" s="184">
        <v>158.72</v>
      </c>
      <c r="D87" s="184"/>
      <c r="E87" s="184"/>
      <c r="G87"/>
      <c r="H87"/>
      <c r="I87"/>
    </row>
    <row r="88" spans="1:9">
      <c r="A88" s="4">
        <v>41285</v>
      </c>
      <c r="B88" s="184">
        <v>1360985.6510313088</v>
      </c>
      <c r="C88" s="184">
        <v>158.03998999999999</v>
      </c>
      <c r="D88" s="184"/>
      <c r="E88" s="184"/>
      <c r="G88"/>
      <c r="H88"/>
      <c r="I88"/>
    </row>
    <row r="89" spans="1:9">
      <c r="A89" s="4">
        <v>41292</v>
      </c>
      <c r="B89" s="184">
        <v>1367968.1513722828</v>
      </c>
      <c r="C89" s="184">
        <v>158.86000000000001</v>
      </c>
      <c r="D89" s="184"/>
      <c r="E89" s="184"/>
      <c r="G89"/>
      <c r="H89"/>
      <c r="I89"/>
    </row>
    <row r="90" spans="1:9">
      <c r="A90" s="4">
        <v>41299</v>
      </c>
      <c r="B90" s="184">
        <v>1357379.6622584849</v>
      </c>
      <c r="C90" s="184">
        <v>158.38999999999999</v>
      </c>
      <c r="D90" s="184"/>
      <c r="E90" s="184"/>
      <c r="G90"/>
      <c r="H90"/>
      <c r="I90"/>
    </row>
    <row r="91" spans="1:9">
      <c r="A91" s="4">
        <v>41306</v>
      </c>
      <c r="B91" s="184">
        <v>1355856.9573633499</v>
      </c>
      <c r="C91" s="184">
        <v>159.41999999999999</v>
      </c>
      <c r="D91" s="184"/>
      <c r="E91" s="184"/>
      <c r="G91"/>
      <c r="H91"/>
      <c r="I91"/>
    </row>
    <row r="92" spans="1:9">
      <c r="A92" s="4">
        <v>41313</v>
      </c>
      <c r="B92" s="184">
        <v>1367114.9626012798</v>
      </c>
      <c r="C92" s="184">
        <v>162.07001</v>
      </c>
      <c r="D92" s="184"/>
      <c r="E92" s="184"/>
      <c r="G92"/>
      <c r="H92"/>
      <c r="I92"/>
    </row>
    <row r="93" spans="1:9">
      <c r="A93" s="4">
        <v>41320</v>
      </c>
      <c r="B93" s="184">
        <v>1372894.4969904451</v>
      </c>
      <c r="C93" s="184">
        <v>164.02</v>
      </c>
      <c r="D93" s="184"/>
      <c r="E93" s="184"/>
      <c r="G93"/>
      <c r="H93"/>
      <c r="I93"/>
    </row>
    <row r="94" spans="1:9">
      <c r="A94" s="4">
        <v>41327</v>
      </c>
      <c r="B94" s="184">
        <v>1368957.7732484227</v>
      </c>
      <c r="C94" s="184">
        <v>165.09</v>
      </c>
      <c r="D94" s="184"/>
      <c r="E94" s="184"/>
      <c r="G94"/>
      <c r="H94"/>
      <c r="I94"/>
    </row>
    <row r="95" spans="1:9">
      <c r="A95" s="4">
        <v>41334</v>
      </c>
      <c r="B95" s="184">
        <v>1369986.2633255948</v>
      </c>
      <c r="C95" s="184">
        <v>166.85001</v>
      </c>
      <c r="D95" s="184"/>
      <c r="E95" s="184"/>
      <c r="G95"/>
      <c r="H95"/>
      <c r="I95"/>
    </row>
    <row r="96" spans="1:9">
      <c r="A96" s="4">
        <v>41341</v>
      </c>
      <c r="B96" s="184">
        <v>1402091.4850667447</v>
      </c>
      <c r="C96" s="184">
        <v>170.81</v>
      </c>
      <c r="D96" s="184"/>
      <c r="E96" s="184"/>
      <c r="G96"/>
      <c r="H96"/>
      <c r="I96"/>
    </row>
    <row r="97" spans="1:9">
      <c r="A97" s="4">
        <v>41348</v>
      </c>
      <c r="B97" s="184">
        <v>1397263.9020197701</v>
      </c>
      <c r="C97" s="184">
        <v>170.5</v>
      </c>
      <c r="D97" s="184"/>
      <c r="E97" s="184"/>
      <c r="G97"/>
      <c r="H97"/>
      <c r="I97"/>
    </row>
    <row r="98" spans="1:9">
      <c r="A98" s="4">
        <v>41355</v>
      </c>
      <c r="B98" s="184">
        <v>1371684.9088523251</v>
      </c>
      <c r="C98" s="184">
        <v>168.8</v>
      </c>
      <c r="D98" s="184"/>
      <c r="E98" s="184"/>
      <c r="G98"/>
      <c r="H98"/>
      <c r="I98"/>
    </row>
    <row r="99" spans="1:9">
      <c r="A99" s="4">
        <v>41364</v>
      </c>
      <c r="B99" s="184">
        <v>1384224.4597838602</v>
      </c>
      <c r="C99" s="184">
        <v>169.85500000000002</v>
      </c>
      <c r="D99" s="184"/>
      <c r="E99" s="184"/>
      <c r="G99"/>
      <c r="H99"/>
      <c r="I99"/>
    </row>
    <row r="100" spans="1:9">
      <c r="A100" s="4">
        <v>41369</v>
      </c>
      <c r="B100" s="184">
        <v>1394094.516495625</v>
      </c>
      <c r="C100" s="184">
        <v>170.91</v>
      </c>
      <c r="D100" s="184"/>
      <c r="E100" s="184"/>
      <c r="G100"/>
      <c r="H100"/>
      <c r="I100"/>
    </row>
    <row r="101" spans="1:9">
      <c r="A101" s="4">
        <v>41376</v>
      </c>
      <c r="B101" s="184">
        <v>1382072.9564302498</v>
      </c>
      <c r="C101" s="184">
        <v>172.86</v>
      </c>
      <c r="D101" s="184"/>
      <c r="E101" s="184"/>
      <c r="G101"/>
      <c r="H101"/>
      <c r="I101"/>
    </row>
    <row r="102" spans="1:9">
      <c r="A102" s="4">
        <v>41383</v>
      </c>
      <c r="B102" s="184">
        <v>1382072.9564302498</v>
      </c>
      <c r="C102" s="184">
        <v>173.02</v>
      </c>
      <c r="D102" s="184"/>
      <c r="E102" s="184"/>
      <c r="G102"/>
      <c r="H102"/>
      <c r="I102"/>
    </row>
    <row r="103" spans="1:9">
      <c r="A103" s="4">
        <v>41390</v>
      </c>
      <c r="B103" s="184">
        <v>1370165.36508926</v>
      </c>
      <c r="C103" s="184">
        <v>173.00998999999999</v>
      </c>
      <c r="D103" s="184"/>
      <c r="E103" s="184"/>
      <c r="G103"/>
      <c r="H103"/>
      <c r="I103"/>
    </row>
    <row r="104" spans="1:9">
      <c r="A104" s="94">
        <v>41397</v>
      </c>
      <c r="B104" s="183">
        <v>1386305.5285131598</v>
      </c>
      <c r="C104" s="183">
        <v>173.16</v>
      </c>
      <c r="D104" s="183"/>
      <c r="E104" s="183"/>
      <c r="G104"/>
      <c r="H104"/>
      <c r="I104"/>
    </row>
    <row r="105" spans="1:9">
      <c r="A105" s="4">
        <v>41404</v>
      </c>
      <c r="B105" s="184">
        <v>1401714.87912544</v>
      </c>
      <c r="C105" s="184">
        <v>176.02</v>
      </c>
      <c r="D105" s="184"/>
      <c r="E105" s="184"/>
      <c r="G105"/>
      <c r="H105"/>
      <c r="I105"/>
    </row>
    <row r="106" spans="1:9">
      <c r="A106" s="4">
        <v>41411</v>
      </c>
      <c r="B106" s="184">
        <v>1404641.4497934002</v>
      </c>
      <c r="C106" s="184">
        <v>179.07001</v>
      </c>
      <c r="D106" s="184"/>
      <c r="E106" s="184"/>
      <c r="G106"/>
      <c r="H106"/>
      <c r="I106"/>
    </row>
    <row r="107" spans="1:9">
      <c r="A107" s="4">
        <v>41418</v>
      </c>
      <c r="B107" s="184">
        <v>1380634.1551832203</v>
      </c>
      <c r="C107" s="184">
        <v>175.78</v>
      </c>
      <c r="D107" s="184"/>
      <c r="E107" s="184"/>
      <c r="G107"/>
      <c r="H107"/>
      <c r="I107"/>
    </row>
    <row r="108" spans="1:9">
      <c r="A108" s="4">
        <v>41425</v>
      </c>
      <c r="B108" s="184">
        <v>1371811.37802321</v>
      </c>
      <c r="C108" s="184">
        <v>171.61</v>
      </c>
      <c r="D108" s="184"/>
      <c r="E108" s="184"/>
      <c r="G108"/>
      <c r="H108"/>
      <c r="I108"/>
    </row>
    <row r="109" spans="1:9">
      <c r="A109" s="4">
        <v>41432</v>
      </c>
      <c r="B109" s="184">
        <v>1303747.434932075</v>
      </c>
      <c r="C109" s="184">
        <v>163.39999</v>
      </c>
      <c r="D109" s="184"/>
      <c r="E109" s="184"/>
      <c r="G109"/>
      <c r="H109"/>
      <c r="I109"/>
    </row>
    <row r="110" spans="1:9">
      <c r="A110" s="4">
        <v>41439</v>
      </c>
      <c r="B110" s="184">
        <v>1291507.7733541725</v>
      </c>
      <c r="C110" s="184">
        <v>158.19</v>
      </c>
      <c r="D110" s="184"/>
      <c r="E110" s="184"/>
      <c r="G110"/>
      <c r="H110"/>
      <c r="I110"/>
    </row>
    <row r="111" spans="1:9">
      <c r="A111" s="4">
        <v>41446</v>
      </c>
      <c r="B111" s="184">
        <v>1244221.9011369126</v>
      </c>
      <c r="C111" s="184">
        <v>157.96001000000001</v>
      </c>
      <c r="D111" s="184"/>
      <c r="E111" s="184"/>
      <c r="G111"/>
      <c r="H111"/>
      <c r="I111"/>
    </row>
    <row r="112" spans="1:9">
      <c r="A112" s="4">
        <v>41453</v>
      </c>
      <c r="B112" s="184">
        <v>1246057.8698918903</v>
      </c>
      <c r="C112" s="184">
        <v>161.49001000000001</v>
      </c>
      <c r="D112" s="184"/>
      <c r="E112" s="184"/>
      <c r="G112"/>
      <c r="H112"/>
      <c r="I112"/>
    </row>
    <row r="113" spans="1:9">
      <c r="A113" s="4">
        <v>41460</v>
      </c>
      <c r="B113" s="184">
        <v>1246630.0495650352</v>
      </c>
      <c r="C113" s="184">
        <v>164.02</v>
      </c>
      <c r="D113" s="184"/>
      <c r="E113" s="184"/>
      <c r="G113"/>
      <c r="H113"/>
      <c r="I113"/>
    </row>
    <row r="114" spans="1:9">
      <c r="A114" s="4">
        <v>41467</v>
      </c>
      <c r="B114" s="184">
        <v>1242586.0247726203</v>
      </c>
      <c r="C114" s="184">
        <v>159.47</v>
      </c>
      <c r="D114" s="184"/>
      <c r="E114" s="184"/>
      <c r="G114"/>
      <c r="H114"/>
      <c r="I114"/>
    </row>
    <row r="115" spans="1:9">
      <c r="A115" s="4">
        <v>41474</v>
      </c>
      <c r="B115" s="184">
        <v>1250529.8781948774</v>
      </c>
      <c r="C115" s="184">
        <v>160.63</v>
      </c>
      <c r="D115" s="184"/>
      <c r="E115" s="184"/>
      <c r="G115"/>
      <c r="H115"/>
      <c r="I115"/>
    </row>
    <row r="116" spans="1:9">
      <c r="A116" s="4">
        <v>41481</v>
      </c>
      <c r="B116" s="184">
        <v>1241832.1213096702</v>
      </c>
      <c r="C116" s="184">
        <v>156.60001</v>
      </c>
      <c r="D116" s="184"/>
      <c r="E116" s="184"/>
      <c r="G116"/>
      <c r="H116"/>
      <c r="I116"/>
    </row>
    <row r="117" spans="1:9">
      <c r="A117" s="4">
        <v>41488</v>
      </c>
      <c r="B117" s="184">
        <v>1241754.36697532</v>
      </c>
      <c r="C117" s="184">
        <v>155.86000000000001</v>
      </c>
      <c r="D117" s="184"/>
      <c r="E117" s="184"/>
      <c r="G117"/>
      <c r="H117"/>
      <c r="I117"/>
    </row>
    <row r="118" spans="1:9">
      <c r="A118" s="4">
        <v>41495</v>
      </c>
      <c r="B118" s="184">
        <v>1245474.0981900599</v>
      </c>
      <c r="C118" s="184">
        <v>153.19999999999999</v>
      </c>
      <c r="D118" s="184"/>
      <c r="E118" s="184"/>
      <c r="G118"/>
      <c r="H118"/>
      <c r="I118"/>
    </row>
    <row r="119" spans="1:9">
      <c r="A119" s="4">
        <v>41502</v>
      </c>
      <c r="B119" s="184">
        <v>1224227.89261541</v>
      </c>
      <c r="C119" s="184">
        <v>151.63</v>
      </c>
      <c r="D119" s="184"/>
      <c r="E119" s="184"/>
      <c r="G119"/>
      <c r="H119"/>
      <c r="I119"/>
    </row>
    <row r="120" spans="1:9">
      <c r="A120" s="4">
        <v>41509</v>
      </c>
      <c r="B120" s="184">
        <v>1227468.0482522349</v>
      </c>
      <c r="C120" s="184">
        <v>146.97</v>
      </c>
      <c r="D120" s="184"/>
      <c r="E120" s="184"/>
      <c r="G120"/>
      <c r="H120"/>
      <c r="I120"/>
    </row>
    <row r="121" spans="1:9">
      <c r="A121" s="4">
        <v>41516</v>
      </c>
      <c r="B121" s="184">
        <v>1216444.5420318837</v>
      </c>
      <c r="C121" s="184">
        <v>146.53998999999999</v>
      </c>
      <c r="D121" s="184"/>
      <c r="E121" s="184"/>
      <c r="G121"/>
      <c r="H121"/>
      <c r="I121"/>
    </row>
    <row r="122" spans="1:9">
      <c r="A122" s="4">
        <v>41523</v>
      </c>
      <c r="B122" s="184">
        <v>1227250.9202490649</v>
      </c>
      <c r="C122" s="184">
        <v>146.57001</v>
      </c>
      <c r="D122" s="184"/>
      <c r="E122" s="184"/>
      <c r="G122"/>
      <c r="H122"/>
      <c r="I122"/>
    </row>
    <row r="123" spans="1:9">
      <c r="A123" s="4">
        <v>41530</v>
      </c>
      <c r="B123" s="184">
        <v>1233183.1783114399</v>
      </c>
      <c r="C123" s="184">
        <v>148.41</v>
      </c>
      <c r="D123" s="184"/>
      <c r="E123" s="184"/>
      <c r="G123"/>
      <c r="H123"/>
      <c r="I123"/>
    </row>
    <row r="124" spans="1:9">
      <c r="A124" s="4">
        <v>41537</v>
      </c>
      <c r="B124" s="184">
        <v>1239107.2833727701</v>
      </c>
      <c r="C124" s="184">
        <v>150.03998999999999</v>
      </c>
      <c r="D124" s="184"/>
      <c r="E124" s="184"/>
      <c r="G124"/>
      <c r="H124"/>
      <c r="I124"/>
    </row>
    <row r="125" spans="1:9">
      <c r="A125" s="4">
        <v>41544</v>
      </c>
      <c r="B125" s="184">
        <v>1232807</v>
      </c>
      <c r="C125" s="184">
        <v>147.71001000000001</v>
      </c>
      <c r="D125" s="184"/>
      <c r="E125" s="184"/>
      <c r="G125"/>
      <c r="H125"/>
      <c r="I125"/>
    </row>
    <row r="126" spans="1:9">
      <c r="A126" s="4">
        <v>41551</v>
      </c>
      <c r="B126" s="184">
        <v>1232796</v>
      </c>
      <c r="C126" s="184">
        <v>147.30000000000001</v>
      </c>
      <c r="D126" s="184"/>
      <c r="E126" s="184"/>
      <c r="G126"/>
      <c r="H126"/>
      <c r="I126"/>
    </row>
    <row r="127" spans="1:9">
      <c r="A127" s="4">
        <v>41558</v>
      </c>
      <c r="B127" s="184">
        <v>1255331</v>
      </c>
      <c r="C127" s="184">
        <v>150.94999999999999</v>
      </c>
      <c r="D127" s="184"/>
      <c r="E127" s="184"/>
      <c r="G127"/>
      <c r="H127"/>
      <c r="I127"/>
    </row>
    <row r="128" spans="1:9">
      <c r="A128" s="4">
        <v>41565</v>
      </c>
      <c r="B128" s="184">
        <v>1258380</v>
      </c>
      <c r="C128" s="184">
        <v>150.06</v>
      </c>
      <c r="D128" s="184"/>
      <c r="E128" s="184"/>
      <c r="G128"/>
      <c r="H128"/>
      <c r="I128"/>
    </row>
    <row r="129" spans="1:9">
      <c r="A129" s="4">
        <v>41572</v>
      </c>
      <c r="B129" s="184">
        <v>1254498</v>
      </c>
      <c r="C129" s="184">
        <v>147.99001000000001</v>
      </c>
      <c r="D129" s="184"/>
      <c r="E129" s="184"/>
      <c r="G129"/>
      <c r="H129"/>
      <c r="I129"/>
    </row>
    <row r="130" spans="1:9">
      <c r="A130" s="4">
        <v>41579</v>
      </c>
      <c r="B130" s="184">
        <v>1264270</v>
      </c>
      <c r="C130" s="184">
        <v>149.94999999999999</v>
      </c>
      <c r="D130" s="184"/>
      <c r="E130" s="184"/>
      <c r="G130"/>
      <c r="H130"/>
      <c r="I130"/>
    </row>
    <row r="131" spans="1:9">
      <c r="A131" s="4">
        <v>41586</v>
      </c>
      <c r="B131" s="184">
        <v>1256178</v>
      </c>
      <c r="C131" s="184">
        <v>150.49001000000001</v>
      </c>
      <c r="D131" s="184"/>
      <c r="E131" s="184"/>
      <c r="G131"/>
      <c r="H131"/>
      <c r="I131"/>
    </row>
    <row r="132" spans="1:9">
      <c r="A132" s="4">
        <v>41593</v>
      </c>
      <c r="B132" s="184">
        <v>1254913</v>
      </c>
      <c r="C132" s="184">
        <v>149.22</v>
      </c>
      <c r="D132" s="184"/>
      <c r="E132" s="184"/>
      <c r="G132"/>
      <c r="H132"/>
      <c r="I132"/>
    </row>
    <row r="133" spans="1:9">
      <c r="A133" s="4">
        <v>41600</v>
      </c>
      <c r="B133" s="184">
        <v>1245104</v>
      </c>
      <c r="C133" s="184">
        <v>148.63999999999999</v>
      </c>
      <c r="D133" s="184"/>
      <c r="E133" s="184"/>
      <c r="G133"/>
      <c r="H133"/>
      <c r="I133"/>
    </row>
    <row r="134" spans="1:9">
      <c r="A134" s="4">
        <v>41607</v>
      </c>
      <c r="B134" s="184">
        <v>1240898</v>
      </c>
      <c r="C134" s="184">
        <v>147.44</v>
      </c>
      <c r="D134" s="184"/>
      <c r="E134" s="184"/>
      <c r="G134"/>
      <c r="H134"/>
      <c r="I134"/>
    </row>
    <row r="135" spans="1:9">
      <c r="A135" s="4">
        <v>41614</v>
      </c>
      <c r="B135" s="184">
        <v>1223792</v>
      </c>
      <c r="C135" s="184">
        <v>145.60001</v>
      </c>
      <c r="D135" s="184"/>
      <c r="E135" s="184"/>
      <c r="G135"/>
      <c r="H135"/>
      <c r="I135"/>
    </row>
    <row r="136" spans="1:9">
      <c r="A136" s="4">
        <v>41621</v>
      </c>
      <c r="B136" s="184">
        <v>1209524</v>
      </c>
      <c r="C136" s="184">
        <v>144.19</v>
      </c>
      <c r="D136" s="184"/>
      <c r="E136" s="184"/>
      <c r="G136"/>
      <c r="H136"/>
      <c r="I136"/>
    </row>
    <row r="137" spans="1:9">
      <c r="A137" s="4">
        <v>41628</v>
      </c>
      <c r="B137" s="184">
        <v>1212882</v>
      </c>
      <c r="C137" s="184">
        <v>144.16999999999999</v>
      </c>
      <c r="D137" s="184"/>
      <c r="E137" s="184"/>
      <c r="G137"/>
      <c r="H137"/>
      <c r="I137"/>
    </row>
    <row r="138" spans="1:9">
      <c r="A138" s="4">
        <v>41635</v>
      </c>
      <c r="B138" s="184">
        <v>1178823</v>
      </c>
      <c r="C138" s="184">
        <v>142.75998999999999</v>
      </c>
      <c r="D138" s="184"/>
      <c r="E138" s="184"/>
      <c r="G138"/>
      <c r="H138"/>
      <c r="I138"/>
    </row>
    <row r="139" spans="1:9">
      <c r="A139" s="4">
        <v>41642</v>
      </c>
      <c r="B139" s="184">
        <v>1211435</v>
      </c>
      <c r="C139" s="184">
        <v>143.88</v>
      </c>
      <c r="D139" s="184"/>
      <c r="E139" s="184"/>
      <c r="G139"/>
      <c r="H139"/>
      <c r="I139"/>
    </row>
    <row r="140" spans="1:9">
      <c r="A140" s="4">
        <v>41649</v>
      </c>
      <c r="B140" s="184">
        <v>1211435</v>
      </c>
      <c r="C140" s="184">
        <v>144.22</v>
      </c>
      <c r="D140" s="184"/>
      <c r="E140" s="184"/>
      <c r="G140"/>
      <c r="H140"/>
      <c r="I140"/>
    </row>
    <row r="141" spans="1:9">
      <c r="A141" s="4">
        <v>41656</v>
      </c>
      <c r="B141" s="184">
        <v>1226658</v>
      </c>
      <c r="C141" s="184">
        <v>145.11000000000001</v>
      </c>
      <c r="D141" s="184"/>
      <c r="E141" s="184"/>
      <c r="G141"/>
      <c r="H141"/>
      <c r="I141"/>
    </row>
    <row r="142" spans="1:9">
      <c r="A142" s="4">
        <v>41663</v>
      </c>
      <c r="B142" s="184">
        <v>1167118</v>
      </c>
      <c r="C142" s="184">
        <v>139.92999</v>
      </c>
      <c r="D142" s="184"/>
      <c r="E142" s="184"/>
      <c r="G142"/>
      <c r="H142"/>
      <c r="I142"/>
    </row>
    <row r="143" spans="1:9">
      <c r="A143" s="4">
        <v>41670</v>
      </c>
      <c r="B143" s="184">
        <v>1169080</v>
      </c>
      <c r="C143" s="184">
        <v>141.11000000000001</v>
      </c>
      <c r="D143" s="184"/>
      <c r="E143" s="184"/>
      <c r="G143"/>
      <c r="H143"/>
      <c r="I143"/>
    </row>
    <row r="144" spans="1:9">
      <c r="A144" s="4">
        <v>41677</v>
      </c>
      <c r="B144" s="184">
        <v>1181998</v>
      </c>
      <c r="C144" s="184">
        <v>141.39999</v>
      </c>
      <c r="D144" s="184"/>
      <c r="E144" s="184"/>
      <c r="G144"/>
      <c r="H144"/>
      <c r="I144"/>
    </row>
    <row r="145" spans="1:9">
      <c r="A145" s="4">
        <v>41684</v>
      </c>
      <c r="B145" s="184">
        <v>1187324</v>
      </c>
      <c r="C145" s="184">
        <v>140.92999</v>
      </c>
      <c r="D145" s="184"/>
      <c r="E145" s="184"/>
      <c r="G145"/>
      <c r="H145"/>
      <c r="I145"/>
    </row>
    <row r="146" spans="1:9">
      <c r="A146" s="4">
        <v>41691</v>
      </c>
      <c r="B146" s="184">
        <v>1158455</v>
      </c>
      <c r="C146" s="184">
        <v>140.46001000000001</v>
      </c>
      <c r="D146" s="184"/>
      <c r="E146" s="184"/>
      <c r="G146"/>
      <c r="H146"/>
      <c r="I146"/>
    </row>
    <row r="147" spans="1:9">
      <c r="A147" s="4">
        <v>41698</v>
      </c>
      <c r="B147" s="184">
        <v>1163786</v>
      </c>
      <c r="C147" s="184">
        <v>140.12</v>
      </c>
      <c r="D147" s="184"/>
      <c r="E147" s="184"/>
      <c r="G147"/>
      <c r="H147"/>
      <c r="I147"/>
    </row>
    <row r="148" spans="1:9">
      <c r="A148" s="4">
        <v>41705</v>
      </c>
      <c r="B148" s="184">
        <v>1139518</v>
      </c>
      <c r="C148" s="184">
        <v>140.86000000000001</v>
      </c>
      <c r="D148" s="184"/>
      <c r="E148" s="184"/>
      <c r="G148"/>
      <c r="H148"/>
      <c r="I148"/>
    </row>
    <row r="149" spans="1:9">
      <c r="A149" s="4">
        <v>41712</v>
      </c>
      <c r="B149" s="184">
        <v>1139518</v>
      </c>
      <c r="C149" s="184">
        <v>138.46001000000001</v>
      </c>
      <c r="D149" s="184"/>
      <c r="E149" s="184"/>
      <c r="G149"/>
      <c r="H149"/>
      <c r="I149"/>
    </row>
    <row r="150" spans="1:9">
      <c r="A150" s="4">
        <v>41719</v>
      </c>
      <c r="B150" s="184">
        <v>1148028</v>
      </c>
      <c r="C150" s="184">
        <v>139.38999999999999</v>
      </c>
      <c r="D150" s="184"/>
      <c r="E150" s="184"/>
      <c r="G150"/>
      <c r="H150"/>
      <c r="I150"/>
    </row>
    <row r="151" spans="1:9">
      <c r="A151" s="4">
        <v>41726</v>
      </c>
      <c r="B151" s="184">
        <v>1164397</v>
      </c>
      <c r="C151" s="184">
        <v>141.86000000000001</v>
      </c>
      <c r="D151" s="184"/>
      <c r="E151" s="184"/>
      <c r="G151"/>
      <c r="H151"/>
      <c r="I151"/>
    </row>
    <row r="152" spans="1:9">
      <c r="A152" s="4">
        <v>41733</v>
      </c>
      <c r="B152" s="184">
        <v>1178750</v>
      </c>
      <c r="C152" s="184">
        <v>141.09</v>
      </c>
      <c r="D152" s="184"/>
      <c r="E152" s="184"/>
      <c r="G152"/>
      <c r="H152"/>
      <c r="I152"/>
    </row>
    <row r="153" spans="1:9">
      <c r="A153" s="4">
        <v>41740</v>
      </c>
      <c r="B153" s="184">
        <v>1171339</v>
      </c>
      <c r="C153" s="184">
        <v>139.41</v>
      </c>
      <c r="D153" s="184"/>
      <c r="E153" s="184"/>
      <c r="G153"/>
      <c r="H153"/>
      <c r="I153"/>
    </row>
    <row r="154" spans="1:9">
      <c r="A154" s="4">
        <v>41747</v>
      </c>
      <c r="B154" s="184">
        <v>1169561</v>
      </c>
      <c r="C154" s="184">
        <v>139.81</v>
      </c>
      <c r="D154" s="184"/>
      <c r="E154" s="184"/>
      <c r="G154"/>
      <c r="H154"/>
      <c r="I154"/>
    </row>
    <row r="155" spans="1:9">
      <c r="A155" s="4">
        <v>41754</v>
      </c>
      <c r="B155" s="184">
        <v>1166307</v>
      </c>
      <c r="C155" s="184">
        <v>139.44</v>
      </c>
      <c r="D155" s="184"/>
      <c r="E155" s="184"/>
      <c r="G155"/>
      <c r="H155"/>
      <c r="I155"/>
    </row>
    <row r="156" spans="1:9">
      <c r="A156" s="4">
        <v>41761</v>
      </c>
      <c r="B156" s="184">
        <v>1190274</v>
      </c>
      <c r="C156" s="184">
        <v>140.21001000000001</v>
      </c>
      <c r="D156" s="184"/>
      <c r="E156" s="184"/>
      <c r="G156"/>
      <c r="H156"/>
      <c r="I156"/>
    </row>
    <row r="157" spans="1:9">
      <c r="A157" s="94">
        <v>41768</v>
      </c>
      <c r="B157" s="183">
        <v>1199808</v>
      </c>
      <c r="C157" s="183">
        <v>141.63999999999999</v>
      </c>
      <c r="D157" s="183"/>
      <c r="E157" s="183"/>
      <c r="G157"/>
      <c r="H157"/>
      <c r="I157"/>
    </row>
    <row r="158" spans="1:9">
      <c r="A158" s="4">
        <v>41775</v>
      </c>
      <c r="B158" s="184">
        <v>1209668</v>
      </c>
      <c r="C158" s="184">
        <v>144.28</v>
      </c>
      <c r="D158" s="184"/>
      <c r="E158" s="184"/>
      <c r="G158"/>
      <c r="H158"/>
      <c r="I158"/>
    </row>
    <row r="159" spans="1:9">
      <c r="A159" s="4">
        <v>41782</v>
      </c>
      <c r="B159" s="184">
        <v>1211851</v>
      </c>
      <c r="C159" s="184">
        <v>144.66999999999999</v>
      </c>
      <c r="D159" s="184"/>
      <c r="E159" s="184"/>
      <c r="G159"/>
      <c r="H159"/>
      <c r="I159"/>
    </row>
    <row r="160" spans="1:9">
      <c r="A160" s="4">
        <v>41789</v>
      </c>
      <c r="B160" s="184">
        <v>1207774</v>
      </c>
      <c r="C160" s="184">
        <v>144.78998999999999</v>
      </c>
      <c r="D160" s="184"/>
      <c r="E160" s="184"/>
      <c r="G160"/>
      <c r="H160"/>
      <c r="I160"/>
    </row>
    <row r="161" spans="1:9">
      <c r="A161" s="96">
        <v>41796</v>
      </c>
      <c r="B161" s="184">
        <v>1217570</v>
      </c>
      <c r="C161" s="184">
        <v>145.19</v>
      </c>
      <c r="D161" s="184"/>
      <c r="E161" s="184"/>
      <c r="G161"/>
      <c r="H161"/>
      <c r="I161"/>
    </row>
    <row r="162" spans="1:9">
      <c r="A162" s="96">
        <v>41803</v>
      </c>
      <c r="B162" s="184">
        <v>1226607</v>
      </c>
      <c r="C162" s="184">
        <v>146.5</v>
      </c>
      <c r="D162" s="184"/>
      <c r="E162" s="184"/>
      <c r="G162"/>
      <c r="H162"/>
      <c r="I162"/>
    </row>
    <row r="163" spans="1:9">
      <c r="A163" s="96">
        <v>41810</v>
      </c>
      <c r="B163" s="184">
        <v>1225604</v>
      </c>
      <c r="C163" s="184">
        <v>144.56</v>
      </c>
      <c r="D163" s="184"/>
      <c r="E163" s="184"/>
      <c r="G163"/>
      <c r="H163"/>
      <c r="I163"/>
    </row>
    <row r="164" spans="1:9">
      <c r="A164" s="96">
        <v>41817</v>
      </c>
      <c r="B164" s="184">
        <v>1225895</v>
      </c>
      <c r="C164" s="184">
        <v>143.87</v>
      </c>
      <c r="D164" s="184"/>
      <c r="E164" s="184"/>
      <c r="G164"/>
      <c r="H164"/>
      <c r="I164"/>
    </row>
    <row r="165" spans="1:9">
      <c r="A165" s="96">
        <v>41824</v>
      </c>
      <c r="B165" s="184">
        <v>1236135</v>
      </c>
      <c r="C165" s="184">
        <v>144.38999999999999</v>
      </c>
      <c r="D165" s="184"/>
      <c r="E165" s="184"/>
      <c r="G165"/>
      <c r="H165"/>
      <c r="I165"/>
    </row>
    <row r="166" spans="1:9">
      <c r="A166" s="96">
        <v>41831</v>
      </c>
      <c r="B166" s="184">
        <v>1232134</v>
      </c>
      <c r="C166" s="184">
        <v>145.87</v>
      </c>
      <c r="D166" s="184"/>
      <c r="E166" s="184"/>
      <c r="G166"/>
      <c r="H166"/>
      <c r="I166"/>
    </row>
    <row r="167" spans="1:9">
      <c r="A167" s="96">
        <v>41838</v>
      </c>
      <c r="B167" s="184">
        <v>1248967</v>
      </c>
      <c r="C167" s="184">
        <v>147.16999999999999</v>
      </c>
      <c r="D167" s="184"/>
      <c r="E167" s="184"/>
      <c r="G167"/>
      <c r="H167"/>
      <c r="I167"/>
    </row>
    <row r="168" spans="1:9">
      <c r="A168" s="96">
        <v>41845</v>
      </c>
      <c r="B168" s="184">
        <v>1266310</v>
      </c>
      <c r="C168" s="184">
        <v>149.10001</v>
      </c>
      <c r="D168" s="184"/>
      <c r="E168" s="184"/>
      <c r="G168"/>
      <c r="H168"/>
      <c r="I168"/>
    </row>
    <row r="169" spans="1:9">
      <c r="A169" s="96">
        <v>41852</v>
      </c>
      <c r="B169" s="184">
        <v>1245402</v>
      </c>
      <c r="C169" s="184">
        <v>146.87</v>
      </c>
      <c r="D169" s="184"/>
      <c r="E169" s="184"/>
      <c r="G169"/>
      <c r="H169"/>
      <c r="I169"/>
    </row>
    <row r="170" spans="1:9">
      <c r="A170" s="96">
        <v>41859</v>
      </c>
      <c r="B170" s="184">
        <v>1239402</v>
      </c>
      <c r="C170" s="184">
        <v>146.21001000000001</v>
      </c>
      <c r="D170" s="184"/>
      <c r="E170" s="184"/>
      <c r="G170"/>
      <c r="H170"/>
      <c r="I170"/>
    </row>
    <row r="171" spans="1:9">
      <c r="A171" s="96">
        <v>41866</v>
      </c>
      <c r="B171" s="184">
        <v>1255000</v>
      </c>
      <c r="C171" s="184">
        <v>146.21001000000001</v>
      </c>
      <c r="D171" s="184"/>
      <c r="E171" s="184"/>
      <c r="G171"/>
      <c r="H171"/>
      <c r="I171"/>
    </row>
    <row r="172" spans="1:9">
      <c r="A172" s="96">
        <v>41873</v>
      </c>
      <c r="B172" s="184">
        <v>1271563</v>
      </c>
      <c r="C172" s="184">
        <v>149.25998999999999</v>
      </c>
      <c r="D172" s="184"/>
      <c r="E172" s="184"/>
      <c r="G172"/>
      <c r="H172"/>
      <c r="I172"/>
    </row>
    <row r="173" spans="1:9">
      <c r="A173" s="96">
        <v>41880</v>
      </c>
      <c r="B173" s="184">
        <v>1287359</v>
      </c>
      <c r="C173" s="184">
        <v>152.75</v>
      </c>
      <c r="D173" s="184"/>
      <c r="E173" s="184"/>
      <c r="G173"/>
      <c r="H173"/>
      <c r="I173"/>
    </row>
    <row r="174" spans="1:9">
      <c r="A174" s="96">
        <v>41887</v>
      </c>
      <c r="B174" s="184">
        <v>1312014</v>
      </c>
      <c r="C174" s="184">
        <v>157.41999999999999</v>
      </c>
      <c r="D174" s="184"/>
      <c r="E174" s="184"/>
      <c r="G174"/>
      <c r="H174"/>
      <c r="I174"/>
    </row>
    <row r="175" spans="1:9">
      <c r="A175" s="96">
        <v>41894</v>
      </c>
      <c r="B175" s="184">
        <v>1298993</v>
      </c>
      <c r="C175" s="184">
        <v>157.12</v>
      </c>
      <c r="D175" s="184"/>
      <c r="E175" s="184"/>
      <c r="G175"/>
      <c r="H175"/>
      <c r="I175"/>
    </row>
    <row r="176" spans="1:9">
      <c r="A176" s="96">
        <v>41901</v>
      </c>
      <c r="B176" s="184">
        <v>1303561</v>
      </c>
      <c r="C176" s="184">
        <v>160.88999999999999</v>
      </c>
      <c r="D176" s="184"/>
      <c r="E176" s="184"/>
      <c r="G176"/>
      <c r="H176"/>
      <c r="I176"/>
    </row>
    <row r="177" spans="1:9">
      <c r="A177" s="96">
        <v>41908</v>
      </c>
      <c r="B177" s="184">
        <v>1304701</v>
      </c>
      <c r="C177" s="184">
        <v>163.09</v>
      </c>
      <c r="D177" s="184"/>
      <c r="E177" s="184"/>
      <c r="G177"/>
      <c r="H177"/>
      <c r="I177"/>
    </row>
    <row r="178" spans="1:9">
      <c r="A178" s="96">
        <v>41915</v>
      </c>
      <c r="B178" s="184">
        <v>1300319</v>
      </c>
      <c r="C178" s="184">
        <v>164.06</v>
      </c>
      <c r="D178" s="184"/>
      <c r="E178" s="184"/>
      <c r="G178"/>
      <c r="H178"/>
      <c r="I178"/>
    </row>
    <row r="179" spans="1:9">
      <c r="A179" s="96">
        <v>41922</v>
      </c>
      <c r="B179" s="184">
        <v>1290045</v>
      </c>
      <c r="C179" s="184">
        <v>163.80000000000001</v>
      </c>
      <c r="D179" s="184"/>
      <c r="E179" s="184"/>
      <c r="G179"/>
      <c r="H179"/>
      <c r="I179"/>
    </row>
    <row r="180" spans="1:9">
      <c r="A180" s="96">
        <v>41929</v>
      </c>
      <c r="B180" s="184">
        <v>1280086</v>
      </c>
      <c r="C180" s="184">
        <v>162.38999999999999</v>
      </c>
      <c r="D180" s="184"/>
      <c r="E180" s="184"/>
      <c r="G180"/>
      <c r="H180"/>
      <c r="I180"/>
    </row>
    <row r="181" spans="1:9">
      <c r="A181" s="96">
        <v>41936</v>
      </c>
      <c r="B181" s="184">
        <v>1298500</v>
      </c>
      <c r="C181" s="184">
        <v>165.28</v>
      </c>
      <c r="D181" s="184"/>
      <c r="E181" s="184"/>
      <c r="G181"/>
      <c r="H181"/>
      <c r="I181"/>
    </row>
    <row r="182" spans="1:9">
      <c r="A182" s="96">
        <v>41943</v>
      </c>
      <c r="B182" s="184">
        <v>1318888</v>
      </c>
      <c r="C182" s="184">
        <v>168.95</v>
      </c>
      <c r="D182" s="184"/>
      <c r="E182" s="184"/>
      <c r="G182"/>
      <c r="H182"/>
      <c r="I182"/>
    </row>
    <row r="183" spans="1:9">
      <c r="A183" s="96">
        <v>41950</v>
      </c>
      <c r="B183" s="184">
        <v>1317152</v>
      </c>
      <c r="C183" s="184">
        <v>168.55</v>
      </c>
      <c r="D183" s="184"/>
      <c r="E183" s="184"/>
      <c r="G183"/>
      <c r="H183"/>
      <c r="I183"/>
    </row>
    <row r="184" spans="1:9">
      <c r="A184" s="96">
        <v>41957</v>
      </c>
      <c r="B184" s="184">
        <v>1311733</v>
      </c>
      <c r="C184" s="184">
        <v>167.47</v>
      </c>
      <c r="D184" s="184"/>
      <c r="E184" s="184"/>
      <c r="G184"/>
      <c r="H184"/>
      <c r="I184"/>
    </row>
    <row r="185" spans="1:9">
      <c r="A185" s="96">
        <v>41964</v>
      </c>
      <c r="B185" s="184">
        <v>1327317</v>
      </c>
      <c r="C185" s="184">
        <v>170.7</v>
      </c>
      <c r="D185" s="184"/>
      <c r="E185" s="184"/>
      <c r="G185"/>
      <c r="H185"/>
      <c r="I185"/>
    </row>
    <row r="186" spans="1:9">
      <c r="A186" s="96">
        <v>41971</v>
      </c>
      <c r="B186" s="184">
        <v>1299819</v>
      </c>
      <c r="C186" s="184">
        <v>169.86</v>
      </c>
      <c r="D186" s="184"/>
      <c r="E186" s="184"/>
      <c r="G186"/>
      <c r="H186"/>
      <c r="I186"/>
    </row>
    <row r="187" spans="1:9">
      <c r="A187" s="96">
        <v>41978</v>
      </c>
      <c r="B187" s="184">
        <v>1301919</v>
      </c>
      <c r="C187" s="184">
        <v>169.63</v>
      </c>
      <c r="D187" s="184"/>
      <c r="E187" s="184"/>
      <c r="G187"/>
      <c r="H187"/>
      <c r="I187"/>
    </row>
    <row r="188" spans="1:9">
      <c r="A188" s="96">
        <v>41985</v>
      </c>
      <c r="B188" s="184">
        <v>1247396</v>
      </c>
      <c r="C188" s="184">
        <v>160.38</v>
      </c>
      <c r="D188" s="184"/>
      <c r="E188" s="184"/>
      <c r="G188"/>
      <c r="H188"/>
      <c r="I188"/>
    </row>
    <row r="189" spans="1:9">
      <c r="A189" s="96">
        <v>41992</v>
      </c>
      <c r="B189" s="184">
        <v>1269326</v>
      </c>
      <c r="C189" s="184">
        <v>164.91</v>
      </c>
      <c r="D189" s="184"/>
      <c r="E189" s="184"/>
      <c r="G189"/>
      <c r="H189"/>
      <c r="I189"/>
    </row>
    <row r="190" spans="1:9">
      <c r="A190" s="96">
        <v>41999</v>
      </c>
      <c r="B190" s="184">
        <v>1303488</v>
      </c>
      <c r="C190" s="184">
        <v>172.27</v>
      </c>
      <c r="D190" s="184"/>
      <c r="E190" s="184"/>
      <c r="G190"/>
      <c r="H190"/>
      <c r="I190"/>
    </row>
    <row r="191" spans="1:9">
      <c r="A191" s="96">
        <v>42006</v>
      </c>
      <c r="B191" s="184">
        <v>1306500</v>
      </c>
      <c r="C191" s="184">
        <v>172.67999</v>
      </c>
      <c r="D191" s="184"/>
      <c r="E191" s="184"/>
      <c r="G191"/>
      <c r="H191"/>
      <c r="I191"/>
    </row>
    <row r="192" spans="1:9">
      <c r="A192" s="96">
        <v>42013</v>
      </c>
      <c r="B192" s="184">
        <v>1337197</v>
      </c>
      <c r="C192" s="184">
        <v>177.63</v>
      </c>
      <c r="D192" s="184"/>
      <c r="E192" s="184"/>
      <c r="G192"/>
      <c r="H192"/>
      <c r="I192"/>
    </row>
    <row r="193" spans="1:9">
      <c r="A193" s="96">
        <v>42020</v>
      </c>
      <c r="B193" s="184">
        <v>1367197</v>
      </c>
      <c r="C193" s="184">
        <v>180.47</v>
      </c>
      <c r="D193" s="184"/>
      <c r="E193" s="184"/>
      <c r="G193"/>
      <c r="H193"/>
      <c r="I193"/>
    </row>
    <row r="194" spans="1:9">
      <c r="A194" s="96">
        <v>42027</v>
      </c>
      <c r="B194" s="184">
        <v>1425525</v>
      </c>
      <c r="C194" s="184">
        <v>187.78</v>
      </c>
      <c r="D194" s="184"/>
      <c r="E194" s="184"/>
      <c r="G194"/>
      <c r="H194"/>
      <c r="I194"/>
    </row>
    <row r="195" spans="1:9">
      <c r="A195" s="96">
        <v>42034</v>
      </c>
      <c r="B195" s="184">
        <v>1397621</v>
      </c>
      <c r="C195" s="184">
        <v>182.23</v>
      </c>
      <c r="D195" s="184"/>
      <c r="E195" s="184"/>
      <c r="G195"/>
      <c r="H195"/>
      <c r="I195"/>
    </row>
    <row r="196" spans="1:9">
      <c r="A196" s="96">
        <v>42041</v>
      </c>
      <c r="B196" s="184">
        <v>1400388</v>
      </c>
      <c r="C196" s="184">
        <v>181.28998999999999</v>
      </c>
      <c r="D196" s="184"/>
      <c r="E196" s="184"/>
      <c r="G196"/>
      <c r="H196"/>
      <c r="I196"/>
    </row>
    <row r="197" spans="1:9">
      <c r="A197" s="96">
        <v>42048</v>
      </c>
      <c r="B197" s="184">
        <v>1404988</v>
      </c>
      <c r="C197" s="184">
        <v>179.42999</v>
      </c>
      <c r="D197" s="184"/>
      <c r="E197" s="184"/>
      <c r="G197"/>
      <c r="H197"/>
      <c r="I197"/>
    </row>
    <row r="198" spans="1:9">
      <c r="A198" s="96">
        <v>42055</v>
      </c>
      <c r="B198" s="184">
        <v>1416375</v>
      </c>
      <c r="C198" s="184">
        <v>182.17</v>
      </c>
      <c r="D198" s="184"/>
      <c r="E198" s="184"/>
      <c r="G198"/>
      <c r="H198"/>
      <c r="I198"/>
    </row>
    <row r="199" spans="1:9">
      <c r="A199" s="96">
        <v>42062</v>
      </c>
      <c r="B199" s="184">
        <v>1437589</v>
      </c>
      <c r="C199" s="184">
        <v>187.89999</v>
      </c>
      <c r="D199" s="184"/>
      <c r="E199" s="184"/>
      <c r="G199"/>
      <c r="H199"/>
      <c r="I199"/>
    </row>
    <row r="200" spans="1:9">
      <c r="A200" s="96">
        <v>42069</v>
      </c>
      <c r="B200" s="184">
        <v>1451796</v>
      </c>
      <c r="C200" s="184">
        <v>195.96001000000001</v>
      </c>
      <c r="D200" s="184"/>
      <c r="E200" s="184"/>
      <c r="G200"/>
      <c r="H200"/>
      <c r="I200"/>
    </row>
    <row r="201" spans="1:9">
      <c r="A201" s="96">
        <v>42076</v>
      </c>
      <c r="B201" s="184">
        <v>1471544</v>
      </c>
      <c r="C201" s="184">
        <v>201.57001</v>
      </c>
      <c r="D201" s="184"/>
      <c r="E201" s="184"/>
      <c r="G201"/>
      <c r="H201"/>
      <c r="I201"/>
    </row>
    <row r="202" spans="1:9">
      <c r="A202" s="96">
        <v>42083</v>
      </c>
      <c r="B202" s="184">
        <v>1449732</v>
      </c>
      <c r="C202" s="184">
        <v>195.67999</v>
      </c>
      <c r="D202" s="184"/>
      <c r="E202" s="184"/>
      <c r="G202"/>
      <c r="H202"/>
      <c r="I202"/>
    </row>
    <row r="203" spans="1:9">
      <c r="A203" s="96">
        <v>42090</v>
      </c>
      <c r="B203" s="184">
        <v>1438805</v>
      </c>
      <c r="C203" s="184">
        <v>194.95</v>
      </c>
      <c r="D203" s="184"/>
      <c r="E203" s="184"/>
      <c r="G203"/>
      <c r="H203"/>
      <c r="I203"/>
    </row>
    <row r="204" spans="1:9">
      <c r="A204" s="96">
        <v>42097</v>
      </c>
      <c r="B204" s="184">
        <v>1453697</v>
      </c>
      <c r="C204" s="184">
        <v>192.74001000000001</v>
      </c>
      <c r="D204" s="184"/>
      <c r="E204" s="184"/>
      <c r="G204"/>
      <c r="H204"/>
      <c r="I204"/>
    </row>
    <row r="205" spans="1:9">
      <c r="A205" s="96">
        <v>42104</v>
      </c>
      <c r="B205" s="184">
        <v>1509866</v>
      </c>
      <c r="C205" s="184">
        <v>207.50998999999999</v>
      </c>
      <c r="D205" s="184"/>
      <c r="E205" s="184"/>
      <c r="G205"/>
      <c r="H205"/>
      <c r="I205"/>
    </row>
    <row r="206" spans="1:9">
      <c r="A206" s="96">
        <v>42111</v>
      </c>
      <c r="B206" s="184">
        <v>1496579</v>
      </c>
      <c r="C206" s="184">
        <v>207.83</v>
      </c>
      <c r="D206" s="184"/>
      <c r="E206" s="184"/>
      <c r="G206"/>
      <c r="H206"/>
      <c r="I206"/>
    </row>
    <row r="207" spans="1:9">
      <c r="A207" s="96">
        <v>42118</v>
      </c>
      <c r="B207" s="184">
        <v>1492168</v>
      </c>
      <c r="C207" s="184">
        <v>206.66</v>
      </c>
      <c r="D207" s="184"/>
      <c r="E207" s="184"/>
      <c r="G207"/>
      <c r="H207"/>
      <c r="I207"/>
    </row>
    <row r="208" spans="1:9">
      <c r="A208" s="96">
        <v>42125</v>
      </c>
      <c r="B208" s="184">
        <v>1444694</v>
      </c>
      <c r="C208" s="184">
        <v>200.42</v>
      </c>
      <c r="D208" s="184"/>
      <c r="E208" s="184"/>
      <c r="G208"/>
      <c r="H208"/>
      <c r="I208"/>
    </row>
    <row r="209" spans="1:9">
      <c r="A209" s="96">
        <v>42132</v>
      </c>
      <c r="B209" s="184">
        <v>1438547</v>
      </c>
      <c r="C209" s="184">
        <v>198.78</v>
      </c>
      <c r="D209" s="184"/>
      <c r="E209" s="184"/>
      <c r="G209"/>
      <c r="H209"/>
      <c r="I209"/>
    </row>
    <row r="210" spans="1:9">
      <c r="A210" s="95">
        <v>42139</v>
      </c>
      <c r="B210" s="183">
        <v>1419246</v>
      </c>
      <c r="C210" s="183">
        <v>196.60001</v>
      </c>
      <c r="D210" s="183"/>
      <c r="E210" s="183"/>
      <c r="G210"/>
      <c r="H210"/>
      <c r="I210"/>
    </row>
    <row r="211" spans="1:9">
      <c r="A211" s="96">
        <v>42146</v>
      </c>
      <c r="B211" s="184">
        <v>1460724</v>
      </c>
      <c r="C211" s="184">
        <v>204.61</v>
      </c>
      <c r="D211" s="184"/>
      <c r="E211" s="184"/>
      <c r="G211"/>
      <c r="H211"/>
      <c r="I211"/>
    </row>
    <row r="212" spans="1:9">
      <c r="A212" s="93">
        <v>42153</v>
      </c>
      <c r="B212" s="184">
        <v>1448377</v>
      </c>
      <c r="C212" s="184">
        <v>203</v>
      </c>
      <c r="D212" s="184"/>
      <c r="E212" s="184"/>
      <c r="G212"/>
      <c r="H212"/>
      <c r="I212"/>
    </row>
    <row r="213" spans="1:9">
      <c r="A213" s="93">
        <v>42160</v>
      </c>
      <c r="B213" s="184">
        <v>1391673</v>
      </c>
      <c r="C213" s="184">
        <v>196.44</v>
      </c>
      <c r="D213" s="184"/>
      <c r="E213" s="184"/>
      <c r="G213"/>
      <c r="H213"/>
      <c r="I213"/>
    </row>
    <row r="214" spans="1:9">
      <c r="A214" s="93">
        <v>42167</v>
      </c>
      <c r="B214" s="184">
        <v>1393567</v>
      </c>
      <c r="C214" s="184">
        <v>194.53</v>
      </c>
      <c r="D214" s="184"/>
      <c r="E214" s="184"/>
      <c r="G214"/>
      <c r="H214"/>
      <c r="I214"/>
    </row>
    <row r="215" spans="1:9">
      <c r="A215" s="93">
        <v>42174</v>
      </c>
      <c r="B215" s="184">
        <v>1395183</v>
      </c>
      <c r="C215" s="184">
        <v>193.14</v>
      </c>
      <c r="D215" s="184"/>
      <c r="E215" s="184"/>
      <c r="G215"/>
      <c r="H215"/>
      <c r="I215"/>
    </row>
    <row r="216" spans="1:9">
      <c r="A216" s="93">
        <v>42181</v>
      </c>
      <c r="B216" s="184">
        <v>1410354</v>
      </c>
      <c r="C216" s="184">
        <v>194.46001000000001</v>
      </c>
      <c r="D216" s="184"/>
      <c r="E216" s="184"/>
      <c r="G216"/>
      <c r="H216"/>
      <c r="I216"/>
    </row>
    <row r="217" spans="1:9">
      <c r="A217" s="93">
        <v>42188</v>
      </c>
      <c r="B217" s="184">
        <v>1412531</v>
      </c>
      <c r="C217" s="184">
        <v>196.17</v>
      </c>
      <c r="D217" s="184"/>
      <c r="E217" s="184"/>
      <c r="G217"/>
      <c r="H217"/>
      <c r="I217"/>
    </row>
    <row r="218" spans="1:9">
      <c r="A218" s="93">
        <v>42195</v>
      </c>
      <c r="B218" s="184">
        <v>1407469</v>
      </c>
      <c r="C218" s="184">
        <v>198.34</v>
      </c>
      <c r="D218" s="184"/>
      <c r="E218" s="184"/>
      <c r="G218"/>
      <c r="H218"/>
      <c r="I218"/>
    </row>
    <row r="219" spans="1:9">
      <c r="A219" s="93">
        <v>42202</v>
      </c>
      <c r="B219" s="184">
        <v>1443973</v>
      </c>
      <c r="C219" s="184">
        <v>206.53998999999999</v>
      </c>
      <c r="D219" s="184"/>
      <c r="E219" s="184"/>
      <c r="G219"/>
      <c r="H219"/>
      <c r="I219"/>
    </row>
    <row r="220" spans="1:9">
      <c r="A220" s="93">
        <v>42209</v>
      </c>
      <c r="B220" s="184">
        <v>1426312</v>
      </c>
      <c r="C220" s="184">
        <v>199.78</v>
      </c>
      <c r="D220" s="184"/>
      <c r="E220" s="184"/>
      <c r="G220"/>
      <c r="H220"/>
      <c r="I220"/>
    </row>
    <row r="221" spans="1:9">
      <c r="A221" s="93">
        <v>42216</v>
      </c>
      <c r="B221" s="184">
        <v>1409937</v>
      </c>
      <c r="C221" s="184">
        <v>195.58</v>
      </c>
      <c r="D221" s="184"/>
      <c r="E221" s="184"/>
      <c r="G221"/>
      <c r="H221"/>
      <c r="I221"/>
    </row>
    <row r="222" spans="1:9">
      <c r="A222" s="93">
        <v>42223</v>
      </c>
      <c r="B222" s="184">
        <v>1403724</v>
      </c>
      <c r="C222" s="184">
        <v>192.91</v>
      </c>
      <c r="D222" s="184"/>
      <c r="E222" s="184"/>
      <c r="G222"/>
      <c r="H222"/>
      <c r="I222"/>
    </row>
    <row r="223" spans="1:9">
      <c r="A223" s="93">
        <v>42230</v>
      </c>
      <c r="B223" s="184">
        <v>1374939</v>
      </c>
      <c r="C223" s="184">
        <v>187.31</v>
      </c>
      <c r="D223" s="184"/>
      <c r="E223" s="184"/>
      <c r="G223"/>
      <c r="H223"/>
      <c r="I223"/>
    </row>
    <row r="224" spans="1:9">
      <c r="A224" s="93">
        <v>42237</v>
      </c>
      <c r="B224" s="184">
        <v>1302203</v>
      </c>
      <c r="C224" s="184">
        <v>178.27</v>
      </c>
      <c r="D224" s="184"/>
      <c r="E224" s="184"/>
      <c r="G224"/>
      <c r="H224"/>
      <c r="I224"/>
    </row>
    <row r="225" spans="1:9">
      <c r="A225" s="93">
        <v>42244</v>
      </c>
      <c r="B225" s="184">
        <v>1325354</v>
      </c>
      <c r="C225" s="184">
        <v>177.81</v>
      </c>
      <c r="D225" s="184"/>
      <c r="E225" s="184"/>
      <c r="G225"/>
      <c r="H225"/>
      <c r="I225"/>
    </row>
    <row r="226" spans="1:9">
      <c r="A226" s="93">
        <v>42251</v>
      </c>
      <c r="B226" s="184">
        <v>1325354</v>
      </c>
      <c r="C226" s="184">
        <v>169.28998999999999</v>
      </c>
      <c r="D226" s="184"/>
      <c r="E226" s="184"/>
      <c r="G226"/>
      <c r="H226"/>
      <c r="I226"/>
    </row>
    <row r="227" spans="1:9">
      <c r="A227" s="93">
        <v>42258</v>
      </c>
      <c r="B227" s="184">
        <v>1269896</v>
      </c>
      <c r="C227" s="184">
        <v>166.46001000000001</v>
      </c>
      <c r="D227" s="184"/>
      <c r="E227" s="184"/>
      <c r="G227"/>
      <c r="H227"/>
      <c r="I227"/>
    </row>
    <row r="228" spans="1:9">
      <c r="A228" s="93">
        <v>42265</v>
      </c>
      <c r="B228" s="184">
        <v>1276993</v>
      </c>
      <c r="C228" s="184">
        <v>165.92999</v>
      </c>
      <c r="D228" s="184"/>
      <c r="E228" s="184"/>
      <c r="G228"/>
      <c r="H228"/>
      <c r="I228"/>
    </row>
    <row r="229" spans="1:9">
      <c r="A229" s="93">
        <v>42272</v>
      </c>
      <c r="B229" s="184">
        <v>1273178</v>
      </c>
      <c r="C229" s="184">
        <v>161.59</v>
      </c>
      <c r="D229" s="184"/>
      <c r="E229" s="184"/>
      <c r="G229"/>
      <c r="H229"/>
      <c r="I229"/>
    </row>
    <row r="230" spans="1:9">
      <c r="A230" s="93">
        <v>42279</v>
      </c>
      <c r="B230" s="184">
        <v>1266875</v>
      </c>
      <c r="C230" s="184">
        <v>162.71001000000001</v>
      </c>
      <c r="D230" s="184"/>
      <c r="E230" s="184"/>
      <c r="G230"/>
      <c r="H230"/>
      <c r="I230"/>
    </row>
    <row r="231" spans="1:9">
      <c r="A231" s="93">
        <v>42286</v>
      </c>
      <c r="B231" s="184">
        <v>1353325</v>
      </c>
      <c r="C231" s="184">
        <v>170.69</v>
      </c>
      <c r="D231" s="184"/>
      <c r="E231" s="184"/>
      <c r="G231"/>
      <c r="H231"/>
      <c r="I231"/>
    </row>
    <row r="232" spans="1:9">
      <c r="A232" s="93">
        <v>42293</v>
      </c>
      <c r="B232" s="184">
        <v>1333699</v>
      </c>
      <c r="C232" s="184">
        <v>167.69</v>
      </c>
      <c r="D232" s="184"/>
      <c r="E232" s="184"/>
      <c r="G232"/>
      <c r="H232"/>
      <c r="I232"/>
    </row>
    <row r="233" spans="1:9">
      <c r="A233" s="93">
        <v>42300</v>
      </c>
      <c r="B233" s="184">
        <v>1369305</v>
      </c>
      <c r="C233" s="184">
        <v>171.53998999999999</v>
      </c>
      <c r="D233" s="184"/>
      <c r="E233" s="184"/>
      <c r="G233"/>
      <c r="H233"/>
      <c r="I233"/>
    </row>
    <row r="234" spans="1:9">
      <c r="A234" s="93">
        <v>42307</v>
      </c>
      <c r="B234" s="184">
        <v>1402537</v>
      </c>
      <c r="C234" s="184">
        <v>172.45</v>
      </c>
      <c r="D234" s="184"/>
      <c r="E234" s="184"/>
      <c r="G234"/>
      <c r="H234"/>
      <c r="I234"/>
    </row>
    <row r="235" spans="1:9">
      <c r="A235" s="93">
        <v>42314</v>
      </c>
      <c r="B235" s="184">
        <v>1394279</v>
      </c>
      <c r="C235" s="184">
        <v>178.12</v>
      </c>
      <c r="D235" s="184"/>
      <c r="E235" s="184"/>
      <c r="G235"/>
      <c r="H235"/>
      <c r="I235"/>
    </row>
    <row r="236" spans="1:9">
      <c r="A236" s="93">
        <v>42321</v>
      </c>
      <c r="B236" s="184">
        <v>1392803</v>
      </c>
      <c r="C236" s="184">
        <v>178.07001</v>
      </c>
      <c r="D236" s="184"/>
      <c r="E236" s="184"/>
      <c r="G236"/>
      <c r="H236"/>
      <c r="I236"/>
    </row>
    <row r="237" spans="1:9">
      <c r="A237" s="93">
        <v>42328</v>
      </c>
      <c r="B237" s="184">
        <v>1458884</v>
      </c>
      <c r="C237" s="184">
        <v>186.42</v>
      </c>
      <c r="D237" s="184"/>
      <c r="E237" s="184"/>
      <c r="G237"/>
      <c r="H237"/>
      <c r="I237"/>
    </row>
    <row r="238" spans="1:9">
      <c r="A238" s="93">
        <v>42335</v>
      </c>
      <c r="B238" s="184">
        <v>1446993</v>
      </c>
      <c r="C238" s="184">
        <v>185.14999</v>
      </c>
      <c r="D238" s="184"/>
      <c r="E238" s="184"/>
      <c r="G238"/>
      <c r="H238"/>
      <c r="I238"/>
    </row>
    <row r="239" spans="1:9">
      <c r="A239" s="93">
        <v>42342</v>
      </c>
      <c r="B239" s="184">
        <v>1406041</v>
      </c>
      <c r="C239" s="184">
        <v>180.60001</v>
      </c>
      <c r="D239" s="184"/>
      <c r="E239" s="184"/>
      <c r="G239"/>
      <c r="H239"/>
      <c r="I239"/>
    </row>
    <row r="240" spans="1:9">
      <c r="A240" s="93">
        <v>42349</v>
      </c>
      <c r="B240" s="184">
        <v>1332891</v>
      </c>
      <c r="C240" s="184">
        <v>172.38</v>
      </c>
      <c r="D240" s="184"/>
      <c r="E240" s="184"/>
      <c r="G240"/>
      <c r="H240"/>
      <c r="I240"/>
    </row>
    <row r="241" spans="1:9">
      <c r="A241" s="93">
        <v>42356</v>
      </c>
      <c r="B241" s="184">
        <v>1343219</v>
      </c>
      <c r="C241" s="184">
        <v>169.23</v>
      </c>
      <c r="D241" s="184"/>
      <c r="E241" s="184"/>
      <c r="G241"/>
      <c r="H241"/>
      <c r="I241"/>
    </row>
    <row r="242" spans="1:9">
      <c r="A242" s="93">
        <v>42363</v>
      </c>
      <c r="B242" s="184">
        <v>1337462</v>
      </c>
      <c r="C242" s="184">
        <v>166.86</v>
      </c>
      <c r="D242" s="184"/>
      <c r="E242" s="184"/>
      <c r="G242"/>
      <c r="H242"/>
      <c r="I242"/>
    </row>
    <row r="243" spans="1:9">
      <c r="A243" s="93">
        <v>42369</v>
      </c>
      <c r="B243" s="184">
        <v>1327364</v>
      </c>
      <c r="C243" s="184">
        <v>165.53998999999999</v>
      </c>
      <c r="D243" s="184"/>
      <c r="E243" s="184"/>
      <c r="G243"/>
      <c r="H243"/>
      <c r="I243"/>
    </row>
    <row r="244" spans="1:9">
      <c r="A244" s="93">
        <v>42377</v>
      </c>
      <c r="B244" s="184">
        <v>1292845</v>
      </c>
      <c r="C244" s="184">
        <v>161.34</v>
      </c>
      <c r="D244" s="184"/>
      <c r="E244" s="184"/>
      <c r="G244"/>
      <c r="H244"/>
      <c r="I244"/>
    </row>
    <row r="245" spans="1:9">
      <c r="A245" s="93">
        <v>42384</v>
      </c>
      <c r="B245" s="184">
        <v>1258689</v>
      </c>
      <c r="C245" s="184">
        <v>156.14999</v>
      </c>
      <c r="D245" s="184"/>
      <c r="E245" s="184"/>
      <c r="G245"/>
      <c r="H245"/>
      <c r="I245"/>
    </row>
    <row r="246" spans="1:9">
      <c r="A246" s="93">
        <v>42391</v>
      </c>
      <c r="B246" s="184">
        <v>1263324</v>
      </c>
      <c r="C246" s="184">
        <v>154.82001</v>
      </c>
      <c r="D246" s="184"/>
      <c r="E246" s="184"/>
      <c r="G246"/>
      <c r="H246"/>
      <c r="I246"/>
    </row>
    <row r="247" spans="1:9">
      <c r="A247" s="93">
        <v>42398</v>
      </c>
      <c r="B247" s="184">
        <v>1317820</v>
      </c>
      <c r="C247" s="184">
        <v>161.89999</v>
      </c>
      <c r="D247" s="184"/>
      <c r="E247" s="184"/>
      <c r="G247"/>
      <c r="H247"/>
      <c r="I247"/>
    </row>
    <row r="248" spans="1:9">
      <c r="A248" s="93">
        <v>42405</v>
      </c>
      <c r="B248" s="184">
        <v>1307820</v>
      </c>
      <c r="C248" s="184">
        <v>160.22</v>
      </c>
      <c r="D248" s="184"/>
      <c r="E248" s="184"/>
      <c r="G248"/>
      <c r="H248"/>
      <c r="I248"/>
    </row>
    <row r="249" spans="1:9">
      <c r="A249" s="93">
        <v>42412</v>
      </c>
      <c r="B249" s="184">
        <v>1266889</v>
      </c>
      <c r="C249" s="184">
        <v>155.75</v>
      </c>
      <c r="D249" s="184"/>
      <c r="E249" s="184"/>
      <c r="G249"/>
      <c r="H249"/>
      <c r="I249"/>
    </row>
    <row r="250" spans="1:9">
      <c r="A250" s="93">
        <v>42419</v>
      </c>
      <c r="B250" s="184">
        <v>1323501</v>
      </c>
      <c r="C250" s="184">
        <v>161.53998999999999</v>
      </c>
      <c r="D250" s="184"/>
      <c r="E250" s="184"/>
      <c r="G250"/>
      <c r="H250"/>
      <c r="I250"/>
    </row>
    <row r="251" spans="1:9">
      <c r="A251" s="93">
        <v>42426</v>
      </c>
      <c r="B251" s="184">
        <v>1336148</v>
      </c>
      <c r="C251" s="184">
        <v>166.11</v>
      </c>
      <c r="D251" s="184"/>
      <c r="E251" s="184"/>
      <c r="G251"/>
      <c r="H251"/>
      <c r="I251"/>
    </row>
    <row r="252" spans="1:9">
      <c r="A252" s="93">
        <v>42433</v>
      </c>
      <c r="B252" s="184">
        <v>1432575</v>
      </c>
      <c r="C252" s="184">
        <v>180.03998999999999</v>
      </c>
      <c r="D252" s="184"/>
      <c r="E252" s="184"/>
      <c r="G252"/>
      <c r="H252"/>
      <c r="I252"/>
    </row>
    <row r="253" spans="1:9">
      <c r="A253" s="93">
        <v>42440</v>
      </c>
      <c r="B253" s="184">
        <v>1511396</v>
      </c>
      <c r="C253" s="184">
        <v>189.28998999999999</v>
      </c>
      <c r="D253" s="184"/>
      <c r="E253" s="184"/>
      <c r="G253"/>
      <c r="H253"/>
      <c r="I253"/>
    </row>
    <row r="254" spans="1:9">
      <c r="A254" s="93">
        <v>42447</v>
      </c>
      <c r="B254" s="184">
        <v>1530450</v>
      </c>
      <c r="C254" s="184">
        <v>189.05</v>
      </c>
      <c r="D254" s="184"/>
      <c r="E254" s="184"/>
      <c r="G254"/>
      <c r="H254"/>
      <c r="I254"/>
    </row>
    <row r="255" spans="1:9">
      <c r="A255" s="93">
        <v>42454</v>
      </c>
      <c r="B255" s="184">
        <v>1523312</v>
      </c>
      <c r="C255" s="184">
        <v>188.78</v>
      </c>
      <c r="D255" s="184"/>
      <c r="E255" s="184"/>
      <c r="G255"/>
      <c r="H255"/>
      <c r="I255"/>
    </row>
    <row r="256" spans="1:9">
      <c r="A256" s="93">
        <v>42461</v>
      </c>
      <c r="B256" s="184">
        <v>1532674</v>
      </c>
      <c r="C256" s="184">
        <v>186.28998999999999</v>
      </c>
      <c r="D256" s="184"/>
      <c r="E256" s="184"/>
      <c r="G256"/>
      <c r="H256"/>
      <c r="I256"/>
    </row>
    <row r="257" spans="1:9">
      <c r="A257" s="93">
        <v>42468</v>
      </c>
      <c r="B257" s="184">
        <v>1515806</v>
      </c>
      <c r="C257" s="184">
        <v>185.64999</v>
      </c>
      <c r="D257" s="184"/>
      <c r="E257" s="184"/>
      <c r="G257"/>
      <c r="H257"/>
      <c r="I257"/>
    </row>
    <row r="258" spans="1:9">
      <c r="A258" s="93">
        <v>42475</v>
      </c>
      <c r="B258" s="184">
        <v>1587074</v>
      </c>
      <c r="C258" s="184">
        <v>195.71001000000001</v>
      </c>
      <c r="D258" s="184"/>
      <c r="E258" s="184"/>
      <c r="G258"/>
      <c r="H258"/>
      <c r="I258"/>
    </row>
    <row r="259" spans="1:9">
      <c r="A259" s="93">
        <v>42482</v>
      </c>
      <c r="B259" s="184">
        <v>1613426</v>
      </c>
      <c r="C259" s="184">
        <v>195.33</v>
      </c>
      <c r="D259" s="184"/>
      <c r="E259" s="184"/>
      <c r="G259"/>
      <c r="H259"/>
      <c r="I259"/>
    </row>
    <row r="260" spans="1:9">
      <c r="A260" s="93">
        <v>42489</v>
      </c>
      <c r="B260" s="184">
        <v>1625301</v>
      </c>
      <c r="C260" s="184">
        <v>196.92999</v>
      </c>
      <c r="D260" s="184"/>
      <c r="E260" s="184"/>
      <c r="G260"/>
      <c r="H260"/>
      <c r="I260"/>
    </row>
    <row r="261" spans="1:9">
      <c r="A261" s="93">
        <v>42496</v>
      </c>
      <c r="B261" s="184">
        <v>1590952</v>
      </c>
      <c r="C261" s="184">
        <v>191.03998999999999</v>
      </c>
      <c r="D261" s="184"/>
      <c r="E261" s="184"/>
      <c r="G261"/>
      <c r="H261"/>
      <c r="I261"/>
    </row>
    <row r="262" spans="1:9">
      <c r="A262" s="94">
        <v>42503</v>
      </c>
      <c r="B262" s="183">
        <v>1613395</v>
      </c>
      <c r="C262" s="183">
        <v>192.64</v>
      </c>
      <c r="D262" s="183"/>
      <c r="E262" s="183"/>
      <c r="G262"/>
      <c r="H262"/>
      <c r="I262"/>
    </row>
    <row r="263" spans="1:9">
      <c r="A263" s="4">
        <v>42510</v>
      </c>
      <c r="B263" s="184">
        <v>1594529</v>
      </c>
      <c r="C263" s="184">
        <v>189.31</v>
      </c>
      <c r="D263" s="184"/>
      <c r="E263" s="184"/>
      <c r="G263"/>
      <c r="H263"/>
      <c r="I263"/>
    </row>
    <row r="264" spans="1:9">
      <c r="A264" s="4">
        <v>42517</v>
      </c>
      <c r="B264" s="184">
        <v>1613744</v>
      </c>
      <c r="C264" s="184">
        <v>190.38</v>
      </c>
      <c r="D264" s="184"/>
      <c r="E264" s="184"/>
      <c r="G264"/>
      <c r="H264"/>
      <c r="I264"/>
    </row>
    <row r="265" spans="1:9">
      <c r="A265" s="4">
        <v>42524</v>
      </c>
      <c r="B265" s="184">
        <v>1610253</v>
      </c>
      <c r="C265" s="184">
        <v>193.62</v>
      </c>
      <c r="D265" s="184"/>
      <c r="E265" s="184"/>
      <c r="G265"/>
      <c r="H265"/>
      <c r="I265"/>
    </row>
    <row r="266" spans="1:9">
      <c r="A266" s="4">
        <v>42531</v>
      </c>
      <c r="B266" s="184">
        <v>1651572</v>
      </c>
      <c r="C266" s="184">
        <v>199.97</v>
      </c>
      <c r="D266" s="184"/>
      <c r="E266" s="184"/>
      <c r="G266"/>
      <c r="H266"/>
      <c r="I266"/>
    </row>
    <row r="267" spans="1:9">
      <c r="A267" s="4">
        <v>42538</v>
      </c>
      <c r="B267" s="184">
        <v>1651712.2474539401</v>
      </c>
      <c r="C267" s="184">
        <v>198.10001</v>
      </c>
      <c r="D267" s="184"/>
      <c r="E267" s="184"/>
      <c r="G267"/>
      <c r="H267"/>
      <c r="I267"/>
    </row>
    <row r="268" spans="1:9">
      <c r="A268" s="4">
        <v>42545</v>
      </c>
      <c r="B268" s="184">
        <v>1651852.4949078802</v>
      </c>
      <c r="C268" s="184">
        <v>198.47</v>
      </c>
      <c r="D268" s="184"/>
      <c r="E268" s="184"/>
      <c r="G268"/>
      <c r="H268"/>
      <c r="I268"/>
    </row>
    <row r="269" spans="1:9">
      <c r="A269" s="4">
        <v>42552</v>
      </c>
      <c r="B269" s="184">
        <v>1774068</v>
      </c>
      <c r="C269" s="184">
        <v>210.23</v>
      </c>
      <c r="D269" s="184"/>
      <c r="E269" s="184"/>
      <c r="G269"/>
      <c r="H269"/>
      <c r="I269"/>
    </row>
    <row r="270" spans="1:9">
      <c r="A270" s="4">
        <v>42559</v>
      </c>
      <c r="B270" s="184">
        <v>1775969</v>
      </c>
      <c r="C270" s="184">
        <v>210.13</v>
      </c>
      <c r="D270" s="184"/>
      <c r="E270" s="184"/>
      <c r="G270"/>
      <c r="H270"/>
      <c r="I270"/>
    </row>
    <row r="271" spans="1:9">
      <c r="A271" s="4">
        <v>42566</v>
      </c>
      <c r="B271" s="184">
        <v>1805593</v>
      </c>
      <c r="C271" s="184">
        <v>213.47</v>
      </c>
      <c r="D271" s="184"/>
      <c r="E271" s="184"/>
      <c r="G271"/>
      <c r="H271"/>
      <c r="I271"/>
    </row>
    <row r="272" spans="1:9">
      <c r="A272" s="4">
        <v>42573</v>
      </c>
      <c r="B272" s="184">
        <v>1786642</v>
      </c>
      <c r="C272" s="184">
        <v>215.12</v>
      </c>
      <c r="D272" s="184"/>
      <c r="E272" s="184"/>
      <c r="G272"/>
      <c r="H272"/>
      <c r="I272"/>
    </row>
    <row r="273" spans="1:9">
      <c r="A273" s="4">
        <v>42580</v>
      </c>
      <c r="B273" s="184">
        <v>1758893</v>
      </c>
      <c r="C273" s="184">
        <v>212.37</v>
      </c>
      <c r="D273" s="184"/>
      <c r="E273" s="184"/>
      <c r="G273"/>
      <c r="H273"/>
      <c r="I273"/>
    </row>
    <row r="274" spans="1:9">
      <c r="A274" s="4">
        <v>42587</v>
      </c>
      <c r="B274" s="184">
        <v>1790540.5</v>
      </c>
      <c r="C274" s="184">
        <v>215.69</v>
      </c>
      <c r="D274" s="184"/>
      <c r="E274" s="184"/>
      <c r="G274"/>
      <c r="H274"/>
      <c r="I274"/>
    </row>
    <row r="275" spans="1:9">
      <c r="A275" s="4">
        <v>42594</v>
      </c>
      <c r="B275" s="184">
        <v>1822188</v>
      </c>
      <c r="C275" s="184">
        <v>218.8</v>
      </c>
      <c r="D275" s="184"/>
      <c r="E275" s="184"/>
      <c r="G275"/>
      <c r="H275"/>
      <c r="I275"/>
    </row>
    <row r="276" spans="1:9">
      <c r="A276" s="4">
        <v>42601</v>
      </c>
      <c r="B276" s="184">
        <v>1789482</v>
      </c>
      <c r="C276" s="184">
        <v>218.64999</v>
      </c>
      <c r="D276" s="184"/>
      <c r="E276" s="184"/>
      <c r="G276"/>
      <c r="H276"/>
      <c r="I276"/>
    </row>
    <row r="277" spans="1:9">
      <c r="A277" s="4">
        <v>42608</v>
      </c>
      <c r="B277" s="184">
        <v>1762958</v>
      </c>
      <c r="C277" s="184">
        <v>215.41</v>
      </c>
      <c r="D277" s="184"/>
      <c r="E277" s="184"/>
      <c r="G277"/>
      <c r="H277"/>
      <c r="I277"/>
    </row>
    <row r="278" spans="1:9">
      <c r="A278" s="4">
        <v>42615</v>
      </c>
      <c r="B278" s="184">
        <v>1756157</v>
      </c>
      <c r="C278" s="184">
        <v>215.39999</v>
      </c>
      <c r="D278" s="184"/>
      <c r="E278" s="184"/>
      <c r="G278"/>
      <c r="H278"/>
      <c r="I278"/>
    </row>
    <row r="279" spans="1:9">
      <c r="A279" s="4">
        <v>42622</v>
      </c>
      <c r="B279" s="184">
        <v>1770067</v>
      </c>
      <c r="C279" s="184">
        <v>218.00998999999999</v>
      </c>
      <c r="D279" s="184"/>
      <c r="E279" s="184"/>
      <c r="G279"/>
      <c r="H279"/>
      <c r="I279"/>
    </row>
    <row r="280" spans="1:9">
      <c r="A280" s="4">
        <v>42629</v>
      </c>
      <c r="B280" s="184">
        <v>1742349</v>
      </c>
      <c r="C280" s="184">
        <v>215.67</v>
      </c>
      <c r="D280" s="184"/>
      <c r="E280" s="184"/>
      <c r="G280"/>
      <c r="H280"/>
      <c r="I280"/>
    </row>
    <row r="281" spans="1:9">
      <c r="A281" s="4">
        <v>42636</v>
      </c>
      <c r="B281" s="184">
        <v>1797135</v>
      </c>
      <c r="C281" s="184">
        <v>223.56</v>
      </c>
      <c r="D281" s="184"/>
      <c r="E281" s="184"/>
      <c r="G281"/>
      <c r="H281"/>
      <c r="I281"/>
    </row>
    <row r="282" spans="1:9">
      <c r="A282" s="4">
        <v>42643</v>
      </c>
      <c r="B282" s="184">
        <v>1814216</v>
      </c>
      <c r="C282" s="184">
        <v>225.11</v>
      </c>
      <c r="D282" s="184"/>
      <c r="E282" s="184"/>
      <c r="G282"/>
      <c r="H282"/>
      <c r="I282"/>
    </row>
    <row r="283" spans="1:9">
      <c r="A283" s="4">
        <v>42650</v>
      </c>
      <c r="B283" s="184">
        <v>1858640</v>
      </c>
      <c r="C283" s="184">
        <v>227.10001</v>
      </c>
      <c r="D283" s="184"/>
      <c r="E283" s="184"/>
      <c r="G283"/>
      <c r="H283"/>
      <c r="I283"/>
    </row>
    <row r="284" spans="1:9">
      <c r="A284" s="4">
        <v>42657</v>
      </c>
      <c r="B284" s="184">
        <v>1862899</v>
      </c>
      <c r="C284" s="184">
        <v>227.89999</v>
      </c>
      <c r="D284" s="184"/>
      <c r="E284" s="184"/>
      <c r="G284"/>
      <c r="H284"/>
      <c r="I284"/>
    </row>
    <row r="285" spans="1:9">
      <c r="A285" s="4">
        <v>42664</v>
      </c>
      <c r="B285" s="184">
        <v>1926102</v>
      </c>
      <c r="C285" s="184">
        <v>233.75998999999999</v>
      </c>
      <c r="D285" s="184"/>
      <c r="E285" s="184"/>
      <c r="G285"/>
      <c r="H285"/>
      <c r="I285"/>
    </row>
    <row r="286" spans="1:9">
      <c r="A286" s="4">
        <v>42671</v>
      </c>
      <c r="B286" s="184">
        <v>1909378</v>
      </c>
      <c r="C286" s="184">
        <v>234.85001</v>
      </c>
      <c r="D286" s="184"/>
      <c r="E286" s="184"/>
      <c r="G286"/>
      <c r="H286"/>
      <c r="I286"/>
    </row>
    <row r="287" spans="1:9">
      <c r="A287" s="4">
        <v>42678</v>
      </c>
      <c r="B287" s="184">
        <v>1852676</v>
      </c>
      <c r="C287" s="184">
        <v>229.37</v>
      </c>
      <c r="D287" s="184"/>
      <c r="E287" s="184"/>
      <c r="G287"/>
      <c r="H287"/>
      <c r="I287"/>
    </row>
    <row r="288" spans="1:9">
      <c r="A288" s="4">
        <v>42685</v>
      </c>
      <c r="B288" s="184">
        <v>1853408</v>
      </c>
      <c r="C288" s="184">
        <v>223.3</v>
      </c>
      <c r="D288" s="184"/>
      <c r="E288" s="184"/>
      <c r="G288"/>
      <c r="H288"/>
      <c r="I288"/>
    </row>
    <row r="289" spans="1:9">
      <c r="A289" s="4">
        <v>42692</v>
      </c>
      <c r="B289" s="184">
        <v>1821570</v>
      </c>
      <c r="C289" s="184">
        <v>222.14</v>
      </c>
      <c r="D289" s="184"/>
      <c r="E289" s="184"/>
      <c r="G289"/>
      <c r="H289"/>
      <c r="I289"/>
    </row>
    <row r="290" spans="1:9">
      <c r="A290" s="4">
        <v>42699</v>
      </c>
      <c r="B290" s="184">
        <v>1831518.5</v>
      </c>
      <c r="C290" s="184">
        <v>221.11</v>
      </c>
      <c r="D290" s="184"/>
      <c r="E290" s="184"/>
      <c r="G290"/>
      <c r="H290"/>
      <c r="I290"/>
    </row>
    <row r="291" spans="1:9">
      <c r="A291" s="4">
        <v>42706</v>
      </c>
      <c r="B291" s="184">
        <v>1841467</v>
      </c>
      <c r="C291" s="184">
        <v>218.28998999999999</v>
      </c>
      <c r="D291" s="184"/>
      <c r="E291" s="184"/>
      <c r="G291"/>
      <c r="H291"/>
      <c r="I291"/>
    </row>
    <row r="292" spans="1:9">
      <c r="A292" s="4">
        <v>42713</v>
      </c>
      <c r="B292" s="184">
        <v>1870376</v>
      </c>
      <c r="C292" s="184">
        <v>226.62</v>
      </c>
      <c r="D292" s="184"/>
      <c r="E292" s="184"/>
      <c r="G292"/>
      <c r="H292"/>
      <c r="I292"/>
    </row>
    <row r="293" spans="1:9">
      <c r="A293" s="4">
        <v>42720</v>
      </c>
      <c r="B293" s="184">
        <v>1926464</v>
      </c>
      <c r="C293" s="184">
        <v>229</v>
      </c>
      <c r="D293" s="184"/>
      <c r="E293" s="184"/>
      <c r="G293"/>
      <c r="H293"/>
      <c r="I293"/>
    </row>
    <row r="294" spans="1:9">
      <c r="A294" s="4">
        <v>42727</v>
      </c>
      <c r="B294" s="184">
        <v>1942008</v>
      </c>
      <c r="C294" s="184">
        <v>233.92999</v>
      </c>
      <c r="D294" s="184"/>
      <c r="E294" s="184"/>
      <c r="G294"/>
      <c r="H294"/>
      <c r="I294"/>
    </row>
    <row r="295" spans="1:9">
      <c r="A295" s="4">
        <v>42734</v>
      </c>
      <c r="B295" s="184">
        <v>1959527</v>
      </c>
      <c r="C295" s="184">
        <v>234.36</v>
      </c>
      <c r="D295" s="184"/>
      <c r="E295" s="184"/>
      <c r="G295"/>
      <c r="H295"/>
      <c r="I295"/>
    </row>
    <row r="296" spans="1:9">
      <c r="A296" s="4">
        <v>42741</v>
      </c>
      <c r="B296" s="184">
        <v>1940409</v>
      </c>
      <c r="C296" s="184">
        <v>237.52</v>
      </c>
      <c r="D296" s="184"/>
      <c r="E296" s="184"/>
      <c r="G296"/>
      <c r="H296"/>
      <c r="I296"/>
    </row>
    <row r="297" spans="1:9">
      <c r="A297" s="4">
        <v>42748</v>
      </c>
      <c r="B297" s="184">
        <v>1940263</v>
      </c>
      <c r="C297" s="184">
        <v>239.38</v>
      </c>
      <c r="D297" s="184"/>
      <c r="E297" s="184"/>
      <c r="G297"/>
      <c r="H297"/>
      <c r="I297"/>
    </row>
    <row r="298" spans="1:9">
      <c r="A298" s="4">
        <v>42755</v>
      </c>
      <c r="B298" s="184">
        <v>1931553</v>
      </c>
      <c r="C298" s="184">
        <v>239.81</v>
      </c>
      <c r="D298" s="184"/>
      <c r="E298" s="184"/>
      <c r="G298"/>
      <c r="H298"/>
      <c r="I298"/>
    </row>
    <row r="299" spans="1:9">
      <c r="A299" s="4">
        <v>42762</v>
      </c>
      <c r="B299" s="184">
        <v>1935789</v>
      </c>
      <c r="C299" s="184">
        <v>242.66</v>
      </c>
      <c r="D299" s="184"/>
      <c r="E299" s="184"/>
      <c r="G299"/>
      <c r="H299"/>
      <c r="I299"/>
    </row>
    <row r="300" spans="1:9">
      <c r="A300" s="4">
        <v>42769</v>
      </c>
      <c r="B300" s="184">
        <v>1949864</v>
      </c>
      <c r="C300" s="184">
        <v>244.42999</v>
      </c>
      <c r="D300" s="184"/>
      <c r="E300" s="184"/>
      <c r="G300"/>
      <c r="H300"/>
      <c r="I300"/>
    </row>
    <row r="301" spans="1:9">
      <c r="A301" s="4">
        <v>42776</v>
      </c>
      <c r="B301" s="184">
        <v>2006836</v>
      </c>
      <c r="C301" s="184">
        <v>252.45</v>
      </c>
      <c r="D301" s="184"/>
      <c r="E301" s="184"/>
      <c r="G301"/>
      <c r="H301"/>
      <c r="I301"/>
    </row>
    <row r="302" spans="1:9">
      <c r="A302" s="4">
        <v>42783</v>
      </c>
      <c r="B302" s="184">
        <v>2074529</v>
      </c>
      <c r="C302" s="184">
        <v>256.70001000000002</v>
      </c>
      <c r="D302" s="184"/>
      <c r="E302" s="184"/>
      <c r="G302"/>
      <c r="H302"/>
      <c r="I302"/>
    </row>
    <row r="303" spans="1:9">
      <c r="A303" s="4">
        <v>42790</v>
      </c>
      <c r="B303" s="184">
        <v>2105727</v>
      </c>
      <c r="C303" s="184">
        <v>262.63</v>
      </c>
      <c r="D303" s="184"/>
      <c r="E303" s="184"/>
      <c r="G303"/>
      <c r="H303"/>
      <c r="I303"/>
    </row>
    <row r="304" spans="1:9">
      <c r="A304" s="4">
        <v>42797</v>
      </c>
      <c r="B304" s="184">
        <v>2099775</v>
      </c>
      <c r="C304" s="184">
        <v>260.70001000000002</v>
      </c>
      <c r="D304" s="184"/>
      <c r="E304" s="184"/>
      <c r="G304"/>
      <c r="H304"/>
      <c r="I304"/>
    </row>
    <row r="305" spans="1:9">
      <c r="A305" s="4">
        <v>42804</v>
      </c>
      <c r="B305" s="184">
        <v>2055858</v>
      </c>
      <c r="C305" s="184">
        <v>260.5</v>
      </c>
      <c r="D305" s="184"/>
      <c r="E305" s="184"/>
      <c r="G305"/>
      <c r="H305"/>
      <c r="I305"/>
    </row>
    <row r="306" spans="1:9">
      <c r="A306" s="4">
        <v>42811</v>
      </c>
      <c r="B306" s="184">
        <v>2082352</v>
      </c>
      <c r="C306" s="184">
        <v>265.48000999999999</v>
      </c>
      <c r="D306" s="184"/>
      <c r="E306" s="184"/>
      <c r="G306"/>
      <c r="H306"/>
      <c r="I306"/>
    </row>
    <row r="307" spans="1:9">
      <c r="A307" s="4">
        <v>42818</v>
      </c>
      <c r="B307" s="184">
        <v>2111897</v>
      </c>
      <c r="C307" s="184">
        <v>269.73000999999999</v>
      </c>
      <c r="D307" s="184"/>
      <c r="E307" s="184"/>
      <c r="G307"/>
      <c r="H307"/>
      <c r="I307"/>
    </row>
    <row r="308" spans="1:9">
      <c r="A308" s="4">
        <v>42825</v>
      </c>
      <c r="B308" s="184">
        <v>2140995</v>
      </c>
      <c r="C308" s="184">
        <v>271.73000999999999</v>
      </c>
      <c r="D308" s="184"/>
      <c r="E308" s="184"/>
      <c r="G308"/>
      <c r="H308"/>
      <c r="I308"/>
    </row>
    <row r="309" spans="1:9">
      <c r="A309" s="4">
        <v>42832</v>
      </c>
      <c r="B309" s="184">
        <v>2154348</v>
      </c>
      <c r="C309" s="184">
        <v>266.77999999999997</v>
      </c>
      <c r="D309" s="184"/>
      <c r="E309" s="184"/>
      <c r="G309"/>
      <c r="H309"/>
      <c r="I309"/>
    </row>
    <row r="310" spans="1:9">
      <c r="A310" s="4">
        <v>42839</v>
      </c>
      <c r="B310" s="184">
        <v>2166649</v>
      </c>
      <c r="C310" s="184">
        <v>270.13</v>
      </c>
      <c r="D310" s="184"/>
      <c r="E310" s="184"/>
      <c r="G310"/>
      <c r="H310"/>
      <c r="I310"/>
    </row>
    <row r="311" spans="1:9">
      <c r="A311" s="4">
        <v>42846</v>
      </c>
      <c r="B311" s="184">
        <v>2138136</v>
      </c>
      <c r="C311" s="184">
        <v>270.27999999999997</v>
      </c>
      <c r="D311" s="184"/>
      <c r="E311" s="184"/>
      <c r="G311"/>
      <c r="H311"/>
      <c r="I311"/>
    </row>
    <row r="312" spans="1:9">
      <c r="A312" s="4">
        <v>42853</v>
      </c>
      <c r="B312" s="184">
        <v>2106669</v>
      </c>
      <c r="C312" s="184">
        <v>267.89999</v>
      </c>
      <c r="D312" s="184"/>
      <c r="E312" s="184"/>
      <c r="G312"/>
      <c r="H312"/>
      <c r="I312"/>
    </row>
    <row r="313" spans="1:9">
      <c r="A313" s="4">
        <v>42860</v>
      </c>
      <c r="B313" s="184">
        <v>2080503</v>
      </c>
      <c r="C313" s="184">
        <v>267.20999</v>
      </c>
      <c r="D313" s="184"/>
      <c r="E313" s="184"/>
      <c r="G313"/>
      <c r="H313"/>
      <c r="I313"/>
    </row>
    <row r="314" spans="1:9">
      <c r="A314" s="94">
        <v>42867</v>
      </c>
      <c r="B314" s="183">
        <v>2105606</v>
      </c>
      <c r="C314" s="183">
        <v>261.98000999999999</v>
      </c>
      <c r="D314" s="183"/>
      <c r="E314" s="183"/>
      <c r="G314"/>
      <c r="H314"/>
      <c r="I314"/>
    </row>
    <row r="315" spans="1:9">
      <c r="A315" s="4">
        <v>42874</v>
      </c>
      <c r="B315" s="184">
        <v>2036856</v>
      </c>
      <c r="C315" s="184">
        <v>248.78</v>
      </c>
      <c r="D315" s="184"/>
      <c r="E315" s="184"/>
      <c r="G315"/>
      <c r="H315"/>
      <c r="I315"/>
    </row>
    <row r="316" spans="1:9">
      <c r="A316" s="4">
        <v>42881</v>
      </c>
      <c r="B316" s="184">
        <v>2055738</v>
      </c>
      <c r="C316" s="184">
        <v>256.45999</v>
      </c>
      <c r="D316" s="184"/>
      <c r="E316" s="184"/>
      <c r="G316"/>
      <c r="H316"/>
      <c r="I316"/>
    </row>
    <row r="317" spans="1:9">
      <c r="A317" s="4">
        <v>42888</v>
      </c>
      <c r="B317" s="184">
        <v>2055744</v>
      </c>
      <c r="C317" s="184">
        <v>255.85001</v>
      </c>
      <c r="D317" s="184"/>
      <c r="E317" s="184"/>
      <c r="G317"/>
      <c r="H317"/>
      <c r="I317"/>
    </row>
    <row r="318" spans="1:9">
      <c r="A318" s="4">
        <v>42895</v>
      </c>
      <c r="B318" s="184">
        <v>2067121</v>
      </c>
      <c r="C318" s="184">
        <v>259.20999</v>
      </c>
      <c r="D318" s="184"/>
      <c r="E318" s="184"/>
      <c r="G318"/>
      <c r="H318"/>
      <c r="I318"/>
    </row>
    <row r="319" spans="1:9">
      <c r="A319" s="4">
        <v>42902</v>
      </c>
      <c r="B319" s="184">
        <v>2089264</v>
      </c>
      <c r="C319" s="184">
        <v>265.17998999999998</v>
      </c>
      <c r="D319" s="184"/>
      <c r="E319" s="184"/>
      <c r="G319"/>
      <c r="H319"/>
      <c r="I319"/>
    </row>
    <row r="320" spans="1:9">
      <c r="A320" s="4">
        <v>42909</v>
      </c>
      <c r="B320" s="184">
        <v>2067408</v>
      </c>
      <c r="C320" s="184">
        <v>263.94</v>
      </c>
      <c r="D320" s="184"/>
      <c r="E320" s="184"/>
      <c r="G320"/>
      <c r="H320"/>
      <c r="I320"/>
    </row>
    <row r="321" spans="1:9">
      <c r="A321" s="4">
        <v>42916</v>
      </c>
      <c r="B321" s="184">
        <v>2082403</v>
      </c>
      <c r="C321" s="184">
        <v>257.38</v>
      </c>
      <c r="D321" s="184"/>
      <c r="E321" s="184"/>
      <c r="G321"/>
      <c r="H321"/>
      <c r="I321"/>
    </row>
    <row r="322" spans="1:9">
      <c r="A322" s="4">
        <v>42923</v>
      </c>
      <c r="B322" s="184">
        <v>2034638</v>
      </c>
      <c r="C322" s="184">
        <v>255.72</v>
      </c>
      <c r="D322" s="184"/>
      <c r="E322" s="184"/>
      <c r="G322"/>
      <c r="H322"/>
      <c r="I322"/>
    </row>
    <row r="323" spans="1:9">
      <c r="A323" s="4">
        <v>42930</v>
      </c>
      <c r="B323" s="184">
        <v>2068390</v>
      </c>
      <c r="C323" s="184">
        <v>259.98998999999998</v>
      </c>
      <c r="D323" s="184"/>
      <c r="E323" s="184"/>
      <c r="G323"/>
      <c r="H323"/>
      <c r="I323"/>
    </row>
    <row r="324" spans="1:9">
      <c r="A324" s="4">
        <v>42937</v>
      </c>
      <c r="B324" s="184">
        <v>2060798</v>
      </c>
      <c r="C324" s="184">
        <v>257.04001</v>
      </c>
      <c r="D324" s="184"/>
      <c r="E324" s="184"/>
      <c r="G324"/>
      <c r="H324"/>
      <c r="I324"/>
    </row>
    <row r="325" spans="1:9">
      <c r="A325" s="4">
        <v>42944</v>
      </c>
      <c r="B325" s="184">
        <v>2043689</v>
      </c>
      <c r="C325" s="184">
        <v>253.95</v>
      </c>
      <c r="D325" s="184"/>
      <c r="E325" s="184"/>
      <c r="G325"/>
      <c r="H325"/>
      <c r="I325"/>
    </row>
    <row r="326" spans="1:9">
      <c r="A326" s="4">
        <v>42951</v>
      </c>
      <c r="B326" s="184">
        <v>1945839</v>
      </c>
      <c r="C326" s="184">
        <v>252.22</v>
      </c>
      <c r="D326" s="184"/>
      <c r="E326" s="184"/>
      <c r="G326"/>
      <c r="H326"/>
      <c r="I326"/>
    </row>
    <row r="327" spans="1:9">
      <c r="A327" s="4">
        <v>42958</v>
      </c>
      <c r="B327" s="184">
        <v>1980893</v>
      </c>
      <c r="C327" s="184">
        <v>252.16</v>
      </c>
      <c r="D327" s="184"/>
      <c r="E327" s="184"/>
      <c r="G327"/>
      <c r="H327"/>
      <c r="I327"/>
    </row>
    <row r="328" spans="1:9">
      <c r="A328" s="4">
        <v>42965</v>
      </c>
      <c r="B328" s="184">
        <v>2005088</v>
      </c>
      <c r="C328" s="184">
        <v>257.89001000000002</v>
      </c>
      <c r="D328" s="184"/>
      <c r="E328" s="184"/>
      <c r="G328"/>
      <c r="H328"/>
      <c r="I328"/>
    </row>
    <row r="329" spans="1:9">
      <c r="A329" s="4">
        <v>42972</v>
      </c>
      <c r="B329" s="184">
        <v>2002921</v>
      </c>
      <c r="C329" s="184">
        <v>256.62</v>
      </c>
      <c r="D329" s="184"/>
      <c r="E329" s="184"/>
      <c r="G329"/>
      <c r="H329"/>
      <c r="I329"/>
    </row>
    <row r="330" spans="1:9">
      <c r="A330" s="4">
        <v>42979</v>
      </c>
      <c r="B330" s="184">
        <v>2014727</v>
      </c>
      <c r="C330" s="184">
        <v>259.48000999999999</v>
      </c>
      <c r="D330" s="184"/>
      <c r="E330" s="184"/>
      <c r="G330"/>
      <c r="H330"/>
      <c r="I330"/>
    </row>
    <row r="331" spans="1:9">
      <c r="A331" s="4">
        <v>42986</v>
      </c>
      <c r="B331" s="184">
        <v>2034205</v>
      </c>
      <c r="C331" s="184">
        <v>259.35001</v>
      </c>
      <c r="D331" s="184"/>
      <c r="E331" s="184"/>
      <c r="G331"/>
      <c r="H331"/>
      <c r="I331"/>
    </row>
    <row r="332" spans="1:9">
      <c r="A332" s="4">
        <v>42993</v>
      </c>
      <c r="B332" s="184">
        <v>2053869</v>
      </c>
      <c r="C332" s="184">
        <v>261.04001</v>
      </c>
      <c r="D332" s="184"/>
      <c r="E332" s="184"/>
      <c r="G332"/>
      <c r="H332"/>
      <c r="I332"/>
    </row>
    <row r="333" spans="1:9">
      <c r="A333" s="4">
        <v>43000</v>
      </c>
      <c r="B333" s="184">
        <v>1998906</v>
      </c>
      <c r="C333" s="184">
        <v>260.98998999999998</v>
      </c>
      <c r="D333" s="184"/>
      <c r="E333" s="184"/>
      <c r="G333"/>
      <c r="H333"/>
      <c r="I333"/>
    </row>
    <row r="334" spans="1:9">
      <c r="A334" s="4">
        <v>43007</v>
      </c>
      <c r="B334" s="184">
        <v>2022871</v>
      </c>
      <c r="C334" s="184">
        <v>264.20999</v>
      </c>
      <c r="D334" s="184"/>
      <c r="E334" s="184"/>
      <c r="G334"/>
      <c r="H334"/>
      <c r="I334"/>
    </row>
    <row r="335" spans="1:9">
      <c r="A335" s="4">
        <v>43014</v>
      </c>
      <c r="B335" s="184">
        <v>2051077</v>
      </c>
      <c r="C335" s="184">
        <v>266.95001000000002</v>
      </c>
      <c r="D335" s="184"/>
      <c r="E335" s="184"/>
      <c r="G335"/>
      <c r="H335"/>
      <c r="I335"/>
    </row>
    <row r="336" spans="1:9">
      <c r="A336" s="4">
        <v>43021</v>
      </c>
      <c r="B336" s="184">
        <v>2024897</v>
      </c>
      <c r="C336" s="184">
        <v>266.39999</v>
      </c>
      <c r="D336" s="184"/>
      <c r="E336" s="184"/>
      <c r="G336"/>
      <c r="H336"/>
      <c r="I336"/>
    </row>
    <row r="337" spans="1:9">
      <c r="A337" s="4">
        <v>43026</v>
      </c>
      <c r="B337" s="184">
        <v>2038131</v>
      </c>
      <c r="C337" s="184">
        <v>266.60000000000002</v>
      </c>
      <c r="D337" s="184"/>
      <c r="E337" s="184"/>
      <c r="G337"/>
      <c r="H337"/>
      <c r="I337"/>
    </row>
    <row r="338" spans="1:9">
      <c r="A338" s="4">
        <v>43028</v>
      </c>
      <c r="B338" s="184">
        <v>2028535</v>
      </c>
      <c r="C338" s="184">
        <v>266.64999</v>
      </c>
      <c r="D338" s="184"/>
      <c r="E338" s="184"/>
      <c r="G338"/>
      <c r="H338"/>
      <c r="I338"/>
    </row>
    <row r="339" spans="1:9">
      <c r="A339" s="4">
        <v>43035</v>
      </c>
      <c r="B339" s="184">
        <v>2030633</v>
      </c>
      <c r="C339" s="184">
        <v>265.27999999999997</v>
      </c>
      <c r="D339" s="184"/>
      <c r="E339" s="184"/>
      <c r="G339"/>
      <c r="H339"/>
      <c r="I339"/>
    </row>
    <row r="340" spans="1:9">
      <c r="A340" s="4">
        <v>43042</v>
      </c>
      <c r="B340" s="184">
        <v>2032462</v>
      </c>
      <c r="C340" s="184">
        <v>265.06</v>
      </c>
      <c r="D340" s="184"/>
      <c r="E340" s="184"/>
      <c r="G340"/>
      <c r="H340"/>
      <c r="I340"/>
    </row>
    <row r="341" spans="1:9">
      <c r="A341" s="4">
        <v>43049</v>
      </c>
      <c r="B341" s="184">
        <v>2035132</v>
      </c>
      <c r="C341" s="184">
        <v>263.37</v>
      </c>
      <c r="D341" s="184"/>
      <c r="E341" s="184"/>
      <c r="G341"/>
      <c r="H341"/>
      <c r="I341"/>
    </row>
    <row r="342" spans="1:9">
      <c r="A342" s="4">
        <v>43056</v>
      </c>
      <c r="B342" s="184">
        <v>2001422</v>
      </c>
      <c r="C342" s="184">
        <v>261.48000999999999</v>
      </c>
      <c r="D342" s="184"/>
      <c r="E342" s="184"/>
      <c r="G342"/>
      <c r="H342"/>
      <c r="I342"/>
    </row>
    <row r="343" spans="1:9">
      <c r="A343" s="4">
        <v>43063</v>
      </c>
      <c r="B343" s="184">
        <v>2014506</v>
      </c>
      <c r="C343" s="184">
        <v>261.08999999999997</v>
      </c>
      <c r="D343" s="184"/>
      <c r="E343" s="184"/>
      <c r="G343"/>
      <c r="H343"/>
      <c r="I343"/>
    </row>
    <row r="344" spans="1:9">
      <c r="A344" s="4">
        <v>43070</v>
      </c>
      <c r="B344" s="184">
        <v>2019672</v>
      </c>
      <c r="C344" s="184">
        <v>263.07999000000001</v>
      </c>
      <c r="D344" s="184"/>
      <c r="E344" s="184"/>
      <c r="G344"/>
      <c r="H344"/>
      <c r="I344"/>
    </row>
    <row r="345" spans="1:9">
      <c r="A345" s="4">
        <v>43077</v>
      </c>
      <c r="B345" s="184">
        <v>2060880</v>
      </c>
      <c r="C345" s="184">
        <v>267.44</v>
      </c>
      <c r="D345" s="184"/>
      <c r="E345" s="184"/>
      <c r="G345"/>
      <c r="H345"/>
      <c r="I345"/>
    </row>
    <row r="346" spans="1:9">
      <c r="A346" s="4">
        <v>43084</v>
      </c>
      <c r="B346" s="184">
        <v>2079782</v>
      </c>
      <c r="C346" s="184">
        <v>269.14001000000002</v>
      </c>
      <c r="D346" s="184"/>
      <c r="E346" s="184"/>
      <c r="G346"/>
      <c r="H346"/>
      <c r="I346"/>
    </row>
    <row r="347" spans="1:9">
      <c r="A347" s="4">
        <v>43091</v>
      </c>
      <c r="B347" s="184">
        <v>2062477</v>
      </c>
      <c r="C347" s="184">
        <v>269.60998999999998</v>
      </c>
      <c r="D347" s="184"/>
      <c r="E347" s="184"/>
      <c r="G347"/>
      <c r="H347"/>
      <c r="I347"/>
    </row>
    <row r="348" spans="1:9">
      <c r="A348" s="4">
        <v>43098</v>
      </c>
      <c r="B348" s="184">
        <v>2009046</v>
      </c>
      <c r="C348" s="184">
        <v>267.32999000000001</v>
      </c>
      <c r="D348" s="184"/>
      <c r="E348" s="184"/>
      <c r="G348"/>
      <c r="H348"/>
      <c r="I348"/>
    </row>
    <row r="349" spans="1:9">
      <c r="A349" s="4">
        <v>43105</v>
      </c>
      <c r="B349" s="184">
        <v>2033484</v>
      </c>
      <c r="C349" s="184">
        <v>270.73000999999999</v>
      </c>
      <c r="D349" s="184"/>
      <c r="E349" s="184"/>
      <c r="G349"/>
      <c r="H349"/>
      <c r="I349"/>
    </row>
    <row r="350" spans="1:9">
      <c r="A350" s="4">
        <v>43112</v>
      </c>
      <c r="B350" s="184">
        <v>2051971</v>
      </c>
      <c r="C350" s="184">
        <v>273.39999</v>
      </c>
      <c r="D350" s="184"/>
      <c r="E350" s="184"/>
      <c r="G350"/>
      <c r="H350"/>
      <c r="I350"/>
    </row>
    <row r="351" spans="1:9">
      <c r="A351" s="4">
        <v>43119</v>
      </c>
      <c r="B351" s="184">
        <v>2037387</v>
      </c>
      <c r="C351" s="184">
        <v>273.5</v>
      </c>
      <c r="D351" s="184"/>
      <c r="E351" s="184"/>
      <c r="G351"/>
      <c r="H351"/>
      <c r="I351"/>
    </row>
    <row r="352" spans="1:9">
      <c r="A352" s="4">
        <v>43126</v>
      </c>
      <c r="B352" s="184">
        <v>1975091</v>
      </c>
      <c r="C352" s="184">
        <v>272.66000000000003</v>
      </c>
      <c r="D352" s="184"/>
      <c r="E352" s="184"/>
      <c r="G352"/>
      <c r="H352"/>
      <c r="I352"/>
    </row>
    <row r="353" spans="1:9">
      <c r="A353" s="4">
        <v>43133</v>
      </c>
      <c r="B353" s="184">
        <v>1997910</v>
      </c>
      <c r="C353" s="184">
        <v>272.04998999999998</v>
      </c>
      <c r="D353" s="184"/>
      <c r="E353" s="184"/>
      <c r="G353"/>
      <c r="H353"/>
      <c r="I353"/>
    </row>
    <row r="354" spans="1:9">
      <c r="A354" s="4">
        <v>43140</v>
      </c>
      <c r="B354" s="184">
        <v>1967718</v>
      </c>
      <c r="C354" s="184">
        <v>272.70001000000002</v>
      </c>
      <c r="D354" s="184"/>
      <c r="E354" s="184"/>
      <c r="G354"/>
      <c r="H354"/>
      <c r="I354"/>
    </row>
    <row r="355" spans="1:9">
      <c r="A355" s="4">
        <v>43147</v>
      </c>
      <c r="B355" s="184">
        <v>1973295</v>
      </c>
      <c r="C355" s="184">
        <v>272.63</v>
      </c>
      <c r="D355" s="184"/>
      <c r="E355" s="184"/>
      <c r="G355"/>
      <c r="H355"/>
      <c r="I355"/>
    </row>
    <row r="356" spans="1:9">
      <c r="A356" s="4">
        <v>43154</v>
      </c>
      <c r="B356" s="184">
        <v>1987201.5</v>
      </c>
      <c r="C356" s="184">
        <v>276.06</v>
      </c>
      <c r="D356" s="184"/>
      <c r="E356" s="184"/>
      <c r="G356"/>
      <c r="H356"/>
      <c r="I356"/>
    </row>
    <row r="357" spans="1:9">
      <c r="A357" s="4">
        <v>43160</v>
      </c>
      <c r="B357" s="184">
        <v>2001108</v>
      </c>
      <c r="C357" s="184">
        <v>276.10000000000002</v>
      </c>
      <c r="D357" s="184"/>
      <c r="E357" s="184"/>
      <c r="G357"/>
      <c r="H357"/>
      <c r="I357"/>
    </row>
    <row r="358" spans="1:9">
      <c r="A358" s="4">
        <v>43168</v>
      </c>
      <c r="B358" s="184">
        <v>1978631</v>
      </c>
      <c r="C358" s="184">
        <v>276.39001000000002</v>
      </c>
      <c r="D358" s="184"/>
      <c r="E358" s="184"/>
      <c r="G358"/>
      <c r="H358"/>
      <c r="I358"/>
    </row>
    <row r="359" spans="1:9">
      <c r="A359" s="4">
        <v>43175</v>
      </c>
      <c r="B359" s="184">
        <v>1956271</v>
      </c>
      <c r="C359" s="184">
        <v>277.57001000000002</v>
      </c>
      <c r="D359" s="184"/>
      <c r="E359" s="184"/>
      <c r="G359"/>
      <c r="H359"/>
      <c r="I359"/>
    </row>
    <row r="360" spans="1:9">
      <c r="A360" s="4">
        <v>43182</v>
      </c>
      <c r="B360" s="184">
        <v>1945661</v>
      </c>
      <c r="C360" s="184">
        <v>276.23998999999998</v>
      </c>
      <c r="D360" s="184"/>
      <c r="E360" s="184"/>
      <c r="G360"/>
      <c r="H360"/>
      <c r="I360"/>
    </row>
    <row r="361" spans="1:9">
      <c r="A361" s="4">
        <v>43192</v>
      </c>
      <c r="B361" s="184">
        <v>1943394</v>
      </c>
      <c r="C361" s="184">
        <v>274.90996999999999</v>
      </c>
      <c r="D361" s="184"/>
      <c r="E361" s="184"/>
      <c r="G361"/>
      <c r="H361"/>
      <c r="I361"/>
    </row>
    <row r="362" spans="1:9">
      <c r="A362" s="4">
        <v>43195</v>
      </c>
      <c r="B362" s="184">
        <v>1974727</v>
      </c>
      <c r="C362" s="184">
        <v>273.57995</v>
      </c>
      <c r="D362" s="184"/>
      <c r="E362" s="184"/>
      <c r="G362"/>
      <c r="H362"/>
      <c r="I362"/>
    </row>
    <row r="363" spans="1:9">
      <c r="A363" s="4">
        <v>43202</v>
      </c>
      <c r="B363" s="184">
        <v>1978894</v>
      </c>
      <c r="C363" s="184">
        <v>272.24993000000001</v>
      </c>
      <c r="D363" s="184"/>
      <c r="E363" s="184"/>
      <c r="G363"/>
      <c r="H363"/>
      <c r="I363"/>
    </row>
    <row r="364" spans="1:9">
      <c r="A364" s="4">
        <v>43209</v>
      </c>
      <c r="B364" s="184">
        <v>1984238</v>
      </c>
      <c r="C364" s="184">
        <v>270.91991000000002</v>
      </c>
      <c r="D364" s="184"/>
      <c r="E364" s="184"/>
      <c r="G364"/>
      <c r="H364"/>
      <c r="I364"/>
    </row>
    <row r="365" spans="1:9">
      <c r="A365" s="4">
        <v>43216</v>
      </c>
      <c r="B365" s="184">
        <v>2011262</v>
      </c>
      <c r="C365" s="184">
        <v>269.58989000000003</v>
      </c>
      <c r="D365" s="184"/>
      <c r="E365" s="184"/>
      <c r="G365"/>
      <c r="H365"/>
      <c r="I365"/>
    </row>
    <row r="366" spans="1:9">
      <c r="A366" s="4">
        <v>43220</v>
      </c>
      <c r="B366" s="184">
        <v>2006147</v>
      </c>
      <c r="C366" s="184">
        <v>268.25986999999998</v>
      </c>
      <c r="D366" s="184"/>
      <c r="E366" s="184"/>
      <c r="G366"/>
      <c r="H366"/>
      <c r="I366"/>
    </row>
    <row r="367" spans="1:9">
      <c r="A367" s="4">
        <v>43224</v>
      </c>
      <c r="B367" s="184">
        <v>1951019</v>
      </c>
      <c r="C367" s="184">
        <v>261.39001000000002</v>
      </c>
      <c r="D367" s="184"/>
      <c r="E367" s="184"/>
      <c r="G367"/>
      <c r="H367"/>
      <c r="I367"/>
    </row>
    <row r="368" spans="1:9">
      <c r="A368" s="94">
        <v>43231</v>
      </c>
      <c r="B368" s="183">
        <v>1891420</v>
      </c>
      <c r="C368" s="183">
        <v>253.34</v>
      </c>
      <c r="D368" s="183"/>
      <c r="E368" s="183"/>
      <c r="G368"/>
      <c r="H368"/>
      <c r="I368"/>
    </row>
    <row r="369" spans="1:9">
      <c r="A369" s="4">
        <v>43243</v>
      </c>
      <c r="B369" s="184">
        <v>1866387</v>
      </c>
      <c r="C369" s="184">
        <v>249.24006</v>
      </c>
      <c r="D369" s="184"/>
      <c r="E369" s="184"/>
      <c r="G369"/>
      <c r="H369"/>
      <c r="I369"/>
    </row>
    <row r="370" spans="1:9">
      <c r="A370" s="4">
        <v>43251</v>
      </c>
      <c r="B370" s="184">
        <v>1871427</v>
      </c>
      <c r="C370" s="184">
        <v>243.67810700000001</v>
      </c>
      <c r="D370" s="184"/>
      <c r="E370" s="184"/>
      <c r="G370"/>
      <c r="H370"/>
      <c r="I370"/>
    </row>
    <row r="371" spans="1:9">
      <c r="A371" s="4">
        <v>43266</v>
      </c>
      <c r="B371" s="184">
        <v>1790047</v>
      </c>
      <c r="C371" s="184">
        <v>227.23</v>
      </c>
      <c r="D371" s="184"/>
      <c r="E371" s="184"/>
      <c r="G371"/>
      <c r="H371"/>
      <c r="I371"/>
    </row>
    <row r="372" spans="1:9">
      <c r="A372" s="4">
        <v>43272</v>
      </c>
      <c r="B372" s="184">
        <v>1788607</v>
      </c>
      <c r="C372" s="184">
        <v>228.64360275000001</v>
      </c>
      <c r="D372" s="184"/>
      <c r="E372" s="184"/>
      <c r="G372"/>
      <c r="H372"/>
      <c r="I372"/>
    </row>
    <row r="373" spans="1:9">
      <c r="A373" s="4">
        <v>43280</v>
      </c>
      <c r="B373" s="184">
        <v>1775942</v>
      </c>
      <c r="C373" s="184">
        <v>220.05</v>
      </c>
      <c r="D373" s="184"/>
      <c r="E373" s="184"/>
      <c r="G373"/>
      <c r="H373"/>
      <c r="I373"/>
    </row>
    <row r="374" spans="1:9">
      <c r="A374" s="4">
        <v>43287</v>
      </c>
      <c r="B374" s="184">
        <v>1763528</v>
      </c>
      <c r="C374" s="184">
        <v>214.82001</v>
      </c>
      <c r="D374" s="184"/>
      <c r="E374" s="184"/>
      <c r="G374"/>
      <c r="H374"/>
      <c r="I374"/>
    </row>
    <row r="375" spans="1:9">
      <c r="A375" s="4">
        <v>43294</v>
      </c>
      <c r="B375" s="184">
        <v>1778081</v>
      </c>
      <c r="C375" s="184">
        <v>214.74001000000001</v>
      </c>
      <c r="D375" s="184"/>
      <c r="E375" s="184"/>
      <c r="G375"/>
      <c r="H375"/>
      <c r="I375"/>
    </row>
    <row r="376" spans="1:9">
      <c r="A376" s="4">
        <v>43301</v>
      </c>
      <c r="B376" s="184">
        <v>1777680</v>
      </c>
      <c r="C376" s="184">
        <v>219.2</v>
      </c>
      <c r="D376" s="184"/>
      <c r="E376" s="184"/>
      <c r="G376"/>
      <c r="H376"/>
      <c r="I376"/>
    </row>
    <row r="377" spans="1:9">
      <c r="A377" s="4">
        <v>43308</v>
      </c>
      <c r="B377" s="184">
        <v>1777809</v>
      </c>
      <c r="C377" s="184">
        <v>218.57001</v>
      </c>
      <c r="D377" s="184"/>
      <c r="E377" s="184"/>
      <c r="G377"/>
      <c r="H377"/>
      <c r="I377"/>
    </row>
    <row r="378" spans="1:9">
      <c r="A378" s="4">
        <v>43313</v>
      </c>
      <c r="B378" s="184">
        <v>1768413</v>
      </c>
      <c r="C378" s="184">
        <v>206.664803270833</v>
      </c>
      <c r="D378" s="184"/>
      <c r="E378" s="184"/>
      <c r="G378"/>
      <c r="H378"/>
      <c r="I378"/>
    </row>
    <row r="379" spans="1:9">
      <c r="A379" s="4">
        <v>43321</v>
      </c>
      <c r="B379" s="184">
        <v>1738221</v>
      </c>
      <c r="C379" s="184">
        <v>202.74950170833301</v>
      </c>
      <c r="D379" s="184"/>
      <c r="E379" s="184"/>
      <c r="G379"/>
      <c r="H379"/>
      <c r="I379"/>
    </row>
    <row r="380" spans="1:9">
      <c r="A380" s="4">
        <v>43329</v>
      </c>
      <c r="B380" s="184">
        <v>1670467</v>
      </c>
      <c r="C380" s="184">
        <v>176.06</v>
      </c>
      <c r="D380" s="184"/>
      <c r="E380" s="184"/>
      <c r="G380"/>
      <c r="H380"/>
      <c r="I380"/>
    </row>
    <row r="381" spans="1:9">
      <c r="A381" s="4">
        <v>43335</v>
      </c>
      <c r="B381" s="184">
        <v>1641607</v>
      </c>
      <c r="C381" s="184">
        <v>168.045819462797</v>
      </c>
      <c r="D381" s="184"/>
      <c r="E381" s="184"/>
      <c r="G381"/>
      <c r="H381"/>
      <c r="I381"/>
    </row>
    <row r="382" spans="1:9">
      <c r="A382" s="4">
        <v>43342</v>
      </c>
      <c r="B382" s="184">
        <v>1486739</v>
      </c>
      <c r="C382" s="184">
        <v>153.36560337177599</v>
      </c>
      <c r="D382" s="184"/>
      <c r="E382" s="184"/>
      <c r="G382"/>
      <c r="H382"/>
      <c r="I382"/>
    </row>
    <row r="383" spans="1:9">
      <c r="A383" s="4">
        <v>43350</v>
      </c>
      <c r="B383" s="184">
        <v>1515207</v>
      </c>
      <c r="C383" s="184">
        <v>142.89999</v>
      </c>
      <c r="D383" s="184"/>
      <c r="E383" s="184"/>
      <c r="G383"/>
      <c r="H383"/>
      <c r="I383"/>
    </row>
    <row r="384" spans="1:9">
      <c r="A384" s="4">
        <v>43356</v>
      </c>
      <c r="B384" s="184">
        <v>1483244</v>
      </c>
      <c r="C384" s="184">
        <v>139.62464148206101</v>
      </c>
      <c r="D384" s="184"/>
      <c r="E384" s="184"/>
      <c r="G384"/>
      <c r="H384"/>
      <c r="I384"/>
    </row>
    <row r="385" spans="1:9">
      <c r="A385" s="4">
        <v>43363</v>
      </c>
      <c r="B385" s="184">
        <v>1469216</v>
      </c>
      <c r="C385" s="184">
        <v>140.051726750662</v>
      </c>
      <c r="D385" s="184"/>
      <c r="E385" s="184"/>
      <c r="G385"/>
      <c r="H385"/>
      <c r="I385"/>
    </row>
    <row r="386" spans="1:9">
      <c r="A386" s="4">
        <v>43371</v>
      </c>
      <c r="B386" s="184">
        <v>1516368</v>
      </c>
      <c r="C386" s="184">
        <v>141.49001000000001</v>
      </c>
      <c r="D386" s="184"/>
      <c r="E386" s="184"/>
      <c r="G386"/>
      <c r="H386"/>
      <c r="I386"/>
    </row>
    <row r="387" spans="1:9">
      <c r="A387" s="4">
        <v>43377</v>
      </c>
      <c r="B387" s="184">
        <v>1507112</v>
      </c>
      <c r="C387" s="184">
        <v>144.30000000000001</v>
      </c>
      <c r="D387" s="184"/>
      <c r="E387" s="184"/>
      <c r="G387"/>
      <c r="H387"/>
      <c r="I387"/>
    </row>
    <row r="388" spans="1:9">
      <c r="A388" s="4">
        <v>43385</v>
      </c>
      <c r="B388" s="184">
        <v>1542963</v>
      </c>
      <c r="C388" s="184">
        <v>144.69999999999999</v>
      </c>
      <c r="D388" s="184"/>
      <c r="E388" s="184"/>
      <c r="G388"/>
      <c r="H388"/>
      <c r="I388"/>
    </row>
    <row r="389" spans="1:9">
      <c r="A389" s="4">
        <v>43392</v>
      </c>
      <c r="B389" s="184">
        <v>1584394</v>
      </c>
      <c r="C389" s="184">
        <v>160.28</v>
      </c>
      <c r="D389" s="184"/>
      <c r="E389" s="184"/>
      <c r="G389"/>
      <c r="H389"/>
      <c r="I389"/>
    </row>
    <row r="390" spans="1:9">
      <c r="A390" s="4">
        <v>43399</v>
      </c>
      <c r="B390" s="184">
        <v>1606020</v>
      </c>
      <c r="C390" s="184">
        <v>169.83</v>
      </c>
      <c r="D390" s="184"/>
      <c r="E390" s="184"/>
      <c r="G390"/>
      <c r="H390"/>
      <c r="I390"/>
    </row>
    <row r="391" spans="1:9">
      <c r="A391" s="4">
        <v>43406</v>
      </c>
      <c r="B391" s="184">
        <v>1644191</v>
      </c>
      <c r="C391" s="184">
        <v>180.22</v>
      </c>
      <c r="D391" s="184"/>
      <c r="E391" s="184"/>
      <c r="G391"/>
      <c r="H391"/>
      <c r="I391"/>
    </row>
    <row r="392" spans="1:9">
      <c r="A392" s="4">
        <v>43409</v>
      </c>
      <c r="B392" s="184">
        <v>1674186</v>
      </c>
      <c r="C392" s="184">
        <v>180.2</v>
      </c>
      <c r="D392" s="184"/>
      <c r="E392" s="184"/>
      <c r="G392"/>
      <c r="H392"/>
      <c r="I392"/>
    </row>
    <row r="393" spans="1:9">
      <c r="A393" s="4">
        <v>43416</v>
      </c>
      <c r="B393" s="184">
        <v>1657318</v>
      </c>
      <c r="C393" s="184">
        <v>181.3</v>
      </c>
      <c r="D393" s="184"/>
      <c r="E393" s="184"/>
      <c r="G393"/>
      <c r="H393"/>
      <c r="I393"/>
    </row>
    <row r="394" spans="1:9">
      <c r="A394" s="4">
        <v>43423</v>
      </c>
      <c r="B394" s="184">
        <v>1677677</v>
      </c>
      <c r="C394" s="184">
        <v>181.5</v>
      </c>
      <c r="D394" s="184"/>
      <c r="E394" s="184"/>
      <c r="G394"/>
      <c r="H394"/>
      <c r="I394"/>
    </row>
    <row r="395" spans="1:9">
      <c r="A395" s="4">
        <v>43430</v>
      </c>
      <c r="B395" s="184">
        <v>1683698</v>
      </c>
      <c r="C395" s="184">
        <v>181.8</v>
      </c>
      <c r="D395" s="184"/>
      <c r="E395" s="184"/>
      <c r="G395"/>
      <c r="H395"/>
      <c r="I395"/>
    </row>
    <row r="396" spans="1:9">
      <c r="A396" s="4">
        <v>43434</v>
      </c>
      <c r="B396" s="184">
        <v>1701672</v>
      </c>
      <c r="C396" s="184">
        <v>181.58</v>
      </c>
      <c r="D396" s="184"/>
      <c r="E396" s="184"/>
      <c r="G396"/>
      <c r="H396"/>
      <c r="I396"/>
    </row>
    <row r="397" spans="1:9">
      <c r="A397" s="4">
        <v>43444</v>
      </c>
      <c r="B397" s="184">
        <v>1699540</v>
      </c>
      <c r="C397" s="184">
        <v>183.6</v>
      </c>
      <c r="D397" s="184"/>
      <c r="E397" s="184"/>
      <c r="G397"/>
      <c r="H397"/>
      <c r="I397"/>
    </row>
    <row r="398" spans="1:9">
      <c r="A398" s="4">
        <v>43451</v>
      </c>
      <c r="B398" s="184">
        <v>1676971</v>
      </c>
      <c r="C398" s="184">
        <v>185.4</v>
      </c>
      <c r="D398" s="184"/>
      <c r="E398" s="184"/>
      <c r="G398"/>
      <c r="H398"/>
      <c r="I398"/>
    </row>
    <row r="399" spans="1:9">
      <c r="A399" s="4">
        <v>43458</v>
      </c>
      <c r="B399" s="184">
        <v>1690730</v>
      </c>
      <c r="C399" s="184">
        <v>189.2</v>
      </c>
      <c r="D399" s="184"/>
      <c r="E399" s="184"/>
      <c r="G399"/>
      <c r="H399"/>
      <c r="I399"/>
    </row>
    <row r="400" spans="1:9">
      <c r="A400" s="4">
        <v>43467</v>
      </c>
      <c r="B400" s="184">
        <v>1680242</v>
      </c>
      <c r="C400" s="184">
        <v>188.2</v>
      </c>
      <c r="D400" s="184"/>
      <c r="E400" s="184"/>
      <c r="G400"/>
      <c r="H400"/>
      <c r="I400"/>
    </row>
    <row r="401" spans="1:9">
      <c r="A401" s="4">
        <v>43479</v>
      </c>
      <c r="B401" s="184">
        <v>1661415</v>
      </c>
      <c r="C401" s="184">
        <v>188.8</v>
      </c>
      <c r="D401" s="184"/>
      <c r="E401" s="184"/>
      <c r="G401"/>
      <c r="H401"/>
      <c r="I401"/>
    </row>
    <row r="402" spans="1:9">
      <c r="A402" s="4">
        <v>43486</v>
      </c>
      <c r="B402" s="184">
        <v>1708751</v>
      </c>
      <c r="C402" s="184">
        <v>191.1</v>
      </c>
      <c r="D402" s="184"/>
      <c r="E402" s="184"/>
      <c r="G402"/>
      <c r="H402"/>
      <c r="I402"/>
    </row>
    <row r="403" spans="1:9">
      <c r="A403" s="4">
        <v>43490</v>
      </c>
      <c r="B403" s="184">
        <v>1734244</v>
      </c>
      <c r="C403" s="184">
        <v>191.77</v>
      </c>
      <c r="D403" s="184"/>
      <c r="E403" s="184"/>
      <c r="G403"/>
      <c r="H403"/>
      <c r="I403"/>
    </row>
    <row r="404" spans="1:9">
      <c r="A404" s="4">
        <v>43500</v>
      </c>
      <c r="B404" s="184">
        <v>1745922</v>
      </c>
      <c r="C404" s="184">
        <v>193.52666666666701</v>
      </c>
      <c r="D404" s="184"/>
      <c r="E404" s="184"/>
      <c r="G404"/>
      <c r="H404"/>
      <c r="I404"/>
    </row>
    <row r="405" spans="1:9">
      <c r="A405" s="4">
        <v>43521</v>
      </c>
      <c r="B405" s="184">
        <v>1754678</v>
      </c>
      <c r="C405" s="184">
        <v>195.011666666667</v>
      </c>
      <c r="D405" s="184"/>
      <c r="E405" s="184"/>
      <c r="G405"/>
      <c r="H405"/>
      <c r="I405"/>
    </row>
    <row r="406" spans="1:9">
      <c r="A406" s="4">
        <v>43528</v>
      </c>
      <c r="B406" s="184">
        <v>1696689</v>
      </c>
      <c r="C406" s="184">
        <v>196.49666666666701</v>
      </c>
      <c r="D406" s="184"/>
      <c r="E406" s="184"/>
      <c r="G406"/>
      <c r="H406"/>
      <c r="I406"/>
    </row>
    <row r="407" spans="1:9">
      <c r="A407" s="4">
        <v>43542</v>
      </c>
      <c r="B407" s="184">
        <v>1725954</v>
      </c>
      <c r="C407" s="184">
        <v>189.53</v>
      </c>
      <c r="D407" s="184"/>
      <c r="E407" s="184"/>
      <c r="G407"/>
      <c r="H407"/>
      <c r="I407"/>
    </row>
    <row r="408" spans="1:9">
      <c r="A408" s="4">
        <v>43549</v>
      </c>
      <c r="B408" s="184">
        <v>1721110</v>
      </c>
      <c r="C408" s="184">
        <v>170.65</v>
      </c>
      <c r="D408" s="184"/>
      <c r="E408" s="184"/>
      <c r="G408"/>
      <c r="H408"/>
      <c r="I408"/>
    </row>
    <row r="409" spans="1:9">
      <c r="A409" s="4">
        <v>43556</v>
      </c>
      <c r="B409" s="184">
        <v>1655060</v>
      </c>
      <c r="C409" s="184">
        <v>166.76</v>
      </c>
      <c r="D409" s="184"/>
      <c r="E409" s="184"/>
      <c r="G409"/>
      <c r="H409"/>
      <c r="I409"/>
    </row>
    <row r="410" spans="1:9">
      <c r="A410" s="4">
        <v>43567</v>
      </c>
      <c r="B410" s="184">
        <v>1666805</v>
      </c>
      <c r="C410" s="184">
        <v>164.49001000000001</v>
      </c>
      <c r="D410" s="184"/>
      <c r="E410" s="184"/>
      <c r="G410"/>
      <c r="H410"/>
      <c r="I410"/>
    </row>
    <row r="411" spans="1:9">
      <c r="A411" s="4">
        <v>43573</v>
      </c>
      <c r="B411" s="184">
        <v>1652687</v>
      </c>
      <c r="C411" s="184">
        <v>161.140013333333</v>
      </c>
      <c r="D411" s="184"/>
      <c r="E411" s="184"/>
      <c r="G411"/>
      <c r="H411"/>
      <c r="I411"/>
    </row>
    <row r="412" spans="1:9">
      <c r="A412" s="4">
        <v>43585</v>
      </c>
      <c r="B412" s="184">
        <v>1618460</v>
      </c>
      <c r="C412" s="184">
        <v>158.06001833333301</v>
      </c>
      <c r="D412" s="184"/>
      <c r="E412" s="184"/>
      <c r="G412"/>
      <c r="H412"/>
      <c r="I412"/>
    </row>
    <row r="413" spans="1:9">
      <c r="A413" s="94">
        <v>43595</v>
      </c>
      <c r="B413" s="183">
        <v>1597452</v>
      </c>
      <c r="C413" s="183">
        <v>150.16999999999999</v>
      </c>
      <c r="D413" s="183"/>
      <c r="E413" s="183"/>
      <c r="G413"/>
      <c r="H413"/>
      <c r="I413"/>
    </row>
    <row r="414" spans="1:9">
      <c r="A414" s="4">
        <v>43602</v>
      </c>
      <c r="B414" s="184">
        <v>1641680</v>
      </c>
      <c r="C414" s="184">
        <v>156.34</v>
      </c>
      <c r="D414" s="184"/>
      <c r="E414" s="184"/>
      <c r="G414"/>
      <c r="H414"/>
      <c r="I414"/>
    </row>
    <row r="415" spans="1:9">
      <c r="A415" s="4">
        <v>43609</v>
      </c>
      <c r="B415" s="184">
        <v>1647583</v>
      </c>
      <c r="C415" s="184">
        <v>159.06</v>
      </c>
      <c r="D415" s="184"/>
      <c r="E415" s="184"/>
      <c r="G415"/>
      <c r="H415"/>
      <c r="I415"/>
    </row>
    <row r="416" spans="1:9">
      <c r="A416" s="4">
        <v>43616</v>
      </c>
      <c r="B416" s="184">
        <v>1692857</v>
      </c>
      <c r="C416" s="184">
        <v>166.44</v>
      </c>
      <c r="D416" s="184"/>
      <c r="E416" s="184"/>
      <c r="G416"/>
      <c r="H416"/>
      <c r="I416"/>
    </row>
    <row r="417" spans="1:9">
      <c r="A417" s="4">
        <v>43622</v>
      </c>
      <c r="B417" s="184">
        <v>1692373</v>
      </c>
      <c r="C417" s="184">
        <v>170.713333333333</v>
      </c>
      <c r="D417" s="184"/>
      <c r="E417" s="184"/>
      <c r="G417"/>
      <c r="H417"/>
      <c r="I417"/>
    </row>
    <row r="418" spans="1:9">
      <c r="A418" s="4">
        <v>43629</v>
      </c>
      <c r="B418" s="184">
        <v>1678352</v>
      </c>
      <c r="C418" s="184">
        <v>175.76333333333301</v>
      </c>
      <c r="D418" s="184"/>
      <c r="E418" s="184"/>
      <c r="G418"/>
      <c r="H418"/>
      <c r="I418"/>
    </row>
    <row r="419" spans="1:9">
      <c r="A419" s="4">
        <v>43636</v>
      </c>
      <c r="B419" s="184">
        <v>1713910</v>
      </c>
      <c r="C419" s="184">
        <v>180.81333333333299</v>
      </c>
      <c r="D419" s="184"/>
      <c r="E419" s="184"/>
      <c r="G419"/>
      <c r="H419"/>
      <c r="I419"/>
    </row>
    <row r="420" spans="1:9">
      <c r="A420" s="4">
        <v>43643</v>
      </c>
      <c r="B420" s="184">
        <v>1716371</v>
      </c>
      <c r="C420" s="184">
        <v>185.863333333333</v>
      </c>
      <c r="D420" s="184"/>
      <c r="E420" s="184"/>
      <c r="G420"/>
      <c r="H420"/>
      <c r="I420"/>
    </row>
    <row r="421" spans="1:9">
      <c r="A421" s="4">
        <v>43647</v>
      </c>
      <c r="B421" s="184">
        <v>1714941</v>
      </c>
      <c r="C421" s="184">
        <v>190.91333333333299</v>
      </c>
      <c r="D421" s="184"/>
      <c r="E421" s="184"/>
      <c r="G421"/>
      <c r="H421"/>
      <c r="I421"/>
    </row>
    <row r="422" spans="1:9">
      <c r="A422" s="4">
        <v>43650</v>
      </c>
      <c r="B422" s="184">
        <v>1759163</v>
      </c>
      <c r="C422" s="184">
        <v>186.73</v>
      </c>
      <c r="D422" s="184"/>
      <c r="E422" s="184"/>
      <c r="G422"/>
      <c r="H422"/>
      <c r="I422"/>
    </row>
    <row r="423" spans="1:9">
      <c r="A423" s="4">
        <v>43658</v>
      </c>
      <c r="B423" s="184">
        <v>1754408</v>
      </c>
      <c r="C423" s="184">
        <v>185.02</v>
      </c>
      <c r="D423" s="184"/>
      <c r="E423" s="184"/>
      <c r="G423"/>
      <c r="H423"/>
      <c r="I423"/>
    </row>
    <row r="424" spans="1:9">
      <c r="A424" s="4">
        <v>43665</v>
      </c>
      <c r="B424" s="184">
        <v>1762843</v>
      </c>
      <c r="C424" s="184">
        <v>188.96001000000001</v>
      </c>
      <c r="D424" s="184"/>
      <c r="E424" s="184"/>
      <c r="G424"/>
      <c r="H424"/>
      <c r="I424"/>
    </row>
    <row r="425" spans="1:9">
      <c r="A425" s="4">
        <v>43671</v>
      </c>
      <c r="B425" s="184">
        <v>1774487</v>
      </c>
      <c r="C425" s="184">
        <v>187.587341333334</v>
      </c>
      <c r="D425" s="184"/>
      <c r="E425" s="184"/>
      <c r="G425"/>
      <c r="H425"/>
      <c r="I425"/>
    </row>
    <row r="426" spans="1:9">
      <c r="A426" s="4">
        <v>43678</v>
      </c>
      <c r="B426" s="184">
        <v>1803105</v>
      </c>
      <c r="C426" s="184">
        <v>187.61734333333399</v>
      </c>
      <c r="D426" s="184"/>
      <c r="E426" s="184"/>
      <c r="G426"/>
      <c r="H426"/>
      <c r="I426"/>
    </row>
    <row r="427" spans="1:9">
      <c r="A427" s="4">
        <v>43678</v>
      </c>
      <c r="B427" s="184">
        <v>1803105</v>
      </c>
      <c r="C427" s="184">
        <v>187.64734533333399</v>
      </c>
      <c r="D427" s="184"/>
      <c r="E427" s="184"/>
      <c r="G427"/>
      <c r="H427"/>
      <c r="I427"/>
    </row>
    <row r="428" spans="1:9">
      <c r="A428" s="4">
        <v>43685</v>
      </c>
      <c r="B428" s="184">
        <v>1793573</v>
      </c>
      <c r="C428" s="184">
        <v>187.67734733333401</v>
      </c>
      <c r="D428" s="184"/>
      <c r="E428" s="184"/>
      <c r="G428"/>
      <c r="H428"/>
      <c r="I428"/>
    </row>
    <row r="429" spans="1:9">
      <c r="A429" s="4">
        <v>43692</v>
      </c>
      <c r="B429" s="184">
        <v>1736762</v>
      </c>
      <c r="C429" s="184">
        <v>183.24</v>
      </c>
      <c r="D429" s="184"/>
      <c r="E429" s="184"/>
      <c r="G429"/>
      <c r="H429"/>
      <c r="I429"/>
    </row>
    <row r="430" spans="1:9">
      <c r="A430" s="4">
        <v>43699</v>
      </c>
      <c r="B430" s="184">
        <v>1730742</v>
      </c>
      <c r="C430" s="184">
        <v>177.77</v>
      </c>
      <c r="D430" s="184"/>
      <c r="E430" s="184"/>
      <c r="G430"/>
      <c r="H430"/>
      <c r="I430"/>
    </row>
    <row r="431" spans="1:9">
      <c r="A431" s="4">
        <v>43707</v>
      </c>
      <c r="B431" s="184">
        <v>1738451</v>
      </c>
      <c r="C431" s="184">
        <v>172.67</v>
      </c>
      <c r="D431" s="184"/>
      <c r="E431" s="184"/>
      <c r="G431"/>
      <c r="H431"/>
      <c r="I431"/>
    </row>
    <row r="432" spans="1:9">
      <c r="A432" s="4">
        <v>43713</v>
      </c>
      <c r="B432" s="184">
        <v>1770154</v>
      </c>
      <c r="C432" s="184">
        <v>179.99</v>
      </c>
      <c r="D432" s="184"/>
      <c r="E432" s="184"/>
      <c r="G432"/>
      <c r="H432"/>
      <c r="I432"/>
    </row>
    <row r="433" spans="1:9">
      <c r="A433" s="4">
        <v>43720</v>
      </c>
      <c r="B433" s="184">
        <v>1729251</v>
      </c>
      <c r="C433" s="184">
        <v>187.31</v>
      </c>
      <c r="D433" s="184"/>
      <c r="E433" s="184"/>
      <c r="G433"/>
      <c r="H433"/>
      <c r="I433"/>
    </row>
    <row r="434" spans="1:9">
      <c r="A434" s="4">
        <v>43727</v>
      </c>
      <c r="B434" s="184">
        <v>1742786</v>
      </c>
      <c r="C434" s="184">
        <v>194.63</v>
      </c>
      <c r="D434" s="184"/>
      <c r="E434" s="184"/>
      <c r="G434"/>
      <c r="H434"/>
      <c r="I434"/>
    </row>
    <row r="435" spans="1:9">
      <c r="A435" s="4">
        <v>43734</v>
      </c>
      <c r="B435" s="184">
        <v>1758772</v>
      </c>
      <c r="C435" s="184">
        <v>201.95</v>
      </c>
      <c r="D435" s="184"/>
      <c r="E435" s="184"/>
      <c r="G435"/>
      <c r="H435"/>
      <c r="I435"/>
    </row>
    <row r="436" spans="1:9">
      <c r="A436" s="4">
        <v>43741</v>
      </c>
      <c r="B436" s="184">
        <v>1748193</v>
      </c>
      <c r="C436" s="184">
        <v>209.27</v>
      </c>
      <c r="D436" s="184"/>
      <c r="E436" s="184"/>
      <c r="G436"/>
      <c r="H436"/>
      <c r="I436"/>
    </row>
    <row r="437" spans="1:9">
      <c r="A437" s="4">
        <v>43748</v>
      </c>
      <c r="B437" s="184">
        <v>1734234</v>
      </c>
      <c r="C437" s="184">
        <v>216.59</v>
      </c>
      <c r="D437" s="184"/>
      <c r="E437" s="184"/>
      <c r="G437"/>
      <c r="H437"/>
      <c r="I437"/>
    </row>
    <row r="438" spans="1:9">
      <c r="A438" s="4">
        <v>43755</v>
      </c>
      <c r="B438" s="184">
        <v>1718449</v>
      </c>
      <c r="C438" s="184">
        <v>221.91</v>
      </c>
      <c r="D438" s="184"/>
      <c r="E438" s="184"/>
      <c r="G438"/>
      <c r="H438"/>
      <c r="I438"/>
    </row>
    <row r="439" spans="1:9">
      <c r="A439" s="4">
        <v>43762</v>
      </c>
      <c r="B439" s="184">
        <v>1756422</v>
      </c>
      <c r="C439" s="184">
        <v>213.23</v>
      </c>
      <c r="D439" s="184"/>
      <c r="E439" s="184"/>
      <c r="G439"/>
      <c r="H439"/>
      <c r="I439"/>
    </row>
    <row r="440" spans="1:9">
      <c r="A440" s="4">
        <v>43769</v>
      </c>
      <c r="B440" s="184">
        <v>1755391</v>
      </c>
      <c r="C440" s="184">
        <v>218.55</v>
      </c>
      <c r="D440" s="184"/>
      <c r="E440" s="184"/>
      <c r="G440"/>
      <c r="H440"/>
      <c r="I440"/>
    </row>
    <row r="441" spans="1:9">
      <c r="A441" s="4">
        <v>43777</v>
      </c>
      <c r="B441" s="184">
        <v>1764944</v>
      </c>
      <c r="C441" s="184">
        <v>214.58</v>
      </c>
      <c r="D441" s="184"/>
      <c r="E441" s="184"/>
      <c r="G441"/>
      <c r="H441"/>
      <c r="I441"/>
    </row>
    <row r="442" spans="1:9">
      <c r="A442" s="4">
        <v>43784</v>
      </c>
      <c r="B442" s="184">
        <v>1775409</v>
      </c>
      <c r="C442" s="184">
        <v>213.17999</v>
      </c>
      <c r="D442" s="184"/>
      <c r="E442" s="184"/>
      <c r="G442"/>
      <c r="H442"/>
      <c r="I442"/>
    </row>
    <row r="443" spans="1:9">
      <c r="A443" s="4">
        <v>43791</v>
      </c>
      <c r="B443" s="184">
        <v>1772048</v>
      </c>
      <c r="C443" s="184">
        <v>214.24001000000001</v>
      </c>
      <c r="D443" s="184"/>
      <c r="E443" s="184"/>
      <c r="G443"/>
      <c r="H443"/>
      <c r="I443"/>
    </row>
    <row r="444" spans="1:9">
      <c r="A444" s="4">
        <v>43798</v>
      </c>
      <c r="B444" s="184">
        <v>1775975</v>
      </c>
      <c r="C444" s="184">
        <v>211.67999</v>
      </c>
      <c r="D444" s="184"/>
      <c r="E444" s="184"/>
      <c r="G444"/>
      <c r="H444"/>
      <c r="I444"/>
    </row>
    <row r="445" spans="1:9">
      <c r="A445" s="4">
        <v>43805</v>
      </c>
      <c r="B445" s="184">
        <v>1764332</v>
      </c>
      <c r="C445" s="184">
        <v>209.56</v>
      </c>
      <c r="D445" s="184"/>
      <c r="E445" s="184"/>
      <c r="G445"/>
      <c r="H445"/>
      <c r="I445"/>
    </row>
    <row r="446" spans="1:9">
      <c r="A446" s="4">
        <v>43812</v>
      </c>
      <c r="B446" s="184">
        <v>1777423</v>
      </c>
      <c r="C446" s="184">
        <v>216.38</v>
      </c>
      <c r="D446" s="184"/>
      <c r="E446" s="184"/>
      <c r="G446"/>
      <c r="H446"/>
      <c r="I446"/>
    </row>
    <row r="447" spans="1:9">
      <c r="A447" s="4">
        <v>43819</v>
      </c>
      <c r="B447" s="184">
        <v>1783676</v>
      </c>
      <c r="C447" s="184">
        <v>223.53</v>
      </c>
      <c r="D447" s="184"/>
      <c r="E447" s="184"/>
      <c r="G447"/>
      <c r="H447"/>
      <c r="I447"/>
    </row>
    <row r="448" spans="1:9">
      <c r="A448" s="4">
        <v>43826</v>
      </c>
      <c r="B448" s="184">
        <v>1803960</v>
      </c>
      <c r="C448" s="184">
        <v>228.45</v>
      </c>
      <c r="D448" s="184"/>
      <c r="E448" s="184"/>
      <c r="G448"/>
      <c r="H448"/>
      <c r="I448"/>
    </row>
    <row r="449" spans="1:9">
      <c r="A449" s="4">
        <v>43830</v>
      </c>
      <c r="B449" s="184">
        <v>1790865</v>
      </c>
      <c r="C449" s="184">
        <v>230.86</v>
      </c>
      <c r="D449" s="184"/>
      <c r="E449" s="184"/>
      <c r="G449"/>
      <c r="H449"/>
      <c r="I449"/>
    </row>
    <row r="450" spans="1:9">
      <c r="A450" s="4">
        <v>43840</v>
      </c>
      <c r="B450" s="184">
        <v>1834829</v>
      </c>
      <c r="C450" s="184">
        <v>233.74001000000001</v>
      </c>
      <c r="D450" s="184"/>
      <c r="E450" s="184"/>
      <c r="G450"/>
      <c r="H450"/>
      <c r="I450"/>
    </row>
    <row r="451" spans="1:9">
      <c r="A451" s="4">
        <v>43846</v>
      </c>
      <c r="B451" s="184">
        <v>1838889</v>
      </c>
      <c r="C451" s="184">
        <v>233.77</v>
      </c>
      <c r="D451" s="184"/>
      <c r="E451" s="184"/>
      <c r="G451"/>
      <c r="H451"/>
      <c r="I451"/>
    </row>
    <row r="452" spans="1:9">
      <c r="A452" s="4">
        <v>43854</v>
      </c>
      <c r="B452" s="184">
        <v>1848851</v>
      </c>
      <c r="C452" s="184">
        <v>233.8</v>
      </c>
      <c r="D452" s="184"/>
      <c r="E452" s="184"/>
      <c r="G452"/>
      <c r="H452"/>
      <c r="I452"/>
    </row>
    <row r="453" spans="1:9">
      <c r="A453" s="4">
        <v>43868</v>
      </c>
      <c r="B453" s="184">
        <v>1842492</v>
      </c>
      <c r="C453" s="184">
        <v>232.12</v>
      </c>
      <c r="D453" s="184"/>
      <c r="E453" s="184"/>
      <c r="G453"/>
      <c r="H453"/>
      <c r="I453"/>
    </row>
    <row r="454" spans="1:9">
      <c r="A454" s="4">
        <v>43875</v>
      </c>
      <c r="B454" s="184">
        <v>1860980</v>
      </c>
      <c r="C454" s="184">
        <v>229.62</v>
      </c>
      <c r="D454" s="184"/>
      <c r="E454" s="184"/>
      <c r="G454"/>
      <c r="H454"/>
      <c r="I454"/>
    </row>
    <row r="455" spans="1:9">
      <c r="A455" s="4">
        <v>43903</v>
      </c>
      <c r="B455" s="184">
        <v>1538253</v>
      </c>
      <c r="C455" s="184">
        <v>204.27</v>
      </c>
      <c r="D455" s="184"/>
      <c r="E455" s="184"/>
      <c r="G455"/>
      <c r="H455"/>
      <c r="I455"/>
    </row>
    <row r="456" spans="1:9">
      <c r="A456" s="4">
        <v>43910</v>
      </c>
      <c r="B456" s="184">
        <v>1542782</v>
      </c>
      <c r="C456" s="184">
        <v>185.00998999999999</v>
      </c>
      <c r="D456" s="184"/>
      <c r="E456" s="184"/>
      <c r="G456"/>
      <c r="H456"/>
      <c r="I456"/>
    </row>
    <row r="457" spans="1:9">
      <c r="A457" s="4">
        <v>43916</v>
      </c>
      <c r="B457" s="184">
        <v>1547610</v>
      </c>
      <c r="C457" s="184">
        <v>188.58</v>
      </c>
      <c r="D457" s="184"/>
      <c r="E457" s="184"/>
      <c r="G457"/>
      <c r="H457"/>
      <c r="I457"/>
    </row>
    <row r="458" spans="1:9">
      <c r="A458" s="4">
        <v>43924</v>
      </c>
      <c r="B458" s="184">
        <v>1545626</v>
      </c>
      <c r="C458" s="184">
        <v>172.28</v>
      </c>
      <c r="D458" s="184"/>
      <c r="E458" s="184"/>
      <c r="G458"/>
      <c r="H458"/>
      <c r="I458"/>
    </row>
    <row r="459" spans="1:9">
      <c r="A459" s="4">
        <v>43930</v>
      </c>
      <c r="B459" s="184">
        <v>1574865</v>
      </c>
      <c r="C459" s="184">
        <v>185.46</v>
      </c>
      <c r="D459" s="184"/>
      <c r="E459" s="184"/>
      <c r="G459"/>
      <c r="H459"/>
      <c r="I459"/>
    </row>
    <row r="460" spans="1:9">
      <c r="A460" s="4">
        <v>43938</v>
      </c>
      <c r="B460" s="184">
        <v>1567022</v>
      </c>
      <c r="C460" s="184">
        <v>182.42</v>
      </c>
      <c r="D460" s="184"/>
      <c r="E460" s="184"/>
      <c r="G460"/>
      <c r="H460"/>
      <c r="I460"/>
    </row>
    <row r="461" spans="1:9">
      <c r="A461" s="4">
        <v>43945</v>
      </c>
      <c r="B461" s="184">
        <v>1582508</v>
      </c>
      <c r="C461" s="184">
        <v>182.87</v>
      </c>
      <c r="D461" s="184"/>
      <c r="E461" s="184"/>
      <c r="G461"/>
      <c r="H461"/>
      <c r="I461"/>
    </row>
    <row r="462" spans="1:9">
      <c r="A462" s="4">
        <v>43952</v>
      </c>
      <c r="B462" s="184">
        <v>1596350</v>
      </c>
      <c r="C462" s="184">
        <v>191.7</v>
      </c>
      <c r="D462" s="184"/>
      <c r="E462" s="184"/>
      <c r="G462"/>
      <c r="H462"/>
      <c r="I462"/>
    </row>
    <row r="463" spans="1:9">
      <c r="A463" s="94">
        <v>43959</v>
      </c>
      <c r="B463" s="183">
        <v>1606474</v>
      </c>
      <c r="C463" s="183">
        <v>193.63</v>
      </c>
      <c r="D463" s="183"/>
      <c r="E463" s="183"/>
      <c r="G463"/>
      <c r="H463"/>
      <c r="I463"/>
    </row>
    <row r="464" spans="1:9">
      <c r="A464" s="4">
        <v>43966</v>
      </c>
      <c r="B464" s="184">
        <v>1595623</v>
      </c>
      <c r="C464" s="184">
        <v>194.5</v>
      </c>
      <c r="D464" s="184"/>
      <c r="E464" s="184"/>
      <c r="G464"/>
      <c r="H464"/>
      <c r="I464"/>
    </row>
    <row r="465" spans="1:9">
      <c r="A465" s="4">
        <v>43973</v>
      </c>
      <c r="B465" s="184">
        <v>1634699</v>
      </c>
      <c r="C465" s="184">
        <v>205.67</v>
      </c>
      <c r="D465" s="184"/>
      <c r="E465" s="184"/>
      <c r="G465"/>
      <c r="H465"/>
      <c r="I465"/>
    </row>
    <row r="466" spans="1:9">
      <c r="A466" s="4">
        <v>43980</v>
      </c>
      <c r="B466" s="184">
        <v>1658568</v>
      </c>
      <c r="C466" s="184">
        <v>210.87</v>
      </c>
      <c r="D466" s="184"/>
      <c r="E466" s="184"/>
      <c r="G466"/>
      <c r="H466"/>
      <c r="I466"/>
    </row>
    <row r="467" spans="1:9">
      <c r="A467" s="4">
        <v>43987</v>
      </c>
      <c r="B467" s="184">
        <v>1652167</v>
      </c>
      <c r="C467" s="184">
        <v>223.06</v>
      </c>
      <c r="D467" s="184"/>
      <c r="E467" s="184"/>
      <c r="G467"/>
      <c r="H467"/>
      <c r="I467"/>
    </row>
    <row r="468" spans="1:9">
      <c r="A468" s="4">
        <v>43994</v>
      </c>
      <c r="B468" s="184">
        <v>1627328</v>
      </c>
      <c r="C468" s="184">
        <v>215.06</v>
      </c>
      <c r="D468" s="184"/>
      <c r="E468" s="184"/>
      <c r="G468"/>
      <c r="H468"/>
      <c r="I468"/>
    </row>
    <row r="469" spans="1:9">
      <c r="A469" s="4">
        <v>44001</v>
      </c>
      <c r="B469" s="184">
        <v>1660526</v>
      </c>
      <c r="C469" s="184">
        <v>216.35001</v>
      </c>
      <c r="D469" s="184"/>
      <c r="E469" s="184"/>
      <c r="G469"/>
      <c r="H469"/>
      <c r="I469"/>
    </row>
    <row r="470" spans="1:9">
      <c r="A470" s="4">
        <v>44008</v>
      </c>
      <c r="B470" s="184">
        <v>1657768</v>
      </c>
      <c r="C470" s="184">
        <v>212.87</v>
      </c>
      <c r="D470" s="184"/>
      <c r="E470" s="184"/>
      <c r="G470"/>
      <c r="H470"/>
      <c r="I470"/>
    </row>
    <row r="471" spans="1:9">
      <c r="A471" s="4">
        <v>44015</v>
      </c>
      <c r="B471" s="184">
        <v>1664978</v>
      </c>
      <c r="C471" s="184">
        <v>217.02</v>
      </c>
      <c r="D471" s="184"/>
      <c r="E471" s="184"/>
      <c r="G471"/>
      <c r="H471"/>
      <c r="I471"/>
    </row>
    <row r="472" spans="1:9">
      <c r="A472" s="4">
        <v>44022</v>
      </c>
      <c r="B472" s="184">
        <v>1668704</v>
      </c>
      <c r="C472" s="184">
        <v>216.14999</v>
      </c>
      <c r="D472" s="184"/>
      <c r="E472" s="184"/>
      <c r="G472"/>
      <c r="H472"/>
      <c r="I472"/>
    </row>
    <row r="473" spans="1:9">
      <c r="A473" s="4">
        <v>44029</v>
      </c>
      <c r="B473" s="184">
        <v>1651956</v>
      </c>
      <c r="C473" s="184">
        <v>213.64</v>
      </c>
      <c r="D473" s="184"/>
      <c r="E473" s="184"/>
      <c r="G473"/>
      <c r="H473"/>
      <c r="I473"/>
    </row>
    <row r="474" spans="1:9">
      <c r="A474" s="4">
        <v>44036</v>
      </c>
      <c r="B474" s="184">
        <v>1657155</v>
      </c>
      <c r="C474" s="184">
        <v>216.62</v>
      </c>
      <c r="D474" s="184"/>
      <c r="E474" s="184"/>
      <c r="G474"/>
      <c r="H474"/>
      <c r="I474"/>
    </row>
    <row r="475" spans="1:9">
      <c r="A475" s="4">
        <v>44043</v>
      </c>
      <c r="B475" s="184">
        <v>1634726</v>
      </c>
      <c r="C475" s="184">
        <v>211.64</v>
      </c>
      <c r="D475" s="184"/>
      <c r="E475" s="184"/>
      <c r="G475"/>
      <c r="H475"/>
      <c r="I475"/>
    </row>
    <row r="476" spans="1:9">
      <c r="A476" s="4">
        <v>44050</v>
      </c>
      <c r="B476" s="184">
        <v>1649661</v>
      </c>
      <c r="C476" s="184">
        <v>210.77</v>
      </c>
      <c r="D476" s="184"/>
      <c r="E476" s="184"/>
      <c r="G476"/>
      <c r="H476"/>
      <c r="I476"/>
    </row>
    <row r="477" spans="1:9">
      <c r="A477" s="4">
        <v>44057</v>
      </c>
      <c r="B477" s="184">
        <v>1649661</v>
      </c>
      <c r="C477" s="184">
        <v>214.67999</v>
      </c>
      <c r="D477" s="184"/>
      <c r="E477" s="184"/>
      <c r="G477"/>
      <c r="H477"/>
      <c r="I477"/>
    </row>
    <row r="478" spans="1:9">
      <c r="A478" s="4">
        <v>44064</v>
      </c>
      <c r="B478" s="184">
        <v>1649661</v>
      </c>
      <c r="C478" s="184">
        <v>212.49001000000001</v>
      </c>
      <c r="D478" s="184"/>
      <c r="E478" s="184"/>
      <c r="G478"/>
      <c r="H478"/>
      <c r="I478"/>
    </row>
    <row r="479" spans="1:9">
      <c r="A479" s="4">
        <v>44071</v>
      </c>
      <c r="B479" s="184">
        <v>1646482</v>
      </c>
      <c r="C479" s="184">
        <v>213.44</v>
      </c>
      <c r="D479" s="184"/>
      <c r="E479" s="184"/>
      <c r="G479"/>
      <c r="H479"/>
      <c r="I479"/>
    </row>
    <row r="480" spans="1:9">
      <c r="A480" s="4">
        <v>44078</v>
      </c>
      <c r="B480" s="184">
        <v>1641340</v>
      </c>
      <c r="C480" s="184">
        <v>212.7</v>
      </c>
      <c r="D480" s="184"/>
      <c r="E480" s="184"/>
      <c r="G480"/>
      <c r="H480"/>
      <c r="I480"/>
    </row>
    <row r="481" spans="1:9">
      <c r="A481" s="4">
        <v>44085</v>
      </c>
      <c r="B481" s="184">
        <v>1663109</v>
      </c>
      <c r="C481" s="184">
        <v>211.14999</v>
      </c>
      <c r="D481" s="184"/>
      <c r="E481" s="184"/>
      <c r="G481"/>
      <c r="H481"/>
      <c r="I481"/>
    </row>
    <row r="482" spans="1:9">
      <c r="A482" s="4">
        <v>44092</v>
      </c>
      <c r="B482" s="184">
        <v>1622172</v>
      </c>
      <c r="C482" s="184">
        <v>212.57001</v>
      </c>
      <c r="D482" s="184"/>
      <c r="E482" s="184"/>
      <c r="G482"/>
      <c r="H482"/>
      <c r="I482"/>
    </row>
    <row r="483" spans="1:9">
      <c r="A483" s="4">
        <v>44099</v>
      </c>
      <c r="B483" s="184">
        <v>1638604</v>
      </c>
      <c r="C483" s="184">
        <v>204.95</v>
      </c>
      <c r="D483" s="184"/>
      <c r="E483" s="184"/>
      <c r="G483"/>
      <c r="H483"/>
      <c r="I483"/>
    </row>
    <row r="484" spans="1:9">
      <c r="A484" s="4">
        <v>44106</v>
      </c>
      <c r="B484" s="184">
        <v>1600664</v>
      </c>
      <c r="C484" s="184">
        <v>203.77</v>
      </c>
      <c r="D484" s="184"/>
      <c r="E484" s="184"/>
      <c r="G484"/>
      <c r="H484"/>
      <c r="I484"/>
    </row>
    <row r="485" spans="1:9">
      <c r="A485" s="4">
        <v>44113</v>
      </c>
      <c r="B485" s="184">
        <v>1620128</v>
      </c>
      <c r="C485" s="184">
        <v>208.35001</v>
      </c>
      <c r="D485" s="184"/>
      <c r="E485" s="184"/>
      <c r="G485"/>
      <c r="H485"/>
      <c r="I485"/>
    </row>
    <row r="486" spans="1:9">
      <c r="A486" s="4">
        <v>44120</v>
      </c>
      <c r="B486" s="184">
        <v>1620693</v>
      </c>
      <c r="C486" s="184">
        <v>206.99001000000001</v>
      </c>
      <c r="D486" s="184"/>
      <c r="E486" s="184"/>
      <c r="G486"/>
      <c r="H486"/>
      <c r="I486"/>
    </row>
    <row r="487" spans="1:9">
      <c r="A487" s="4">
        <v>44127</v>
      </c>
      <c r="B487" s="184">
        <v>1614450</v>
      </c>
      <c r="C487" s="184">
        <v>208.42999</v>
      </c>
      <c r="D487" s="184"/>
      <c r="E487" s="184"/>
      <c r="G487"/>
      <c r="H487"/>
      <c r="I487"/>
    </row>
    <row r="488" spans="1:9">
      <c r="A488" s="4">
        <v>44134</v>
      </c>
      <c r="B488" s="184">
        <v>1602194</v>
      </c>
      <c r="C488" s="184">
        <v>198.88</v>
      </c>
      <c r="D488" s="184"/>
      <c r="E488" s="184"/>
      <c r="G488"/>
      <c r="H488"/>
      <c r="I488"/>
    </row>
    <row r="489" spans="1:9">
      <c r="A489" s="4">
        <v>44141</v>
      </c>
      <c r="B489" s="184">
        <v>1625253</v>
      </c>
      <c r="C489" s="184">
        <v>211.58</v>
      </c>
      <c r="D489" s="184"/>
      <c r="E489" s="184"/>
      <c r="G489"/>
      <c r="H489"/>
      <c r="I489"/>
    </row>
    <row r="490" spans="1:9">
      <c r="A490" s="4">
        <v>44148</v>
      </c>
      <c r="B490" s="184">
        <v>1637810</v>
      </c>
      <c r="C490" s="184">
        <v>222.74001000000001</v>
      </c>
      <c r="D490" s="184"/>
      <c r="E490" s="184"/>
      <c r="G490"/>
      <c r="H490"/>
      <c r="I490"/>
    </row>
    <row r="491" spans="1:9">
      <c r="A491" s="4">
        <v>44149</v>
      </c>
      <c r="B491" s="184">
        <v>1641706</v>
      </c>
      <c r="C491" s="184">
        <v>226.3</v>
      </c>
      <c r="D491" s="184"/>
      <c r="E491" s="184"/>
      <c r="G491"/>
      <c r="H491"/>
      <c r="I491"/>
    </row>
    <row r="492" spans="1:9">
      <c r="A492" s="4">
        <v>44162</v>
      </c>
      <c r="B492" s="184">
        <v>1648985</v>
      </c>
      <c r="C492" s="184">
        <v>228.85001</v>
      </c>
      <c r="D492" s="184"/>
      <c r="E492" s="184"/>
      <c r="G492"/>
      <c r="H492"/>
      <c r="I492"/>
    </row>
    <row r="493" spans="1:9">
      <c r="A493" s="4">
        <v>44169</v>
      </c>
      <c r="B493" s="184">
        <v>1639359</v>
      </c>
      <c r="C493" s="184">
        <v>234.23</v>
      </c>
      <c r="D493" s="184"/>
      <c r="E493" s="184"/>
      <c r="G493"/>
      <c r="H493"/>
      <c r="I493"/>
    </row>
    <row r="494" spans="1:9">
      <c r="A494" s="4">
        <v>44176</v>
      </c>
      <c r="B494" s="184">
        <v>1665244</v>
      </c>
      <c r="C494" s="184">
        <v>235.82001</v>
      </c>
      <c r="D494" s="184"/>
      <c r="E494" s="184"/>
      <c r="G494"/>
      <c r="H494"/>
      <c r="I494"/>
    </row>
    <row r="495" spans="1:9">
      <c r="A495" s="4">
        <v>44183</v>
      </c>
      <c r="B495" s="184">
        <v>1669675</v>
      </c>
      <c r="C495" s="184">
        <v>239.78998999999999</v>
      </c>
      <c r="D495" s="184"/>
      <c r="E495" s="184"/>
      <c r="G495"/>
      <c r="H495"/>
      <c r="I495"/>
    </row>
    <row r="496" spans="1:9">
      <c r="A496" s="4">
        <v>44196</v>
      </c>
      <c r="B496" s="184">
        <v>1668016</v>
      </c>
      <c r="C496" s="184">
        <v>241.07001</v>
      </c>
      <c r="D496" s="184"/>
      <c r="E496" s="184"/>
      <c r="G496"/>
      <c r="H496"/>
      <c r="I496"/>
    </row>
    <row r="497" spans="1:9">
      <c r="A497" s="4">
        <v>44204</v>
      </c>
      <c r="B497" s="184">
        <v>1685642</v>
      </c>
      <c r="C497" s="184">
        <v>245</v>
      </c>
      <c r="D497" s="184"/>
      <c r="E497" s="184"/>
      <c r="G497"/>
      <c r="H497"/>
      <c r="I497"/>
    </row>
    <row r="498" spans="1:9">
      <c r="A498" s="4">
        <v>44211</v>
      </c>
      <c r="B498" s="184">
        <v>1715723</v>
      </c>
      <c r="C498" s="184">
        <v>243.98</v>
      </c>
      <c r="D498" s="184"/>
      <c r="E498" s="184"/>
      <c r="G498"/>
      <c r="H498"/>
      <c r="I498"/>
    </row>
    <row r="499" spans="1:9">
      <c r="A499" s="4">
        <v>44218</v>
      </c>
      <c r="B499" s="184">
        <v>1699021</v>
      </c>
      <c r="C499" s="184">
        <v>242.2</v>
      </c>
      <c r="D499" s="184"/>
      <c r="E499" s="184"/>
      <c r="G499"/>
      <c r="H499"/>
      <c r="I499"/>
    </row>
    <row r="500" spans="1:9">
      <c r="A500" s="4">
        <v>44225</v>
      </c>
      <c r="B500" s="184">
        <v>1679946</v>
      </c>
      <c r="C500" s="184">
        <v>238.35001</v>
      </c>
      <c r="D500" s="184"/>
      <c r="E500" s="184"/>
      <c r="G500"/>
      <c r="H500"/>
      <c r="I500"/>
    </row>
    <row r="501" spans="1:9">
      <c r="A501" s="4">
        <v>44232</v>
      </c>
      <c r="B501" s="184">
        <v>1717345</v>
      </c>
      <c r="C501" s="184">
        <v>247.2</v>
      </c>
      <c r="D501" s="184"/>
      <c r="E501" s="184"/>
      <c r="G501"/>
      <c r="H501"/>
      <c r="I501"/>
    </row>
    <row r="502" spans="1:9">
      <c r="A502" s="4">
        <v>44246</v>
      </c>
      <c r="B502" s="184">
        <v>1745195</v>
      </c>
      <c r="C502" s="184">
        <v>249.66</v>
      </c>
      <c r="D502" s="184"/>
      <c r="E502" s="184"/>
      <c r="G502"/>
      <c r="H502"/>
      <c r="I502"/>
    </row>
    <row r="503" spans="1:9">
      <c r="A503" s="4">
        <v>44253</v>
      </c>
      <c r="B503" s="184">
        <v>1695904</v>
      </c>
      <c r="C503" s="184">
        <v>239.74001000000001</v>
      </c>
      <c r="D503" s="184"/>
      <c r="E503" s="184"/>
      <c r="G503"/>
      <c r="H503"/>
      <c r="I503"/>
    </row>
    <row r="504" spans="1:9">
      <c r="A504" s="4">
        <v>44260</v>
      </c>
      <c r="B504" s="184">
        <v>1687546</v>
      </c>
      <c r="C504" s="184">
        <v>241.03</v>
      </c>
      <c r="D504" s="184"/>
      <c r="E504" s="184"/>
      <c r="G504"/>
      <c r="H504"/>
      <c r="I504"/>
    </row>
    <row r="505" spans="1:9">
      <c r="A505" s="4">
        <v>44267</v>
      </c>
      <c r="B505" s="184">
        <v>1726296</v>
      </c>
      <c r="C505" s="184">
        <v>244.22</v>
      </c>
      <c r="D505" s="184"/>
      <c r="E505" s="184"/>
      <c r="G505"/>
      <c r="H505"/>
      <c r="I505"/>
    </row>
    <row r="506" spans="1:9">
      <c r="A506" s="4">
        <v>44274</v>
      </c>
      <c r="B506" s="184">
        <v>1746968</v>
      </c>
      <c r="C506" s="184">
        <v>246.28998999999999</v>
      </c>
      <c r="D506" s="184"/>
      <c r="E506" s="184"/>
      <c r="G506"/>
      <c r="H506"/>
      <c r="I506"/>
    </row>
    <row r="507" spans="1:9">
      <c r="A507" s="4">
        <v>44281</v>
      </c>
      <c r="B507" s="184">
        <v>1708928</v>
      </c>
      <c r="C507" s="184">
        <v>233.38</v>
      </c>
      <c r="D507" s="184"/>
      <c r="E507" s="184"/>
      <c r="G507"/>
      <c r="H507"/>
      <c r="I507"/>
    </row>
    <row r="508" spans="1:9">
      <c r="A508" s="4">
        <v>44288</v>
      </c>
      <c r="B508" s="184">
        <v>1720446</v>
      </c>
      <c r="C508" s="184">
        <v>226.24001000000001</v>
      </c>
      <c r="D508" s="184"/>
      <c r="E508" s="184"/>
      <c r="G508"/>
      <c r="H508"/>
      <c r="I508"/>
    </row>
    <row r="509" spans="1:9">
      <c r="A509" s="4">
        <v>44295</v>
      </c>
      <c r="B509" s="184">
        <v>1730747</v>
      </c>
      <c r="C509" s="184">
        <v>227.47</v>
      </c>
      <c r="D509" s="184"/>
      <c r="E509" s="184"/>
      <c r="G509"/>
      <c r="H509"/>
      <c r="I509"/>
    </row>
    <row r="510" spans="1:9">
      <c r="A510" s="4">
        <v>44302</v>
      </c>
      <c r="B510" s="184">
        <v>1766275</v>
      </c>
      <c r="C510" s="184">
        <v>233.52</v>
      </c>
      <c r="D510" s="184"/>
      <c r="E510" s="184"/>
      <c r="G510"/>
      <c r="H510"/>
      <c r="I510"/>
    </row>
    <row r="511" spans="1:9">
      <c r="A511" s="4">
        <v>44309</v>
      </c>
      <c r="B511" s="184">
        <v>1743019</v>
      </c>
      <c r="C511" s="184">
        <v>232.06</v>
      </c>
      <c r="D511" s="184"/>
      <c r="E511" s="184"/>
      <c r="G511"/>
      <c r="H511"/>
      <c r="I511"/>
    </row>
    <row r="512" spans="1:9">
      <c r="A512" s="4">
        <v>44316</v>
      </c>
      <c r="B512" s="184">
        <v>1746741</v>
      </c>
      <c r="C512" s="184">
        <v>232.10001</v>
      </c>
      <c r="D512" s="184"/>
      <c r="E512" s="184"/>
      <c r="G512"/>
      <c r="H512"/>
      <c r="I512"/>
    </row>
    <row r="513" spans="1:9">
      <c r="A513" s="94">
        <v>44323</v>
      </c>
      <c r="B513" s="183">
        <v>1764677</v>
      </c>
      <c r="C513" s="183">
        <v>240.14</v>
      </c>
      <c r="D513" s="183"/>
      <c r="E513" s="183"/>
      <c r="G513"/>
      <c r="H513"/>
      <c r="I513"/>
    </row>
    <row r="514" spans="1:9">
      <c r="A514" s="4">
        <v>44330</v>
      </c>
      <c r="B514" s="184">
        <v>1749437</v>
      </c>
      <c r="C514" s="184">
        <v>239.28</v>
      </c>
      <c r="D514" s="184"/>
      <c r="E514" s="184"/>
      <c r="G514"/>
      <c r="H514"/>
      <c r="I514"/>
    </row>
    <row r="515" spans="1:9">
      <c r="A515" s="4">
        <v>44337</v>
      </c>
      <c r="B515" s="184">
        <v>1744713.5080883184</v>
      </c>
      <c r="C515" s="184">
        <v>239.89999</v>
      </c>
      <c r="D515" s="184"/>
      <c r="E515" s="184"/>
      <c r="G515"/>
      <c r="H515"/>
      <c r="I515"/>
    </row>
    <row r="516" spans="1:9">
      <c r="A516" s="4">
        <v>44347</v>
      </c>
      <c r="B516" s="184">
        <v>1753696.5388804686</v>
      </c>
      <c r="C516" s="184">
        <v>242.3</v>
      </c>
      <c r="D516" s="184"/>
      <c r="E516" s="184"/>
      <c r="G516"/>
      <c r="H516"/>
      <c r="I516"/>
    </row>
    <row r="517" spans="1:9">
      <c r="A517" s="4">
        <v>44351</v>
      </c>
      <c r="B517" s="184">
        <v>1777945.4612109866</v>
      </c>
      <c r="C517" s="184">
        <v>245.2</v>
      </c>
      <c r="D517" s="184"/>
      <c r="E517" s="184"/>
      <c r="G517"/>
      <c r="H517"/>
      <c r="I517"/>
    </row>
    <row r="518" spans="1:9">
      <c r="A518" s="4">
        <v>44358</v>
      </c>
      <c r="B518" s="184">
        <v>1787958.7181431807</v>
      </c>
      <c r="C518" s="184">
        <v>251.61</v>
      </c>
      <c r="D518" s="184"/>
      <c r="E518" s="184"/>
      <c r="G518"/>
      <c r="H518"/>
      <c r="I518"/>
    </row>
    <row r="519" spans="1:9">
      <c r="A519" s="4">
        <v>44365</v>
      </c>
      <c r="B519" s="184">
        <v>1778973.5162355243</v>
      </c>
      <c r="C519" s="184">
        <v>246.50998999999999</v>
      </c>
      <c r="D519" s="184"/>
      <c r="E519" s="184"/>
      <c r="G519"/>
      <c r="H519"/>
      <c r="I519"/>
    </row>
    <row r="520" spans="1:9">
      <c r="A520" s="4">
        <v>44377</v>
      </c>
      <c r="B520" s="184">
        <v>1789527.8285815353</v>
      </c>
      <c r="C520" s="184">
        <v>250.01</v>
      </c>
      <c r="D520" s="184"/>
      <c r="E520" s="184"/>
      <c r="G520"/>
      <c r="H520"/>
      <c r="I520"/>
    </row>
    <row r="521" spans="1:9">
      <c r="A521" s="4">
        <v>44379</v>
      </c>
      <c r="B521" s="184">
        <v>1790567.6615376852</v>
      </c>
      <c r="C521" s="184">
        <v>249.48</v>
      </c>
      <c r="D521" s="184"/>
      <c r="E521" s="184"/>
      <c r="G521"/>
      <c r="H521"/>
      <c r="I521"/>
    </row>
    <row r="522" spans="1:9">
      <c r="A522" s="4">
        <v>44386</v>
      </c>
      <c r="B522" s="184">
        <v>1780849.1081229737</v>
      </c>
      <c r="C522" s="184">
        <v>246.92</v>
      </c>
      <c r="D522" s="184"/>
      <c r="E522" s="184"/>
      <c r="G522"/>
      <c r="H522"/>
      <c r="I522"/>
    </row>
    <row r="523" spans="1:9">
      <c r="A523" s="4">
        <v>44393</v>
      </c>
      <c r="B523" s="184">
        <v>1874250.7677716373</v>
      </c>
      <c r="C523" s="184">
        <v>249.00998999999999</v>
      </c>
      <c r="D523" s="184"/>
      <c r="E523" s="184"/>
      <c r="G523"/>
      <c r="H523"/>
      <c r="I523"/>
    </row>
    <row r="524" spans="1:9">
      <c r="A524" s="4">
        <v>44400</v>
      </c>
      <c r="B524" s="184">
        <v>1780492.2106226448</v>
      </c>
      <c r="C524" s="184">
        <v>249.03998999999999</v>
      </c>
      <c r="D524" s="184"/>
      <c r="E524" s="184"/>
      <c r="G524"/>
      <c r="H524"/>
      <c r="I524"/>
    </row>
    <row r="525" spans="1:9">
      <c r="A525" s="4">
        <v>44407</v>
      </c>
      <c r="B525" s="184">
        <v>1779081.5071984967</v>
      </c>
      <c r="C525" s="184">
        <v>253.64</v>
      </c>
      <c r="D525" s="184"/>
      <c r="E525" s="184"/>
      <c r="G525"/>
      <c r="H525"/>
      <c r="I525"/>
    </row>
    <row r="526" spans="1:9">
      <c r="A526" s="4">
        <v>44414</v>
      </c>
      <c r="B526" s="184">
        <v>1789601.2040682882</v>
      </c>
      <c r="C526" s="184">
        <v>253.36</v>
      </c>
      <c r="D526" s="184"/>
      <c r="E526" s="184"/>
      <c r="G526"/>
      <c r="H526"/>
      <c r="I526"/>
    </row>
    <row r="527" spans="1:9">
      <c r="A527" s="4">
        <v>44421</v>
      </c>
      <c r="B527" s="184">
        <v>1793373.6754480037</v>
      </c>
      <c r="C527" s="184">
        <v>257.64001000000002</v>
      </c>
      <c r="D527" s="184"/>
      <c r="E527" s="184"/>
      <c r="G527"/>
      <c r="H527"/>
      <c r="I527"/>
    </row>
    <row r="528" spans="1:9">
      <c r="A528" s="4">
        <v>44428</v>
      </c>
      <c r="B528" s="184">
        <v>1793478.5844423722</v>
      </c>
      <c r="C528" s="184">
        <v>257.42998999999998</v>
      </c>
      <c r="D528" s="184"/>
      <c r="E528" s="184"/>
      <c r="G528"/>
      <c r="H528"/>
      <c r="I528"/>
    </row>
    <row r="529" spans="1:9">
      <c r="A529" s="4">
        <v>44435</v>
      </c>
      <c r="B529" s="184">
        <v>1813391.3279158222</v>
      </c>
      <c r="C529" s="184">
        <v>265.38</v>
      </c>
      <c r="D529" s="184"/>
      <c r="E529" s="184"/>
      <c r="G529"/>
      <c r="H529"/>
      <c r="I529"/>
    </row>
    <row r="530" spans="1:9">
      <c r="A530" s="4">
        <v>44442</v>
      </c>
      <c r="B530" s="184">
        <v>1830687.235125564</v>
      </c>
      <c r="C530" s="184">
        <v>269.32999000000001</v>
      </c>
      <c r="D530" s="184"/>
      <c r="E530" s="184"/>
      <c r="G530"/>
      <c r="H530"/>
      <c r="I530"/>
    </row>
    <row r="531" spans="1:9">
      <c r="A531" s="4">
        <v>44449</v>
      </c>
      <c r="B531" s="184">
        <v>1823212.1466636648</v>
      </c>
      <c r="C531" s="184">
        <v>270.37</v>
      </c>
      <c r="D531" s="184"/>
      <c r="E531" s="184"/>
      <c r="G531"/>
      <c r="H531"/>
      <c r="I531"/>
    </row>
    <row r="532" spans="1:9">
      <c r="A532" s="4">
        <v>44456</v>
      </c>
      <c r="B532" s="184">
        <v>1819605.9259302504</v>
      </c>
      <c r="C532" s="184">
        <v>267.91000000000003</v>
      </c>
      <c r="D532" s="184"/>
      <c r="E532" s="184"/>
      <c r="G532"/>
      <c r="H532"/>
      <c r="I532"/>
    </row>
    <row r="533" spans="1:9">
      <c r="A533" s="4">
        <v>44463</v>
      </c>
      <c r="B533" s="184">
        <v>1805874.2033947813</v>
      </c>
      <c r="C533" s="184">
        <v>263.17000999999999</v>
      </c>
      <c r="D533" s="184"/>
      <c r="E533" s="184"/>
      <c r="G533"/>
      <c r="H533"/>
      <c r="I533"/>
    </row>
    <row r="534" spans="1:9">
      <c r="A534" s="4">
        <v>44470</v>
      </c>
      <c r="B534" s="184">
        <v>1799915.0989767287</v>
      </c>
      <c r="C534" s="184">
        <v>261.67000999999999</v>
      </c>
      <c r="D534" s="184"/>
      <c r="E534" s="184"/>
      <c r="G534"/>
      <c r="H534"/>
      <c r="I534"/>
    </row>
    <row r="535" spans="1:9">
      <c r="A535" s="4">
        <v>44477</v>
      </c>
      <c r="B535" s="184">
        <v>1819318.7620711944</v>
      </c>
      <c r="C535" s="184">
        <v>260.41000000000003</v>
      </c>
      <c r="D535" s="184"/>
      <c r="E535" s="184"/>
      <c r="G535"/>
      <c r="H535"/>
      <c r="I535"/>
    </row>
    <row r="536" spans="1:9">
      <c r="A536" s="4">
        <v>44484</v>
      </c>
      <c r="B536" s="184">
        <v>1854078.3998251986</v>
      </c>
      <c r="C536" s="184">
        <v>261.44</v>
      </c>
      <c r="D536" s="184"/>
      <c r="E536" s="184"/>
      <c r="G536"/>
      <c r="H536"/>
      <c r="I536"/>
    </row>
    <row r="537" spans="1:9">
      <c r="A537" s="4">
        <v>44491</v>
      </c>
      <c r="B537" s="184">
        <v>1853018.845089674</v>
      </c>
      <c r="C537" s="184">
        <v>255.21001000000001</v>
      </c>
      <c r="D537" s="184"/>
      <c r="E537" s="184"/>
      <c r="G537"/>
      <c r="H537"/>
      <c r="I537"/>
    </row>
    <row r="538" spans="1:9">
      <c r="A538" s="4">
        <v>44498</v>
      </c>
      <c r="B538" s="184">
        <v>1847591.4813727916</v>
      </c>
      <c r="C538" s="184">
        <v>253.42</v>
      </c>
      <c r="D538" s="184"/>
      <c r="E538" s="184"/>
      <c r="G538"/>
      <c r="H538"/>
      <c r="I538"/>
    </row>
    <row r="539" spans="1:9">
      <c r="A539" s="4">
        <v>44505</v>
      </c>
      <c r="B539" s="184">
        <v>1886445.6255441399</v>
      </c>
      <c r="C539" s="184">
        <v>256.42000999999999</v>
      </c>
      <c r="D539" s="184"/>
      <c r="E539" s="184"/>
      <c r="G539"/>
      <c r="H539"/>
      <c r="I539"/>
    </row>
    <row r="540" spans="1:9">
      <c r="A540" s="4">
        <v>44512</v>
      </c>
      <c r="B540" s="184">
        <v>1905475.1578095984</v>
      </c>
      <c r="C540" s="184">
        <v>257.29998999999998</v>
      </c>
      <c r="D540" s="184"/>
      <c r="E540" s="184"/>
      <c r="G540"/>
      <c r="H540"/>
      <c r="I540"/>
    </row>
    <row r="541" spans="1:9">
      <c r="A541" s="4">
        <v>44519</v>
      </c>
      <c r="B541" s="184">
        <v>1884120.66526721</v>
      </c>
      <c r="C541" s="184">
        <v>245.22</v>
      </c>
      <c r="D541" s="184"/>
      <c r="E541" s="184"/>
      <c r="G541"/>
      <c r="H541"/>
      <c r="I541"/>
    </row>
    <row r="542" spans="1:9">
      <c r="A542" s="4">
        <v>44526</v>
      </c>
      <c r="B542" s="184">
        <v>1824764.6132334559</v>
      </c>
      <c r="C542" s="184">
        <v>232.88</v>
      </c>
      <c r="D542" s="184"/>
      <c r="E542" s="184"/>
      <c r="G542"/>
      <c r="H542"/>
      <c r="I542"/>
    </row>
    <row r="543" spans="1:9">
      <c r="A543" s="4">
        <v>44533</v>
      </c>
      <c r="B543" s="184">
        <v>1817867.2707584722</v>
      </c>
      <c r="C543" s="184">
        <v>232.59</v>
      </c>
      <c r="D543" s="184"/>
      <c r="E543" s="184"/>
      <c r="G543"/>
      <c r="H543"/>
      <c r="I543"/>
    </row>
    <row r="544" spans="1:9">
      <c r="A544" s="4">
        <v>44540</v>
      </c>
      <c r="B544" s="184">
        <v>1848076.4892017189</v>
      </c>
      <c r="C544" s="184">
        <v>240.27</v>
      </c>
      <c r="D544" s="184"/>
      <c r="E544" s="184"/>
      <c r="G544"/>
      <c r="H544"/>
      <c r="I544"/>
    </row>
    <row r="545" spans="1:9">
      <c r="A545" s="4">
        <v>44547</v>
      </c>
      <c r="B545" s="184">
        <v>1834399.2494624136</v>
      </c>
      <c r="C545" s="184">
        <v>234.22</v>
      </c>
      <c r="D545" s="184"/>
      <c r="E545" s="184"/>
      <c r="G545"/>
      <c r="H545"/>
      <c r="I545"/>
    </row>
    <row r="546" spans="1:9">
      <c r="A546" s="4">
        <v>44554</v>
      </c>
      <c r="B546" s="184">
        <v>1843780.6833130242</v>
      </c>
      <c r="C546" s="184">
        <v>243.92</v>
      </c>
      <c r="D546" s="184"/>
      <c r="E546" s="184"/>
      <c r="G546"/>
      <c r="H546"/>
      <c r="I546"/>
    </row>
    <row r="547" spans="1:9">
      <c r="A547" s="4">
        <v>44561</v>
      </c>
      <c r="B547" s="184">
        <v>1844519.7499999769</v>
      </c>
      <c r="C547" s="184">
        <v>241.07001</v>
      </c>
      <c r="D547" s="184"/>
      <c r="E547" s="184"/>
      <c r="G547"/>
      <c r="H547"/>
      <c r="I547"/>
    </row>
    <row r="548" spans="1:9">
      <c r="A548" s="4">
        <v>44568</v>
      </c>
      <c r="B548" s="184">
        <v>1838732.6170362742</v>
      </c>
      <c r="C548" s="184">
        <v>234.64</v>
      </c>
      <c r="D548" s="184"/>
      <c r="E548" s="184"/>
      <c r="G548"/>
      <c r="H548"/>
      <c r="I548"/>
    </row>
    <row r="549" spans="1:9">
      <c r="A549" s="4">
        <v>44575</v>
      </c>
      <c r="B549" s="184">
        <v>1806993.1731745608</v>
      </c>
      <c r="C549" s="184">
        <v>235.08</v>
      </c>
      <c r="D549" s="184"/>
      <c r="E549" s="184"/>
      <c r="G549"/>
      <c r="H549"/>
      <c r="I549"/>
    </row>
    <row r="550" spans="1:9">
      <c r="A550" s="4">
        <v>44582</v>
      </c>
      <c r="B550" s="184">
        <v>1801419.0070250682</v>
      </c>
      <c r="C550" s="184">
        <v>232.66</v>
      </c>
      <c r="D550" s="184"/>
      <c r="E550" s="184"/>
      <c r="G550"/>
      <c r="H550"/>
      <c r="I550"/>
    </row>
    <row r="551" spans="1:9">
      <c r="A551" s="4">
        <v>44589</v>
      </c>
      <c r="B551" s="184">
        <v>1804211.7343308339</v>
      </c>
      <c r="C551" s="184">
        <v>230.46001000000001</v>
      </c>
      <c r="D551" s="184"/>
      <c r="E551" s="184"/>
      <c r="G551"/>
      <c r="H551"/>
      <c r="I551"/>
    </row>
    <row r="552" spans="1:9">
      <c r="A552" s="4">
        <v>44596</v>
      </c>
      <c r="B552" s="184">
        <v>1750049.9028848896</v>
      </c>
      <c r="C552" s="184">
        <v>236.14999</v>
      </c>
      <c r="D552" s="184"/>
      <c r="E552" s="184"/>
      <c r="G552"/>
      <c r="H552"/>
      <c r="I552"/>
    </row>
    <row r="553" spans="1:9">
      <c r="A553" s="4">
        <v>44603</v>
      </c>
      <c r="B553" s="184">
        <v>1760529.7755009749</v>
      </c>
      <c r="C553" s="184">
        <v>244.34</v>
      </c>
      <c r="D553" s="184"/>
      <c r="E553" s="184"/>
      <c r="G553"/>
      <c r="H553"/>
      <c r="I553"/>
    </row>
    <row r="554" spans="1:9">
      <c r="A554" s="4">
        <v>44610</v>
      </c>
      <c r="B554" s="184">
        <v>1773787.240577939</v>
      </c>
      <c r="C554" s="184">
        <v>244.07001</v>
      </c>
      <c r="D554" s="184"/>
      <c r="E554" s="184"/>
      <c r="G554"/>
      <c r="H554"/>
      <c r="I554"/>
    </row>
    <row r="555" spans="1:9">
      <c r="A555" s="4">
        <v>44617</v>
      </c>
      <c r="B555" s="184">
        <v>1695136.3665940757</v>
      </c>
      <c r="C555" s="184">
        <v>221.05</v>
      </c>
      <c r="D555" s="184"/>
      <c r="E555" s="184"/>
      <c r="G555"/>
      <c r="H555"/>
      <c r="I555"/>
    </row>
    <row r="556" spans="1:9">
      <c r="A556" s="4">
        <v>44624</v>
      </c>
      <c r="B556" s="184">
        <v>1590182.966518505</v>
      </c>
      <c r="C556" s="184">
        <v>187.75</v>
      </c>
      <c r="D556" s="184"/>
      <c r="E556" s="184"/>
      <c r="G556"/>
      <c r="H556"/>
      <c r="I556"/>
    </row>
    <row r="557" spans="1:9">
      <c r="A557" s="4">
        <v>44631</v>
      </c>
      <c r="B557" s="184">
        <v>1570133.1334076491</v>
      </c>
      <c r="C557" s="184">
        <v>171.71001000000001</v>
      </c>
      <c r="D557" s="184"/>
      <c r="E557" s="184"/>
      <c r="G557"/>
      <c r="H557"/>
      <c r="I557"/>
    </row>
    <row r="558" spans="1:9">
      <c r="A558" s="4">
        <v>44638</v>
      </c>
      <c r="B558" s="184">
        <v>1588565.6587090443</v>
      </c>
      <c r="C558" s="184">
        <v>172.7</v>
      </c>
      <c r="D558" s="184"/>
      <c r="E558" s="184"/>
      <c r="G558"/>
      <c r="H558"/>
      <c r="I558"/>
    </row>
    <row r="559" spans="1:9">
      <c r="A559" s="4">
        <v>44645</v>
      </c>
      <c r="B559" s="184">
        <v>1607916.3602904002</v>
      </c>
      <c r="C559" s="184">
        <v>176.05</v>
      </c>
      <c r="D559" s="184"/>
      <c r="E559" s="184"/>
      <c r="G559"/>
      <c r="H559"/>
      <c r="I559"/>
    </row>
    <row r="560" spans="1:9">
      <c r="A560" s="4">
        <v>44652</v>
      </c>
      <c r="B560" s="184">
        <v>1609503.7640171035</v>
      </c>
      <c r="C560" s="184">
        <v>175.67</v>
      </c>
      <c r="D560" s="184"/>
      <c r="E560" s="184"/>
      <c r="G560"/>
      <c r="H560"/>
      <c r="I560"/>
    </row>
    <row r="561" spans="1:9">
      <c r="A561" s="4">
        <v>44659</v>
      </c>
      <c r="B561" s="184">
        <v>1632405.2827546571</v>
      </c>
      <c r="C561" s="184">
        <v>179.46001000000001</v>
      </c>
      <c r="D561" s="184"/>
      <c r="E561" s="184"/>
    </row>
    <row r="562" spans="1:9">
      <c r="A562" s="4">
        <v>44666</v>
      </c>
      <c r="B562" s="184">
        <v>1636337.4959977344</v>
      </c>
      <c r="C562" s="184">
        <v>179.03998999999999</v>
      </c>
      <c r="D562" s="184"/>
      <c r="E562" s="184"/>
    </row>
    <row r="563" spans="1:9">
      <c r="A563" s="4">
        <v>44673</v>
      </c>
      <c r="B563" s="184">
        <v>1605322.0711742593</v>
      </c>
      <c r="C563" s="184">
        <v>175.38</v>
      </c>
      <c r="D563" s="184"/>
      <c r="E563" s="184"/>
    </row>
    <row r="564" spans="1:9">
      <c r="A564" s="4">
        <v>44680</v>
      </c>
      <c r="B564" s="184">
        <v>1608770.6750222873</v>
      </c>
      <c r="C564" s="184">
        <v>173.73</v>
      </c>
      <c r="D564" s="184"/>
      <c r="E564" s="184"/>
      <c r="F564" s="89"/>
      <c r="G564" s="157"/>
      <c r="H564" s="186"/>
      <c r="I564" s="186"/>
    </row>
    <row r="565" spans="1:9">
      <c r="A565" s="97">
        <v>44687</v>
      </c>
      <c r="B565" s="185">
        <v>1585166.86</v>
      </c>
      <c r="C565" s="185">
        <v>174.75</v>
      </c>
      <c r="D565" s="185">
        <v>1585166.86</v>
      </c>
      <c r="E565" s="185">
        <f>B565-D565</f>
        <v>0</v>
      </c>
      <c r="F565" s="187">
        <v>0</v>
      </c>
      <c r="G565" s="187">
        <v>0</v>
      </c>
      <c r="H565" s="188">
        <v>100</v>
      </c>
      <c r="I565" s="188">
        <v>100</v>
      </c>
    </row>
    <row r="566" spans="1:9">
      <c r="A566" s="4">
        <v>44694</v>
      </c>
      <c r="B566" s="184">
        <v>1581382.21</v>
      </c>
      <c r="C566" s="184">
        <v>171.39</v>
      </c>
      <c r="D566" s="184">
        <v>1581382.21</v>
      </c>
      <c r="E566" s="184">
        <f t="shared" ref="E566:E629" si="0">B566-D566</f>
        <v>0</v>
      </c>
      <c r="F566" s="156">
        <f>B566/B565-1</f>
        <v>-2.3875404511043419E-3</v>
      </c>
      <c r="G566" s="156">
        <f>B566/$B$565-1</f>
        <v>-2.3875404511043419E-3</v>
      </c>
      <c r="H566" s="75">
        <f>B566/$B$565*100</f>
        <v>99.76124595488956</v>
      </c>
      <c r="I566" s="75">
        <f>C566/$C$565*100</f>
        <v>98.07725321888411</v>
      </c>
    </row>
    <row r="567" spans="1:9">
      <c r="A567" s="4">
        <v>44701</v>
      </c>
      <c r="B567" s="184">
        <v>1593524</v>
      </c>
      <c r="C567" s="184">
        <v>170.94</v>
      </c>
      <c r="D567" s="184">
        <v>1593524</v>
      </c>
      <c r="E567" s="184">
        <f t="shared" si="0"/>
        <v>0</v>
      </c>
      <c r="F567" s="156">
        <f t="shared" ref="F567:F616" si="1">B567/B566-1</f>
        <v>7.6779604090777553E-3</v>
      </c>
      <c r="G567" s="156">
        <f t="shared" ref="G567:G616" si="2">B567/$B$565-1</f>
        <v>5.2720885169148524E-3</v>
      </c>
      <c r="H567" s="75">
        <f t="shared" ref="H567:H591" si="3">B567/$B$565*100</f>
        <v>100.52720885169148</v>
      </c>
      <c r="I567" s="75">
        <f t="shared" ref="I567:I616" si="4">C567/$C$565*100</f>
        <v>97.819742489270396</v>
      </c>
    </row>
    <row r="568" spans="1:9">
      <c r="A568" s="4">
        <v>44708</v>
      </c>
      <c r="B568" s="184">
        <v>1602754</v>
      </c>
      <c r="C568" s="184">
        <v>171.8</v>
      </c>
      <c r="D568" s="184">
        <v>1602754</v>
      </c>
      <c r="E568" s="184">
        <f t="shared" si="0"/>
        <v>0</v>
      </c>
      <c r="F568" s="156">
        <f t="shared" si="1"/>
        <v>5.7921939048297677E-3</v>
      </c>
      <c r="G568" s="156">
        <f t="shared" si="2"/>
        <v>1.1094819380718102E-2</v>
      </c>
      <c r="H568" s="75">
        <f t="shared" si="3"/>
        <v>101.10948193807181</v>
      </c>
      <c r="I568" s="75">
        <f t="shared" si="4"/>
        <v>98.311874105865527</v>
      </c>
    </row>
    <row r="569" spans="1:9">
      <c r="A569" s="4">
        <v>44715</v>
      </c>
      <c r="B569" s="184">
        <v>1602245</v>
      </c>
      <c r="C569" s="184">
        <v>173.5</v>
      </c>
      <c r="D569" s="184">
        <v>1602245</v>
      </c>
      <c r="E569" s="184">
        <f t="shared" si="0"/>
        <v>0</v>
      </c>
      <c r="F569" s="156">
        <f t="shared" si="1"/>
        <v>-3.1757836823365082E-4</v>
      </c>
      <c r="G569" s="156">
        <f t="shared" si="2"/>
        <v>1.0773717537849503E-2</v>
      </c>
      <c r="H569" s="75">
        <f t="shared" si="3"/>
        <v>101.07737175378494</v>
      </c>
      <c r="I569" s="75">
        <f t="shared" si="4"/>
        <v>99.284692417739635</v>
      </c>
    </row>
    <row r="570" spans="1:9">
      <c r="A570" s="4">
        <v>44722</v>
      </c>
      <c r="B570" s="184">
        <v>1594502</v>
      </c>
      <c r="C570" s="184">
        <v>166.3</v>
      </c>
      <c r="D570" s="184">
        <v>1594502</v>
      </c>
      <c r="E570" s="184">
        <f t="shared" si="0"/>
        <v>0</v>
      </c>
      <c r="F570" s="156">
        <f t="shared" si="1"/>
        <v>-4.8325942661703314E-3</v>
      </c>
      <c r="G570" s="156">
        <f t="shared" si="2"/>
        <v>5.889058266080438E-3</v>
      </c>
      <c r="H570" s="75">
        <f t="shared" si="3"/>
        <v>100.58890582660804</v>
      </c>
      <c r="I570" s="75">
        <f t="shared" si="4"/>
        <v>95.164520743919894</v>
      </c>
    </row>
    <row r="571" spans="1:9">
      <c r="A571" s="4">
        <v>44729</v>
      </c>
      <c r="B571" s="184">
        <v>1567414</v>
      </c>
      <c r="C571" s="184">
        <v>161.07</v>
      </c>
      <c r="D571" s="184">
        <v>1567414</v>
      </c>
      <c r="E571" s="184">
        <f t="shared" si="0"/>
        <v>0</v>
      </c>
      <c r="F571" s="156">
        <f t="shared" si="1"/>
        <v>-1.6988376308088693E-2</v>
      </c>
      <c r="G571" s="156">
        <f t="shared" si="2"/>
        <v>-1.1199363579932564E-2</v>
      </c>
      <c r="H571" s="75">
        <f t="shared" si="3"/>
        <v>98.880063642006746</v>
      </c>
      <c r="I571" s="75">
        <f t="shared" si="4"/>
        <v>92.17167381974248</v>
      </c>
    </row>
    <row r="572" spans="1:9">
      <c r="A572" s="4">
        <v>44736</v>
      </c>
      <c r="B572" s="184">
        <v>1560223</v>
      </c>
      <c r="C572" s="184">
        <v>158.72999999999999</v>
      </c>
      <c r="D572" s="184">
        <v>1560223</v>
      </c>
      <c r="E572" s="184">
        <f t="shared" si="0"/>
        <v>0</v>
      </c>
      <c r="F572" s="156">
        <f t="shared" si="1"/>
        <v>-4.5878115162937272E-3</v>
      </c>
      <c r="G572" s="156">
        <f t="shared" si="2"/>
        <v>-1.573579452701912E-2</v>
      </c>
      <c r="H572" s="75">
        <f t="shared" si="3"/>
        <v>98.426420547298093</v>
      </c>
      <c r="I572" s="75">
        <f t="shared" si="4"/>
        <v>90.83261802575106</v>
      </c>
    </row>
    <row r="573" spans="1:9">
      <c r="A573" s="4">
        <v>44743</v>
      </c>
      <c r="B573" s="184">
        <v>1561719</v>
      </c>
      <c r="C573" s="184">
        <v>160.38</v>
      </c>
      <c r="D573" s="184">
        <v>1561719</v>
      </c>
      <c r="E573" s="184">
        <f t="shared" si="0"/>
        <v>0</v>
      </c>
      <c r="F573" s="156">
        <f t="shared" si="1"/>
        <v>9.5883729441248455E-4</v>
      </c>
      <c r="G573" s="156">
        <f t="shared" si="2"/>
        <v>-1.4792045299256484E-2</v>
      </c>
      <c r="H573" s="75">
        <f t="shared" si="3"/>
        <v>98.520795470074347</v>
      </c>
      <c r="I573" s="75">
        <f t="shared" si="4"/>
        <v>91.776824034334766</v>
      </c>
    </row>
    <row r="574" spans="1:9">
      <c r="A574" s="4">
        <v>44750</v>
      </c>
      <c r="B574" s="184">
        <v>1584526</v>
      </c>
      <c r="C574" s="184">
        <v>156.66</v>
      </c>
      <c r="D574" s="184">
        <v>1584526</v>
      </c>
      <c r="E574" s="184">
        <f t="shared" si="0"/>
        <v>0</v>
      </c>
      <c r="F574" s="156">
        <f t="shared" si="1"/>
        <v>1.4603779553171936E-2</v>
      </c>
      <c r="G574" s="156">
        <f t="shared" si="2"/>
        <v>-4.0428551477544872E-4</v>
      </c>
      <c r="H574" s="75">
        <f t="shared" si="3"/>
        <v>99.959571448522453</v>
      </c>
      <c r="I574" s="75">
        <f t="shared" si="4"/>
        <v>89.648068669527888</v>
      </c>
    </row>
    <row r="575" spans="1:9">
      <c r="A575" s="4">
        <v>44757</v>
      </c>
      <c r="B575" s="184">
        <v>1574833</v>
      </c>
      <c r="C575" s="184">
        <v>155.65</v>
      </c>
      <c r="D575" s="184">
        <v>1574833</v>
      </c>
      <c r="E575" s="184">
        <f t="shared" si="0"/>
        <v>0</v>
      </c>
      <c r="F575" s="156">
        <f t="shared" si="1"/>
        <v>-6.1172868100618505E-3</v>
      </c>
      <c r="G575" s="156">
        <f t="shared" si="2"/>
        <v>-6.5190991943901988E-3</v>
      </c>
      <c r="H575" s="75">
        <f t="shared" si="3"/>
        <v>99.348090080560979</v>
      </c>
      <c r="I575" s="75">
        <f t="shared" si="4"/>
        <v>89.070100143061509</v>
      </c>
    </row>
    <row r="576" spans="1:9">
      <c r="A576" s="4">
        <v>44764</v>
      </c>
      <c r="B576" s="184">
        <v>1565716</v>
      </c>
      <c r="C576" s="184">
        <v>153.18</v>
      </c>
      <c r="D576" s="184">
        <v>1565716</v>
      </c>
      <c r="E576" s="184">
        <f t="shared" si="0"/>
        <v>0</v>
      </c>
      <c r="F576" s="156">
        <f t="shared" si="1"/>
        <v>-5.7891852659932574E-3</v>
      </c>
      <c r="G576" s="156">
        <f t="shared" si="2"/>
        <v>-1.2270544187379828E-2</v>
      </c>
      <c r="H576" s="75">
        <f t="shared" si="3"/>
        <v>98.772945581262022</v>
      </c>
      <c r="I576" s="75">
        <f t="shared" si="4"/>
        <v>87.656652360515025</v>
      </c>
    </row>
    <row r="577" spans="1:9">
      <c r="A577" s="4">
        <v>44771</v>
      </c>
      <c r="B577" s="184">
        <v>1604467</v>
      </c>
      <c r="C577" s="184">
        <v>160.41</v>
      </c>
      <c r="D577" s="184">
        <v>1604467</v>
      </c>
      <c r="E577" s="184">
        <f t="shared" si="0"/>
        <v>0</v>
      </c>
      <c r="F577" s="156">
        <f t="shared" si="1"/>
        <v>2.4749699179161588E-2</v>
      </c>
      <c r="G577" s="156">
        <f t="shared" si="2"/>
        <v>1.2175462714379526E-2</v>
      </c>
      <c r="H577" s="75">
        <f t="shared" si="3"/>
        <v>101.21754627143795</v>
      </c>
      <c r="I577" s="75">
        <f t="shared" si="4"/>
        <v>91.793991416309012</v>
      </c>
    </row>
    <row r="578" spans="1:9">
      <c r="A578" s="4">
        <v>44778</v>
      </c>
      <c r="B578" s="184">
        <v>1603176</v>
      </c>
      <c r="C578" s="184">
        <v>161.62</v>
      </c>
      <c r="D578" s="184">
        <v>1603176</v>
      </c>
      <c r="E578" s="184">
        <f t="shared" si="0"/>
        <v>0</v>
      </c>
      <c r="F578" s="156">
        <f t="shared" si="1"/>
        <v>-8.0462857758989426E-4</v>
      </c>
      <c r="G578" s="156">
        <f t="shared" si="2"/>
        <v>1.1361037411544039E-2</v>
      </c>
      <c r="H578" s="75">
        <f t="shared" si="3"/>
        <v>101.1361037411544</v>
      </c>
      <c r="I578" s="75">
        <f t="shared" si="4"/>
        <v>92.486409155937054</v>
      </c>
    </row>
    <row r="579" spans="1:9">
      <c r="A579" s="4">
        <v>44785</v>
      </c>
      <c r="B579" s="184">
        <v>1617795</v>
      </c>
      <c r="C579" s="184">
        <v>168.74</v>
      </c>
      <c r="D579" s="184">
        <v>1617795</v>
      </c>
      <c r="E579" s="184">
        <f t="shared" si="0"/>
        <v>0</v>
      </c>
      <c r="F579" s="156">
        <f t="shared" si="1"/>
        <v>9.1187742331471089E-3</v>
      </c>
      <c r="G579" s="156">
        <f t="shared" si="2"/>
        <v>2.0583410379901412E-2</v>
      </c>
      <c r="H579" s="75">
        <f t="shared" si="3"/>
        <v>102.05834103799015</v>
      </c>
      <c r="I579" s="75">
        <f t="shared" si="4"/>
        <v>96.560801144492132</v>
      </c>
    </row>
    <row r="580" spans="1:9">
      <c r="A580" s="4">
        <v>44792</v>
      </c>
      <c r="B580" s="184">
        <v>1617266</v>
      </c>
      <c r="C580" s="184">
        <v>164.89</v>
      </c>
      <c r="D580" s="184">
        <v>1617266</v>
      </c>
      <c r="E580" s="184">
        <f t="shared" si="0"/>
        <v>0</v>
      </c>
      <c r="F580" s="156">
        <f t="shared" si="1"/>
        <v>-3.2698827725397006E-4</v>
      </c>
      <c r="G580" s="156">
        <f t="shared" si="2"/>
        <v>2.0249691568747563E-2</v>
      </c>
      <c r="H580" s="75">
        <f t="shared" si="3"/>
        <v>102.02496915687476</v>
      </c>
      <c r="I580" s="75">
        <f t="shared" si="4"/>
        <v>94.357653791130176</v>
      </c>
    </row>
    <row r="581" spans="1:9">
      <c r="A581" s="4">
        <v>44799</v>
      </c>
      <c r="B581" s="184">
        <v>1625643</v>
      </c>
      <c r="C581" s="184">
        <v>166.59</v>
      </c>
      <c r="D581" s="184">
        <v>1625643</v>
      </c>
      <c r="E581" s="184">
        <f t="shared" si="0"/>
        <v>0</v>
      </c>
      <c r="F581" s="156">
        <f t="shared" si="1"/>
        <v>5.1797292467659073E-3</v>
      </c>
      <c r="G581" s="156">
        <f t="shared" si="2"/>
        <v>2.5534308735170042E-2</v>
      </c>
      <c r="H581" s="75">
        <f t="shared" si="3"/>
        <v>102.553430873517</v>
      </c>
      <c r="I581" s="75">
        <f t="shared" si="4"/>
        <v>95.330472103004297</v>
      </c>
    </row>
    <row r="582" spans="1:9">
      <c r="A582" s="4">
        <v>44806</v>
      </c>
      <c r="B582" s="184">
        <v>1612682</v>
      </c>
      <c r="C582" s="184">
        <v>165.83</v>
      </c>
      <c r="D582" s="184">
        <v>1612682</v>
      </c>
      <c r="E582" s="184">
        <f t="shared" si="0"/>
        <v>0</v>
      </c>
      <c r="F582" s="156">
        <f t="shared" si="1"/>
        <v>-7.9728452064813382E-3</v>
      </c>
      <c r="G582" s="156">
        <f t="shared" si="2"/>
        <v>1.7357882437688543E-2</v>
      </c>
      <c r="H582" s="75">
        <f t="shared" si="3"/>
        <v>101.73578824376885</v>
      </c>
      <c r="I582" s="75">
        <f t="shared" si="4"/>
        <v>94.895565092989997</v>
      </c>
    </row>
    <row r="583" spans="1:9">
      <c r="A583" s="4">
        <v>44813</v>
      </c>
      <c r="B583" s="184">
        <v>1621096</v>
      </c>
      <c r="C583" s="184">
        <v>169.51</v>
      </c>
      <c r="D583" s="184">
        <v>1621096</v>
      </c>
      <c r="E583" s="184">
        <f t="shared" si="0"/>
        <v>0</v>
      </c>
      <c r="F583" s="156">
        <f t="shared" si="1"/>
        <v>5.2173956179830672E-3</v>
      </c>
      <c r="G583" s="156">
        <f t="shared" si="2"/>
        <v>2.2665840995439446E-2</v>
      </c>
      <c r="H583" s="75">
        <f t="shared" si="3"/>
        <v>102.26658409954395</v>
      </c>
      <c r="I583" s="75">
        <f t="shared" si="4"/>
        <v>97.001430615164523</v>
      </c>
    </row>
    <row r="584" spans="1:9">
      <c r="A584" s="4">
        <v>44820</v>
      </c>
      <c r="B584" s="184">
        <v>1603835</v>
      </c>
      <c r="C584" s="184">
        <v>169.56</v>
      </c>
      <c r="D584" s="184">
        <v>1603835</v>
      </c>
      <c r="E584" s="184">
        <f t="shared" si="0"/>
        <v>0</v>
      </c>
      <c r="F584" s="156">
        <f t="shared" si="1"/>
        <v>-1.0647734619047888E-2</v>
      </c>
      <c r="G584" s="156">
        <f t="shared" si="2"/>
        <v>1.177676651655446E-2</v>
      </c>
      <c r="H584" s="75">
        <f t="shared" si="3"/>
        <v>101.17767665165545</v>
      </c>
      <c r="I584" s="75">
        <f t="shared" si="4"/>
        <v>97.030042918454939</v>
      </c>
    </row>
    <row r="585" spans="1:9">
      <c r="A585" s="4">
        <v>44827</v>
      </c>
      <c r="B585" s="184">
        <v>1622860</v>
      </c>
      <c r="C585" s="184">
        <v>165.9</v>
      </c>
      <c r="D585" s="184">
        <v>1622860</v>
      </c>
      <c r="E585" s="184">
        <f t="shared" si="0"/>
        <v>0</v>
      </c>
      <c r="F585" s="156">
        <f t="shared" si="1"/>
        <v>1.1862192806616711E-2</v>
      </c>
      <c r="G585" s="156">
        <f t="shared" si="2"/>
        <v>2.3778657598229058E-2</v>
      </c>
      <c r="H585" s="75">
        <f t="shared" si="3"/>
        <v>102.37786575982291</v>
      </c>
      <c r="I585" s="75">
        <f t="shared" si="4"/>
        <v>94.935622317596568</v>
      </c>
    </row>
    <row r="586" spans="1:9">
      <c r="A586" s="4">
        <v>44834</v>
      </c>
      <c r="B586" s="184">
        <v>1598758.44</v>
      </c>
      <c r="C586" s="184">
        <v>159.97</v>
      </c>
      <c r="D586" s="184">
        <v>1598247</v>
      </c>
      <c r="E586" s="184">
        <f t="shared" si="0"/>
        <v>511.43999999994412</v>
      </c>
      <c r="F586" s="156">
        <f t="shared" si="1"/>
        <v>-1.4851287233649257E-2</v>
      </c>
      <c r="G586" s="156">
        <f t="shared" si="2"/>
        <v>8.5742266905579623E-3</v>
      </c>
      <c r="H586" s="75">
        <f t="shared" si="3"/>
        <v>100.85742266905579</v>
      </c>
      <c r="I586" s="75">
        <f t="shared" si="4"/>
        <v>91.542203147353362</v>
      </c>
    </row>
    <row r="587" spans="1:9">
      <c r="A587" s="4">
        <v>44841</v>
      </c>
      <c r="B587" s="184">
        <v>1594608.3</v>
      </c>
      <c r="C587" s="184">
        <v>161.86000000000001</v>
      </c>
      <c r="D587" s="184">
        <v>1591253</v>
      </c>
      <c r="E587" s="184">
        <f t="shared" si="0"/>
        <v>3355.3000000000466</v>
      </c>
      <c r="F587" s="156">
        <f t="shared" si="1"/>
        <v>-2.5958518161129929E-3</v>
      </c>
      <c r="G587" s="156">
        <f t="shared" si="2"/>
        <v>5.9561174525184502E-3</v>
      </c>
      <c r="H587" s="75">
        <f t="shared" si="3"/>
        <v>100.59561174525184</v>
      </c>
      <c r="I587" s="75">
        <f t="shared" si="4"/>
        <v>92.623748211731055</v>
      </c>
    </row>
    <row r="588" spans="1:9">
      <c r="A588" s="4">
        <v>44848</v>
      </c>
      <c r="B588" s="184">
        <v>1575951.45</v>
      </c>
      <c r="C588" s="184">
        <v>158.30000000000001</v>
      </c>
      <c r="D588" s="184">
        <v>1573684</v>
      </c>
      <c r="E588" s="184">
        <f t="shared" si="0"/>
        <v>2267.4499999999534</v>
      </c>
      <c r="F588" s="156">
        <f t="shared" si="1"/>
        <v>-1.1699957914429571E-2</v>
      </c>
      <c r="G588" s="156">
        <f t="shared" si="2"/>
        <v>-5.8135267854388939E-3</v>
      </c>
      <c r="H588" s="75">
        <f t="shared" si="3"/>
        <v>99.418647321456106</v>
      </c>
      <c r="I588" s="75">
        <f t="shared" si="4"/>
        <v>90.586552217453516</v>
      </c>
    </row>
    <row r="589" spans="1:9">
      <c r="A589" s="4">
        <v>44855</v>
      </c>
      <c r="B589" s="184">
        <v>1565318.76</v>
      </c>
      <c r="C589" s="184">
        <v>160.66999999999999</v>
      </c>
      <c r="D589" s="184">
        <v>1578252</v>
      </c>
      <c r="E589" s="184">
        <f t="shared" si="0"/>
        <v>-12933.239999999991</v>
      </c>
      <c r="F589" s="156">
        <f t="shared" si="1"/>
        <v>-6.7468385526723296E-3</v>
      </c>
      <c r="G589" s="156">
        <f t="shared" si="2"/>
        <v>-1.2521142411468289E-2</v>
      </c>
      <c r="H589" s="75">
        <f t="shared" si="3"/>
        <v>98.747885758853172</v>
      </c>
      <c r="I589" s="75">
        <f t="shared" si="4"/>
        <v>91.942775393419168</v>
      </c>
    </row>
    <row r="590" spans="1:9">
      <c r="A590" s="4">
        <v>44862</v>
      </c>
      <c r="B590" s="184">
        <v>1577569.44</v>
      </c>
      <c r="C590" s="184">
        <v>164.8</v>
      </c>
      <c r="D590" s="184">
        <v>1576561</v>
      </c>
      <c r="E590" s="184">
        <f t="shared" si="0"/>
        <v>1008.4399999999441</v>
      </c>
      <c r="F590" s="156">
        <f t="shared" si="1"/>
        <v>7.8263164749905467E-3</v>
      </c>
      <c r="G590" s="156">
        <f t="shared" si="2"/>
        <v>-4.792820359618255E-3</v>
      </c>
      <c r="H590" s="75">
        <f t="shared" si="3"/>
        <v>99.52071796403817</v>
      </c>
      <c r="I590" s="75">
        <f t="shared" si="4"/>
        <v>94.30615164520745</v>
      </c>
    </row>
    <row r="591" spans="1:9">
      <c r="A591" s="4">
        <v>44869</v>
      </c>
      <c r="B591" s="184">
        <v>1589772.9554354248</v>
      </c>
      <c r="C591" s="184">
        <v>169.55</v>
      </c>
      <c r="D591" s="184">
        <v>1590713</v>
      </c>
      <c r="E591" s="184">
        <f t="shared" si="0"/>
        <v>-940.04456457518972</v>
      </c>
      <c r="F591" s="156">
        <f t="shared" si="1"/>
        <v>7.7356439127174159E-3</v>
      </c>
      <c r="G591" s="156">
        <f t="shared" si="2"/>
        <v>2.905748001459374E-3</v>
      </c>
      <c r="H591" s="75">
        <f t="shared" si="3"/>
        <v>100.29057480014593</v>
      </c>
      <c r="I591" s="75">
        <f t="shared" si="4"/>
        <v>97.024320457796861</v>
      </c>
    </row>
    <row r="592" spans="1:9">
      <c r="A592" s="4">
        <v>44876</v>
      </c>
      <c r="B592" s="184">
        <v>1550137.56</v>
      </c>
      <c r="C592" s="184">
        <v>166.56</v>
      </c>
      <c r="D592" s="184">
        <v>1549557</v>
      </c>
      <c r="E592" s="184">
        <f t="shared" si="0"/>
        <v>580.56000000005588</v>
      </c>
      <c r="F592" s="156">
        <f t="shared" si="1"/>
        <v>-2.4931481756505947E-2</v>
      </c>
      <c r="G592" s="156">
        <f t="shared" si="2"/>
        <v>-2.2098178358333831E-2</v>
      </c>
      <c r="H592" s="75">
        <f>B592/$B$565*100</f>
        <v>97.790182164166623</v>
      </c>
      <c r="I592" s="75">
        <f t="shared" si="4"/>
        <v>95.31330472103005</v>
      </c>
    </row>
    <row r="593" spans="1:9">
      <c r="A593" s="4">
        <v>44883</v>
      </c>
      <c r="B593" s="184">
        <v>1529523.1030438673</v>
      </c>
      <c r="C593" s="6">
        <v>163.97</v>
      </c>
      <c r="D593" s="184">
        <v>1535575</v>
      </c>
      <c r="E593" s="184">
        <f t="shared" si="0"/>
        <v>-6051.8969561327249</v>
      </c>
      <c r="F593" s="156">
        <f t="shared" si="1"/>
        <v>-1.3298469431405002E-2</v>
      </c>
      <c r="G593" s="156">
        <f t="shared" si="2"/>
        <v>-3.5102775840350819E-2</v>
      </c>
      <c r="H593" s="75">
        <f>B593/$B$565*100</f>
        <v>96.48972241596492</v>
      </c>
      <c r="I593" s="75">
        <f t="shared" si="4"/>
        <v>93.831187410586551</v>
      </c>
    </row>
    <row r="594" spans="1:9">
      <c r="A594" s="4">
        <v>44890</v>
      </c>
      <c r="B594" s="184">
        <v>1535012.61</v>
      </c>
      <c r="C594" s="6">
        <v>165.22</v>
      </c>
      <c r="D594" s="184">
        <v>1539652</v>
      </c>
      <c r="E594" s="184">
        <f t="shared" si="0"/>
        <v>-4639.3899999998976</v>
      </c>
      <c r="F594" s="156">
        <f t="shared" si="1"/>
        <v>3.5890317349298595E-3</v>
      </c>
      <c r="G594" s="156">
        <f t="shared" si="2"/>
        <v>-3.1639729081896162E-2</v>
      </c>
      <c r="H594" s="75">
        <f>B594/$B$565*100</f>
        <v>96.836027091810379</v>
      </c>
      <c r="I594" s="75">
        <f t="shared" si="4"/>
        <v>94.546494992846917</v>
      </c>
    </row>
    <row r="595" spans="1:9">
      <c r="A595" s="4">
        <v>44897</v>
      </c>
      <c r="B595" s="87">
        <v>1558578.3148740306</v>
      </c>
      <c r="C595" s="6">
        <v>168.04</v>
      </c>
      <c r="D595" s="184">
        <v>1551135</v>
      </c>
      <c r="E595" s="184">
        <f t="shared" si="0"/>
        <v>7443.3148740306497</v>
      </c>
      <c r="F595" s="156">
        <f t="shared" si="1"/>
        <v>1.5352124614813834E-2</v>
      </c>
      <c r="G595" s="156">
        <f t="shared" si="2"/>
        <v>-1.6773341530726626E-2</v>
      </c>
      <c r="H595" s="75">
        <f t="shared" ref="H595:H616" si="5">B595/$B$565*100</f>
        <v>98.322665846927336</v>
      </c>
      <c r="I595" s="75">
        <f t="shared" si="4"/>
        <v>96.160228898426311</v>
      </c>
    </row>
    <row r="596" spans="1:9">
      <c r="A596" s="4">
        <v>44904</v>
      </c>
      <c r="B596" s="184">
        <v>1536717.4091538503</v>
      </c>
      <c r="C596" s="6">
        <v>165.98</v>
      </c>
      <c r="D596" s="184">
        <v>1531824</v>
      </c>
      <c r="E596" s="184">
        <f t="shared" si="0"/>
        <v>4893.4091538502835</v>
      </c>
      <c r="F596" s="156">
        <f t="shared" si="1"/>
        <v>-1.4026183677492754E-2</v>
      </c>
      <c r="G596" s="156">
        <f t="shared" si="2"/>
        <v>-3.0564259239024061E-2</v>
      </c>
      <c r="H596" s="75">
        <f t="shared" si="5"/>
        <v>96.94357407609759</v>
      </c>
      <c r="I596" s="75">
        <f t="shared" si="4"/>
        <v>94.98140200286123</v>
      </c>
    </row>
    <row r="597" spans="1:9">
      <c r="A597" s="4">
        <v>44911</v>
      </c>
      <c r="B597" s="184">
        <v>1517269.1201712103</v>
      </c>
      <c r="C597" s="6">
        <v>167.68</v>
      </c>
      <c r="D597" s="184">
        <v>1521577</v>
      </c>
      <c r="E597" s="184">
        <f t="shared" si="0"/>
        <v>-4307.8798287897371</v>
      </c>
      <c r="F597" s="156">
        <f t="shared" si="1"/>
        <v>-1.2655735444130012E-2</v>
      </c>
      <c r="G597" s="156">
        <f t="shared" si="2"/>
        <v>-4.2833181504179252E-2</v>
      </c>
      <c r="H597" s="75">
        <f t="shared" si="5"/>
        <v>95.716681849582073</v>
      </c>
      <c r="I597" s="75">
        <f t="shared" si="4"/>
        <v>95.954220314735338</v>
      </c>
    </row>
    <row r="598" spans="1:9">
      <c r="A598" s="4">
        <v>44918</v>
      </c>
      <c r="B598" s="184">
        <v>1533138.6571620191</v>
      </c>
      <c r="C598" s="18">
        <v>168.2</v>
      </c>
      <c r="D598" s="184">
        <v>1535108</v>
      </c>
      <c r="E598" s="184">
        <f t="shared" si="0"/>
        <v>-1969.3428379809484</v>
      </c>
      <c r="F598" s="156">
        <f t="shared" si="1"/>
        <v>1.0459276327338785E-2</v>
      </c>
      <c r="G598" s="156">
        <f t="shared" si="2"/>
        <v>-3.2821909258171744E-2</v>
      </c>
      <c r="H598" s="75">
        <f t="shared" si="5"/>
        <v>96.717809074182824</v>
      </c>
      <c r="I598" s="75">
        <f t="shared" si="4"/>
        <v>96.251788268955636</v>
      </c>
    </row>
    <row r="599" spans="1:9">
      <c r="A599" s="4">
        <v>44925</v>
      </c>
      <c r="B599" s="184">
        <v>1532164.2234144188</v>
      </c>
      <c r="C599" s="6">
        <v>165.41</v>
      </c>
      <c r="D599" s="184">
        <v>1526049</v>
      </c>
      <c r="E599" s="184">
        <f t="shared" si="0"/>
        <v>6115.2234144187532</v>
      </c>
      <c r="F599" s="156">
        <f t="shared" si="1"/>
        <v>-6.3558096526250552E-4</v>
      </c>
      <c r="G599" s="156">
        <f t="shared" si="2"/>
        <v>-3.3436629242666216E-2</v>
      </c>
      <c r="H599" s="75">
        <f t="shared" si="5"/>
        <v>96.656337075733376</v>
      </c>
      <c r="I599" s="75">
        <f t="shared" si="4"/>
        <v>94.655221745350502</v>
      </c>
    </row>
    <row r="600" spans="1:9">
      <c r="A600" s="4">
        <v>44932</v>
      </c>
      <c r="B600" s="184">
        <v>1549149.7523026222</v>
      </c>
      <c r="C600" s="6">
        <v>167.95</v>
      </c>
      <c r="D600" s="184">
        <v>1550070</v>
      </c>
      <c r="E600" s="184">
        <f t="shared" si="0"/>
        <v>-920.24769737781025</v>
      </c>
      <c r="F600" s="156">
        <f t="shared" si="1"/>
        <v>1.1085971483103307E-2</v>
      </c>
      <c r="G600" s="156">
        <f t="shared" si="2"/>
        <v>-2.2721335277838151E-2</v>
      </c>
      <c r="H600" s="75">
        <f t="shared" si="5"/>
        <v>97.727866472216192</v>
      </c>
      <c r="I600" s="75">
        <f t="shared" si="4"/>
        <v>96.108726752503571</v>
      </c>
    </row>
    <row r="601" spans="1:9">
      <c r="A601" s="4">
        <v>44939</v>
      </c>
      <c r="B601" s="184">
        <v>1562767.7958510735</v>
      </c>
      <c r="C601" s="6">
        <v>171.5</v>
      </c>
      <c r="D601" s="184">
        <v>1580560</v>
      </c>
      <c r="E601" s="184">
        <f t="shared" si="0"/>
        <v>-17792.204148926539</v>
      </c>
      <c r="F601" s="156">
        <f t="shared" si="1"/>
        <v>8.7906566348474602E-3</v>
      </c>
      <c r="G601" s="156">
        <f t="shared" si="2"/>
        <v>-1.4130414099703392E-2</v>
      </c>
      <c r="H601" s="75">
        <f t="shared" si="5"/>
        <v>98.586958590029667</v>
      </c>
      <c r="I601" s="75">
        <f t="shared" si="4"/>
        <v>98.140200286123033</v>
      </c>
    </row>
    <row r="602" spans="1:9">
      <c r="A602" s="4">
        <v>44946</v>
      </c>
      <c r="B602" s="184">
        <v>1547330.6309572374</v>
      </c>
      <c r="C602" s="6">
        <v>169.44</v>
      </c>
      <c r="D602" s="184">
        <v>1562936</v>
      </c>
      <c r="E602" s="184">
        <f t="shared" si="0"/>
        <v>-15605.369042762555</v>
      </c>
      <c r="F602" s="156">
        <f t="shared" si="1"/>
        <v>-9.8780925322491386E-3</v>
      </c>
      <c r="G602" s="156">
        <f t="shared" si="2"/>
        <v>-2.3868925093956772E-2</v>
      </c>
      <c r="H602" s="75">
        <f t="shared" si="5"/>
        <v>97.613107490604321</v>
      </c>
      <c r="I602" s="75">
        <f t="shared" si="4"/>
        <v>96.961373390557938</v>
      </c>
    </row>
    <row r="603" spans="1:9">
      <c r="A603" s="4">
        <v>44953</v>
      </c>
      <c r="B603" s="184">
        <v>1555054.716</v>
      </c>
      <c r="C603" s="6">
        <v>171.25</v>
      </c>
      <c r="D603" s="184">
        <v>1558933</v>
      </c>
      <c r="E603" s="184">
        <f t="shared" si="0"/>
        <v>-3878.2839999999851</v>
      </c>
      <c r="F603" s="156">
        <f t="shared" si="1"/>
        <v>4.991877552365187E-3</v>
      </c>
      <c r="G603" s="156">
        <f t="shared" si="2"/>
        <v>-1.899619829296717E-2</v>
      </c>
      <c r="H603" s="75">
        <f t="shared" si="5"/>
        <v>98.100380170703289</v>
      </c>
      <c r="I603" s="75">
        <f t="shared" si="4"/>
        <v>97.997138769670954</v>
      </c>
    </row>
    <row r="604" spans="1:9">
      <c r="A604" s="4">
        <v>44960</v>
      </c>
      <c r="B604" s="184">
        <v>1554558.8912384007</v>
      </c>
      <c r="C604" s="184">
        <v>172.13</v>
      </c>
      <c r="D604" s="184">
        <v>1552782</v>
      </c>
      <c r="E604" s="184">
        <f t="shared" si="0"/>
        <v>1776.8912384007126</v>
      </c>
      <c r="F604" s="156">
        <f t="shared" si="1"/>
        <v>-3.1884714826924121E-4</v>
      </c>
      <c r="G604" s="156">
        <f t="shared" si="2"/>
        <v>-1.9308988557582785E-2</v>
      </c>
      <c r="H604" s="75">
        <f t="shared" si="5"/>
        <v>98.069101144241728</v>
      </c>
      <c r="I604" s="75">
        <f t="shared" si="4"/>
        <v>98.500715307582254</v>
      </c>
    </row>
    <row r="605" spans="1:9">
      <c r="A605" s="4">
        <v>44967</v>
      </c>
      <c r="B605" s="184">
        <v>1535186.7470388028</v>
      </c>
      <c r="C605" s="6">
        <v>171.3</v>
      </c>
      <c r="D605" s="184">
        <v>1538275</v>
      </c>
      <c r="E605" s="184">
        <f t="shared" si="0"/>
        <v>-3088.2529611971695</v>
      </c>
      <c r="F605" s="156">
        <f t="shared" si="1"/>
        <v>-1.2461505516954463E-2</v>
      </c>
      <c r="G605" s="156">
        <f t="shared" si="2"/>
        <v>-3.1529875007100028E-2</v>
      </c>
      <c r="H605" s="75">
        <f t="shared" si="5"/>
        <v>96.847012499290003</v>
      </c>
      <c r="I605" s="75">
        <f t="shared" si="4"/>
        <v>98.02575107296137</v>
      </c>
    </row>
    <row r="606" spans="1:9">
      <c r="A606" s="4">
        <v>44974</v>
      </c>
      <c r="B606" s="184">
        <v>1519520.7129420028</v>
      </c>
      <c r="C606" s="6">
        <v>168.55</v>
      </c>
      <c r="D606" s="184">
        <v>1537952</v>
      </c>
      <c r="E606" s="184">
        <f t="shared" si="0"/>
        <v>-18431.287057997193</v>
      </c>
      <c r="F606" s="156">
        <f t="shared" si="1"/>
        <v>-1.0204643915157519E-2</v>
      </c>
      <c r="G606" s="156">
        <f t="shared" si="2"/>
        <v>-4.1412767775120707E-2</v>
      </c>
      <c r="H606" s="75">
        <f t="shared" si="5"/>
        <v>95.858723222487924</v>
      </c>
      <c r="I606" s="75">
        <f t="shared" si="4"/>
        <v>96.45207439198856</v>
      </c>
    </row>
    <row r="607" spans="1:9">
      <c r="A607" s="4">
        <v>44981</v>
      </c>
      <c r="B607" s="75">
        <v>1521047.4253639597</v>
      </c>
      <c r="C607" s="6">
        <v>168.62</v>
      </c>
      <c r="D607" s="184">
        <v>1525306</v>
      </c>
      <c r="E607" s="184">
        <f t="shared" si="0"/>
        <v>-4258.5746360402554</v>
      </c>
      <c r="F607" s="156">
        <f t="shared" si="1"/>
        <v>1.0047328798834521E-3</v>
      </c>
      <c r="G607" s="156">
        <f t="shared" si="2"/>
        <v>-4.0449643664667856E-2</v>
      </c>
      <c r="H607" s="75">
        <f t="shared" si="5"/>
        <v>95.955035633533214</v>
      </c>
      <c r="I607" s="75">
        <f t="shared" si="4"/>
        <v>96.492131616595131</v>
      </c>
    </row>
    <row r="608" spans="1:9">
      <c r="A608" s="4">
        <v>44988</v>
      </c>
      <c r="B608" s="184">
        <v>1519319.3523467309</v>
      </c>
      <c r="C608" s="6">
        <v>169.67</v>
      </c>
      <c r="D608" s="184">
        <v>1540785</v>
      </c>
      <c r="E608" s="184">
        <f t="shared" si="0"/>
        <v>-21465.647653269116</v>
      </c>
      <c r="F608" s="156">
        <f t="shared" si="1"/>
        <v>-1.1361072563633723E-3</v>
      </c>
      <c r="G608" s="156">
        <f t="shared" si="2"/>
        <v>-4.1539795787346456E-2</v>
      </c>
      <c r="H608" s="75">
        <f t="shared" si="5"/>
        <v>95.846020421265351</v>
      </c>
      <c r="I608" s="75">
        <f t="shared" si="4"/>
        <v>97.092989985693848</v>
      </c>
    </row>
    <row r="609" spans="1:9">
      <c r="A609" s="4">
        <v>44995</v>
      </c>
      <c r="B609" s="184">
        <v>1519265.9480633168</v>
      </c>
      <c r="C609" s="18">
        <v>171.43</v>
      </c>
      <c r="D609" s="184">
        <v>1527426</v>
      </c>
      <c r="E609" s="184">
        <f t="shared" si="0"/>
        <v>-8160.051936683245</v>
      </c>
      <c r="F609" s="230">
        <f t="shared" si="1"/>
        <v>-3.5150137021267014E-5</v>
      </c>
      <c r="G609" s="156">
        <f t="shared" si="2"/>
        <v>-4.1573485794853982E-2</v>
      </c>
      <c r="H609" s="75">
        <f t="shared" si="5"/>
        <v>95.842651420514599</v>
      </c>
      <c r="I609" s="75">
        <f t="shared" si="4"/>
        <v>98.100143061516448</v>
      </c>
    </row>
    <row r="610" spans="1:9">
      <c r="A610" s="4">
        <v>45002</v>
      </c>
      <c r="B610" s="184">
        <v>1505714.5246971019</v>
      </c>
      <c r="C610" s="184">
        <v>167</v>
      </c>
      <c r="D610" s="184">
        <v>1499268</v>
      </c>
      <c r="E610" s="184">
        <f t="shared" si="0"/>
        <v>6446.5246971019078</v>
      </c>
      <c r="F610" s="230">
        <f t="shared" si="1"/>
        <v>-8.919717698859464E-3</v>
      </c>
      <c r="G610" s="156">
        <f t="shared" si="2"/>
        <v>-5.0122379736665779E-2</v>
      </c>
      <c r="H610" s="75">
        <f t="shared" si="5"/>
        <v>94.987762026333428</v>
      </c>
      <c r="I610" s="75">
        <f t="shared" si="4"/>
        <v>95.565092989985686</v>
      </c>
    </row>
    <row r="611" spans="1:9">
      <c r="A611" s="4">
        <v>45009</v>
      </c>
      <c r="B611" s="184">
        <v>1527032.2490760738</v>
      </c>
      <c r="C611" s="184">
        <v>169.43</v>
      </c>
      <c r="D611" s="184">
        <v>1512336</v>
      </c>
      <c r="E611" s="184">
        <f t="shared" si="0"/>
        <v>14696.249076073756</v>
      </c>
      <c r="F611" s="230">
        <f t="shared" si="1"/>
        <v>1.4157879219010905E-2</v>
      </c>
      <c r="G611" s="156">
        <f t="shared" si="2"/>
        <v>-3.6674127116136157E-2</v>
      </c>
      <c r="H611" s="75">
        <f t="shared" si="5"/>
        <v>96.332587288386378</v>
      </c>
      <c r="I611" s="75">
        <f t="shared" si="4"/>
        <v>96.955650929899861</v>
      </c>
    </row>
    <row r="612" spans="1:9">
      <c r="A612" s="4">
        <v>45016</v>
      </c>
      <c r="B612" s="184">
        <v>1554218.2248523387</v>
      </c>
      <c r="C612" s="184">
        <v>167.5</v>
      </c>
      <c r="D612" s="184">
        <v>1545089</v>
      </c>
      <c r="E612" s="184">
        <f t="shared" si="0"/>
        <v>9129.2248523386661</v>
      </c>
      <c r="F612" s="230">
        <f t="shared" si="1"/>
        <v>1.7803144493322653E-2</v>
      </c>
      <c r="G612" s="156">
        <f t="shared" si="2"/>
        <v>-1.9523897407028423E-2</v>
      </c>
      <c r="H612" s="75">
        <f t="shared" si="5"/>
        <v>98.047610259297159</v>
      </c>
      <c r="I612" s="75">
        <f t="shared" si="4"/>
        <v>95.851216022889844</v>
      </c>
    </row>
    <row r="613" spans="1:9">
      <c r="A613" s="4">
        <v>45023</v>
      </c>
      <c r="B613" s="184">
        <v>1555670.344891103</v>
      </c>
      <c r="C613" s="6">
        <v>169.1</v>
      </c>
      <c r="D613" s="184">
        <v>1550392</v>
      </c>
      <c r="E613" s="184">
        <f t="shared" si="0"/>
        <v>5278.3448911029845</v>
      </c>
      <c r="F613" s="230">
        <f t="shared" si="1"/>
        <v>9.3430897640023325E-4</v>
      </c>
      <c r="G613" s="156">
        <f t="shared" si="2"/>
        <v>-1.8607829783229946E-2</v>
      </c>
      <c r="H613" s="75">
        <f t="shared" si="5"/>
        <v>98.139217021677013</v>
      </c>
      <c r="I613" s="75">
        <f t="shared" si="4"/>
        <v>96.766809728183105</v>
      </c>
    </row>
    <row r="614" spans="1:9">
      <c r="A614" s="4">
        <v>45030</v>
      </c>
      <c r="B614" s="184">
        <v>1574083.8117229093</v>
      </c>
      <c r="C614" s="6">
        <v>169.37</v>
      </c>
      <c r="D614" s="184">
        <v>1564092</v>
      </c>
      <c r="E614" s="184">
        <f t="shared" si="0"/>
        <v>9991.8117229093332</v>
      </c>
      <c r="F614" s="230">
        <f t="shared" si="1"/>
        <v>1.1836355235720131E-2</v>
      </c>
      <c r="G614" s="156">
        <f t="shared" si="2"/>
        <v>-6.9917234309899712E-3</v>
      </c>
      <c r="H614" s="75">
        <f t="shared" si="5"/>
        <v>99.300827656901006</v>
      </c>
      <c r="I614" s="75">
        <f t="shared" si="4"/>
        <v>96.921316165951367</v>
      </c>
    </row>
    <row r="615" spans="1:9">
      <c r="A615" s="4">
        <v>45037</v>
      </c>
      <c r="B615" s="184">
        <v>1563236.7604832097</v>
      </c>
      <c r="C615" s="184">
        <v>168.74</v>
      </c>
      <c r="D615" s="184">
        <v>1558204</v>
      </c>
      <c r="E615" s="184">
        <f t="shared" si="0"/>
        <v>5032.7604832097422</v>
      </c>
      <c r="F615" s="230">
        <f t="shared" si="1"/>
        <v>-6.8910252166477504E-3</v>
      </c>
      <c r="G615" s="156">
        <f t="shared" si="2"/>
        <v>-1.3834568505166955E-2</v>
      </c>
      <c r="H615" s="75">
        <f t="shared" si="5"/>
        <v>98.616543149483306</v>
      </c>
      <c r="I615" s="75">
        <f t="shared" si="4"/>
        <v>96.560801144492132</v>
      </c>
    </row>
    <row r="616" spans="1:9">
      <c r="A616" s="4">
        <v>45044</v>
      </c>
      <c r="B616" s="184">
        <v>1574736.7798761507</v>
      </c>
      <c r="C616" s="184">
        <v>169.67</v>
      </c>
      <c r="D616" s="184">
        <v>1569993</v>
      </c>
      <c r="E616" s="184">
        <f t="shared" si="0"/>
        <v>4743.7798761506565</v>
      </c>
      <c r="F616" s="230">
        <f t="shared" si="1"/>
        <v>7.3565436046847399E-3</v>
      </c>
      <c r="G616" s="156">
        <f t="shared" si="2"/>
        <v>-6.5797995069424298E-3</v>
      </c>
      <c r="H616" s="75">
        <f t="shared" si="5"/>
        <v>99.342020049305759</v>
      </c>
      <c r="I616" s="75">
        <f t="shared" si="4"/>
        <v>97.092989985693848</v>
      </c>
    </row>
    <row r="617" spans="1:9">
      <c r="A617" s="4">
        <v>45051</v>
      </c>
      <c r="B617" s="184">
        <v>1582578.64</v>
      </c>
      <c r="C617" s="6">
        <v>171.29</v>
      </c>
      <c r="D617" s="184">
        <v>1582329</v>
      </c>
      <c r="E617" s="184">
        <f t="shared" si="0"/>
        <v>249.63999999989755</v>
      </c>
      <c r="F617" s="230">
        <f>B617/B616-1</f>
        <v>4.9797910508357912E-3</v>
      </c>
      <c r="G617" s="156">
        <f>B617/$B$617-1</f>
        <v>0</v>
      </c>
      <c r="H617" s="75">
        <f>B617/$B$617*100</f>
        <v>100</v>
      </c>
      <c r="I617" s="75">
        <f>C617/$C$617*100</f>
        <v>100</v>
      </c>
    </row>
    <row r="618" spans="1:9">
      <c r="A618" s="4">
        <v>45058</v>
      </c>
      <c r="B618" s="184">
        <v>1589510.87</v>
      </c>
      <c r="C618" s="184">
        <v>173.18</v>
      </c>
      <c r="D618" s="184">
        <v>1589053</v>
      </c>
      <c r="E618" s="184">
        <f t="shared" si="0"/>
        <v>457.87000000011176</v>
      </c>
      <c r="F618" s="230">
        <f t="shared" ref="F618:F640" si="6">B618/B617-1</f>
        <v>4.3803384077016894E-3</v>
      </c>
      <c r="G618" s="156">
        <f t="shared" ref="G618:G640" si="7">B618/$B$617-1</f>
        <v>4.3803384077016894E-3</v>
      </c>
      <c r="H618" s="75">
        <f t="shared" ref="H618:H640" si="8">B618/$B$617*100</f>
        <v>100.43803384077017</v>
      </c>
      <c r="I618" s="75">
        <f t="shared" ref="I618:I640" si="9">C618/$C$617*100</f>
        <v>101.10339190845934</v>
      </c>
    </row>
    <row r="619" spans="1:9">
      <c r="A619" s="4">
        <v>45065</v>
      </c>
      <c r="B619" s="184">
        <v>1598245.05</v>
      </c>
      <c r="C619" s="184">
        <v>171.06</v>
      </c>
      <c r="D619" s="184">
        <v>1599882</v>
      </c>
      <c r="E619" s="184">
        <f t="shared" si="0"/>
        <v>-1636.9499999999534</v>
      </c>
      <c r="F619" s="230">
        <f t="shared" si="6"/>
        <v>5.4948853542600151E-3</v>
      </c>
      <c r="G619" s="156">
        <f t="shared" si="7"/>
        <v>9.8992932193247007E-3</v>
      </c>
      <c r="H619" s="75">
        <f t="shared" si="8"/>
        <v>100.98992932193246</v>
      </c>
      <c r="I619" s="75">
        <f t="shared" si="9"/>
        <v>99.86572479420866</v>
      </c>
    </row>
    <row r="620" spans="1:9">
      <c r="A620" s="4">
        <v>45072</v>
      </c>
      <c r="B620" s="75">
        <v>1610056.95</v>
      </c>
      <c r="C620" s="75">
        <v>172.08</v>
      </c>
      <c r="D620" s="75">
        <v>1610749.73</v>
      </c>
      <c r="E620" s="184">
        <f t="shared" si="0"/>
        <v>-692.78000000002794</v>
      </c>
      <c r="F620" s="230">
        <f t="shared" si="6"/>
        <v>7.3905437717449729E-3</v>
      </c>
      <c r="G620" s="156">
        <f t="shared" si="7"/>
        <v>1.7362998150916464E-2</v>
      </c>
      <c r="H620" s="75">
        <f t="shared" si="8"/>
        <v>101.73629981509164</v>
      </c>
      <c r="I620" s="75">
        <f t="shared" si="9"/>
        <v>100.46120614163117</v>
      </c>
    </row>
    <row r="621" spans="1:9">
      <c r="A621" s="4">
        <v>45079</v>
      </c>
      <c r="B621" s="75">
        <v>1635616.37</v>
      </c>
      <c r="C621" s="75">
        <v>173.82</v>
      </c>
      <c r="D621" s="75">
        <v>1633965.21</v>
      </c>
      <c r="E621" s="184">
        <f t="shared" si="0"/>
        <v>1651.160000000149</v>
      </c>
      <c r="F621" s="230">
        <f t="shared" si="6"/>
        <v>1.5874854613062039E-2</v>
      </c>
      <c r="G621" s="156">
        <f t="shared" si="7"/>
        <v>3.3513487835271416E-2</v>
      </c>
      <c r="H621" s="75">
        <f t="shared" si="8"/>
        <v>103.35134878352714</v>
      </c>
      <c r="I621" s="75">
        <f t="shared" si="9"/>
        <v>101.47702726370483</v>
      </c>
    </row>
    <row r="622" spans="1:9">
      <c r="A622" s="4">
        <v>45086</v>
      </c>
      <c r="B622" s="75">
        <v>1660515.98</v>
      </c>
      <c r="C622" s="75">
        <v>177.54</v>
      </c>
      <c r="D622" s="75">
        <v>1659689.41</v>
      </c>
      <c r="E622" s="184">
        <f t="shared" si="0"/>
        <v>826.57000000006519</v>
      </c>
      <c r="F622" s="230">
        <f t="shared" si="6"/>
        <v>1.5223380284461019E-2</v>
      </c>
      <c r="G622" s="156">
        <f t="shared" si="7"/>
        <v>4.9247056689707414E-2</v>
      </c>
      <c r="H622" s="75">
        <f t="shared" si="8"/>
        <v>104.92470566897074</v>
      </c>
      <c r="I622" s="75">
        <f t="shared" si="9"/>
        <v>103.64878276606923</v>
      </c>
    </row>
    <row r="623" spans="1:9">
      <c r="A623" s="4">
        <v>45093</v>
      </c>
      <c r="B623" s="75">
        <v>1664716.67</v>
      </c>
      <c r="C623" s="75">
        <v>176.86</v>
      </c>
      <c r="D623" s="75">
        <v>1658751.17</v>
      </c>
      <c r="E623" s="184">
        <f t="shared" si="0"/>
        <v>5965.5</v>
      </c>
      <c r="F623" s="230">
        <f t="shared" si="6"/>
        <v>2.5297498190892664E-3</v>
      </c>
      <c r="G623" s="156">
        <f t="shared" si="7"/>
        <v>5.1901389241548301E-2</v>
      </c>
      <c r="H623" s="75">
        <f t="shared" si="8"/>
        <v>105.19013892415484</v>
      </c>
      <c r="I623" s="75">
        <f t="shared" si="9"/>
        <v>103.25179520112091</v>
      </c>
    </row>
    <row r="624" spans="1:9">
      <c r="A624" s="4">
        <v>45100</v>
      </c>
      <c r="B624" s="75">
        <v>1681349.88</v>
      </c>
      <c r="C624" s="75">
        <v>182.13</v>
      </c>
      <c r="D624" s="75">
        <v>1657746.15</v>
      </c>
      <c r="E624" s="184">
        <f t="shared" si="0"/>
        <v>23603.729999999981</v>
      </c>
      <c r="F624" s="230">
        <f t="shared" si="6"/>
        <v>9.9916161709368012E-3</v>
      </c>
      <c r="G624" s="156">
        <f t="shared" si="7"/>
        <v>6.2411584172525014E-2</v>
      </c>
      <c r="H624" s="75">
        <f t="shared" si="8"/>
        <v>106.24115841725251</v>
      </c>
      <c r="I624" s="75">
        <f t="shared" si="9"/>
        <v>106.3284488294705</v>
      </c>
    </row>
    <row r="625" spans="1:9">
      <c r="A625" s="4">
        <v>45107</v>
      </c>
      <c r="B625" s="75">
        <v>1690577.22</v>
      </c>
      <c r="C625" s="75">
        <v>183.88</v>
      </c>
      <c r="D625" s="75">
        <v>1691540</v>
      </c>
      <c r="E625" s="184">
        <f t="shared" si="0"/>
        <v>-962.78000000002794</v>
      </c>
      <c r="F625" s="230">
        <f t="shared" si="6"/>
        <v>5.4880546338160752E-3</v>
      </c>
      <c r="G625" s="156">
        <f t="shared" si="7"/>
        <v>6.8242156990062863E-2</v>
      </c>
      <c r="H625" s="75">
        <f t="shared" si="8"/>
        <v>106.82421569900629</v>
      </c>
      <c r="I625" s="75">
        <f t="shared" si="9"/>
        <v>107.35010800396986</v>
      </c>
    </row>
    <row r="626" spans="1:9">
      <c r="A626" s="4">
        <v>45114</v>
      </c>
      <c r="B626" s="75">
        <v>1662555.72</v>
      </c>
      <c r="C626" s="75">
        <v>181.66</v>
      </c>
      <c r="D626" s="75">
        <v>1666989.35</v>
      </c>
      <c r="E626" s="184">
        <f t="shared" si="0"/>
        <v>-4433.6300000001211</v>
      </c>
      <c r="F626" s="230">
        <f t="shared" si="6"/>
        <v>-1.6575107997728766E-2</v>
      </c>
      <c r="G626" s="156">
        <f t="shared" si="7"/>
        <v>5.0535927870225761E-2</v>
      </c>
      <c r="H626" s="75">
        <f t="shared" si="8"/>
        <v>105.05359278702258</v>
      </c>
      <c r="I626" s="75">
        <f t="shared" si="9"/>
        <v>106.05406036546208</v>
      </c>
    </row>
    <row r="627" spans="1:9">
      <c r="A627" s="4">
        <v>45121</v>
      </c>
      <c r="B627" s="75">
        <v>1676718.46</v>
      </c>
      <c r="C627" s="75">
        <v>183.81</v>
      </c>
      <c r="D627" s="75">
        <v>1675345.68</v>
      </c>
      <c r="E627" s="184">
        <f t="shared" si="0"/>
        <v>1372.7800000000279</v>
      </c>
      <c r="F627" s="230">
        <f t="shared" si="6"/>
        <v>8.5186558439076521E-3</v>
      </c>
      <c r="G627" s="156">
        <f t="shared" si="7"/>
        <v>5.9485081891412328E-2</v>
      </c>
      <c r="H627" s="75">
        <f t="shared" si="8"/>
        <v>105.94850818914124</v>
      </c>
      <c r="I627" s="75">
        <f t="shared" si="9"/>
        <v>107.30924163698991</v>
      </c>
    </row>
    <row r="628" spans="1:9">
      <c r="A628" s="4">
        <v>45128</v>
      </c>
      <c r="B628" s="75">
        <v>1688695.94</v>
      </c>
      <c r="C628" s="75">
        <v>185.43</v>
      </c>
      <c r="D628" s="75">
        <v>1669040.19</v>
      </c>
      <c r="E628" s="184">
        <f t="shared" si="0"/>
        <v>19655.75</v>
      </c>
      <c r="F628" s="230">
        <f t="shared" si="6"/>
        <v>7.1434055780599248E-3</v>
      </c>
      <c r="G628" s="156">
        <f t="shared" si="7"/>
        <v>6.7053413535266726E-2</v>
      </c>
      <c r="H628" s="75">
        <f t="shared" si="8"/>
        <v>106.70534135352668</v>
      </c>
      <c r="I628" s="75">
        <f t="shared" si="9"/>
        <v>108.25500612995506</v>
      </c>
    </row>
    <row r="629" spans="1:9">
      <c r="A629" s="4">
        <v>45135</v>
      </c>
      <c r="B629" s="75">
        <v>1694074.67</v>
      </c>
      <c r="C629" s="75">
        <v>186.8</v>
      </c>
      <c r="D629" s="75">
        <v>1698104.69</v>
      </c>
      <c r="E629" s="184">
        <f t="shared" si="0"/>
        <v>-4030.0200000000186</v>
      </c>
      <c r="F629" s="230">
        <f t="shared" si="6"/>
        <v>3.1851382315752907E-3</v>
      </c>
      <c r="G629" s="156">
        <f t="shared" si="7"/>
        <v>7.0452126157850792E-2</v>
      </c>
      <c r="H629" s="75">
        <f t="shared" si="8"/>
        <v>107.04521261578508</v>
      </c>
      <c r="I629" s="75">
        <f t="shared" si="9"/>
        <v>109.05481931227743</v>
      </c>
    </row>
    <row r="630" spans="1:9">
      <c r="A630" s="4">
        <v>45142</v>
      </c>
      <c r="B630" s="75">
        <v>1663306.35</v>
      </c>
      <c r="C630" s="75">
        <v>181.87</v>
      </c>
      <c r="D630" s="75">
        <v>1650261.92</v>
      </c>
      <c r="E630" s="184">
        <f t="shared" ref="E630:E640" si="10">B630-D630</f>
        <v>13044.430000000168</v>
      </c>
      <c r="F630" s="230">
        <f t="shared" si="6"/>
        <v>-1.8162316304510817E-2</v>
      </c>
      <c r="G630" s="156">
        <f t="shared" si="7"/>
        <v>5.1010236053735891E-2</v>
      </c>
      <c r="H630" s="75">
        <f t="shared" si="8"/>
        <v>105.10102360537358</v>
      </c>
      <c r="I630" s="75">
        <f t="shared" si="9"/>
        <v>106.17665946640203</v>
      </c>
    </row>
    <row r="631" spans="1:9">
      <c r="A631" s="4">
        <v>45149</v>
      </c>
      <c r="B631" s="75">
        <v>1672344.84</v>
      </c>
      <c r="C631" s="75">
        <v>182.76</v>
      </c>
      <c r="D631" s="75">
        <v>1653217.78</v>
      </c>
      <c r="E631" s="184">
        <f t="shared" si="10"/>
        <v>19127.060000000056</v>
      </c>
      <c r="F631" s="230">
        <f t="shared" si="6"/>
        <v>5.4340500774257006E-3</v>
      </c>
      <c r="G631" s="156">
        <f t="shared" si="7"/>
        <v>5.6721478308338735E-2</v>
      </c>
      <c r="H631" s="75">
        <f t="shared" si="8"/>
        <v>105.67214783083388</v>
      </c>
      <c r="I631" s="75">
        <f t="shared" si="9"/>
        <v>106.69624613229027</v>
      </c>
    </row>
    <row r="632" spans="1:9">
      <c r="A632" s="4">
        <v>45156</v>
      </c>
      <c r="B632" s="75">
        <v>1649736.37</v>
      </c>
      <c r="C632" s="75">
        <v>177.98</v>
      </c>
      <c r="D632" s="75">
        <v>1649863</v>
      </c>
      <c r="E632" s="184">
        <f t="shared" si="10"/>
        <v>-126.62999999988824</v>
      </c>
      <c r="F632" s="230">
        <f t="shared" si="6"/>
        <v>-1.3519023983115774E-2</v>
      </c>
      <c r="G632" s="156">
        <f t="shared" si="7"/>
        <v>4.2435635299614693E-2</v>
      </c>
      <c r="H632" s="75">
        <f t="shared" si="8"/>
        <v>104.24356352996146</v>
      </c>
      <c r="I632" s="75">
        <f t="shared" si="9"/>
        <v>103.90565707280051</v>
      </c>
    </row>
    <row r="633" spans="1:9">
      <c r="A633" s="4">
        <v>45163</v>
      </c>
      <c r="B633" s="75">
        <v>1678282.26</v>
      </c>
      <c r="C633" s="75">
        <v>180.77</v>
      </c>
      <c r="D633" s="75">
        <v>1674675</v>
      </c>
      <c r="E633" s="184">
        <f t="shared" si="10"/>
        <v>3607.2600000000093</v>
      </c>
      <c r="F633" s="230">
        <f t="shared" si="6"/>
        <v>1.7303304042451284E-2</v>
      </c>
      <c r="G633" s="156">
        <f t="shared" si="7"/>
        <v>6.047321604188971E-2</v>
      </c>
      <c r="H633" s="75">
        <f t="shared" si="8"/>
        <v>106.04732160418897</v>
      </c>
      <c r="I633" s="75">
        <f t="shared" si="9"/>
        <v>105.53447369957382</v>
      </c>
    </row>
    <row r="634" spans="1:9">
      <c r="A634" s="4">
        <v>45170</v>
      </c>
      <c r="B634" s="75">
        <v>1704170.45</v>
      </c>
      <c r="C634" s="75">
        <v>179.1</v>
      </c>
      <c r="D634" s="75">
        <v>1703572</v>
      </c>
      <c r="E634" s="184">
        <f t="shared" si="10"/>
        <v>598.44999999995343</v>
      </c>
      <c r="F634" s="230">
        <f t="shared" si="6"/>
        <v>1.5425408834387477E-2</v>
      </c>
      <c r="G634" s="156">
        <f t="shared" si="7"/>
        <v>7.683144895725369E-2</v>
      </c>
      <c r="H634" s="75">
        <f t="shared" si="8"/>
        <v>107.68314489572536</v>
      </c>
      <c r="I634" s="75">
        <f t="shared" si="9"/>
        <v>104.55951894448012</v>
      </c>
    </row>
    <row r="635" spans="1:9">
      <c r="A635" s="4">
        <v>45177</v>
      </c>
      <c r="B635" s="75">
        <v>1660859.93</v>
      </c>
      <c r="C635" s="75">
        <v>177.09</v>
      </c>
      <c r="D635" s="75">
        <v>1664229</v>
      </c>
      <c r="E635" s="184">
        <f t="shared" si="10"/>
        <v>-3369.0700000000652</v>
      </c>
      <c r="F635" s="230">
        <f t="shared" si="6"/>
        <v>-2.5414429642293124E-2</v>
      </c>
      <c r="G635" s="156">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0">
        <f t="shared" si="6"/>
        <v>1.6638525321036601E-2</v>
      </c>
      <c r="G636" s="156">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0">
        <f t="shared" si="6"/>
        <v>-1.0269185468740005E-2</v>
      </c>
      <c r="G637" s="156">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0">
        <f t="shared" si="6"/>
        <v>-1.7863456605242134E-2</v>
      </c>
      <c r="G638" s="156">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0">
        <f t="shared" si="6"/>
        <v>-1.871279482224264E-2</v>
      </c>
      <c r="G639" s="156">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0">
        <f t="shared" si="6"/>
        <v>1.9973782507040738E-2</v>
      </c>
      <c r="G640" s="156">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0">
        <f t="shared" ref="F641:F646" si="12">B641/B640-1</f>
        <v>-7.255157245192545E-3</v>
      </c>
      <c r="G641" s="156">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0">
        <f t="shared" si="12"/>
        <v>1.6289876554770988E-2</v>
      </c>
      <c r="G642" s="156">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0">
        <f t="shared" si="12"/>
        <v>1.6077490582814491E-2</v>
      </c>
      <c r="G643" s="156">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0">
        <f t="shared" si="12"/>
        <v>-2.17651111057382E-3</v>
      </c>
      <c r="G644" s="156">
        <f t="shared" si="13"/>
        <v>6.1803544877871097E-2</v>
      </c>
      <c r="H644" s="75">
        <f t="shared" si="14"/>
        <v>106.18035448778711</v>
      </c>
      <c r="I644" s="75">
        <f t="shared" si="15"/>
        <v>99.21186292252905</v>
      </c>
    </row>
    <row r="645" spans="1:9">
      <c r="A645" s="4">
        <v>45247</v>
      </c>
      <c r="B645" s="75">
        <v>1699565.09</v>
      </c>
      <c r="C645" s="75">
        <v>172.02</v>
      </c>
      <c r="D645" s="75">
        <v>1698209</v>
      </c>
      <c r="E645" s="75">
        <f t="shared" si="11"/>
        <v>1356.0900000000838</v>
      </c>
      <c r="F645" s="230">
        <f t="shared" si="12"/>
        <v>1.1412533564205463E-2</v>
      </c>
      <c r="G645" s="156">
        <f t="shared" si="13"/>
        <v>7.3921413472382236E-2</v>
      </c>
      <c r="H645" s="75">
        <f t="shared" si="14"/>
        <v>107.39214134723822</v>
      </c>
      <c r="I645" s="75">
        <f t="shared" si="15"/>
        <v>100.4261778270769</v>
      </c>
    </row>
    <row r="646" spans="1:9">
      <c r="A646" s="4">
        <v>45254</v>
      </c>
      <c r="B646" s="75">
        <v>1690886.68</v>
      </c>
      <c r="C646" s="75">
        <v>171.23</v>
      </c>
      <c r="D646" s="75">
        <v>1689168</v>
      </c>
      <c r="E646" s="75">
        <f t="shared" si="11"/>
        <v>1718.6799999999348</v>
      </c>
      <c r="F646" s="230">
        <f t="shared" si="12"/>
        <v>-5.10625338862436E-3</v>
      </c>
      <c r="G646" s="156">
        <f t="shared" si="13"/>
        <v>6.8437698615722464E-2</v>
      </c>
      <c r="H646" s="75">
        <f t="shared" si="14"/>
        <v>106.84376986157224</v>
      </c>
      <c r="I646" s="75">
        <f t="shared" si="15"/>
        <v>99.964971685445732</v>
      </c>
    </row>
    <row r="647" spans="1:9">
      <c r="A647" s="4">
        <v>45261</v>
      </c>
      <c r="B647" s="75">
        <f>109.209608168068*B617/100</f>
        <v>1728327.9316955393</v>
      </c>
      <c r="C647" s="75">
        <v>174.72</v>
      </c>
      <c r="D647" s="75">
        <f>1757669 - 16978 - 32016</f>
        <v>1708675</v>
      </c>
      <c r="E647" s="75">
        <f t="shared" ref="E647:E649" si="16">B647-D647</f>
        <v>19652.931695539271</v>
      </c>
      <c r="F647" s="230">
        <f t="shared" ref="F647:F649" si="17">B647/B646-1</f>
        <v>2.2142969211596863E-2</v>
      </c>
      <c r="G647" s="156">
        <f t="shared" ref="G647:G649" si="18">B647/$B$617-1</f>
        <v>9.2096081680679953E-2</v>
      </c>
      <c r="H647" s="75">
        <f t="shared" ref="H647:H649" si="19">B647/$B$617*100</f>
        <v>109.209608168068</v>
      </c>
      <c r="I647" s="75">
        <f t="shared" ref="I647:I649" si="20">C647/$C$617*100</f>
        <v>102.00245198201881</v>
      </c>
    </row>
    <row r="648" spans="1:9">
      <c r="A648" s="4">
        <v>45268</v>
      </c>
      <c r="B648" s="75">
        <f>109.475239899602 *B617/100</f>
        <v>1732531.7627398586</v>
      </c>
      <c r="C648" s="75">
        <v>176.62</v>
      </c>
      <c r="D648" s="75">
        <f>(D647 + D649)/2</f>
        <v>1729324</v>
      </c>
      <c r="E648" s="75">
        <f t="shared" si="16"/>
        <v>3207.7627398585901</v>
      </c>
      <c r="F648" s="230">
        <f t="shared" si="17"/>
        <v>2.4323110025741279E-3</v>
      </c>
      <c r="G648" s="156">
        <f t="shared" si="18"/>
        <v>9.4752398996019949E-2</v>
      </c>
      <c r="H648" s="75">
        <f t="shared" si="19"/>
        <v>109.475239899602</v>
      </c>
      <c r="I648" s="75">
        <f t="shared" si="20"/>
        <v>103.11168194290386</v>
      </c>
    </row>
    <row r="649" spans="1:9">
      <c r="A649" s="4">
        <v>45275</v>
      </c>
      <c r="B649" s="75">
        <v>1749562.2481097826</v>
      </c>
      <c r="C649" s="75">
        <v>179.42999</v>
      </c>
      <c r="D649" s="75">
        <f>1798967 - 16978 - 32016</f>
        <v>1749973</v>
      </c>
      <c r="E649" s="75">
        <f t="shared" si="16"/>
        <v>-410.75189021741971</v>
      </c>
      <c r="F649" s="230">
        <f t="shared" si="17"/>
        <v>9.8298257706928016E-3</v>
      </c>
      <c r="G649" s="156">
        <f t="shared" si="18"/>
        <v>0.10551362434019884</v>
      </c>
      <c r="H649" s="75">
        <f t="shared" si="19"/>
        <v>110.55136243401988</v>
      </c>
      <c r="I649" s="75">
        <f t="shared" si="20"/>
        <v>104.75216883647616</v>
      </c>
    </row>
    <row r="650" spans="1:9">
      <c r="A650" s="4">
        <v>45282</v>
      </c>
      <c r="B650" s="75">
        <v>1780828.508981165</v>
      </c>
      <c r="C650" s="75">
        <v>179.42999</v>
      </c>
      <c r="D650" s="75">
        <f>1817969-16978-31031</f>
        <v>1769960</v>
      </c>
      <c r="E650" s="75">
        <f t="shared" ref="E650" si="21">B650-D650</f>
        <v>10868.50898116501</v>
      </c>
      <c r="F650" s="230">
        <f t="shared" ref="F650" si="22">B650/B649-1</f>
        <v>1.7870905082206789E-2</v>
      </c>
      <c r="G650" s="156">
        <f t="shared" ref="G650" si="23">B650/$B$617-1</f>
        <v>0.12527015338786907</v>
      </c>
      <c r="H650" s="75">
        <f t="shared" ref="H650" si="24">B650/$B$617*100</f>
        <v>112.52701533878691</v>
      </c>
      <c r="I650" s="75">
        <f t="shared" ref="I650" si="25">C650/$C$617*100</f>
        <v>104.75216883647616</v>
      </c>
    </row>
    <row r="651" spans="1:9">
      <c r="A651" s="4">
        <v>45289</v>
      </c>
      <c r="B651" s="75">
        <v>1794086.4716481054</v>
      </c>
      <c r="C651" s="75">
        <v>178.78</v>
      </c>
      <c r="D651" s="75">
        <f>1824169 - 16978 - 32008</f>
        <v>1775183</v>
      </c>
      <c r="E651" s="75">
        <f t="shared" ref="E651" si="26">B651-D651</f>
        <v>18903.47164810542</v>
      </c>
      <c r="F651" s="230">
        <f t="shared" ref="F651" si="27">B651/B650-1</f>
        <v>7.4448284043506785E-3</v>
      </c>
      <c r="G651" s="156">
        <f t="shared" ref="G651" si="28">B651/$B$617-1</f>
        <v>0.13364759658837899</v>
      </c>
      <c r="H651" s="75">
        <f t="shared" ref="H651" si="29">B651/$B$617*100</f>
        <v>113.3647596588379</v>
      </c>
      <c r="I651" s="75">
        <f t="shared" ref="I651" si="30">C651/$C$617*100</f>
        <v>104.37270126685738</v>
      </c>
    </row>
    <row r="652" spans="1:9">
      <c r="A652" s="4">
        <v>44931</v>
      </c>
      <c r="B652" s="75">
        <v>1773497.7672669324</v>
      </c>
      <c r="D652" s="75">
        <f>1814862-31695-16978</f>
        <v>1766189</v>
      </c>
      <c r="E652" s="75">
        <f t="shared" ref="E652" si="31">B652-D652</f>
        <v>7308.7672669324093</v>
      </c>
      <c r="F652" s="230">
        <f t="shared" ref="F652" si="32">B652/B651-1</f>
        <v>-1.1475870704414581E-2</v>
      </c>
      <c r="G652" s="156">
        <f t="shared" ref="G652" si="33">B652/$B$617-1</f>
        <v>0.12063800334556052</v>
      </c>
      <c r="H652" s="75">
        <f t="shared" ref="H652" si="34">B652/$B$617*100</f>
        <v>112.06380033455605</v>
      </c>
      <c r="I652" s="75">
        <f t="shared" ref="I652" si="35">C652/$C$617*100</f>
        <v>0</v>
      </c>
    </row>
    <row r="653" spans="1:9">
      <c r="A653" s="4">
        <v>44938</v>
      </c>
      <c r="B653" s="426">
        <v>1791591.0313247084</v>
      </c>
      <c r="D653" s="75">
        <f>1836032 - 32852 - 16978</f>
        <v>1786202</v>
      </c>
      <c r="E653" s="75">
        <f t="shared" ref="E653" si="36">B653-D653</f>
        <v>5389.0313247083686</v>
      </c>
      <c r="F653" s="230">
        <f t="shared" ref="F653" si="37">B653/B652-1</f>
        <v>1.0202022461893945E-2</v>
      </c>
      <c r="G653" s="156">
        <f t="shared" ref="G653" si="38">B653/$B$617-1</f>
        <v>0.13207077742734374</v>
      </c>
      <c r="H653" s="75">
        <f t="shared" ref="H653" si="39">B653/$B$617*100</f>
        <v>113.20707774273437</v>
      </c>
      <c r="I653" s="75">
        <f t="shared" ref="I653" si="40">C653/$C$617*100</f>
        <v>0</v>
      </c>
    </row>
    <row r="654" spans="1:9">
      <c r="A654" s="4">
        <v>44945</v>
      </c>
    </row>
  </sheetData>
  <conditionalFormatting sqref="F565:G653">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abSelected="1" workbookViewId="0"/>
  </sheetViews>
  <sheetFormatPr defaultColWidth="11" defaultRowHeight="15.75"/>
  <cols>
    <col min="2" max="2" width="32.875" bestFit="1" customWidth="1"/>
    <col min="3" max="3" width="20.75" bestFit="1" customWidth="1"/>
  </cols>
  <sheetData>
    <row r="1" spans="2:13">
      <c r="B1" t="s">
        <v>9</v>
      </c>
      <c r="C1" s="4">
        <f ca="1">TODAY()</f>
        <v>45327</v>
      </c>
    </row>
    <row r="2" spans="2:13">
      <c r="B2" s="2" t="s">
        <v>153</v>
      </c>
      <c r="D2" t="s">
        <v>55</v>
      </c>
      <c r="H2" t="s">
        <v>154</v>
      </c>
      <c r="L2" t="s">
        <v>267</v>
      </c>
    </row>
    <row r="3" spans="2:13">
      <c r="B3" t="s">
        <v>30</v>
      </c>
      <c r="C3" t="str">
        <f>_xll.BDP("Eur"&amp;B3&amp;" Curncy","Px_LAST")</f>
        <v>#N/A Review</v>
      </c>
      <c r="D3" t="s">
        <v>103</v>
      </c>
      <c r="E3" t="s">
        <v>104</v>
      </c>
      <c r="H3" t="s">
        <v>30</v>
      </c>
      <c r="I3" t="str">
        <f>_xll.BDP("Usd"&amp;B3&amp;" Curncy","Px_LAST")</f>
        <v>#N/A Review</v>
      </c>
      <c r="L3" t="s">
        <v>30</v>
      </c>
      <c r="M3" t="str">
        <f>_xll.BDP("GBP"&amp;L3&amp;" Curncy","Px_LAST")</f>
        <v>#N/A Review</v>
      </c>
    </row>
    <row r="4" spans="2:13">
      <c r="B4" t="s">
        <v>39</v>
      </c>
      <c r="C4" t="str">
        <f>_xll.BDP("Eur"&amp;B4&amp;" Curncy","Px_LAST")</f>
        <v>#N/A Review</v>
      </c>
      <c r="H4" t="s">
        <v>39</v>
      </c>
      <c r="I4" t="str">
        <f>_xll.BDP("Usd"&amp;B4&amp;" Curncy","Px_LAST")</f>
        <v>#N/A Review</v>
      </c>
      <c r="L4" t="s">
        <v>29</v>
      </c>
      <c r="M4" t="str">
        <f>_xll.BDP("GBP"&amp;L4&amp;" Curncy","Px_LAST")</f>
        <v>#N/A Review</v>
      </c>
    </row>
    <row r="5" spans="2:13">
      <c r="B5" t="s">
        <v>52</v>
      </c>
      <c r="C5" t="str">
        <f>_xll.BDP("Eur"&amp;B5&amp;" Curncy","Px_LAST")</f>
        <v>#N/A Review</v>
      </c>
      <c r="H5" t="s">
        <v>52</v>
      </c>
      <c r="I5">
        <v>1</v>
      </c>
      <c r="L5" t="s">
        <v>52</v>
      </c>
      <c r="M5" t="str">
        <f>_xll.BDP("GBP"&amp;L5&amp;" Curncy","Px_LAST")</f>
        <v>#N/A Review</v>
      </c>
    </row>
    <row r="6" spans="2:13">
      <c r="B6" t="s">
        <v>40</v>
      </c>
      <c r="C6" t="str">
        <f>_xll.BDP("Eur"&amp;B6&amp;" Curncy","Px_LAST")</f>
        <v>#N/A Review</v>
      </c>
      <c r="H6" t="s">
        <v>40</v>
      </c>
      <c r="I6" t="str">
        <f>_xll.BDP("Usd"&amp;B6&amp;" Curncy","Px_LAST")</f>
        <v>#N/A Review</v>
      </c>
      <c r="L6" t="s">
        <v>40</v>
      </c>
      <c r="M6" t="str">
        <f>_xll.BDP("GBP"&amp;L6&amp;" Curncy","Px_LAST")</f>
        <v>#N/A Review</v>
      </c>
    </row>
    <row r="7" spans="2:13">
      <c r="B7" t="s">
        <v>41</v>
      </c>
      <c r="C7" t="str">
        <f>_xll.BDP("Eur"&amp;B7&amp;" Curncy","Px_LAST")</f>
        <v>#N/A Review</v>
      </c>
      <c r="H7" t="s">
        <v>41</v>
      </c>
      <c r="I7" t="str">
        <f>_xll.BDP("Usd"&amp;B7&amp;" Curncy","Px_LAST")</f>
        <v>#N/A Review</v>
      </c>
      <c r="L7" t="s">
        <v>41</v>
      </c>
      <c r="M7" t="str">
        <f>_xll.BDP("GBP"&amp;L7&amp;" Curncy","Px_LAST")</f>
        <v>#N/A Review</v>
      </c>
    </row>
    <row r="8" spans="2:13">
      <c r="B8" t="s">
        <v>36</v>
      </c>
      <c r="C8" t="str">
        <f>_xll.BDP("Eur"&amp;B8&amp;" Curncy","Px_LAST")</f>
        <v>#N/A Review</v>
      </c>
      <c r="H8" t="s">
        <v>36</v>
      </c>
      <c r="I8" t="str">
        <f>_xll.BDP("Usd"&amp;B8&amp;" Curncy","Px_LAST")</f>
        <v>#N/A Review</v>
      </c>
      <c r="L8" t="s">
        <v>36</v>
      </c>
      <c r="M8" t="str">
        <f>_xll.BDP("GBP"&amp;L8&amp;" Curncy","Px_LAST")</f>
        <v>#N/A Review</v>
      </c>
    </row>
    <row r="9" spans="2:13">
      <c r="B9" t="s">
        <v>42</v>
      </c>
      <c r="C9" t="str">
        <f>_xll.BDP("Eur"&amp;B9&amp;" Curncy","Px_LAST")</f>
        <v>#N/A Review</v>
      </c>
      <c r="H9" t="s">
        <v>42</v>
      </c>
      <c r="I9" t="str">
        <f>_xll.BDP("Usd"&amp;B9&amp;" Curncy","Px_LAST")</f>
        <v>#N/A Review</v>
      </c>
      <c r="L9" t="s">
        <v>42</v>
      </c>
      <c r="M9" t="str">
        <f>_xll.BDP("GBP"&amp;L9&amp;" Curncy","Px_LAST")</f>
        <v>#N/A Review</v>
      </c>
    </row>
    <row r="10" spans="2:13">
      <c r="B10" t="s">
        <v>43</v>
      </c>
      <c r="C10" t="str">
        <f>_xll.BDP("Eur"&amp;B10&amp;" Curncy","Px_LAST")</f>
        <v>#N/A Review</v>
      </c>
      <c r="H10" t="s">
        <v>43</v>
      </c>
      <c r="I10" t="str">
        <f>_xll.BDP("Usd"&amp;B10&amp;" Curncy","Px_LAST")</f>
        <v>#N/A Review</v>
      </c>
      <c r="L10" t="s">
        <v>43</v>
      </c>
      <c r="M10" t="str">
        <f>_xll.BDP("GBP"&amp;L10&amp;" Curncy","Px_LAST")</f>
        <v>#N/A Review</v>
      </c>
    </row>
    <row r="11" spans="2:13">
      <c r="B11" t="s">
        <v>44</v>
      </c>
      <c r="C11" t="str">
        <f>_xll.BDP("Eur"&amp;B11&amp;" Curncy","Px_LAST")</f>
        <v>#N/A Review</v>
      </c>
      <c r="H11" t="s">
        <v>44</v>
      </c>
      <c r="I11" t="str">
        <f>_xll.BDP("Usd"&amp;B11&amp;" Curncy","Px_LAST")</f>
        <v>#N/A Review</v>
      </c>
      <c r="L11" t="s">
        <v>44</v>
      </c>
      <c r="M11" t="str">
        <f>_xll.BDP("GBP"&amp;L11&amp;" Curncy","Px_LAST")</f>
        <v>#N/A Review</v>
      </c>
    </row>
    <row r="12" spans="2:13">
      <c r="B12" t="s">
        <v>45</v>
      </c>
      <c r="C12" t="str">
        <f>_xll.BDP("Eur"&amp;B12&amp;" Curncy","Px_LAST")</f>
        <v>#N/A Review</v>
      </c>
      <c r="H12" t="s">
        <v>45</v>
      </c>
      <c r="I12" t="str">
        <f>_xll.BDP("Usd"&amp;B12&amp;" Curncy","Px_LAST")</f>
        <v>#N/A Review</v>
      </c>
      <c r="L12" t="s">
        <v>45</v>
      </c>
      <c r="M12" t="str">
        <f>_xll.BDP("GBP"&amp;L12&amp;" Curncy","Px_LAST")</f>
        <v>#N/A Review</v>
      </c>
    </row>
    <row r="13" spans="2:13">
      <c r="B13" t="s">
        <v>46</v>
      </c>
      <c r="C13" t="str">
        <f>_xll.BDP("Eur"&amp;B13&amp;" Curncy","Px_LAST")</f>
        <v>#N/A Review</v>
      </c>
      <c r="H13" t="s">
        <v>46</v>
      </c>
      <c r="I13" t="str">
        <f>_xll.BDP("Usd"&amp;B13&amp;" Curncy","Px_LAST")</f>
        <v>#N/A Review</v>
      </c>
      <c r="L13" t="s">
        <v>46</v>
      </c>
      <c r="M13" t="str">
        <f>_xll.BDP("GBP"&amp;L13&amp;" Curncy","Px_LAST")</f>
        <v>#N/A Review</v>
      </c>
    </row>
    <row r="14" spans="2:13">
      <c r="B14" t="s">
        <v>47</v>
      </c>
      <c r="C14" t="str">
        <f>_xll.BDP("Eur"&amp;B14&amp;" Curncy","Px_LAST")</f>
        <v>#N/A Review</v>
      </c>
      <c r="H14" t="s">
        <v>47</v>
      </c>
      <c r="I14" t="str">
        <f>_xll.BDP("Usd"&amp;B14&amp;" Curncy","Px_LAST")</f>
        <v>#N/A Review</v>
      </c>
      <c r="L14" t="s">
        <v>47</v>
      </c>
      <c r="M14" t="str">
        <f>_xll.BDP("GBP"&amp;L14&amp;" Curncy","Px_LAST")</f>
        <v>#N/A Review</v>
      </c>
    </row>
    <row r="15" spans="2:13">
      <c r="B15" t="s">
        <v>48</v>
      </c>
      <c r="C15" t="str">
        <f>_xll.BDP("Eur"&amp;B15&amp;" Curncy","Px_LAST")</f>
        <v>#N/A Review</v>
      </c>
      <c r="H15" t="s">
        <v>48</v>
      </c>
      <c r="I15" t="str">
        <f>_xll.BDP("Usd"&amp;B15&amp;" Curncy","Px_LAST")</f>
        <v>#N/A Review</v>
      </c>
      <c r="L15" t="s">
        <v>48</v>
      </c>
      <c r="M15" t="str">
        <f>_xll.BDP("GBP"&amp;L15&amp;" Curncy","Px_LAST")</f>
        <v>#N/A Review</v>
      </c>
    </row>
    <row r="16" spans="2:13">
      <c r="B16" t="s">
        <v>49</v>
      </c>
      <c r="C16" t="str">
        <f>_xll.BDP("Eur"&amp;B16&amp;" Curncy","Px_LAST")</f>
        <v>#N/A Review</v>
      </c>
      <c r="H16" t="s">
        <v>49</v>
      </c>
      <c r="I16" t="str">
        <f>_xll.BDP("Usd"&amp;B16&amp;" Curncy","Px_LAST")</f>
        <v>#N/A Review</v>
      </c>
      <c r="L16" t="s">
        <v>49</v>
      </c>
      <c r="M16" t="str">
        <f>_xll.BDP("GBP"&amp;L16&amp;" Curncy","Px_LAST")</f>
        <v>#N/A Review</v>
      </c>
    </row>
    <row r="17" spans="2:13">
      <c r="B17" t="s">
        <v>50</v>
      </c>
      <c r="C17" t="str">
        <f>_xll.BDP("Eur"&amp;B17&amp;" Curncy","Px_LAST")</f>
        <v>#N/A Review</v>
      </c>
      <c r="H17" t="s">
        <v>50</v>
      </c>
      <c r="I17" t="str">
        <f>_xll.BDP("Usd"&amp;B17&amp;" Curncy","Px_LAST")</f>
        <v>#N/A Review</v>
      </c>
      <c r="L17" t="s">
        <v>50</v>
      </c>
      <c r="M17" t="str">
        <f>_xll.BDP("GBP"&amp;L17&amp;" Curncy","Px_LAST")</f>
        <v>#N/A Review</v>
      </c>
    </row>
    <row r="18" spans="2:13">
      <c r="B18" t="s">
        <v>51</v>
      </c>
      <c r="C18" t="str">
        <f>_xll.BDP("Eur"&amp;B18&amp;" Curncy","Px_LAST")</f>
        <v>#N/A Review</v>
      </c>
      <c r="H18" t="s">
        <v>51</v>
      </c>
      <c r="I18" t="str">
        <f>_xll.BDP("Usd"&amp;B18&amp;" Curncy","Px_LAST")</f>
        <v>#N/A Review</v>
      </c>
      <c r="L18" t="s">
        <v>51</v>
      </c>
      <c r="M18" t="str">
        <f>_xll.BDP("GBP"&amp;L18&amp;" Curncy","Px_LAST")</f>
        <v>#N/A Review</v>
      </c>
    </row>
    <row r="19" spans="2:13">
      <c r="B19" t="s">
        <v>29</v>
      </c>
      <c r="C19">
        <v>1</v>
      </c>
      <c r="H19" t="s">
        <v>29</v>
      </c>
      <c r="I19" t="str">
        <f>_xll.BDP("Usd"&amp;B19&amp;" Curncy","Px_LAST")</f>
        <v>#N/A Review</v>
      </c>
      <c r="L19" t="s">
        <v>29</v>
      </c>
      <c r="M19" t="str">
        <f>_xll.BDP("GBP"&amp;L19&amp;" Curncy","Px_LAST")</f>
        <v>#N/A Review</v>
      </c>
    </row>
    <row r="20" spans="2:13">
      <c r="B20" t="s">
        <v>53</v>
      </c>
      <c r="C20" t="str">
        <f>_xll.BDP("Eur"&amp;B20&amp;" Curncy","Px_LAST")</f>
        <v>#N/A Review</v>
      </c>
      <c r="H20" t="s">
        <v>53</v>
      </c>
      <c r="I20" t="str">
        <f>_xll.BDP("Usd"&amp;B20&amp;" Curncy","Px_LAST")</f>
        <v>#N/A Review</v>
      </c>
      <c r="L20" t="s">
        <v>53</v>
      </c>
      <c r="M20" t="str">
        <f>_xll.BDP("GBP"&amp;L20&amp;" Curncy","Px_LAST")</f>
        <v>#N/A Review</v>
      </c>
    </row>
    <row r="21" spans="2:13">
      <c r="B21" t="s">
        <v>54</v>
      </c>
      <c r="C21" t="str">
        <f>_xll.BDP("Eur"&amp;B21&amp;" Curncy","Px_LAST")</f>
        <v>#N/A Review</v>
      </c>
      <c r="H21" t="s">
        <v>54</v>
      </c>
      <c r="I21" t="str">
        <f>_xll.BDP("Usd"&amp;B21&amp;" Curncy","Px_LAST")</f>
        <v>#N/A Review</v>
      </c>
      <c r="L21" t="s">
        <v>54</v>
      </c>
      <c r="M21" t="str">
        <f>_xll.BDP("GBP"&amp;L21&amp;" Curncy","Px_LAST")</f>
        <v>#N/A Review</v>
      </c>
    </row>
    <row r="22" spans="2:13">
      <c r="B22" t="s">
        <v>77</v>
      </c>
      <c r="C22" t="str">
        <f>_xll.BDP("Eur"&amp;B22&amp;" Curncy","Px_LAST")</f>
        <v>#N/A Review</v>
      </c>
      <c r="H22" t="s">
        <v>77</v>
      </c>
      <c r="I22" t="str">
        <f>_xll.BDP("Usd"&amp;B22&amp;" Curncy","Px_LAST")</f>
        <v>#N/A Review</v>
      </c>
      <c r="L22" t="s">
        <v>77</v>
      </c>
      <c r="M22" t="str">
        <f>_xll.BDP("GBP"&amp;L22&amp;" Curncy","Px_LAST")</f>
        <v>#N/A Review</v>
      </c>
    </row>
    <row r="23" spans="2:13">
      <c r="B23" t="s">
        <v>76</v>
      </c>
      <c r="C23" t="str">
        <f>_xll.BDP("Eur"&amp;B23&amp;" Curncy","Px_LAST")</f>
        <v>#N/A Review</v>
      </c>
      <c r="H23" t="s">
        <v>76</v>
      </c>
      <c r="I23" t="str">
        <f>_xll.BDP("Usd"&amp;B23&amp;" Curncy","Px_LAST")</f>
        <v>#N/A Review</v>
      </c>
      <c r="L23" t="s">
        <v>76</v>
      </c>
      <c r="M23" t="str">
        <f>_xll.BDP("GBP"&amp;L23&amp;" Curncy","Px_LAST")</f>
        <v>#N/A Review</v>
      </c>
    </row>
    <row r="24" spans="2:13">
      <c r="B24" t="s">
        <v>61</v>
      </c>
      <c r="C24" t="str">
        <f>_xll.BDP("Eur"&amp;B24&amp;" Curncy","Px_LAST")</f>
        <v>#N/A Review</v>
      </c>
      <c r="H24" t="s">
        <v>61</v>
      </c>
      <c r="I24" t="str">
        <f>_xll.BDP("Usd"&amp;B24&amp;" Curncy","Px_LAST")</f>
        <v>#N/A Review</v>
      </c>
      <c r="L24" t="s">
        <v>61</v>
      </c>
      <c r="M24" t="str">
        <f>_xll.BDP("GBP"&amp;L24&amp;" Curncy","Px_LAST")</f>
        <v>#N/A Review</v>
      </c>
    </row>
    <row r="25" spans="2:13">
      <c r="B25" t="s">
        <v>84</v>
      </c>
      <c r="C25" t="str">
        <f>_xll.BDP("Eur"&amp;B25&amp;" Curncy","Px_LAST")</f>
        <v>#N/A Review</v>
      </c>
      <c r="H25" t="s">
        <v>84</v>
      </c>
      <c r="I25" t="str">
        <f>_xll.BDP("Usd"&amp;B25&amp;" Curncy","Px_LAST")</f>
        <v>#N/A Review</v>
      </c>
      <c r="L25" t="s">
        <v>84</v>
      </c>
      <c r="M25" t="str">
        <f>_xll.BDP("GBP"&amp;L25&amp;" Curncy","Px_LAST")</f>
        <v>#N/A Review</v>
      </c>
    </row>
    <row r="26" spans="2:13">
      <c r="B26" t="s">
        <v>60</v>
      </c>
      <c r="C26" t="str">
        <f>_xll.BDP("Eur"&amp;B26&amp;" Curncy","Px_LAST")</f>
        <v>#N/A Review</v>
      </c>
      <c r="H26" t="s">
        <v>60</v>
      </c>
      <c r="I26" t="str">
        <f>_xll.BDP("Usd"&amp;B26&amp;" Curncy","Px_LAST")</f>
        <v>#N/A Review</v>
      </c>
      <c r="L26" t="s">
        <v>60</v>
      </c>
      <c r="M26" t="str">
        <f>_xll.BDP("GBP"&amp;L26&amp;" Curncy","Px_LAST")</f>
        <v>#N/A Review</v>
      </c>
    </row>
    <row r="27" spans="2:13">
      <c r="B27" t="s">
        <v>66</v>
      </c>
      <c r="C27" t="str">
        <f>_xll.BDP("Eur"&amp;B27&amp;" Curncy","Px_LAST")</f>
        <v>#N/A Review</v>
      </c>
      <c r="H27" t="s">
        <v>66</v>
      </c>
      <c r="I27" t="str">
        <f>_xll.BDP("Usd"&amp;B27&amp;" Curncy","Px_LAST")</f>
        <v>#N/A Review</v>
      </c>
      <c r="L27" t="s">
        <v>66</v>
      </c>
      <c r="M27" t="str">
        <f>_xll.BDP("GBP"&amp;L27&amp;" Curncy","Px_LAST")</f>
        <v>#N/A Review</v>
      </c>
    </row>
    <row r="28" spans="2:13">
      <c r="B28" t="s">
        <v>57</v>
      </c>
      <c r="C28" t="str">
        <f>_xll.BDP("Eur"&amp;B28&amp;" Curncy","Px_LAST")</f>
        <v>#N/A Review</v>
      </c>
      <c r="H28" t="s">
        <v>57</v>
      </c>
      <c r="I28" t="str">
        <f>_xll.BDP("Usd"&amp;B28&amp;" Curncy","Px_LAST")</f>
        <v>#N/A Review</v>
      </c>
      <c r="L28" t="s">
        <v>57</v>
      </c>
      <c r="M28" t="str">
        <f>_xll.BDP("GBP"&amp;L28&amp;" Curncy","Px_LAST")</f>
        <v>#N/A Review</v>
      </c>
    </row>
    <row r="29" spans="2:13">
      <c r="B29" t="s">
        <v>63</v>
      </c>
      <c r="C29" t="str">
        <f>_xll.BDP("Eur"&amp;B29&amp;" Curncy","Px_LAST")</f>
        <v>#N/A Review</v>
      </c>
      <c r="H29" t="s">
        <v>63</v>
      </c>
      <c r="I29" t="str">
        <f>_xll.BDP("Usd"&amp;B29&amp;" Curncy","Px_LAST")</f>
        <v>#N/A Review</v>
      </c>
      <c r="L29" t="s">
        <v>63</v>
      </c>
      <c r="M29" t="str">
        <f>_xll.BDP("GBP"&amp;L29&amp;" Curncy","Px_LAST")</f>
        <v>#N/A Review</v>
      </c>
    </row>
    <row r="30" spans="2:13">
      <c r="B30" t="s">
        <v>70</v>
      </c>
      <c r="C30" t="str">
        <f>_xll.BDP("Eur"&amp;B30&amp;" Curncy","Px_LAST")</f>
        <v>#N/A Review</v>
      </c>
      <c r="H30" t="s">
        <v>70</v>
      </c>
      <c r="I30" t="str">
        <f>_xll.BDP("Usd"&amp;B30&amp;" Curncy","Px_LAST")</f>
        <v>#N/A Review</v>
      </c>
      <c r="L30" t="s">
        <v>70</v>
      </c>
      <c r="M30" t="str">
        <f>_xll.BDP("GBP"&amp;L30&amp;" Curncy","Px_LAST")</f>
        <v>#N/A Review</v>
      </c>
    </row>
    <row r="31" spans="2:13">
      <c r="B31" t="s">
        <v>68</v>
      </c>
      <c r="C31" t="str">
        <f>_xll.BDP("Eur"&amp;B31&amp;" Curncy","Px_LAST")</f>
        <v>#N/A Review</v>
      </c>
      <c r="H31" t="s">
        <v>68</v>
      </c>
      <c r="I31" t="str">
        <f>_xll.BDP("Usd"&amp;B31&amp;" Curncy","Px_LAST")</f>
        <v>#N/A Review</v>
      </c>
    </row>
    <row r="32" spans="2:13">
      <c r="B32" t="s">
        <v>83</v>
      </c>
      <c r="C32" t="str">
        <f>_xll.BDP("Eur"&amp;B32&amp;" Curncy","Px_LAST")</f>
        <v>#N/A Review</v>
      </c>
      <c r="H32" t="s">
        <v>83</v>
      </c>
      <c r="I32" t="str">
        <f>_xll.BDP("Usd"&amp;B32&amp;" Curncy","Px_LAST")</f>
        <v>#N/A Review</v>
      </c>
    </row>
    <row r="33" spans="2:9">
      <c r="B33" t="s">
        <v>67</v>
      </c>
      <c r="C33" t="str">
        <f>_xll.BDP("Eur"&amp;B33&amp;" Curncy","Px_LAST")</f>
        <v>#N/A Review</v>
      </c>
      <c r="H33" t="s">
        <v>67</v>
      </c>
      <c r="I33" t="str">
        <f>_xll.BDP("Usd"&amp;B33&amp;" Curncy","Px_LAST")</f>
        <v>#N/A Review</v>
      </c>
    </row>
    <row r="34" spans="2:9">
      <c r="B34" t="s">
        <v>65</v>
      </c>
      <c r="C34" t="str">
        <f>_xll.BDP("Eur"&amp;B34&amp;" Curncy","Px_LAST")</f>
        <v>#N/A Review</v>
      </c>
      <c r="H34" t="s">
        <v>65</v>
      </c>
      <c r="I34" t="str">
        <f>_xll.BDP("Usd"&amp;B34&amp;" Curncy","Px_LAST")</f>
        <v>#N/A Review</v>
      </c>
    </row>
    <row r="35" spans="2:9">
      <c r="B35" t="s">
        <v>64</v>
      </c>
      <c r="C35" t="str">
        <f>_xll.BDP("Eur"&amp;B35&amp;" Curncy","Px_LAST")</f>
        <v>#N/A Review</v>
      </c>
      <c r="H35" t="s">
        <v>64</v>
      </c>
      <c r="I35" t="str">
        <f>_xll.BDP("Usd"&amp;B35&amp;" Curncy","Px_LAST")</f>
        <v>#N/A Review</v>
      </c>
    </row>
    <row r="36" spans="2:9">
      <c r="B36" t="s">
        <v>29</v>
      </c>
      <c r="C36">
        <v>1</v>
      </c>
      <c r="H36" t="s">
        <v>29</v>
      </c>
      <c r="I36" t="str">
        <f>_xll.BDP("Usd"&amp;B36&amp;" Curncy","Px_LAST")</f>
        <v>#N/A Review</v>
      </c>
    </row>
  </sheetData>
  <phoneticPr fontId="4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84"/>
  <sheetViews>
    <sheetView workbookViewId="0">
      <pane xSplit="1" ySplit="1" topLeftCell="L159" activePane="bottomRight" state="frozen"/>
      <selection activeCell="F6" sqref="E6:F7"/>
      <selection pane="topRight" activeCell="F6" sqref="E6:F7"/>
      <selection pane="bottomLeft" activeCell="F6" sqref="E6:F7"/>
      <selection pane="bottomRight" activeCell="A181" sqref="A181:A184"/>
    </sheetView>
  </sheetViews>
  <sheetFormatPr defaultColWidth="12.625" defaultRowHeight="15.75"/>
  <cols>
    <col min="1" max="16384" width="12.625" style="98"/>
  </cols>
  <sheetData>
    <row r="1" spans="1:23">
      <c r="A1" s="98" t="s">
        <v>9</v>
      </c>
      <c r="B1" s="98" t="s">
        <v>485</v>
      </c>
      <c r="C1" s="98" t="s">
        <v>486</v>
      </c>
      <c r="D1" s="98" t="s">
        <v>508</v>
      </c>
      <c r="E1" s="98" t="s">
        <v>509</v>
      </c>
      <c r="F1" s="98" t="s">
        <v>512</v>
      </c>
      <c r="G1" s="98" t="s">
        <v>487</v>
      </c>
      <c r="H1" s="98" t="s">
        <v>488</v>
      </c>
      <c r="I1" s="98" t="s">
        <v>489</v>
      </c>
      <c r="J1" s="98" t="s">
        <v>490</v>
      </c>
      <c r="K1" s="98" t="s">
        <v>513</v>
      </c>
      <c r="L1" s="98" t="s">
        <v>491</v>
      </c>
      <c r="M1" s="98" t="s">
        <v>492</v>
      </c>
      <c r="N1" s="98" t="s">
        <v>520</v>
      </c>
      <c r="O1" s="98" t="s">
        <v>530</v>
      </c>
      <c r="P1" s="98" t="s">
        <v>493</v>
      </c>
      <c r="Q1" s="98" t="s">
        <v>510</v>
      </c>
      <c r="R1" s="98" t="s">
        <v>511</v>
      </c>
      <c r="S1" s="98" t="s">
        <v>494</v>
      </c>
      <c r="T1" s="98" t="s">
        <v>495</v>
      </c>
      <c r="U1" s="98" t="s">
        <v>496</v>
      </c>
      <c r="V1" s="98" t="s">
        <v>497</v>
      </c>
      <c r="W1" s="98" t="s">
        <v>498</v>
      </c>
    </row>
    <row r="2" spans="1:23">
      <c r="A2" s="366" t="str">
        <f>_xll.BDH(B$1,"PX_LAST","2023-05-05","","Dir=V","CDR=5D","Days=A","Dts=S")</f>
        <v>#N/A Review</v>
      </c>
      <c r="C2" s="98" t="str">
        <f>_xll.BDH(C$1,"PX_LAST","2023-05-05","","Dir=V","CDR=5D","Days=A","Dts=H")</f>
        <v>#N/A Review</v>
      </c>
      <c r="D2" s="98" t="str">
        <f>_xll.BDH(D$1,"PX_LAST","2023-05-05","","Dir=V","CDR=5D","Days=A","Dts=H")</f>
        <v>#N/A Review</v>
      </c>
      <c r="E2" s="98" t="str">
        <f>_xll.BDH(E$1,"PX_LAST","2023-05-05","","Dir=V","CDR=5D","Days=A","Dts=H")</f>
        <v>#N/A Review</v>
      </c>
      <c r="F2" s="98" t="str">
        <f>_xll.BDH(F$1,"PX_LAST","2023-05-05","","Dir=V","CDR=5D","Days=A","Dts=H")</f>
        <v>#N/A Review</v>
      </c>
      <c r="G2" s="98" t="str">
        <f>_xll.BDH(G$1,"PX_LAST","2023-05-05","","Dir=V","CDR=5D","Days=A","Dts=H")</f>
        <v>#N/A Review</v>
      </c>
      <c r="H2" s="98" t="str">
        <f>_xll.BDH(H$1,"PX_LAST","2023-05-05","","Dir=V","CDR=5D","Days=A","Dts=H")</f>
        <v>#N/A Review</v>
      </c>
      <c r="I2" s="98" t="str">
        <f>_xll.BDH(I$1,"PX_LAST","2023-05-05","","Dir=V","CDR=5D","Days=A","Dts=H")</f>
        <v>#N/A Review</v>
      </c>
      <c r="J2" s="98" t="str">
        <f>_xll.BDH(J$1,"PX_LAST","2023-05-05","","Dir=V","CDR=5D","Days=A","Dts=H")</f>
        <v>#N/A Review</v>
      </c>
      <c r="K2" s="98" t="str">
        <f>_xll.BDH(K$1,"PX_LAST","2023-05-05","","Dir=V","CDR=5D","Days=A","Dts=H")</f>
        <v>#N/A Review</v>
      </c>
      <c r="L2" s="98" t="str">
        <f>_xll.BDH(L$1,"PX_LAST","2023-05-05","","Dir=V","CDR=5D","Days=A","Dts=H")</f>
        <v>#N/A Review</v>
      </c>
      <c r="M2" s="98" t="str">
        <f>_xll.BDH(M$1,"PX_LAST","2023-05-05","","Dir=V","CDR=5D","Days=A","Dts=H")</f>
        <v>#N/A Review</v>
      </c>
      <c r="N2" s="98" t="str">
        <f>_xll.BDH(N$1,"PX_LAST","2023-05-05","","Dir=V","CDR=5D","Days=A","Dts=H")</f>
        <v>#N/A Review</v>
      </c>
      <c r="O2" s="98" t="str">
        <f>_xll.BDH(O$1,"PX_LAST","2023-05-05","","Dir=V","CDR=5D","Days=A","Dts=H")</f>
        <v>#N/A Review</v>
      </c>
      <c r="P2" s="98" t="str">
        <f>_xll.BDH(P$1,"PX_LAST","2023-05-05","","Dir=V","CDR=5D","Days=A","Dts=H")</f>
        <v>#N/A Review</v>
      </c>
      <c r="Q2" s="98" t="str">
        <f>_xll.BDH(Q$1,"PX_LAST","2023-05-05","","Dir=V","CDR=5D","Days=A","Dts=H")</f>
        <v>#N/A Review</v>
      </c>
      <c r="R2" s="98" t="str">
        <f>_xll.BDH(R$1,"PX_LAST","2023-05-05","","Dir=V","CDR=5D","Days=A","Dts=H")</f>
        <v>#N/A Review</v>
      </c>
      <c r="S2" s="98" t="str">
        <f>_xll.BDH(S$1,"PX_LAST","2023-05-05","","Dir=V","CDR=5D","Days=A","Dts=H")</f>
        <v>#N/A Review</v>
      </c>
      <c r="T2" s="98" t="str">
        <f>_xll.BDH(T$1,"PX_LAST","2023-05-05","","Dir=V","CDR=5D","Days=A","Dts=H")</f>
        <v>#N/A Review</v>
      </c>
      <c r="U2" s="98" t="str">
        <f>_xll.BDH(U$1,"PX_LAST","2023-05-05","","Dir=V","CDR=5D","Days=A","Dts=H")</f>
        <v>#N/A Review</v>
      </c>
      <c r="V2" s="98" t="str">
        <f>_xll.BDH(V$1,"PX_LAST","2023-05-05","","Dir=V","CDR=5D","Days=A","Dts=H")</f>
        <v>#N/A Review</v>
      </c>
      <c r="W2" s="98" t="str">
        <f>_xll.BDH(W$1,"PX_LAST","2023-05-05","","Dir=V","CDR=5D","Days=A","Dts=H")</f>
        <v>#N/A Review</v>
      </c>
    </row>
    <row r="3" spans="1:23">
      <c r="A3" s="366"/>
    </row>
    <row r="4" spans="1:23">
      <c r="A4" s="366"/>
    </row>
    <row r="5" spans="1:23">
      <c r="A5" s="366"/>
    </row>
    <row r="6" spans="1:23">
      <c r="A6" s="366"/>
    </row>
    <row r="7" spans="1:23">
      <c r="A7" s="366"/>
    </row>
    <row r="8" spans="1:23">
      <c r="A8" s="366"/>
    </row>
    <row r="9" spans="1:23">
      <c r="A9" s="366"/>
    </row>
    <row r="10" spans="1:23">
      <c r="A10" s="366"/>
    </row>
    <row r="11" spans="1:23">
      <c r="A11" s="366"/>
    </row>
    <row r="12" spans="1:23">
      <c r="A12" s="366"/>
    </row>
    <row r="13" spans="1:23">
      <c r="A13" s="366"/>
    </row>
    <row r="14" spans="1:23">
      <c r="A14" s="366"/>
    </row>
    <row r="15" spans="1:23">
      <c r="A15" s="366"/>
    </row>
    <row r="16" spans="1:23">
      <c r="A16" s="366"/>
    </row>
    <row r="17" spans="1:1">
      <c r="A17" s="366"/>
    </row>
    <row r="18" spans="1:1">
      <c r="A18" s="366"/>
    </row>
    <row r="19" spans="1:1">
      <c r="A19" s="366"/>
    </row>
    <row r="20" spans="1:1">
      <c r="A20" s="366"/>
    </row>
    <row r="21" spans="1:1">
      <c r="A21" s="366"/>
    </row>
    <row r="22" spans="1:1">
      <c r="A22" s="366"/>
    </row>
    <row r="23" spans="1:1">
      <c r="A23" s="366"/>
    </row>
    <row r="24" spans="1:1">
      <c r="A24" s="366"/>
    </row>
    <row r="25" spans="1:1">
      <c r="A25" s="366"/>
    </row>
    <row r="26" spans="1:1">
      <c r="A26" s="366"/>
    </row>
    <row r="27" spans="1:1">
      <c r="A27" s="366"/>
    </row>
    <row r="28" spans="1:1">
      <c r="A28" s="366"/>
    </row>
    <row r="29" spans="1:1">
      <c r="A29" s="366"/>
    </row>
    <row r="30" spans="1:1">
      <c r="A30" s="366"/>
    </row>
    <row r="31" spans="1:1">
      <c r="A31" s="366"/>
    </row>
    <row r="32" spans="1:1">
      <c r="A32" s="366"/>
    </row>
    <row r="33" spans="1:1">
      <c r="A33" s="366"/>
    </row>
    <row r="34" spans="1:1">
      <c r="A34" s="366"/>
    </row>
    <row r="35" spans="1:1">
      <c r="A35" s="366"/>
    </row>
    <row r="36" spans="1:1">
      <c r="A36" s="366"/>
    </row>
    <row r="37" spans="1:1">
      <c r="A37" s="366"/>
    </row>
    <row r="38" spans="1:1">
      <c r="A38" s="366"/>
    </row>
    <row r="39" spans="1:1">
      <c r="A39" s="366"/>
    </row>
    <row r="40" spans="1:1">
      <c r="A40" s="366"/>
    </row>
    <row r="41" spans="1:1">
      <c r="A41" s="366"/>
    </row>
    <row r="42" spans="1:1">
      <c r="A42" s="366"/>
    </row>
    <row r="43" spans="1:1">
      <c r="A43" s="366"/>
    </row>
    <row r="44" spans="1:1">
      <c r="A44" s="366"/>
    </row>
    <row r="45" spans="1:1">
      <c r="A45" s="366"/>
    </row>
    <row r="46" spans="1:1">
      <c r="A46" s="366"/>
    </row>
    <row r="47" spans="1:1">
      <c r="A47" s="366"/>
    </row>
    <row r="48" spans="1:1">
      <c r="A48" s="366"/>
    </row>
    <row r="49" spans="1:1">
      <c r="A49" s="366"/>
    </row>
    <row r="50" spans="1:1">
      <c r="A50" s="366"/>
    </row>
    <row r="51" spans="1:1">
      <c r="A51" s="366"/>
    </row>
    <row r="52" spans="1:1">
      <c r="A52" s="366"/>
    </row>
    <row r="53" spans="1:1">
      <c r="A53" s="366"/>
    </row>
    <row r="54" spans="1:1">
      <c r="A54" s="366"/>
    </row>
    <row r="55" spans="1:1">
      <c r="A55" s="366"/>
    </row>
    <row r="56" spans="1:1">
      <c r="A56" s="366"/>
    </row>
    <row r="57" spans="1:1">
      <c r="A57" s="366"/>
    </row>
    <row r="58" spans="1:1">
      <c r="A58" s="366"/>
    </row>
    <row r="59" spans="1:1">
      <c r="A59" s="366"/>
    </row>
    <row r="60" spans="1:1">
      <c r="A60" s="366"/>
    </row>
    <row r="61" spans="1:1">
      <c r="A61" s="366"/>
    </row>
    <row r="62" spans="1:1">
      <c r="A62" s="366"/>
    </row>
    <row r="63" spans="1:1">
      <c r="A63" s="366"/>
    </row>
    <row r="64" spans="1:1">
      <c r="A64" s="366"/>
    </row>
    <row r="65" spans="1:1">
      <c r="A65" s="366"/>
    </row>
    <row r="66" spans="1:1">
      <c r="A66" s="366"/>
    </row>
    <row r="67" spans="1:1">
      <c r="A67" s="366"/>
    </row>
    <row r="68" spans="1:1">
      <c r="A68" s="366"/>
    </row>
    <row r="69" spans="1:1">
      <c r="A69" s="366"/>
    </row>
    <row r="70" spans="1:1">
      <c r="A70" s="366"/>
    </row>
    <row r="71" spans="1:1">
      <c r="A71" s="366"/>
    </row>
    <row r="72" spans="1:1">
      <c r="A72" s="366"/>
    </row>
    <row r="73" spans="1:1">
      <c r="A73" s="366"/>
    </row>
    <row r="74" spans="1:1">
      <c r="A74" s="366"/>
    </row>
    <row r="75" spans="1:1">
      <c r="A75" s="366"/>
    </row>
    <row r="76" spans="1:1">
      <c r="A76" s="366"/>
    </row>
    <row r="77" spans="1:1">
      <c r="A77" s="366"/>
    </row>
    <row r="78" spans="1:1">
      <c r="A78" s="366"/>
    </row>
    <row r="79" spans="1:1">
      <c r="A79" s="366"/>
    </row>
    <row r="80" spans="1:1">
      <c r="A80" s="366"/>
    </row>
    <row r="81" spans="1:1">
      <c r="A81" s="366"/>
    </row>
    <row r="82" spans="1:1">
      <c r="A82" s="366"/>
    </row>
    <row r="83" spans="1:1">
      <c r="A83" s="366"/>
    </row>
    <row r="84" spans="1:1">
      <c r="A84" s="366"/>
    </row>
    <row r="85" spans="1:1">
      <c r="A85" s="366"/>
    </row>
    <row r="86" spans="1:1">
      <c r="A86" s="366"/>
    </row>
    <row r="87" spans="1:1">
      <c r="A87" s="366"/>
    </row>
    <row r="88" spans="1:1">
      <c r="A88" s="366"/>
    </row>
    <row r="89" spans="1:1">
      <c r="A89" s="366"/>
    </row>
    <row r="90" spans="1:1">
      <c r="A90" s="366"/>
    </row>
    <row r="91" spans="1:1">
      <c r="A91" s="366"/>
    </row>
    <row r="92" spans="1:1">
      <c r="A92" s="366"/>
    </row>
    <row r="93" spans="1:1">
      <c r="A93" s="366"/>
    </row>
    <row r="94" spans="1:1">
      <c r="A94" s="366"/>
    </row>
    <row r="95" spans="1:1">
      <c r="A95" s="366"/>
    </row>
    <row r="96" spans="1:1">
      <c r="A96" s="366"/>
    </row>
    <row r="97" spans="1:1">
      <c r="A97" s="366"/>
    </row>
    <row r="98" spans="1:1">
      <c r="A98" s="366"/>
    </row>
    <row r="99" spans="1:1">
      <c r="A99" s="366"/>
    </row>
    <row r="100" spans="1:1">
      <c r="A100" s="366"/>
    </row>
    <row r="101" spans="1:1">
      <c r="A101" s="366"/>
    </row>
    <row r="102" spans="1:1">
      <c r="A102" s="366"/>
    </row>
    <row r="103" spans="1:1">
      <c r="A103" s="366"/>
    </row>
    <row r="104" spans="1:1">
      <c r="A104" s="366"/>
    </row>
    <row r="105" spans="1:1">
      <c r="A105" s="366"/>
    </row>
    <row r="106" spans="1:1">
      <c r="A106" s="366"/>
    </row>
    <row r="107" spans="1:1">
      <c r="A107" s="366"/>
    </row>
    <row r="108" spans="1:1">
      <c r="A108" s="366"/>
    </row>
    <row r="109" spans="1:1">
      <c r="A109" s="366"/>
    </row>
    <row r="110" spans="1:1">
      <c r="A110" s="366"/>
    </row>
    <row r="111" spans="1:1">
      <c r="A111" s="366"/>
    </row>
    <row r="112" spans="1:1">
      <c r="A112" s="366"/>
    </row>
    <row r="113" spans="1:1">
      <c r="A113" s="366"/>
    </row>
    <row r="114" spans="1:1">
      <c r="A114" s="366"/>
    </row>
    <row r="115" spans="1:1">
      <c r="A115" s="366"/>
    </row>
    <row r="116" spans="1:1">
      <c r="A116" s="366"/>
    </row>
    <row r="117" spans="1:1">
      <c r="A117" s="366"/>
    </row>
    <row r="118" spans="1:1">
      <c r="A118" s="366"/>
    </row>
    <row r="119" spans="1:1">
      <c r="A119" s="366"/>
    </row>
    <row r="120" spans="1:1">
      <c r="A120" s="366"/>
    </row>
    <row r="121" spans="1:1">
      <c r="A121" s="366"/>
    </row>
    <row r="122" spans="1:1">
      <c r="A122" s="366"/>
    </row>
    <row r="123" spans="1:1">
      <c r="A123" s="366"/>
    </row>
    <row r="124" spans="1:1">
      <c r="A124" s="366"/>
    </row>
    <row r="125" spans="1:1">
      <c r="A125" s="366"/>
    </row>
    <row r="126" spans="1:1">
      <c r="A126" s="366"/>
    </row>
    <row r="127" spans="1:1">
      <c r="A127" s="366"/>
    </row>
    <row r="128" spans="1:1">
      <c r="A128" s="366"/>
    </row>
    <row r="129" spans="1:1">
      <c r="A129" s="366"/>
    </row>
    <row r="130" spans="1:1">
      <c r="A130" s="366"/>
    </row>
    <row r="131" spans="1:1">
      <c r="A131" s="366"/>
    </row>
    <row r="132" spans="1:1">
      <c r="A132" s="366"/>
    </row>
    <row r="133" spans="1:1">
      <c r="A133" s="366"/>
    </row>
    <row r="134" spans="1:1">
      <c r="A134" s="366"/>
    </row>
    <row r="135" spans="1:1">
      <c r="A135" s="366"/>
    </row>
    <row r="136" spans="1:1">
      <c r="A136" s="366"/>
    </row>
    <row r="137" spans="1:1">
      <c r="A137" s="366"/>
    </row>
    <row r="138" spans="1:1">
      <c r="A138" s="366"/>
    </row>
    <row r="139" spans="1:1">
      <c r="A139" s="366"/>
    </row>
    <row r="140" spans="1:1">
      <c r="A140" s="366"/>
    </row>
    <row r="141" spans="1:1">
      <c r="A141" s="366"/>
    </row>
    <row r="142" spans="1:1">
      <c r="A142" s="366"/>
    </row>
    <row r="143" spans="1:1">
      <c r="A143" s="366"/>
    </row>
    <row r="144" spans="1:1">
      <c r="A144" s="366"/>
    </row>
    <row r="145" spans="1:1">
      <c r="A145" s="366"/>
    </row>
    <row r="146" spans="1:1">
      <c r="A146" s="366"/>
    </row>
    <row r="147" spans="1:1">
      <c r="A147" s="366"/>
    </row>
    <row r="148" spans="1:1">
      <c r="A148" s="366"/>
    </row>
    <row r="149" spans="1:1">
      <c r="A149" s="366"/>
    </row>
    <row r="150" spans="1:1">
      <c r="A150" s="366"/>
    </row>
    <row r="151" spans="1:1">
      <c r="A151" s="366"/>
    </row>
    <row r="152" spans="1:1">
      <c r="A152" s="366"/>
    </row>
    <row r="153" spans="1:1">
      <c r="A153" s="366"/>
    </row>
    <row r="154" spans="1:1">
      <c r="A154" s="366"/>
    </row>
    <row r="155" spans="1:1">
      <c r="A155" s="366"/>
    </row>
    <row r="156" spans="1:1">
      <c r="A156" s="366"/>
    </row>
    <row r="157" spans="1:1">
      <c r="A157" s="366"/>
    </row>
    <row r="158" spans="1:1">
      <c r="A158" s="366"/>
    </row>
    <row r="159" spans="1:1">
      <c r="A159" s="366"/>
    </row>
    <row r="160" spans="1:1">
      <c r="A160" s="366"/>
    </row>
    <row r="161" spans="1:1">
      <c r="A161" s="366"/>
    </row>
    <row r="162" spans="1:1">
      <c r="A162" s="366"/>
    </row>
    <row r="163" spans="1:1">
      <c r="A163" s="366"/>
    </row>
    <row r="164" spans="1:1">
      <c r="A164" s="366"/>
    </row>
    <row r="165" spans="1:1">
      <c r="A165" s="366"/>
    </row>
    <row r="166" spans="1:1">
      <c r="A166" s="366"/>
    </row>
    <row r="167" spans="1:1">
      <c r="A167" s="366"/>
    </row>
    <row r="168" spans="1:1">
      <c r="A168" s="366"/>
    </row>
    <row r="169" spans="1:1">
      <c r="A169" s="366"/>
    </row>
    <row r="170" spans="1:1">
      <c r="A170" s="366"/>
    </row>
    <row r="171" spans="1:1">
      <c r="A171" s="366"/>
    </row>
    <row r="172" spans="1:1">
      <c r="A172" s="366"/>
    </row>
    <row r="173" spans="1:1">
      <c r="A173" s="366"/>
    </row>
    <row r="174" spans="1:1">
      <c r="A174" s="366"/>
    </row>
    <row r="175" spans="1:1">
      <c r="A175" s="366"/>
    </row>
    <row r="176" spans="1:1">
      <c r="A176" s="366"/>
    </row>
    <row r="177" spans="1:1">
      <c r="A177" s="366"/>
    </row>
    <row r="178" spans="1:1">
      <c r="A178" s="366"/>
    </row>
    <row r="179" spans="1:1">
      <c r="A179" s="366"/>
    </row>
    <row r="180" spans="1:1">
      <c r="A180" s="366"/>
    </row>
    <row r="181" spans="1:1">
      <c r="A181" s="366"/>
    </row>
    <row r="182" spans="1:1">
      <c r="A182" s="366"/>
    </row>
    <row r="183" spans="1:1">
      <c r="A183" s="366"/>
    </row>
    <row r="184" spans="1:1">
      <c r="A184" s="3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87"/>
  <sheetViews>
    <sheetView workbookViewId="0">
      <pane xSplit="1" ySplit="1" topLeftCell="B157" activePane="bottomRight" state="frozen"/>
      <selection activeCell="F6" sqref="E6:F7"/>
      <selection pane="topRight" activeCell="F6" sqref="E6:F7"/>
      <selection pane="bottomLeft" activeCell="F6" sqref="E6:F7"/>
      <selection pane="bottomRight" activeCell="B184" sqref="B184:W187"/>
    </sheetView>
  </sheetViews>
  <sheetFormatPr defaultColWidth="9" defaultRowHeight="15.75"/>
  <cols>
    <col min="1" max="1" width="10.25" style="273" bestFit="1" customWidth="1"/>
    <col min="2" max="2" width="13.5" style="273" bestFit="1" customWidth="1"/>
    <col min="3" max="3" width="21.375" style="273" bestFit="1" customWidth="1"/>
    <col min="4" max="4" width="17.375" style="273" customWidth="1"/>
    <col min="5" max="5" width="16.5" style="273" customWidth="1"/>
    <col min="6" max="6" width="14.25" style="273" bestFit="1" customWidth="1"/>
    <col min="7" max="7" width="13.125" style="273" bestFit="1" customWidth="1"/>
    <col min="8" max="8" width="18.875" style="273" bestFit="1" customWidth="1"/>
    <col min="9" max="17" width="18.875" style="273" customWidth="1"/>
    <col min="18" max="21" width="25" style="273" customWidth="1"/>
    <col min="22" max="22" width="22.875" style="273" bestFit="1" customWidth="1"/>
    <col min="23" max="23" width="20.875" style="273" bestFit="1" customWidth="1"/>
    <col min="24" max="16384" width="9" style="273"/>
  </cols>
  <sheetData>
    <row r="1" spans="1:23">
      <c r="A1" s="273" t="s">
        <v>9</v>
      </c>
      <c r="B1" s="274" t="s">
        <v>121</v>
      </c>
      <c r="C1" s="274" t="s">
        <v>122</v>
      </c>
      <c r="D1" s="274" t="s">
        <v>514</v>
      </c>
      <c r="E1" s="274" t="s">
        <v>515</v>
      </c>
      <c r="F1" s="274" t="s">
        <v>123</v>
      </c>
      <c r="G1" s="274" t="s">
        <v>173</v>
      </c>
      <c r="H1" s="275" t="s">
        <v>228</v>
      </c>
      <c r="I1" s="275" t="s">
        <v>195</v>
      </c>
      <c r="J1" s="275" t="s">
        <v>373</v>
      </c>
      <c r="K1" s="275" t="s">
        <v>384</v>
      </c>
      <c r="L1" s="275" t="s">
        <v>224</v>
      </c>
      <c r="M1" s="275" t="s">
        <v>412</v>
      </c>
      <c r="N1" s="275" t="s">
        <v>529</v>
      </c>
      <c r="O1" s="421" t="s">
        <v>531</v>
      </c>
      <c r="P1" s="276" t="s">
        <v>536</v>
      </c>
      <c r="Q1" s="276" t="s">
        <v>516</v>
      </c>
      <c r="R1" s="276" t="s">
        <v>407</v>
      </c>
      <c r="S1" s="276" t="s">
        <v>428</v>
      </c>
      <c r="T1" s="277" t="s">
        <v>432</v>
      </c>
      <c r="U1" s="277" t="s">
        <v>433</v>
      </c>
      <c r="V1" s="278" t="s">
        <v>219</v>
      </c>
      <c r="W1" s="291" t="s">
        <v>353</v>
      </c>
    </row>
    <row r="2" spans="1:23">
      <c r="A2" s="153">
        <v>45051</v>
      </c>
      <c r="B2" s="279">
        <v>1</v>
      </c>
      <c r="C2" s="272">
        <v>22400</v>
      </c>
      <c r="D2" s="272"/>
      <c r="E2" s="272"/>
      <c r="F2" s="279">
        <v>2118000</v>
      </c>
      <c r="G2" s="272">
        <v>3700000</v>
      </c>
      <c r="H2" s="272">
        <v>370000</v>
      </c>
      <c r="I2" s="272">
        <v>315000</v>
      </c>
      <c r="J2" s="272">
        <v>8200</v>
      </c>
      <c r="K2" s="272">
        <v>200000</v>
      </c>
      <c r="L2" s="272">
        <v>70710000</v>
      </c>
      <c r="M2" s="281">
        <v>1000000000</v>
      </c>
      <c r="N2" s="281"/>
      <c r="O2" s="281"/>
      <c r="P2" s="272">
        <v>200</v>
      </c>
      <c r="Q2" s="272"/>
      <c r="R2" s="280">
        <v>885</v>
      </c>
      <c r="S2" s="272">
        <v>450</v>
      </c>
      <c r="T2" s="272">
        <v>2000</v>
      </c>
      <c r="U2" s="272">
        <v>1350</v>
      </c>
      <c r="V2" s="272">
        <v>1800</v>
      </c>
      <c r="W2" s="272">
        <v>1257</v>
      </c>
    </row>
    <row r="3" spans="1:23">
      <c r="A3" s="153">
        <v>45054</v>
      </c>
      <c r="B3" s="279">
        <v>1</v>
      </c>
      <c r="C3" s="272">
        <v>22400</v>
      </c>
      <c r="D3" s="272"/>
      <c r="E3" s="272"/>
      <c r="F3" s="279">
        <v>2118000</v>
      </c>
      <c r="G3" s="272">
        <v>3700000</v>
      </c>
      <c r="H3" s="272">
        <v>370000</v>
      </c>
      <c r="I3" s="272">
        <v>315000</v>
      </c>
      <c r="J3" s="272">
        <v>8200</v>
      </c>
      <c r="K3" s="272">
        <v>200000</v>
      </c>
      <c r="L3" s="272">
        <v>51310000</v>
      </c>
      <c r="M3" s="281">
        <v>1000000000</v>
      </c>
      <c r="N3" s="281"/>
      <c r="O3" s="281"/>
      <c r="P3" s="272">
        <v>200</v>
      </c>
      <c r="Q3" s="272"/>
      <c r="R3" s="280">
        <v>885</v>
      </c>
      <c r="S3" s="272">
        <v>450</v>
      </c>
      <c r="T3" s="272">
        <v>2000</v>
      </c>
      <c r="U3" s="272">
        <v>1350</v>
      </c>
      <c r="V3" s="272">
        <v>1800</v>
      </c>
      <c r="W3" s="272">
        <v>1257</v>
      </c>
    </row>
    <row r="4" spans="1:23">
      <c r="A4" s="153">
        <v>45055</v>
      </c>
      <c r="B4" s="279">
        <v>1</v>
      </c>
      <c r="C4" s="272">
        <v>22400</v>
      </c>
      <c r="D4" s="272"/>
      <c r="E4" s="272"/>
      <c r="F4" s="279">
        <v>2118000</v>
      </c>
      <c r="G4" s="272">
        <v>3700000</v>
      </c>
      <c r="H4" s="272">
        <v>370000</v>
      </c>
      <c r="I4" s="272">
        <v>315000</v>
      </c>
      <c r="J4" s="272">
        <v>8200</v>
      </c>
      <c r="K4" s="272">
        <v>200000</v>
      </c>
      <c r="L4" s="272">
        <v>51310000</v>
      </c>
      <c r="M4" s="281">
        <v>1000000000</v>
      </c>
      <c r="N4" s="281"/>
      <c r="O4" s="281"/>
      <c r="P4" s="272">
        <v>200</v>
      </c>
      <c r="Q4" s="272"/>
      <c r="R4" s="280">
        <v>885</v>
      </c>
      <c r="S4" s="272">
        <v>450</v>
      </c>
      <c r="T4" s="272">
        <v>2000</v>
      </c>
      <c r="U4" s="272">
        <v>1350</v>
      </c>
      <c r="V4" s="272">
        <v>1800</v>
      </c>
      <c r="W4" s="272">
        <v>1257</v>
      </c>
    </row>
    <row r="5" spans="1:23">
      <c r="A5" s="153">
        <v>45056</v>
      </c>
      <c r="B5" s="279">
        <v>1</v>
      </c>
      <c r="C5" s="272">
        <v>22400</v>
      </c>
      <c r="D5" s="272"/>
      <c r="E5" s="272"/>
      <c r="F5" s="279">
        <v>2118000</v>
      </c>
      <c r="G5" s="272">
        <v>3700000</v>
      </c>
      <c r="H5" s="272">
        <v>370000</v>
      </c>
      <c r="I5" s="272">
        <v>315000</v>
      </c>
      <c r="J5" s="272">
        <v>8200</v>
      </c>
      <c r="K5" s="272">
        <v>200000</v>
      </c>
      <c r="L5" s="272">
        <v>51310000</v>
      </c>
      <c r="M5" s="281">
        <v>1000000000</v>
      </c>
      <c r="N5" s="281"/>
      <c r="O5" s="281"/>
      <c r="P5" s="272">
        <v>200</v>
      </c>
      <c r="Q5" s="272"/>
      <c r="R5" s="280">
        <v>885</v>
      </c>
      <c r="S5" s="272">
        <v>450</v>
      </c>
      <c r="T5" s="272">
        <v>2000</v>
      </c>
      <c r="U5" s="272">
        <v>1350</v>
      </c>
      <c r="V5" s="272">
        <v>1800</v>
      </c>
      <c r="W5" s="272">
        <v>1257</v>
      </c>
    </row>
    <row r="6" spans="1:23">
      <c r="A6" s="153">
        <v>45057</v>
      </c>
      <c r="B6" s="279">
        <v>1</v>
      </c>
      <c r="C6" s="272">
        <v>22400</v>
      </c>
      <c r="D6" s="272"/>
      <c r="E6" s="272"/>
      <c r="F6" s="279">
        <v>2118000</v>
      </c>
      <c r="G6" s="272">
        <v>3700000</v>
      </c>
      <c r="H6" s="272">
        <v>370000</v>
      </c>
      <c r="I6" s="272">
        <v>315000</v>
      </c>
      <c r="J6" s="272">
        <v>8200</v>
      </c>
      <c r="K6" s="272">
        <v>200000</v>
      </c>
      <c r="L6" s="272">
        <v>51310000</v>
      </c>
      <c r="M6" s="281">
        <v>1000000000</v>
      </c>
      <c r="N6" s="281"/>
      <c r="O6" s="281"/>
      <c r="P6" s="272">
        <v>200</v>
      </c>
      <c r="Q6" s="272"/>
      <c r="R6" s="280">
        <v>885</v>
      </c>
      <c r="S6" s="272">
        <v>450</v>
      </c>
      <c r="T6" s="272">
        <v>2000</v>
      </c>
      <c r="U6" s="272">
        <v>1350</v>
      </c>
      <c r="V6" s="272">
        <v>1800</v>
      </c>
      <c r="W6" s="272">
        <v>1257</v>
      </c>
    </row>
    <row r="7" spans="1:23">
      <c r="A7" s="153">
        <v>45058</v>
      </c>
      <c r="B7" s="279">
        <v>1</v>
      </c>
      <c r="C7" s="272">
        <v>22400</v>
      </c>
      <c r="D7" s="272"/>
      <c r="E7" s="272"/>
      <c r="F7" s="279">
        <v>2118000</v>
      </c>
      <c r="G7" s="272">
        <v>3700000</v>
      </c>
      <c r="H7" s="272">
        <v>370000</v>
      </c>
      <c r="I7" s="272">
        <v>315000</v>
      </c>
      <c r="J7" s="272">
        <v>8200</v>
      </c>
      <c r="K7" s="272">
        <v>200000</v>
      </c>
      <c r="L7" s="272">
        <v>70710000</v>
      </c>
      <c r="M7" s="281">
        <v>1000000000</v>
      </c>
      <c r="N7" s="281"/>
      <c r="O7" s="281"/>
      <c r="P7" s="272">
        <v>200</v>
      </c>
      <c r="Q7" s="272"/>
      <c r="R7" s="280">
        <v>885</v>
      </c>
      <c r="S7" s="272">
        <v>450</v>
      </c>
      <c r="T7" s="272">
        <v>2000</v>
      </c>
      <c r="U7" s="272">
        <v>1350</v>
      </c>
      <c r="V7" s="272">
        <v>1800</v>
      </c>
      <c r="W7" s="272">
        <v>1257</v>
      </c>
    </row>
    <row r="8" spans="1:23">
      <c r="A8" s="153">
        <v>45061</v>
      </c>
      <c r="B8" s="279">
        <v>1</v>
      </c>
      <c r="C8" s="272">
        <v>22400</v>
      </c>
      <c r="D8" s="272"/>
      <c r="E8" s="272"/>
      <c r="F8" s="279">
        <v>2118000</v>
      </c>
      <c r="G8" s="272">
        <v>3700000</v>
      </c>
      <c r="H8" s="272">
        <v>370000</v>
      </c>
      <c r="I8" s="272">
        <v>315000</v>
      </c>
      <c r="J8" s="272">
        <v>8200</v>
      </c>
      <c r="K8" s="272">
        <v>200000</v>
      </c>
      <c r="L8" s="272">
        <v>51310000</v>
      </c>
      <c r="M8" s="281">
        <v>1000000000</v>
      </c>
      <c r="N8" s="281"/>
      <c r="O8" s="281"/>
      <c r="P8" s="272">
        <v>200</v>
      </c>
      <c r="Q8" s="272"/>
      <c r="R8" s="280">
        <v>885</v>
      </c>
      <c r="S8" s="272">
        <v>450</v>
      </c>
      <c r="T8" s="272">
        <v>2000</v>
      </c>
      <c r="U8" s="272">
        <v>1350</v>
      </c>
      <c r="V8" s="272">
        <v>1800</v>
      </c>
      <c r="W8" s="272">
        <v>1257</v>
      </c>
    </row>
    <row r="9" spans="1:23">
      <c r="A9" s="153">
        <v>45062</v>
      </c>
      <c r="B9" s="279">
        <v>1</v>
      </c>
      <c r="C9" s="272">
        <v>22400</v>
      </c>
      <c r="D9" s="272"/>
      <c r="E9" s="272"/>
      <c r="F9" s="279">
        <v>2118000</v>
      </c>
      <c r="G9" s="272">
        <v>3700000</v>
      </c>
      <c r="H9" s="272">
        <v>370000</v>
      </c>
      <c r="I9" s="272">
        <v>315000</v>
      </c>
      <c r="J9" s="272">
        <v>8200</v>
      </c>
      <c r="K9" s="272">
        <v>200000</v>
      </c>
      <c r="L9" s="272">
        <v>51310000</v>
      </c>
      <c r="M9" s="281">
        <v>1000000000</v>
      </c>
      <c r="N9" s="281"/>
      <c r="O9" s="281"/>
      <c r="P9" s="272">
        <v>200</v>
      </c>
      <c r="Q9" s="272"/>
      <c r="R9" s="280">
        <v>885</v>
      </c>
      <c r="S9" s="272">
        <v>450</v>
      </c>
      <c r="T9" s="272">
        <v>2000</v>
      </c>
      <c r="U9" s="272">
        <v>1350</v>
      </c>
      <c r="V9" s="272">
        <v>1800</v>
      </c>
      <c r="W9" s="272">
        <v>1257</v>
      </c>
    </row>
    <row r="10" spans="1:23">
      <c r="A10" s="153">
        <v>45063</v>
      </c>
      <c r="B10" s="279">
        <v>1</v>
      </c>
      <c r="C10" s="272">
        <v>22400</v>
      </c>
      <c r="D10" s="272"/>
      <c r="E10" s="272"/>
      <c r="F10" s="279">
        <v>2118000</v>
      </c>
      <c r="G10" s="272">
        <v>3700000</v>
      </c>
      <c r="H10" s="272">
        <v>370000</v>
      </c>
      <c r="I10" s="272">
        <v>315000</v>
      </c>
      <c r="J10" s="272">
        <v>8200</v>
      </c>
      <c r="K10" s="272">
        <v>200000</v>
      </c>
      <c r="L10" s="272">
        <v>51310000</v>
      </c>
      <c r="M10" s="281">
        <v>1000000000</v>
      </c>
      <c r="N10" s="281"/>
      <c r="O10" s="281"/>
      <c r="P10" s="272">
        <v>200</v>
      </c>
      <c r="Q10" s="272"/>
      <c r="R10" s="280">
        <v>885</v>
      </c>
      <c r="S10" s="272">
        <v>450</v>
      </c>
      <c r="T10" s="272">
        <v>2000</v>
      </c>
      <c r="U10" s="272">
        <v>1350</v>
      </c>
      <c r="V10" s="272">
        <v>1800</v>
      </c>
      <c r="W10" s="272">
        <v>1257</v>
      </c>
    </row>
    <row r="11" spans="1:23">
      <c r="A11" s="153">
        <v>45064</v>
      </c>
      <c r="B11" s="279">
        <v>1</v>
      </c>
      <c r="C11" s="272">
        <v>22400</v>
      </c>
      <c r="D11" s="272"/>
      <c r="E11" s="272"/>
      <c r="F11" s="279">
        <v>2118000</v>
      </c>
      <c r="G11" s="272">
        <v>3700000</v>
      </c>
      <c r="H11" s="272">
        <v>370000</v>
      </c>
      <c r="I11" s="272">
        <v>315000</v>
      </c>
      <c r="J11" s="272">
        <v>8200</v>
      </c>
      <c r="K11" s="272">
        <v>200000</v>
      </c>
      <c r="L11" s="272">
        <v>51310000</v>
      </c>
      <c r="M11" s="281">
        <v>1000000000</v>
      </c>
      <c r="N11" s="281"/>
      <c r="O11" s="281"/>
      <c r="P11" s="272">
        <v>200</v>
      </c>
      <c r="Q11" s="272"/>
      <c r="R11" s="280">
        <v>885</v>
      </c>
      <c r="S11" s="272">
        <v>450</v>
      </c>
      <c r="T11" s="272">
        <v>2000</v>
      </c>
      <c r="U11" s="272">
        <v>1350</v>
      </c>
      <c r="V11" s="272">
        <v>1800</v>
      </c>
      <c r="W11" s="272">
        <v>1257</v>
      </c>
    </row>
    <row r="12" spans="1:23">
      <c r="A12" s="153">
        <v>45065</v>
      </c>
      <c r="B12" s="279">
        <v>1</v>
      </c>
      <c r="C12" s="272">
        <v>22400</v>
      </c>
      <c r="D12" s="272"/>
      <c r="E12" s="272"/>
      <c r="F12" s="279">
        <v>2118000</v>
      </c>
      <c r="G12" s="272">
        <v>3700000</v>
      </c>
      <c r="H12" s="272">
        <v>370000</v>
      </c>
      <c r="I12" s="272">
        <v>315000</v>
      </c>
      <c r="J12" s="272">
        <v>8200</v>
      </c>
      <c r="K12" s="272">
        <v>200000</v>
      </c>
      <c r="L12" s="272">
        <v>51310000</v>
      </c>
      <c r="M12" s="281">
        <v>1000000000</v>
      </c>
      <c r="N12" s="281"/>
      <c r="O12" s="281"/>
      <c r="P12" s="272">
        <v>200</v>
      </c>
      <c r="Q12" s="272"/>
      <c r="R12" s="280">
        <v>885</v>
      </c>
      <c r="S12" s="272">
        <v>450</v>
      </c>
      <c r="T12" s="272">
        <v>2000</v>
      </c>
      <c r="U12" s="272">
        <v>1350</v>
      </c>
      <c r="V12" s="272">
        <v>1800</v>
      </c>
      <c r="W12" s="272">
        <v>1257</v>
      </c>
    </row>
    <row r="13" spans="1:23">
      <c r="A13" s="153">
        <v>45068</v>
      </c>
      <c r="B13" s="279">
        <v>1</v>
      </c>
      <c r="C13" s="272">
        <v>22400</v>
      </c>
      <c r="D13" s="272"/>
      <c r="E13" s="272"/>
      <c r="F13" s="279">
        <v>2118000</v>
      </c>
      <c r="G13" s="272">
        <v>3700000</v>
      </c>
      <c r="H13" s="272">
        <v>370000</v>
      </c>
      <c r="I13" s="272">
        <v>315000</v>
      </c>
      <c r="J13" s="272">
        <v>8200</v>
      </c>
      <c r="K13" s="272">
        <v>200000</v>
      </c>
      <c r="L13" s="272">
        <v>51310000</v>
      </c>
      <c r="M13" s="281">
        <v>1000000000</v>
      </c>
      <c r="N13" s="281"/>
      <c r="O13" s="281"/>
      <c r="P13" s="272">
        <v>200</v>
      </c>
      <c r="Q13" s="272"/>
      <c r="R13" s="280">
        <v>885</v>
      </c>
      <c r="S13" s="272">
        <v>450</v>
      </c>
      <c r="T13" s="272">
        <v>2000</v>
      </c>
      <c r="U13" s="272">
        <v>1350</v>
      </c>
      <c r="V13" s="272">
        <v>1800</v>
      </c>
      <c r="W13" s="272">
        <v>1257</v>
      </c>
    </row>
    <row r="14" spans="1:23">
      <c r="A14" s="153">
        <v>45069</v>
      </c>
      <c r="B14" s="279">
        <v>1</v>
      </c>
      <c r="C14" s="272">
        <v>22400</v>
      </c>
      <c r="D14" s="272"/>
      <c r="E14" s="272"/>
      <c r="F14" s="279">
        <v>2118000</v>
      </c>
      <c r="G14" s="272">
        <v>3700000</v>
      </c>
      <c r="H14" s="272">
        <v>370000</v>
      </c>
      <c r="I14" s="272">
        <v>315000</v>
      </c>
      <c r="J14" s="272">
        <v>8200</v>
      </c>
      <c r="K14" s="272">
        <v>200000</v>
      </c>
      <c r="L14" s="272">
        <v>51310000</v>
      </c>
      <c r="M14" s="281">
        <v>1000000000</v>
      </c>
      <c r="N14" s="281"/>
      <c r="O14" s="281"/>
      <c r="P14" s="272">
        <v>200</v>
      </c>
      <c r="Q14" s="272"/>
      <c r="R14" s="280">
        <v>885</v>
      </c>
      <c r="S14" s="272">
        <v>450</v>
      </c>
      <c r="T14" s="272">
        <v>2000</v>
      </c>
      <c r="U14" s="272">
        <v>1350</v>
      </c>
      <c r="V14" s="272">
        <v>1800</v>
      </c>
      <c r="W14" s="272">
        <v>1257</v>
      </c>
    </row>
    <row r="15" spans="1:23">
      <c r="A15" s="153">
        <v>45070</v>
      </c>
      <c r="B15" s="279">
        <v>1</v>
      </c>
      <c r="C15" s="272">
        <v>22400</v>
      </c>
      <c r="D15" s="272"/>
      <c r="E15" s="272"/>
      <c r="F15" s="279">
        <v>2118000</v>
      </c>
      <c r="G15" s="272">
        <v>3700000</v>
      </c>
      <c r="H15" s="272">
        <v>370000</v>
      </c>
      <c r="I15" s="272">
        <v>315000</v>
      </c>
      <c r="J15" s="272">
        <v>8200</v>
      </c>
      <c r="K15" s="272">
        <v>200000</v>
      </c>
      <c r="L15" s="272">
        <v>51310000</v>
      </c>
      <c r="M15" s="281">
        <v>1000000000</v>
      </c>
      <c r="N15" s="281"/>
      <c r="O15" s="281"/>
      <c r="P15" s="272">
        <v>200</v>
      </c>
      <c r="Q15" s="272"/>
      <c r="R15" s="280">
        <v>885</v>
      </c>
      <c r="S15" s="272">
        <v>450</v>
      </c>
      <c r="T15" s="272">
        <v>2000</v>
      </c>
      <c r="U15" s="272">
        <v>1350</v>
      </c>
      <c r="V15" s="272">
        <v>1800</v>
      </c>
      <c r="W15" s="272">
        <v>1257</v>
      </c>
    </row>
    <row r="16" spans="1:23">
      <c r="A16" s="153">
        <v>45071</v>
      </c>
      <c r="B16" s="279">
        <v>1</v>
      </c>
      <c r="C16" s="272">
        <v>22400</v>
      </c>
      <c r="D16" s="272"/>
      <c r="E16" s="272"/>
      <c r="F16" s="279">
        <v>2118000</v>
      </c>
      <c r="G16" s="272">
        <v>3700000</v>
      </c>
      <c r="H16" s="272">
        <v>370000</v>
      </c>
      <c r="I16" s="272">
        <v>315000</v>
      </c>
      <c r="J16" s="272">
        <v>8200</v>
      </c>
      <c r="K16" s="272">
        <v>200000</v>
      </c>
      <c r="L16" s="272">
        <v>51310000</v>
      </c>
      <c r="M16" s="281">
        <v>1000000000</v>
      </c>
      <c r="N16" s="281"/>
      <c r="O16" s="281"/>
      <c r="P16" s="272">
        <v>200</v>
      </c>
      <c r="Q16" s="272"/>
      <c r="R16" s="280">
        <v>885</v>
      </c>
      <c r="S16" s="272">
        <v>450</v>
      </c>
      <c r="T16" s="272">
        <v>2000</v>
      </c>
      <c r="U16" s="272">
        <v>1350</v>
      </c>
      <c r="V16" s="272">
        <v>1800</v>
      </c>
      <c r="W16" s="272">
        <v>1257</v>
      </c>
    </row>
    <row r="17" spans="1:23">
      <c r="A17" s="153">
        <v>45072</v>
      </c>
      <c r="B17" s="279">
        <v>1</v>
      </c>
      <c r="C17" s="272">
        <v>22400</v>
      </c>
      <c r="D17" s="272"/>
      <c r="E17" s="272"/>
      <c r="F17" s="279">
        <v>2118000</v>
      </c>
      <c r="G17" s="272">
        <v>3700000</v>
      </c>
      <c r="H17" s="272">
        <v>370000</v>
      </c>
      <c r="I17" s="272">
        <v>315000</v>
      </c>
      <c r="J17" s="272">
        <v>8200</v>
      </c>
      <c r="K17" s="272">
        <v>200000</v>
      </c>
      <c r="L17" s="272">
        <v>51310000</v>
      </c>
      <c r="M17" s="281">
        <v>1000000000</v>
      </c>
      <c r="N17" s="281"/>
      <c r="O17" s="281"/>
      <c r="P17" s="272">
        <v>200</v>
      </c>
      <c r="Q17" s="272"/>
      <c r="R17" s="280">
        <v>885</v>
      </c>
      <c r="S17" s="272">
        <v>450</v>
      </c>
      <c r="T17" s="272">
        <v>2000</v>
      </c>
      <c r="U17" s="272">
        <v>1350</v>
      </c>
      <c r="V17" s="272">
        <v>1800</v>
      </c>
      <c r="W17" s="272">
        <v>1257</v>
      </c>
    </row>
    <row r="18" spans="1:23">
      <c r="A18" s="153">
        <v>45075</v>
      </c>
      <c r="B18" s="279">
        <v>1</v>
      </c>
      <c r="C18" s="272">
        <v>22400</v>
      </c>
      <c r="D18" s="272"/>
      <c r="E18" s="272"/>
      <c r="F18" s="279">
        <v>2118000</v>
      </c>
      <c r="G18" s="272">
        <v>3700000</v>
      </c>
      <c r="H18" s="272">
        <v>370000</v>
      </c>
      <c r="I18" s="272">
        <v>315000</v>
      </c>
      <c r="J18" s="272">
        <v>8200</v>
      </c>
      <c r="K18" s="272">
        <v>200000</v>
      </c>
      <c r="L18" s="272">
        <v>51310000</v>
      </c>
      <c r="M18" s="281">
        <v>1000000000</v>
      </c>
      <c r="N18" s="281"/>
      <c r="O18" s="281"/>
      <c r="P18" s="272">
        <v>200</v>
      </c>
      <c r="Q18" s="272"/>
      <c r="R18" s="280">
        <v>885</v>
      </c>
      <c r="S18" s="272">
        <v>450</v>
      </c>
      <c r="T18" s="272">
        <v>2000</v>
      </c>
      <c r="U18" s="272">
        <v>1350</v>
      </c>
      <c r="V18" s="272">
        <v>1800</v>
      </c>
      <c r="W18" s="272">
        <v>1257</v>
      </c>
    </row>
    <row r="19" spans="1:23">
      <c r="A19" s="153">
        <v>45076</v>
      </c>
      <c r="B19" s="279">
        <v>1</v>
      </c>
      <c r="C19" s="272">
        <v>22400</v>
      </c>
      <c r="D19" s="272"/>
      <c r="E19" s="272"/>
      <c r="F19" s="279">
        <v>2118000</v>
      </c>
      <c r="G19" s="272">
        <v>3700000</v>
      </c>
      <c r="H19" s="272">
        <v>370000</v>
      </c>
      <c r="I19" s="272">
        <v>315000</v>
      </c>
      <c r="J19" s="272">
        <v>8200</v>
      </c>
      <c r="K19" s="272">
        <v>200000</v>
      </c>
      <c r="L19" s="272">
        <v>51310000</v>
      </c>
      <c r="M19" s="281">
        <v>1000000000</v>
      </c>
      <c r="N19" s="281"/>
      <c r="O19" s="281"/>
      <c r="P19" s="272">
        <v>200</v>
      </c>
      <c r="Q19" s="272"/>
      <c r="R19" s="280">
        <v>885</v>
      </c>
      <c r="S19" s="272">
        <v>450</v>
      </c>
      <c r="T19" s="272">
        <v>2000</v>
      </c>
      <c r="U19" s="272">
        <v>1350</v>
      </c>
      <c r="V19" s="272">
        <v>1800</v>
      </c>
      <c r="W19" s="272">
        <v>1257</v>
      </c>
    </row>
    <row r="20" spans="1:23">
      <c r="A20" s="153">
        <v>45077</v>
      </c>
      <c r="B20" s="279">
        <v>1</v>
      </c>
      <c r="C20" s="272">
        <v>22400</v>
      </c>
      <c r="D20" s="272"/>
      <c r="E20" s="272"/>
      <c r="F20" s="279">
        <v>2118000</v>
      </c>
      <c r="G20" s="272">
        <v>3700000</v>
      </c>
      <c r="H20" s="272">
        <v>370000</v>
      </c>
      <c r="I20" s="272">
        <v>315000</v>
      </c>
      <c r="J20" s="272">
        <v>8200</v>
      </c>
      <c r="K20" s="272">
        <v>200000</v>
      </c>
      <c r="L20" s="272">
        <v>51310000</v>
      </c>
      <c r="M20" s="281">
        <v>1000000000</v>
      </c>
      <c r="N20" s="281"/>
      <c r="O20" s="281"/>
      <c r="P20" s="272">
        <v>200</v>
      </c>
      <c r="Q20" s="272"/>
      <c r="R20" s="280">
        <v>885</v>
      </c>
      <c r="S20" s="272">
        <v>450</v>
      </c>
      <c r="T20" s="272">
        <v>2000</v>
      </c>
      <c r="U20" s="272">
        <v>1350</v>
      </c>
      <c r="V20" s="272">
        <v>1800</v>
      </c>
      <c r="W20" s="272">
        <v>1257</v>
      </c>
    </row>
    <row r="21" spans="1:23">
      <c r="A21" s="153">
        <v>45078</v>
      </c>
      <c r="B21" s="279">
        <v>1</v>
      </c>
      <c r="C21" s="272">
        <v>22400</v>
      </c>
      <c r="D21" s="272"/>
      <c r="E21" s="272"/>
      <c r="F21" s="279">
        <v>2118000</v>
      </c>
      <c r="G21" s="272">
        <v>3700000</v>
      </c>
      <c r="H21" s="272">
        <v>370000</v>
      </c>
      <c r="I21" s="272">
        <v>315000</v>
      </c>
      <c r="J21" s="272">
        <v>8200</v>
      </c>
      <c r="K21" s="272">
        <v>200000</v>
      </c>
      <c r="L21" s="272">
        <v>51310000</v>
      </c>
      <c r="M21" s="281">
        <v>1000000000</v>
      </c>
      <c r="N21" s="281"/>
      <c r="O21" s="281"/>
      <c r="P21" s="272">
        <v>200</v>
      </c>
      <c r="Q21" s="272"/>
      <c r="R21" s="280">
        <v>885</v>
      </c>
      <c r="S21" s="272">
        <v>450</v>
      </c>
      <c r="T21" s="272">
        <v>2000</v>
      </c>
      <c r="U21" s="272">
        <v>1350</v>
      </c>
      <c r="V21" s="272">
        <v>1800</v>
      </c>
      <c r="W21" s="272">
        <v>1257</v>
      </c>
    </row>
    <row r="22" spans="1:23">
      <c r="A22" s="153">
        <v>45079</v>
      </c>
      <c r="B22" s="279">
        <v>1</v>
      </c>
      <c r="C22" s="272">
        <v>22400</v>
      </c>
      <c r="D22" s="272"/>
      <c r="E22" s="272"/>
      <c r="F22" s="279">
        <v>2118000</v>
      </c>
      <c r="G22" s="272">
        <v>3700000</v>
      </c>
      <c r="H22" s="272">
        <v>370000</v>
      </c>
      <c r="I22" s="272">
        <v>315000</v>
      </c>
      <c r="J22" s="272">
        <v>8200</v>
      </c>
      <c r="K22" s="272">
        <v>200000</v>
      </c>
      <c r="L22" s="272">
        <v>51310000</v>
      </c>
      <c r="M22" s="281">
        <v>1000000000</v>
      </c>
      <c r="N22" s="281"/>
      <c r="O22" s="281"/>
      <c r="P22" s="272">
        <v>200</v>
      </c>
      <c r="Q22" s="272"/>
      <c r="R22" s="280">
        <v>885</v>
      </c>
      <c r="S22" s="272">
        <v>450</v>
      </c>
      <c r="T22" s="272">
        <v>2000</v>
      </c>
      <c r="U22" s="272">
        <v>1350</v>
      </c>
      <c r="V22" s="272">
        <v>1800</v>
      </c>
      <c r="W22" s="272">
        <v>1257</v>
      </c>
    </row>
    <row r="23" spans="1:23">
      <c r="A23" s="153">
        <v>45082</v>
      </c>
      <c r="B23" s="279">
        <v>1</v>
      </c>
      <c r="C23" s="272">
        <v>22400</v>
      </c>
      <c r="D23" s="272"/>
      <c r="E23" s="272"/>
      <c r="F23" s="279">
        <v>2118000</v>
      </c>
      <c r="G23" s="272">
        <v>3700000</v>
      </c>
      <c r="H23" s="272">
        <v>370000</v>
      </c>
      <c r="I23" s="272">
        <v>315000</v>
      </c>
      <c r="J23" s="272">
        <v>8200</v>
      </c>
      <c r="K23" s="272">
        <v>200000</v>
      </c>
      <c r="L23" s="272">
        <v>51310000</v>
      </c>
      <c r="M23" s="281">
        <v>1000000000</v>
      </c>
      <c r="N23" s="281"/>
      <c r="O23" s="281"/>
      <c r="P23" s="272">
        <v>200</v>
      </c>
      <c r="Q23" s="272"/>
      <c r="R23" s="280">
        <v>885</v>
      </c>
      <c r="S23" s="272">
        <v>450</v>
      </c>
      <c r="T23" s="272">
        <v>2000</v>
      </c>
      <c r="U23" s="272">
        <v>1350</v>
      </c>
      <c r="V23" s="272">
        <v>1800</v>
      </c>
      <c r="W23" s="272">
        <v>1257</v>
      </c>
    </row>
    <row r="24" spans="1:23">
      <c r="A24" s="153">
        <v>45083</v>
      </c>
      <c r="B24" s="279">
        <v>1</v>
      </c>
      <c r="C24" s="272">
        <v>22400</v>
      </c>
      <c r="D24" s="272"/>
      <c r="E24" s="272"/>
      <c r="F24" s="279">
        <v>2118000</v>
      </c>
      <c r="G24" s="272">
        <v>3700000</v>
      </c>
      <c r="H24" s="272">
        <v>370000</v>
      </c>
      <c r="I24" s="272">
        <v>315000</v>
      </c>
      <c r="J24" s="272">
        <v>8200</v>
      </c>
      <c r="K24" s="272">
        <v>200000</v>
      </c>
      <c r="L24" s="272">
        <v>51310000</v>
      </c>
      <c r="M24" s="281">
        <v>1000000000</v>
      </c>
      <c r="N24" s="281"/>
      <c r="O24" s="281"/>
      <c r="P24" s="272">
        <v>200</v>
      </c>
      <c r="Q24" s="272"/>
      <c r="R24" s="280">
        <v>885</v>
      </c>
      <c r="S24" s="272">
        <v>450</v>
      </c>
      <c r="T24" s="272">
        <v>2000</v>
      </c>
      <c r="U24" s="272">
        <v>1350</v>
      </c>
      <c r="V24" s="272">
        <v>1800</v>
      </c>
      <c r="W24" s="272">
        <v>1257</v>
      </c>
    </row>
    <row r="25" spans="1:23">
      <c r="A25" s="153">
        <v>45084</v>
      </c>
      <c r="B25" s="279">
        <v>1</v>
      </c>
      <c r="C25" s="272">
        <v>22400</v>
      </c>
      <c r="D25" s="272"/>
      <c r="E25" s="272"/>
      <c r="F25" s="279">
        <v>2118000</v>
      </c>
      <c r="G25" s="272">
        <v>3700000</v>
      </c>
      <c r="H25" s="272">
        <v>370000</v>
      </c>
      <c r="I25" s="272">
        <v>315000</v>
      </c>
      <c r="J25" s="272">
        <v>8200</v>
      </c>
      <c r="K25" s="272">
        <v>200000</v>
      </c>
      <c r="L25" s="272">
        <v>51310000</v>
      </c>
      <c r="M25" s="281">
        <v>1000000000</v>
      </c>
      <c r="N25" s="281"/>
      <c r="O25" s="281"/>
      <c r="P25" s="272">
        <v>200</v>
      </c>
      <c r="Q25" s="272"/>
      <c r="R25" s="280">
        <v>885</v>
      </c>
      <c r="S25" s="272">
        <v>450</v>
      </c>
      <c r="T25" s="272">
        <v>2000</v>
      </c>
      <c r="U25" s="272">
        <v>1350</v>
      </c>
      <c r="V25" s="272">
        <v>1800</v>
      </c>
      <c r="W25" s="272">
        <v>1257</v>
      </c>
    </row>
    <row r="26" spans="1:23">
      <c r="A26" s="153">
        <v>45085</v>
      </c>
      <c r="B26" s="279">
        <v>1</v>
      </c>
      <c r="C26" s="272">
        <v>22400</v>
      </c>
      <c r="D26" s="272"/>
      <c r="E26" s="272"/>
      <c r="F26" s="279">
        <v>2118000</v>
      </c>
      <c r="G26" s="272">
        <v>3700000</v>
      </c>
      <c r="H26" s="272">
        <v>370000</v>
      </c>
      <c r="I26" s="272">
        <v>315000</v>
      </c>
      <c r="J26" s="272">
        <v>8200</v>
      </c>
      <c r="K26" s="272">
        <v>200000</v>
      </c>
      <c r="L26" s="272">
        <v>51310000</v>
      </c>
      <c r="M26" s="281">
        <v>1000000000</v>
      </c>
      <c r="N26" s="281"/>
      <c r="O26" s="281"/>
      <c r="P26" s="272">
        <v>200</v>
      </c>
      <c r="Q26" s="272"/>
      <c r="R26" s="280">
        <v>885</v>
      </c>
      <c r="S26" s="272">
        <v>450</v>
      </c>
      <c r="T26" s="272">
        <v>2000</v>
      </c>
      <c r="U26" s="272">
        <v>1350</v>
      </c>
      <c r="V26" s="272">
        <v>1800</v>
      </c>
      <c r="W26" s="272">
        <v>1257</v>
      </c>
    </row>
    <row r="27" spans="1:23">
      <c r="A27" s="153">
        <v>45086</v>
      </c>
      <c r="B27" s="279">
        <v>1</v>
      </c>
      <c r="C27" s="272">
        <v>22400</v>
      </c>
      <c r="D27" s="272"/>
      <c r="E27" s="272"/>
      <c r="F27" s="279">
        <v>2118000</v>
      </c>
      <c r="G27" s="272">
        <v>3700000</v>
      </c>
      <c r="H27" s="272">
        <v>370000</v>
      </c>
      <c r="I27" s="272">
        <v>315000</v>
      </c>
      <c r="J27" s="272">
        <v>8200</v>
      </c>
      <c r="K27" s="272">
        <v>200000</v>
      </c>
      <c r="L27" s="272">
        <v>51310000</v>
      </c>
      <c r="M27" s="281">
        <v>1000000000</v>
      </c>
      <c r="N27" s="281"/>
      <c r="O27" s="281"/>
      <c r="P27" s="272">
        <v>200</v>
      </c>
      <c r="Q27" s="272"/>
      <c r="R27" s="280">
        <v>885</v>
      </c>
      <c r="S27" s="272">
        <v>450</v>
      </c>
      <c r="T27" s="272">
        <v>2000</v>
      </c>
      <c r="U27" s="272">
        <v>1350</v>
      </c>
      <c r="V27" s="272">
        <v>1800</v>
      </c>
      <c r="W27" s="272">
        <v>1257</v>
      </c>
    </row>
    <row r="28" spans="1:23">
      <c r="A28" s="153">
        <v>45089</v>
      </c>
      <c r="B28" s="279">
        <v>1</v>
      </c>
      <c r="C28" s="272">
        <v>22400</v>
      </c>
      <c r="D28" s="272"/>
      <c r="E28" s="272"/>
      <c r="F28" s="279">
        <v>2118000</v>
      </c>
      <c r="G28" s="272">
        <v>3700000</v>
      </c>
      <c r="H28" s="272">
        <v>370000</v>
      </c>
      <c r="I28" s="272">
        <v>315000</v>
      </c>
      <c r="J28" s="272">
        <v>8200</v>
      </c>
      <c r="K28" s="272">
        <v>200000</v>
      </c>
      <c r="L28" s="272">
        <v>51310000</v>
      </c>
      <c r="M28" s="281">
        <v>1000000000</v>
      </c>
      <c r="N28" s="281"/>
      <c r="O28" s="281"/>
      <c r="P28" s="272">
        <v>200</v>
      </c>
      <c r="Q28" s="272"/>
      <c r="R28" s="280">
        <v>885</v>
      </c>
      <c r="S28" s="272">
        <v>450</v>
      </c>
      <c r="T28" s="272">
        <v>2000</v>
      </c>
      <c r="U28" s="272">
        <v>1350</v>
      </c>
      <c r="V28" s="272">
        <v>1800</v>
      </c>
      <c r="W28" s="272">
        <v>1257</v>
      </c>
    </row>
    <row r="29" spans="1:23">
      <c r="A29" s="153">
        <v>45090</v>
      </c>
      <c r="B29" s="279">
        <v>1</v>
      </c>
      <c r="C29" s="272">
        <v>22400</v>
      </c>
      <c r="D29" s="272"/>
      <c r="E29" s="272"/>
      <c r="F29" s="279">
        <v>2118000</v>
      </c>
      <c r="G29" s="272">
        <v>3700000</v>
      </c>
      <c r="H29" s="272">
        <v>370000</v>
      </c>
      <c r="I29" s="272">
        <v>315000</v>
      </c>
      <c r="J29" s="272">
        <v>8200</v>
      </c>
      <c r="K29" s="272">
        <v>200000</v>
      </c>
      <c r="L29" s="272">
        <v>51310000</v>
      </c>
      <c r="M29" s="281">
        <v>1000000000</v>
      </c>
      <c r="N29" s="281"/>
      <c r="O29" s="281"/>
      <c r="P29" s="272">
        <v>200</v>
      </c>
      <c r="Q29" s="272"/>
      <c r="R29" s="280">
        <v>885</v>
      </c>
      <c r="S29" s="272">
        <v>450</v>
      </c>
      <c r="T29" s="272">
        <v>2000</v>
      </c>
      <c r="U29" s="272">
        <v>1350</v>
      </c>
      <c r="V29" s="272">
        <v>1800</v>
      </c>
      <c r="W29" s="272">
        <v>1257</v>
      </c>
    </row>
    <row r="30" spans="1:23">
      <c r="A30" s="153">
        <v>45091</v>
      </c>
      <c r="B30" s="279">
        <v>1</v>
      </c>
      <c r="C30" s="272">
        <v>22400</v>
      </c>
      <c r="D30" s="272"/>
      <c r="E30" s="272"/>
      <c r="F30" s="279">
        <v>2118000</v>
      </c>
      <c r="G30" s="272">
        <v>3700000</v>
      </c>
      <c r="H30" s="272">
        <v>370000</v>
      </c>
      <c r="I30" s="272">
        <v>315000</v>
      </c>
      <c r="J30" s="272">
        <v>8200</v>
      </c>
      <c r="K30" s="272">
        <v>200000</v>
      </c>
      <c r="L30" s="272">
        <v>51310000</v>
      </c>
      <c r="M30" s="281">
        <v>1000000000</v>
      </c>
      <c r="N30" s="281"/>
      <c r="O30" s="281"/>
      <c r="P30" s="272">
        <v>200</v>
      </c>
      <c r="Q30" s="272"/>
      <c r="R30" s="280">
        <v>885</v>
      </c>
      <c r="S30" s="272">
        <v>450</v>
      </c>
      <c r="T30" s="272">
        <v>2000</v>
      </c>
      <c r="U30" s="272">
        <v>1350</v>
      </c>
      <c r="V30" s="272">
        <v>1800</v>
      </c>
      <c r="W30" s="272">
        <v>1257</v>
      </c>
    </row>
    <row r="31" spans="1:23">
      <c r="A31" s="153">
        <v>45092</v>
      </c>
      <c r="B31" s="279">
        <v>1</v>
      </c>
      <c r="C31" s="272">
        <v>22400</v>
      </c>
      <c r="D31" s="272"/>
      <c r="E31" s="272"/>
      <c r="F31" s="279">
        <v>2118000</v>
      </c>
      <c r="G31" s="272">
        <v>3700000</v>
      </c>
      <c r="H31" s="272">
        <v>370000</v>
      </c>
      <c r="I31" s="272">
        <v>315000</v>
      </c>
      <c r="J31" s="272">
        <v>8200</v>
      </c>
      <c r="K31" s="272">
        <v>200000</v>
      </c>
      <c r="L31" s="272">
        <v>51310000</v>
      </c>
      <c r="M31" s="281">
        <v>1000000000</v>
      </c>
      <c r="N31" s="281"/>
      <c r="O31" s="281"/>
      <c r="P31" s="272">
        <v>200</v>
      </c>
      <c r="Q31" s="272"/>
      <c r="R31" s="280">
        <v>885</v>
      </c>
      <c r="S31" s="272">
        <v>450</v>
      </c>
      <c r="T31" s="272">
        <v>2000</v>
      </c>
      <c r="U31" s="272">
        <v>1350</v>
      </c>
      <c r="V31" s="272">
        <v>1800</v>
      </c>
      <c r="W31" s="272">
        <v>1257</v>
      </c>
    </row>
    <row r="32" spans="1:23">
      <c r="A32" s="153">
        <v>45093</v>
      </c>
      <c r="B32" s="279">
        <v>1</v>
      </c>
      <c r="C32" s="272">
        <v>22400</v>
      </c>
      <c r="D32" s="272"/>
      <c r="E32" s="272"/>
      <c r="F32" s="279">
        <v>2118000</v>
      </c>
      <c r="G32" s="272">
        <v>3700000</v>
      </c>
      <c r="H32" s="272">
        <v>370000</v>
      </c>
      <c r="I32" s="272">
        <v>315000</v>
      </c>
      <c r="J32" s="272">
        <v>8200</v>
      </c>
      <c r="K32" s="272">
        <v>200000</v>
      </c>
      <c r="L32" s="272">
        <v>51310000</v>
      </c>
      <c r="M32" s="281">
        <v>1000000000</v>
      </c>
      <c r="N32" s="281"/>
      <c r="O32" s="281"/>
      <c r="P32" s="272">
        <v>200</v>
      </c>
      <c r="Q32" s="272"/>
      <c r="R32" s="280">
        <v>885</v>
      </c>
      <c r="S32" s="272">
        <v>450</v>
      </c>
      <c r="T32" s="272">
        <v>2000</v>
      </c>
      <c r="U32" s="272">
        <v>1350</v>
      </c>
      <c r="V32" s="272">
        <v>1800</v>
      </c>
      <c r="W32" s="272">
        <v>1257</v>
      </c>
    </row>
    <row r="33" spans="1:23">
      <c r="A33" s="153">
        <v>45096</v>
      </c>
      <c r="B33" s="279">
        <v>1</v>
      </c>
      <c r="C33" s="272">
        <v>22400</v>
      </c>
      <c r="D33" s="272"/>
      <c r="E33" s="272"/>
      <c r="F33" s="279">
        <v>2118000</v>
      </c>
      <c r="G33" s="272">
        <v>3700000</v>
      </c>
      <c r="H33" s="272">
        <v>370000</v>
      </c>
      <c r="I33" s="272">
        <v>315000</v>
      </c>
      <c r="J33" s="272">
        <v>8200</v>
      </c>
      <c r="K33" s="272">
        <v>200000</v>
      </c>
      <c r="L33" s="272">
        <v>51310000</v>
      </c>
      <c r="M33" s="281">
        <v>1000000000</v>
      </c>
      <c r="N33" s="281"/>
      <c r="O33" s="281"/>
      <c r="P33" s="272">
        <v>200</v>
      </c>
      <c r="Q33" s="272"/>
      <c r="R33" s="280">
        <v>885</v>
      </c>
      <c r="S33" s="272">
        <v>450</v>
      </c>
      <c r="T33" s="272">
        <v>2000</v>
      </c>
      <c r="U33" s="272">
        <v>1350</v>
      </c>
      <c r="V33" s="272">
        <v>1800</v>
      </c>
      <c r="W33" s="272">
        <v>1257</v>
      </c>
    </row>
    <row r="34" spans="1:23">
      <c r="A34" s="153">
        <v>45097</v>
      </c>
      <c r="B34" s="279">
        <v>1</v>
      </c>
      <c r="C34" s="272">
        <v>22400</v>
      </c>
      <c r="D34" s="272"/>
      <c r="E34" s="272"/>
      <c r="F34" s="279">
        <v>2118000</v>
      </c>
      <c r="G34" s="272">
        <v>3700000</v>
      </c>
      <c r="H34" s="272">
        <v>370000</v>
      </c>
      <c r="I34" s="272">
        <v>315000</v>
      </c>
      <c r="J34" s="272">
        <v>8200</v>
      </c>
      <c r="K34" s="272">
        <v>200000</v>
      </c>
      <c r="L34" s="272">
        <v>51310000</v>
      </c>
      <c r="M34" s="281">
        <v>1000000000</v>
      </c>
      <c r="N34" s="281"/>
      <c r="O34" s="281"/>
      <c r="P34" s="272">
        <v>200</v>
      </c>
      <c r="Q34" s="272"/>
      <c r="R34" s="280">
        <v>885</v>
      </c>
      <c r="S34" s="272">
        <v>450</v>
      </c>
      <c r="T34" s="272">
        <v>2000</v>
      </c>
      <c r="U34" s="272">
        <v>1350</v>
      </c>
      <c r="V34" s="272">
        <v>1800</v>
      </c>
      <c r="W34" s="272">
        <v>1257</v>
      </c>
    </row>
    <row r="35" spans="1:23">
      <c r="A35" s="153">
        <v>45098</v>
      </c>
      <c r="B35" s="279">
        <v>1</v>
      </c>
      <c r="C35" s="272">
        <v>22400</v>
      </c>
      <c r="D35" s="272"/>
      <c r="E35" s="272"/>
      <c r="F35" s="279">
        <v>2118000</v>
      </c>
      <c r="G35" s="272">
        <v>3700000</v>
      </c>
      <c r="H35" s="272">
        <v>370000</v>
      </c>
      <c r="I35" s="272">
        <v>315000</v>
      </c>
      <c r="J35" s="272">
        <v>8200</v>
      </c>
      <c r="K35" s="272">
        <v>200000</v>
      </c>
      <c r="L35" s="272">
        <v>51310000</v>
      </c>
      <c r="M35" s="281">
        <v>1000000000</v>
      </c>
      <c r="N35" s="281"/>
      <c r="O35" s="281"/>
      <c r="P35" s="272">
        <v>200</v>
      </c>
      <c r="Q35" s="272"/>
      <c r="R35" s="280">
        <v>885</v>
      </c>
      <c r="S35" s="272">
        <v>450</v>
      </c>
      <c r="T35" s="272">
        <v>2000</v>
      </c>
      <c r="U35" s="272">
        <v>1350</v>
      </c>
      <c r="V35" s="272">
        <v>1800</v>
      </c>
      <c r="W35" s="272">
        <v>1257</v>
      </c>
    </row>
    <row r="36" spans="1:23">
      <c r="A36" s="153">
        <v>45099</v>
      </c>
      <c r="B36" s="279">
        <v>1</v>
      </c>
      <c r="C36" s="272">
        <v>22400</v>
      </c>
      <c r="D36" s="272"/>
      <c r="E36" s="272"/>
      <c r="F36" s="279">
        <v>2118000</v>
      </c>
      <c r="G36" s="272">
        <v>3700000</v>
      </c>
      <c r="H36" s="272">
        <v>370000</v>
      </c>
      <c r="I36" s="272">
        <v>315000</v>
      </c>
      <c r="J36" s="272">
        <v>8200</v>
      </c>
      <c r="K36" s="272">
        <v>200000</v>
      </c>
      <c r="L36" s="272">
        <v>51310000</v>
      </c>
      <c r="M36" s="281">
        <v>1000000000</v>
      </c>
      <c r="N36" s="281"/>
      <c r="O36" s="281"/>
      <c r="P36" s="272">
        <v>200</v>
      </c>
      <c r="Q36" s="272"/>
      <c r="R36" s="280">
        <v>885</v>
      </c>
      <c r="S36" s="272">
        <v>450</v>
      </c>
      <c r="T36" s="272">
        <v>2000</v>
      </c>
      <c r="U36" s="272">
        <v>1350</v>
      </c>
      <c r="V36" s="272">
        <v>1800</v>
      </c>
      <c r="W36" s="272">
        <v>1257</v>
      </c>
    </row>
    <row r="37" spans="1:23">
      <c r="A37" s="153">
        <v>45100</v>
      </c>
      <c r="B37" s="279">
        <v>1</v>
      </c>
      <c r="C37" s="272">
        <v>22400</v>
      </c>
      <c r="D37" s="272"/>
      <c r="E37" s="272"/>
      <c r="F37" s="279">
        <v>2118000</v>
      </c>
      <c r="G37" s="272">
        <v>3700000</v>
      </c>
      <c r="H37" s="272">
        <v>370000</v>
      </c>
      <c r="I37" s="272">
        <v>315000</v>
      </c>
      <c r="J37" s="272">
        <v>8200</v>
      </c>
      <c r="K37" s="272">
        <v>200000</v>
      </c>
      <c r="L37" s="272">
        <v>51310000</v>
      </c>
      <c r="M37" s="281">
        <v>1000000000</v>
      </c>
      <c r="N37" s="281"/>
      <c r="O37" s="281"/>
      <c r="P37" s="272">
        <v>200</v>
      </c>
      <c r="Q37" s="272"/>
      <c r="R37" s="280">
        <v>885</v>
      </c>
      <c r="S37" s="272">
        <v>450</v>
      </c>
      <c r="T37" s="272">
        <v>2000</v>
      </c>
      <c r="U37" s="272">
        <v>1350</v>
      </c>
      <c r="V37" s="272">
        <v>1800</v>
      </c>
      <c r="W37" s="272">
        <v>1257</v>
      </c>
    </row>
    <row r="38" spans="1:23">
      <c r="A38" s="153">
        <v>45103</v>
      </c>
      <c r="B38" s="279">
        <v>1</v>
      </c>
      <c r="C38" s="272">
        <v>22400</v>
      </c>
      <c r="D38" s="272"/>
      <c r="E38" s="272"/>
      <c r="F38" s="279">
        <v>2118000</v>
      </c>
      <c r="G38" s="272">
        <v>3700000</v>
      </c>
      <c r="H38" s="272">
        <v>370000</v>
      </c>
      <c r="I38" s="272">
        <v>315000</v>
      </c>
      <c r="J38" s="272">
        <v>8200</v>
      </c>
      <c r="K38" s="272">
        <v>200000</v>
      </c>
      <c r="L38" s="272">
        <v>51310000</v>
      </c>
      <c r="M38" s="281">
        <v>1000000000</v>
      </c>
      <c r="N38" s="281"/>
      <c r="O38" s="281"/>
      <c r="P38" s="272">
        <v>200</v>
      </c>
      <c r="Q38" s="272"/>
      <c r="R38" s="280">
        <v>885</v>
      </c>
      <c r="S38" s="272">
        <v>450</v>
      </c>
      <c r="T38" s="272">
        <v>2000</v>
      </c>
      <c r="U38" s="272">
        <v>1350</v>
      </c>
      <c r="V38" s="272">
        <v>1800</v>
      </c>
      <c r="W38" s="272">
        <v>1257</v>
      </c>
    </row>
    <row r="39" spans="1:23">
      <c r="A39" s="153">
        <v>45104</v>
      </c>
      <c r="B39" s="279">
        <v>1</v>
      </c>
      <c r="C39" s="272">
        <v>22400</v>
      </c>
      <c r="D39" s="272"/>
      <c r="E39" s="272"/>
      <c r="F39" s="279">
        <v>2118000</v>
      </c>
      <c r="G39" s="272">
        <v>3700000</v>
      </c>
      <c r="H39" s="272">
        <v>370000</v>
      </c>
      <c r="I39" s="272">
        <v>315000</v>
      </c>
      <c r="J39" s="272">
        <v>8200</v>
      </c>
      <c r="K39" s="272">
        <v>200000</v>
      </c>
      <c r="L39" s="272">
        <v>51310000</v>
      </c>
      <c r="M39" s="281">
        <v>1000000000</v>
      </c>
      <c r="N39" s="281"/>
      <c r="O39" s="281"/>
      <c r="P39" s="272">
        <v>200</v>
      </c>
      <c r="Q39" s="272"/>
      <c r="R39" s="280">
        <v>885</v>
      </c>
      <c r="S39" s="272">
        <v>450</v>
      </c>
      <c r="T39" s="272">
        <v>2000</v>
      </c>
      <c r="U39" s="272">
        <v>1350</v>
      </c>
      <c r="V39" s="272">
        <v>1800</v>
      </c>
      <c r="W39" s="272">
        <v>1257</v>
      </c>
    </row>
    <row r="40" spans="1:23">
      <c r="A40" s="153">
        <v>45105</v>
      </c>
      <c r="B40" s="279">
        <v>1</v>
      </c>
      <c r="C40" s="272">
        <v>22400</v>
      </c>
      <c r="D40" s="272"/>
      <c r="E40" s="272"/>
      <c r="F40" s="279">
        <v>2118000</v>
      </c>
      <c r="G40" s="272">
        <v>3700000</v>
      </c>
      <c r="H40" s="272">
        <v>370000</v>
      </c>
      <c r="I40" s="272">
        <v>315000</v>
      </c>
      <c r="J40" s="272">
        <v>8200</v>
      </c>
      <c r="K40" s="272">
        <v>200000</v>
      </c>
      <c r="L40" s="272">
        <v>51310000</v>
      </c>
      <c r="M40" s="281">
        <v>1000000000</v>
      </c>
      <c r="N40" s="281"/>
      <c r="O40" s="281"/>
      <c r="P40" s="272">
        <v>200</v>
      </c>
      <c r="Q40" s="272"/>
      <c r="R40" s="280">
        <v>885</v>
      </c>
      <c r="S40" s="272">
        <v>450</v>
      </c>
      <c r="T40" s="272">
        <v>2000</v>
      </c>
      <c r="U40" s="272">
        <v>1350</v>
      </c>
      <c r="V40" s="272">
        <v>1800</v>
      </c>
      <c r="W40" s="272">
        <v>1257</v>
      </c>
    </row>
    <row r="41" spans="1:23">
      <c r="A41" s="153">
        <v>45106</v>
      </c>
      <c r="B41" s="279">
        <v>1</v>
      </c>
      <c r="C41" s="272">
        <v>22400</v>
      </c>
      <c r="D41" s="272"/>
      <c r="E41" s="272"/>
      <c r="F41" s="279">
        <v>2118000</v>
      </c>
      <c r="G41" s="272">
        <v>3700000</v>
      </c>
      <c r="H41" s="272">
        <v>370000</v>
      </c>
      <c r="I41" s="272">
        <v>315000</v>
      </c>
      <c r="J41" s="272">
        <v>8200</v>
      </c>
      <c r="K41" s="272">
        <v>200000</v>
      </c>
      <c r="L41" s="272">
        <v>51310000</v>
      </c>
      <c r="M41" s="281">
        <v>1000000000</v>
      </c>
      <c r="N41" s="281"/>
      <c r="O41" s="281"/>
      <c r="P41" s="272">
        <v>200</v>
      </c>
      <c r="Q41" s="272"/>
      <c r="R41" s="280">
        <v>885</v>
      </c>
      <c r="S41" s="272">
        <v>450</v>
      </c>
      <c r="T41" s="272">
        <v>2000</v>
      </c>
      <c r="U41" s="272">
        <v>1350</v>
      </c>
      <c r="V41" s="272">
        <v>1800</v>
      </c>
      <c r="W41" s="272">
        <v>1257</v>
      </c>
    </row>
    <row r="42" spans="1:23">
      <c r="A42" s="153">
        <v>45107</v>
      </c>
      <c r="B42" s="279">
        <v>1</v>
      </c>
      <c r="C42" s="272">
        <v>22400</v>
      </c>
      <c r="D42" s="272"/>
      <c r="E42" s="272"/>
      <c r="F42" s="279">
        <v>2118000</v>
      </c>
      <c r="G42" s="272">
        <v>3700000</v>
      </c>
      <c r="H42" s="272">
        <v>370000</v>
      </c>
      <c r="I42" s="272">
        <v>315000</v>
      </c>
      <c r="J42" s="272">
        <v>8200</v>
      </c>
      <c r="K42" s="272">
        <v>200000</v>
      </c>
      <c r="L42" s="272">
        <v>51310000</v>
      </c>
      <c r="M42" s="281">
        <v>1000000000</v>
      </c>
      <c r="N42" s="281"/>
      <c r="O42" s="281"/>
      <c r="P42" s="272">
        <v>200</v>
      </c>
      <c r="Q42" s="272"/>
      <c r="R42" s="280">
        <v>885</v>
      </c>
      <c r="S42" s="272">
        <v>450</v>
      </c>
      <c r="T42" s="272">
        <v>2000</v>
      </c>
      <c r="U42" s="272">
        <v>1350</v>
      </c>
      <c r="V42" s="272">
        <v>1800</v>
      </c>
      <c r="W42" s="272">
        <v>1257</v>
      </c>
    </row>
    <row r="43" spans="1:23">
      <c r="A43" s="153">
        <v>45110</v>
      </c>
      <c r="B43" s="279">
        <v>1</v>
      </c>
      <c r="C43" s="272">
        <v>22400</v>
      </c>
      <c r="D43" s="272"/>
      <c r="E43" s="272"/>
      <c r="F43" s="279">
        <v>2118000</v>
      </c>
      <c r="G43" s="272">
        <v>3700000</v>
      </c>
      <c r="H43" s="272">
        <v>370000</v>
      </c>
      <c r="I43" s="272">
        <v>315000</v>
      </c>
      <c r="J43" s="272">
        <v>8200</v>
      </c>
      <c r="K43" s="272">
        <v>200000</v>
      </c>
      <c r="L43" s="272">
        <v>51310000</v>
      </c>
      <c r="M43" s="281">
        <v>1000000000</v>
      </c>
      <c r="N43" s="281"/>
      <c r="O43" s="281"/>
      <c r="P43" s="272">
        <v>200</v>
      </c>
      <c r="Q43" s="272"/>
      <c r="R43" s="280">
        <v>885</v>
      </c>
      <c r="S43" s="272">
        <v>450</v>
      </c>
      <c r="T43" s="272">
        <v>2000</v>
      </c>
      <c r="U43" s="272">
        <v>1350</v>
      </c>
      <c r="V43" s="272">
        <v>1800</v>
      </c>
      <c r="W43" s="272">
        <v>1257</v>
      </c>
    </row>
    <row r="44" spans="1:23">
      <c r="A44" s="153">
        <v>45111</v>
      </c>
      <c r="B44" s="279">
        <v>1</v>
      </c>
      <c r="C44" s="272">
        <v>22400</v>
      </c>
      <c r="D44" s="272"/>
      <c r="E44" s="272"/>
      <c r="F44" s="279">
        <v>2118000</v>
      </c>
      <c r="G44" s="272">
        <v>3700000</v>
      </c>
      <c r="H44" s="272">
        <v>370000</v>
      </c>
      <c r="I44" s="272">
        <v>315000</v>
      </c>
      <c r="J44" s="272">
        <v>8200</v>
      </c>
      <c r="K44" s="272">
        <v>200000</v>
      </c>
      <c r="L44" s="272">
        <v>51310000</v>
      </c>
      <c r="M44" s="281">
        <v>1000000000</v>
      </c>
      <c r="N44" s="281"/>
      <c r="O44" s="281"/>
      <c r="P44" s="272">
        <v>200</v>
      </c>
      <c r="Q44" s="272"/>
      <c r="R44" s="280">
        <v>885</v>
      </c>
      <c r="S44" s="272">
        <v>450</v>
      </c>
      <c r="T44" s="272">
        <v>2000</v>
      </c>
      <c r="U44" s="272">
        <v>1350</v>
      </c>
      <c r="V44" s="272">
        <v>1800</v>
      </c>
      <c r="W44" s="272">
        <v>1257</v>
      </c>
    </row>
    <row r="45" spans="1:23">
      <c r="A45" s="153">
        <v>45112</v>
      </c>
      <c r="B45" s="279">
        <v>1</v>
      </c>
      <c r="C45" s="272">
        <v>22400</v>
      </c>
      <c r="D45" s="272"/>
      <c r="E45" s="272"/>
      <c r="F45" s="279">
        <v>2118000</v>
      </c>
      <c r="G45" s="272">
        <v>3700000</v>
      </c>
      <c r="H45" s="272">
        <v>370000</v>
      </c>
      <c r="I45" s="272">
        <v>315000</v>
      </c>
      <c r="J45" s="272">
        <v>8200</v>
      </c>
      <c r="K45" s="272">
        <v>200000</v>
      </c>
      <c r="L45" s="272">
        <v>51310000</v>
      </c>
      <c r="M45" s="281">
        <v>1000000000</v>
      </c>
      <c r="N45" s="281"/>
      <c r="O45" s="281"/>
      <c r="P45" s="272">
        <v>200</v>
      </c>
      <c r="Q45" s="272"/>
      <c r="R45" s="280">
        <v>885</v>
      </c>
      <c r="S45" s="272">
        <v>450</v>
      </c>
      <c r="T45" s="272">
        <v>2000</v>
      </c>
      <c r="U45" s="272">
        <v>1350</v>
      </c>
      <c r="V45" s="272">
        <v>1800</v>
      </c>
      <c r="W45" s="272">
        <v>1257</v>
      </c>
    </row>
    <row r="46" spans="1:23">
      <c r="A46" s="153">
        <v>45113</v>
      </c>
      <c r="B46" s="279">
        <v>1</v>
      </c>
      <c r="C46" s="272">
        <v>22400</v>
      </c>
      <c r="D46" s="272"/>
      <c r="E46" s="272"/>
      <c r="F46" s="279">
        <v>2118000</v>
      </c>
      <c r="G46" s="272">
        <v>3700000</v>
      </c>
      <c r="H46" s="272">
        <v>370000</v>
      </c>
      <c r="I46" s="272">
        <v>315000</v>
      </c>
      <c r="J46" s="272">
        <v>8200</v>
      </c>
      <c r="K46" s="272">
        <v>200000</v>
      </c>
      <c r="L46" s="272">
        <v>51310000</v>
      </c>
      <c r="M46" s="281">
        <v>1000000000</v>
      </c>
      <c r="N46" s="281"/>
      <c r="O46" s="281"/>
      <c r="P46" s="272">
        <v>200</v>
      </c>
      <c r="Q46" s="272"/>
      <c r="R46" s="280">
        <v>885</v>
      </c>
      <c r="S46" s="272">
        <v>450</v>
      </c>
      <c r="T46" s="272">
        <v>2000</v>
      </c>
      <c r="U46" s="272">
        <v>1350</v>
      </c>
      <c r="V46" s="272">
        <v>1800</v>
      </c>
      <c r="W46" s="272">
        <v>1257</v>
      </c>
    </row>
    <row r="47" spans="1:23">
      <c r="A47" s="153">
        <v>45114</v>
      </c>
      <c r="B47" s="279">
        <v>1</v>
      </c>
      <c r="C47" s="272">
        <v>22400</v>
      </c>
      <c r="D47" s="272"/>
      <c r="E47" s="272"/>
      <c r="F47" s="279">
        <v>2118000</v>
      </c>
      <c r="G47" s="272">
        <v>3700000</v>
      </c>
      <c r="H47" s="272">
        <v>370000</v>
      </c>
      <c r="I47" s="272">
        <v>315000</v>
      </c>
      <c r="J47" s="272">
        <v>8200</v>
      </c>
      <c r="K47" s="272">
        <v>200000</v>
      </c>
      <c r="L47" s="272">
        <v>51310000</v>
      </c>
      <c r="M47" s="281">
        <v>1000000000</v>
      </c>
      <c r="N47" s="281"/>
      <c r="O47" s="281"/>
      <c r="P47" s="272">
        <v>200</v>
      </c>
      <c r="Q47" s="272"/>
      <c r="R47" s="280">
        <v>885</v>
      </c>
      <c r="S47" s="272">
        <v>450</v>
      </c>
      <c r="T47" s="272">
        <v>2000</v>
      </c>
      <c r="U47" s="272">
        <v>1350</v>
      </c>
      <c r="V47" s="272">
        <v>1800</v>
      </c>
      <c r="W47" s="272">
        <v>1257</v>
      </c>
    </row>
    <row r="48" spans="1:23">
      <c r="A48" s="153">
        <v>45117</v>
      </c>
      <c r="B48" s="279">
        <v>1</v>
      </c>
      <c r="C48" s="272">
        <v>22400</v>
      </c>
      <c r="D48" s="272"/>
      <c r="E48" s="272"/>
      <c r="F48" s="279">
        <v>2118000</v>
      </c>
      <c r="G48" s="272">
        <v>3700000</v>
      </c>
      <c r="H48" s="272">
        <v>370000</v>
      </c>
      <c r="I48" s="272">
        <v>315000</v>
      </c>
      <c r="J48" s="272">
        <v>8200</v>
      </c>
      <c r="K48" s="272">
        <v>200000</v>
      </c>
      <c r="L48" s="272">
        <v>51310000</v>
      </c>
      <c r="M48" s="281">
        <v>1000000000</v>
      </c>
      <c r="N48" s="281"/>
      <c r="O48" s="281"/>
      <c r="P48" s="272">
        <v>200</v>
      </c>
      <c r="Q48" s="272"/>
      <c r="R48" s="280">
        <v>885</v>
      </c>
      <c r="S48" s="272">
        <v>450</v>
      </c>
      <c r="T48" s="272">
        <v>2000</v>
      </c>
      <c r="U48" s="272">
        <v>1350</v>
      </c>
      <c r="V48" s="272">
        <v>1800</v>
      </c>
      <c r="W48" s="272">
        <v>1257</v>
      </c>
    </row>
    <row r="49" spans="1:23">
      <c r="A49" s="153">
        <v>45118</v>
      </c>
      <c r="B49" s="279">
        <v>1</v>
      </c>
      <c r="C49" s="272">
        <v>22400</v>
      </c>
      <c r="D49" s="272"/>
      <c r="E49" s="272"/>
      <c r="F49" s="279">
        <v>2118000</v>
      </c>
      <c r="G49" s="272">
        <v>3700000</v>
      </c>
      <c r="H49" s="272">
        <v>370000</v>
      </c>
      <c r="I49" s="272">
        <v>315000</v>
      </c>
      <c r="J49" s="272">
        <v>8200</v>
      </c>
      <c r="K49" s="272">
        <v>200000</v>
      </c>
      <c r="L49" s="272">
        <v>51310000</v>
      </c>
      <c r="M49" s="281">
        <v>1000000000</v>
      </c>
      <c r="N49" s="281"/>
      <c r="O49" s="281"/>
      <c r="P49" s="272">
        <v>200</v>
      </c>
      <c r="Q49" s="272"/>
      <c r="R49" s="280">
        <v>885</v>
      </c>
      <c r="S49" s="272">
        <v>450</v>
      </c>
      <c r="T49" s="272">
        <v>2000</v>
      </c>
      <c r="U49" s="272">
        <v>1350</v>
      </c>
      <c r="V49" s="272">
        <v>1800</v>
      </c>
      <c r="W49" s="272">
        <v>1257</v>
      </c>
    </row>
    <row r="50" spans="1:23">
      <c r="A50" s="153">
        <v>45119</v>
      </c>
      <c r="B50" s="279">
        <v>1</v>
      </c>
      <c r="C50" s="272">
        <v>22400</v>
      </c>
      <c r="D50" s="272"/>
      <c r="E50" s="272"/>
      <c r="F50" s="279">
        <v>2118000</v>
      </c>
      <c r="G50" s="272">
        <v>3700000</v>
      </c>
      <c r="H50" s="272">
        <v>370000</v>
      </c>
      <c r="I50" s="272">
        <v>315000</v>
      </c>
      <c r="J50" s="272">
        <v>8200</v>
      </c>
      <c r="K50" s="272">
        <v>200000</v>
      </c>
      <c r="L50" s="272">
        <v>51310000</v>
      </c>
      <c r="M50" s="281">
        <v>1000000000</v>
      </c>
      <c r="N50" s="281"/>
      <c r="O50" s="281"/>
      <c r="P50" s="272">
        <v>200</v>
      </c>
      <c r="Q50" s="272"/>
      <c r="R50" s="280">
        <v>885</v>
      </c>
      <c r="S50" s="272">
        <v>450</v>
      </c>
      <c r="T50" s="272">
        <v>2000</v>
      </c>
      <c r="U50" s="272">
        <v>1350</v>
      </c>
      <c r="V50" s="272">
        <v>1800</v>
      </c>
      <c r="W50" s="272">
        <v>1257</v>
      </c>
    </row>
    <row r="51" spans="1:23">
      <c r="A51" s="153">
        <v>45120</v>
      </c>
      <c r="B51" s="279">
        <v>1</v>
      </c>
      <c r="C51" s="272">
        <v>22400</v>
      </c>
      <c r="D51" s="272"/>
      <c r="E51" s="272"/>
      <c r="F51" s="279">
        <v>2118000</v>
      </c>
      <c r="G51" s="272">
        <v>3700000</v>
      </c>
      <c r="H51" s="272">
        <v>370000</v>
      </c>
      <c r="I51" s="272">
        <v>315000</v>
      </c>
      <c r="J51" s="272">
        <v>8200</v>
      </c>
      <c r="K51" s="272">
        <v>200000</v>
      </c>
      <c r="L51" s="272">
        <v>51310000</v>
      </c>
      <c r="M51" s="281">
        <v>1000000000</v>
      </c>
      <c r="N51" s="281"/>
      <c r="O51" s="281"/>
      <c r="P51" s="272">
        <v>200</v>
      </c>
      <c r="Q51" s="272"/>
      <c r="R51" s="280">
        <v>885</v>
      </c>
      <c r="S51" s="272">
        <v>450</v>
      </c>
      <c r="T51" s="272">
        <v>2000</v>
      </c>
      <c r="U51" s="272">
        <v>1350</v>
      </c>
      <c r="V51" s="272">
        <v>1800</v>
      </c>
      <c r="W51" s="272">
        <v>1257</v>
      </c>
    </row>
    <row r="52" spans="1:23">
      <c r="A52" s="153">
        <v>45121</v>
      </c>
      <c r="B52" s="279">
        <v>1</v>
      </c>
      <c r="C52" s="272">
        <v>22400</v>
      </c>
      <c r="D52" s="272"/>
      <c r="E52" s="272"/>
      <c r="F52" s="279">
        <v>2118000</v>
      </c>
      <c r="G52" s="272">
        <v>3700000</v>
      </c>
      <c r="H52" s="272">
        <v>370000</v>
      </c>
      <c r="I52" s="272">
        <v>315000</v>
      </c>
      <c r="J52" s="272">
        <v>8200</v>
      </c>
      <c r="K52" s="272">
        <v>200000</v>
      </c>
      <c r="L52" s="272">
        <v>51310000</v>
      </c>
      <c r="M52" s="281">
        <v>1000000000</v>
      </c>
      <c r="N52" s="281"/>
      <c r="O52" s="281"/>
      <c r="P52" s="272">
        <v>200</v>
      </c>
      <c r="Q52" s="272"/>
      <c r="R52" s="280">
        <v>885</v>
      </c>
      <c r="S52" s="272">
        <v>450</v>
      </c>
      <c r="T52" s="272">
        <v>2000</v>
      </c>
      <c r="U52" s="272">
        <v>1350</v>
      </c>
      <c r="V52" s="272">
        <v>1800</v>
      </c>
      <c r="W52" s="272">
        <v>1257</v>
      </c>
    </row>
    <row r="53" spans="1:23">
      <c r="A53" s="153">
        <v>45124</v>
      </c>
      <c r="B53" s="279">
        <v>1</v>
      </c>
      <c r="C53" s="272">
        <v>22400</v>
      </c>
      <c r="D53" s="272"/>
      <c r="E53" s="272"/>
      <c r="F53" s="279">
        <v>2118000</v>
      </c>
      <c r="G53" s="272">
        <v>3700000</v>
      </c>
      <c r="H53" s="272">
        <v>370000</v>
      </c>
      <c r="I53" s="272">
        <v>315000</v>
      </c>
      <c r="J53" s="272">
        <v>8200</v>
      </c>
      <c r="K53" s="272">
        <v>200000</v>
      </c>
      <c r="L53" s="272">
        <v>51310000</v>
      </c>
      <c r="M53" s="281">
        <v>1000000000</v>
      </c>
      <c r="N53" s="281"/>
      <c r="O53" s="281"/>
      <c r="P53" s="272">
        <v>200</v>
      </c>
      <c r="Q53" s="272"/>
      <c r="R53" s="280">
        <v>885</v>
      </c>
      <c r="S53" s="272">
        <v>450</v>
      </c>
      <c r="T53" s="272">
        <v>2000</v>
      </c>
      <c r="U53" s="272">
        <v>1350</v>
      </c>
      <c r="V53" s="272">
        <v>1800</v>
      </c>
      <c r="W53" s="272">
        <v>1257</v>
      </c>
    </row>
    <row r="54" spans="1:23">
      <c r="A54" s="153">
        <v>45125</v>
      </c>
      <c r="B54" s="279">
        <v>1</v>
      </c>
      <c r="C54" s="272">
        <v>22400</v>
      </c>
      <c r="D54" s="272"/>
      <c r="E54" s="272"/>
      <c r="F54" s="279">
        <v>2118000</v>
      </c>
      <c r="G54" s="272">
        <v>3700000</v>
      </c>
      <c r="H54" s="272">
        <v>370000</v>
      </c>
      <c r="I54" s="272">
        <v>315000</v>
      </c>
      <c r="J54" s="272">
        <v>8200</v>
      </c>
      <c r="K54" s="272">
        <v>200000</v>
      </c>
      <c r="L54" s="272">
        <v>51310000</v>
      </c>
      <c r="M54" s="281">
        <v>1000000000</v>
      </c>
      <c r="N54" s="281"/>
      <c r="O54" s="281"/>
      <c r="P54" s="272">
        <v>200</v>
      </c>
      <c r="Q54" s="272"/>
      <c r="R54" s="280">
        <v>885</v>
      </c>
      <c r="S54" s="272">
        <v>450</v>
      </c>
      <c r="T54" s="272">
        <v>2000</v>
      </c>
      <c r="U54" s="272">
        <v>1350</v>
      </c>
      <c r="V54" s="272">
        <v>1800</v>
      </c>
      <c r="W54" s="272">
        <v>1257</v>
      </c>
    </row>
    <row r="55" spans="1:23">
      <c r="A55" s="153">
        <v>45126</v>
      </c>
      <c r="B55" s="279">
        <v>1</v>
      </c>
      <c r="C55" s="272">
        <v>22400</v>
      </c>
      <c r="D55" s="272"/>
      <c r="E55" s="272"/>
      <c r="F55" s="279">
        <v>2118000</v>
      </c>
      <c r="G55" s="272">
        <v>3700000</v>
      </c>
      <c r="H55" s="272">
        <v>370000</v>
      </c>
      <c r="I55" s="272">
        <v>315000</v>
      </c>
      <c r="J55" s="272">
        <v>8200</v>
      </c>
      <c r="K55" s="272">
        <v>200000</v>
      </c>
      <c r="L55" s="272">
        <v>51310000</v>
      </c>
      <c r="M55" s="281">
        <v>1000000000</v>
      </c>
      <c r="N55" s="281"/>
      <c r="O55" s="281"/>
      <c r="P55" s="272">
        <v>200</v>
      </c>
      <c r="Q55" s="272"/>
      <c r="R55" s="280">
        <v>885</v>
      </c>
      <c r="S55" s="272">
        <v>450</v>
      </c>
      <c r="T55" s="272">
        <v>2000</v>
      </c>
      <c r="U55" s="272">
        <v>1350</v>
      </c>
      <c r="V55" s="272">
        <v>1800</v>
      </c>
      <c r="W55" s="272">
        <v>1257</v>
      </c>
    </row>
    <row r="56" spans="1:23">
      <c r="A56" s="153">
        <v>45127</v>
      </c>
      <c r="B56" s="279">
        <v>1</v>
      </c>
      <c r="C56" s="272">
        <v>22400</v>
      </c>
      <c r="D56" s="272"/>
      <c r="E56" s="272"/>
      <c r="F56" s="279">
        <v>2118000</v>
      </c>
      <c r="G56" s="272">
        <v>3700000</v>
      </c>
      <c r="H56" s="272">
        <v>370000</v>
      </c>
      <c r="I56" s="272">
        <v>315000</v>
      </c>
      <c r="J56" s="272">
        <v>8200</v>
      </c>
      <c r="K56" s="272">
        <v>200000</v>
      </c>
      <c r="L56" s="272">
        <v>51310000</v>
      </c>
      <c r="M56" s="281">
        <v>1000000000</v>
      </c>
      <c r="N56" s="281"/>
      <c r="O56" s="281"/>
      <c r="P56" s="272">
        <v>200</v>
      </c>
      <c r="Q56" s="272"/>
      <c r="R56" s="280">
        <v>885</v>
      </c>
      <c r="S56" s="272">
        <v>450</v>
      </c>
      <c r="T56" s="272">
        <v>2000</v>
      </c>
      <c r="U56" s="272">
        <v>1350</v>
      </c>
      <c r="V56" s="272">
        <v>1800</v>
      </c>
      <c r="W56" s="272">
        <v>1257</v>
      </c>
    </row>
    <row r="57" spans="1:23">
      <c r="A57" s="153">
        <v>45128</v>
      </c>
      <c r="B57" s="279">
        <v>1</v>
      </c>
      <c r="C57" s="272">
        <v>22400</v>
      </c>
      <c r="D57" s="272"/>
      <c r="E57" s="272"/>
      <c r="F57" s="279">
        <v>2118000</v>
      </c>
      <c r="G57" s="272">
        <v>3700000</v>
      </c>
      <c r="H57" s="272">
        <v>370000</v>
      </c>
      <c r="I57" s="272">
        <v>315000</v>
      </c>
      <c r="J57" s="272">
        <v>8200</v>
      </c>
      <c r="K57" s="272">
        <v>200000</v>
      </c>
      <c r="L57" s="272">
        <v>51310000</v>
      </c>
      <c r="M57" s="281">
        <v>1000000000</v>
      </c>
      <c r="N57" s="281"/>
      <c r="O57" s="281"/>
      <c r="P57" s="272">
        <v>200</v>
      </c>
      <c r="Q57" s="272"/>
      <c r="R57" s="280">
        <v>885</v>
      </c>
      <c r="S57" s="272">
        <v>450</v>
      </c>
      <c r="T57" s="272">
        <v>2000</v>
      </c>
      <c r="U57" s="272">
        <v>1350</v>
      </c>
      <c r="V57" s="272">
        <v>1800</v>
      </c>
      <c r="W57" s="272">
        <v>1257</v>
      </c>
    </row>
    <row r="58" spans="1:23">
      <c r="A58" s="153">
        <v>45131</v>
      </c>
      <c r="B58" s="279">
        <v>1</v>
      </c>
      <c r="C58" s="272">
        <v>22400</v>
      </c>
      <c r="D58" s="272"/>
      <c r="E58" s="272"/>
      <c r="F58" s="279">
        <v>2118000</v>
      </c>
      <c r="G58" s="272">
        <v>3700000</v>
      </c>
      <c r="H58" s="272">
        <v>370000</v>
      </c>
      <c r="I58" s="272">
        <v>315000</v>
      </c>
      <c r="J58" s="272">
        <v>8200</v>
      </c>
      <c r="K58" s="272">
        <v>200000</v>
      </c>
      <c r="L58" s="272">
        <v>51310000</v>
      </c>
      <c r="M58" s="281">
        <v>1000000000</v>
      </c>
      <c r="N58" s="281"/>
      <c r="O58" s="281"/>
      <c r="P58" s="272">
        <v>200</v>
      </c>
      <c r="Q58" s="272"/>
      <c r="R58" s="280">
        <v>885</v>
      </c>
      <c r="S58" s="272">
        <v>450</v>
      </c>
      <c r="T58" s="272">
        <v>2000</v>
      </c>
      <c r="U58" s="272">
        <v>1350</v>
      </c>
      <c r="V58" s="272">
        <v>1800</v>
      </c>
      <c r="W58" s="272">
        <v>1257</v>
      </c>
    </row>
    <row r="59" spans="1:23">
      <c r="A59" s="153">
        <v>45132</v>
      </c>
      <c r="B59" s="279">
        <v>1</v>
      </c>
      <c r="C59" s="272">
        <v>22400</v>
      </c>
      <c r="D59" s="272"/>
      <c r="E59" s="272"/>
      <c r="F59" s="279">
        <v>2118000</v>
      </c>
      <c r="G59" s="272">
        <v>3700000</v>
      </c>
      <c r="H59" s="272">
        <v>370000</v>
      </c>
      <c r="I59" s="272">
        <v>315000</v>
      </c>
      <c r="J59" s="272">
        <v>8200</v>
      </c>
      <c r="K59" s="272">
        <v>200000</v>
      </c>
      <c r="L59" s="272">
        <v>51310000</v>
      </c>
      <c r="M59" s="281">
        <v>1000000000</v>
      </c>
      <c r="N59" s="281"/>
      <c r="O59" s="281"/>
      <c r="P59" s="272">
        <v>200</v>
      </c>
      <c r="Q59" s="272"/>
      <c r="R59" s="280">
        <v>885</v>
      </c>
      <c r="S59" s="272">
        <v>450</v>
      </c>
      <c r="T59" s="272">
        <v>2000</v>
      </c>
      <c r="U59" s="272">
        <v>1350</v>
      </c>
      <c r="V59" s="272">
        <v>1800</v>
      </c>
      <c r="W59" s="272">
        <v>1257</v>
      </c>
    </row>
    <row r="60" spans="1:23">
      <c r="A60" s="153">
        <v>45133</v>
      </c>
      <c r="B60" s="279">
        <v>1</v>
      </c>
      <c r="C60" s="272">
        <v>22400</v>
      </c>
      <c r="D60" s="272"/>
      <c r="E60" s="272"/>
      <c r="F60" s="279">
        <v>2118000</v>
      </c>
      <c r="G60" s="272">
        <v>3700000</v>
      </c>
      <c r="H60" s="272">
        <v>370000</v>
      </c>
      <c r="I60" s="272">
        <v>315000</v>
      </c>
      <c r="J60" s="272">
        <v>8200</v>
      </c>
      <c r="K60" s="272">
        <v>200000</v>
      </c>
      <c r="L60" s="272">
        <v>51310000</v>
      </c>
      <c r="M60" s="281">
        <v>1000000000</v>
      </c>
      <c r="N60" s="281"/>
      <c r="O60" s="281"/>
      <c r="P60" s="272">
        <v>200</v>
      </c>
      <c r="Q60" s="272"/>
      <c r="R60" s="280">
        <v>885</v>
      </c>
      <c r="S60" s="272">
        <v>450</v>
      </c>
      <c r="T60" s="272">
        <v>2000</v>
      </c>
      <c r="U60" s="272">
        <v>1350</v>
      </c>
      <c r="V60" s="272">
        <v>1800</v>
      </c>
      <c r="W60" s="272">
        <v>1257</v>
      </c>
    </row>
    <row r="61" spans="1:23">
      <c r="A61" s="153">
        <v>45134</v>
      </c>
      <c r="B61" s="279">
        <v>1</v>
      </c>
      <c r="C61" s="272">
        <v>22400</v>
      </c>
      <c r="D61" s="272"/>
      <c r="E61" s="272"/>
      <c r="F61" s="279">
        <v>2118000</v>
      </c>
      <c r="G61" s="272">
        <v>3700000</v>
      </c>
      <c r="H61" s="272">
        <v>370000</v>
      </c>
      <c r="I61" s="272">
        <v>315000</v>
      </c>
      <c r="J61" s="272">
        <v>8200</v>
      </c>
      <c r="K61" s="272">
        <v>200000</v>
      </c>
      <c r="L61" s="272">
        <v>51310000</v>
      </c>
      <c r="M61" s="281">
        <v>1000000000</v>
      </c>
      <c r="N61" s="281"/>
      <c r="O61" s="281"/>
      <c r="P61" s="272">
        <v>200</v>
      </c>
      <c r="Q61" s="272"/>
      <c r="R61" s="280">
        <v>885</v>
      </c>
      <c r="S61" s="272">
        <v>450</v>
      </c>
      <c r="T61" s="272">
        <v>2000</v>
      </c>
      <c r="U61" s="272">
        <v>1350</v>
      </c>
      <c r="V61" s="272">
        <v>1800</v>
      </c>
      <c r="W61" s="272">
        <v>1257</v>
      </c>
    </row>
    <row r="62" spans="1:23">
      <c r="A62" s="153">
        <v>45135</v>
      </c>
      <c r="B62" s="279">
        <v>1</v>
      </c>
      <c r="C62" s="272">
        <v>22400</v>
      </c>
      <c r="D62" s="272"/>
      <c r="E62" s="272"/>
      <c r="F62" s="279">
        <v>2118000</v>
      </c>
      <c r="G62" s="272">
        <v>3700000</v>
      </c>
      <c r="H62" s="272">
        <v>370000</v>
      </c>
      <c r="I62" s="272">
        <v>315000</v>
      </c>
      <c r="J62" s="272">
        <v>8200</v>
      </c>
      <c r="K62" s="272">
        <v>200000</v>
      </c>
      <c r="L62" s="272">
        <v>51310000</v>
      </c>
      <c r="M62" s="281">
        <v>1000000000</v>
      </c>
      <c r="N62" s="281"/>
      <c r="O62" s="281"/>
      <c r="P62" s="272">
        <v>200</v>
      </c>
      <c r="Q62" s="272"/>
      <c r="R62" s="280">
        <v>885</v>
      </c>
      <c r="S62" s="272">
        <v>450</v>
      </c>
      <c r="T62" s="272">
        <v>2000</v>
      </c>
      <c r="U62" s="272">
        <v>1350</v>
      </c>
      <c r="V62" s="272">
        <v>1800</v>
      </c>
      <c r="W62" s="272">
        <v>1257</v>
      </c>
    </row>
    <row r="63" spans="1:23">
      <c r="A63" s="153">
        <v>45138</v>
      </c>
      <c r="B63" s="279">
        <v>1</v>
      </c>
      <c r="C63" s="272">
        <v>22400</v>
      </c>
      <c r="D63" s="272"/>
      <c r="E63" s="272"/>
      <c r="F63" s="279">
        <v>2118000</v>
      </c>
      <c r="G63" s="272">
        <v>3700000</v>
      </c>
      <c r="H63" s="272">
        <v>370000</v>
      </c>
      <c r="I63" s="272">
        <v>315000</v>
      </c>
      <c r="J63" s="272">
        <v>8200</v>
      </c>
      <c r="K63" s="272">
        <v>200000</v>
      </c>
      <c r="L63" s="272">
        <v>51310000</v>
      </c>
      <c r="M63" s="281">
        <v>1000000000</v>
      </c>
      <c r="N63" s="281"/>
      <c r="O63" s="281"/>
      <c r="P63" s="272">
        <v>200</v>
      </c>
      <c r="Q63" s="272"/>
      <c r="R63" s="280">
        <v>885</v>
      </c>
      <c r="S63" s="272">
        <v>450</v>
      </c>
      <c r="T63" s="272">
        <v>2000</v>
      </c>
      <c r="U63" s="272">
        <v>1350</v>
      </c>
      <c r="V63" s="272">
        <v>1800</v>
      </c>
      <c r="W63" s="272">
        <v>1257</v>
      </c>
    </row>
    <row r="64" spans="1:23">
      <c r="A64" s="153">
        <v>45139</v>
      </c>
      <c r="B64" s="279">
        <v>1</v>
      </c>
      <c r="C64" s="272">
        <v>22400</v>
      </c>
      <c r="D64" s="272"/>
      <c r="E64" s="272"/>
      <c r="F64" s="279">
        <v>2118000</v>
      </c>
      <c r="G64" s="272">
        <v>3700000</v>
      </c>
      <c r="H64" s="272">
        <v>370000</v>
      </c>
      <c r="I64" s="272">
        <v>315000</v>
      </c>
      <c r="J64" s="272">
        <v>8200</v>
      </c>
      <c r="K64" s="272">
        <v>200000</v>
      </c>
      <c r="L64" s="272">
        <v>51310000</v>
      </c>
      <c r="M64" s="281">
        <v>1000000000</v>
      </c>
      <c r="N64" s="281"/>
      <c r="O64" s="281"/>
      <c r="P64" s="272">
        <v>200</v>
      </c>
      <c r="Q64" s="272"/>
      <c r="R64" s="280">
        <v>885</v>
      </c>
      <c r="S64" s="272">
        <v>450</v>
      </c>
      <c r="T64" s="272">
        <v>2000</v>
      </c>
      <c r="U64" s="272">
        <v>1350</v>
      </c>
      <c r="V64" s="272">
        <v>1800</v>
      </c>
      <c r="W64" s="272">
        <v>1257</v>
      </c>
    </row>
    <row r="65" spans="1:23">
      <c r="A65" s="153">
        <v>45140</v>
      </c>
      <c r="B65" s="279">
        <v>1</v>
      </c>
      <c r="C65" s="272">
        <v>22400</v>
      </c>
      <c r="D65" s="272"/>
      <c r="E65" s="272"/>
      <c r="F65" s="279">
        <v>2118000</v>
      </c>
      <c r="G65" s="272">
        <v>3700000</v>
      </c>
      <c r="H65" s="272">
        <v>370000</v>
      </c>
      <c r="I65" s="272">
        <v>315000</v>
      </c>
      <c r="J65" s="272">
        <v>8200</v>
      </c>
      <c r="K65" s="272">
        <v>200000</v>
      </c>
      <c r="L65" s="272">
        <v>51310000</v>
      </c>
      <c r="M65" s="281">
        <v>1000000000</v>
      </c>
      <c r="N65" s="281"/>
      <c r="O65" s="281"/>
      <c r="P65" s="272">
        <v>200</v>
      </c>
      <c r="Q65" s="272"/>
      <c r="R65" s="280">
        <v>885</v>
      </c>
      <c r="S65" s="272">
        <v>450</v>
      </c>
      <c r="T65" s="272">
        <v>2000</v>
      </c>
      <c r="U65" s="272">
        <v>1350</v>
      </c>
      <c r="V65" s="272">
        <v>1800</v>
      </c>
      <c r="W65" s="272">
        <v>1257</v>
      </c>
    </row>
    <row r="66" spans="1:23">
      <c r="A66" s="153">
        <v>45141</v>
      </c>
      <c r="B66" s="279">
        <v>1</v>
      </c>
      <c r="C66" s="272">
        <v>22400</v>
      </c>
      <c r="D66" s="272"/>
      <c r="E66" s="272"/>
      <c r="F66" s="279">
        <v>2118000</v>
      </c>
      <c r="G66" s="272">
        <v>3700000</v>
      </c>
      <c r="H66" s="272">
        <v>370000</v>
      </c>
      <c r="I66" s="272">
        <v>315000</v>
      </c>
      <c r="J66" s="272">
        <v>8200</v>
      </c>
      <c r="K66" s="272">
        <v>200000</v>
      </c>
      <c r="L66" s="272">
        <v>51310000</v>
      </c>
      <c r="M66" s="281">
        <v>1000000000</v>
      </c>
      <c r="N66" s="281"/>
      <c r="O66" s="281"/>
      <c r="P66" s="272">
        <v>200</v>
      </c>
      <c r="Q66" s="272"/>
      <c r="R66" s="280">
        <v>885</v>
      </c>
      <c r="S66" s="272">
        <v>450</v>
      </c>
      <c r="T66" s="272">
        <v>2000</v>
      </c>
      <c r="U66" s="272">
        <v>1350</v>
      </c>
      <c r="V66" s="272">
        <v>1800</v>
      </c>
      <c r="W66" s="272">
        <v>1257</v>
      </c>
    </row>
    <row r="67" spans="1:23">
      <c r="A67" s="153">
        <v>45142</v>
      </c>
      <c r="B67" s="279">
        <v>1</v>
      </c>
      <c r="C67" s="272">
        <v>22400</v>
      </c>
      <c r="D67" s="272"/>
      <c r="E67" s="272"/>
      <c r="F67" s="279">
        <v>2118000</v>
      </c>
      <c r="G67" s="272">
        <v>3700000</v>
      </c>
      <c r="H67" s="272">
        <v>370000</v>
      </c>
      <c r="I67" s="272">
        <v>315000</v>
      </c>
      <c r="J67" s="272">
        <v>8200</v>
      </c>
      <c r="K67" s="272">
        <v>200000</v>
      </c>
      <c r="L67" s="272">
        <v>51310000</v>
      </c>
      <c r="M67" s="281">
        <v>1000000000</v>
      </c>
      <c r="N67" s="281"/>
      <c r="O67" s="281"/>
      <c r="P67" s="272">
        <v>200</v>
      </c>
      <c r="Q67" s="272"/>
      <c r="R67" s="280">
        <v>885</v>
      </c>
      <c r="S67" s="272">
        <v>450</v>
      </c>
      <c r="T67" s="272">
        <v>2000</v>
      </c>
      <c r="U67" s="272">
        <v>1350</v>
      </c>
      <c r="V67" s="272">
        <v>1800</v>
      </c>
      <c r="W67" s="272">
        <v>1257</v>
      </c>
    </row>
    <row r="68" spans="1:23">
      <c r="A68" s="153">
        <v>45145</v>
      </c>
      <c r="B68" s="279">
        <v>1</v>
      </c>
      <c r="C68" s="272">
        <v>22400</v>
      </c>
      <c r="D68" s="272"/>
      <c r="E68" s="272"/>
      <c r="F68" s="279">
        <v>2118000</v>
      </c>
      <c r="G68" s="272">
        <v>3700000</v>
      </c>
      <c r="H68" s="272">
        <v>370000</v>
      </c>
      <c r="I68" s="272">
        <v>315000</v>
      </c>
      <c r="J68" s="272">
        <v>8200</v>
      </c>
      <c r="K68" s="272">
        <v>200000</v>
      </c>
      <c r="L68" s="272">
        <v>51310000</v>
      </c>
      <c r="M68" s="281">
        <v>1000000000</v>
      </c>
      <c r="N68" s="281"/>
      <c r="O68" s="281"/>
      <c r="P68" s="272">
        <v>200</v>
      </c>
      <c r="Q68" s="272"/>
      <c r="R68" s="280">
        <v>885</v>
      </c>
      <c r="S68" s="272">
        <v>450</v>
      </c>
      <c r="T68" s="272">
        <v>2000</v>
      </c>
      <c r="U68" s="272">
        <v>1350</v>
      </c>
      <c r="V68" s="272">
        <v>1800</v>
      </c>
      <c r="W68" s="272">
        <v>1257</v>
      </c>
    </row>
    <row r="69" spans="1:23">
      <c r="A69" s="153">
        <v>45146</v>
      </c>
      <c r="B69" s="279">
        <v>1</v>
      </c>
      <c r="C69" s="272">
        <v>22400</v>
      </c>
      <c r="D69" s="272"/>
      <c r="E69" s="272"/>
      <c r="F69" s="279">
        <v>2118000</v>
      </c>
      <c r="G69" s="272">
        <v>3700000</v>
      </c>
      <c r="H69" s="272">
        <v>370000</v>
      </c>
      <c r="I69" s="272">
        <v>315000</v>
      </c>
      <c r="J69" s="272">
        <v>8200</v>
      </c>
      <c r="K69" s="272">
        <v>200000</v>
      </c>
      <c r="L69" s="272">
        <v>51310000</v>
      </c>
      <c r="M69" s="281">
        <v>1000000000</v>
      </c>
      <c r="N69" s="281"/>
      <c r="O69" s="281"/>
      <c r="P69" s="272">
        <v>200</v>
      </c>
      <c r="Q69" s="272"/>
      <c r="R69" s="280">
        <v>885</v>
      </c>
      <c r="S69" s="272">
        <v>450</v>
      </c>
      <c r="T69" s="272">
        <v>2000</v>
      </c>
      <c r="U69" s="272">
        <v>1350</v>
      </c>
      <c r="V69" s="272">
        <v>1800</v>
      </c>
      <c r="W69" s="272">
        <v>1257</v>
      </c>
    </row>
    <row r="70" spans="1:23">
      <c r="A70" s="153">
        <v>45147</v>
      </c>
      <c r="B70" s="279">
        <v>1</v>
      </c>
      <c r="C70" s="272">
        <v>22400</v>
      </c>
      <c r="D70" s="272"/>
      <c r="E70" s="272"/>
      <c r="F70" s="279">
        <v>2118000</v>
      </c>
      <c r="G70" s="272">
        <v>3700000</v>
      </c>
      <c r="H70" s="272">
        <v>370000</v>
      </c>
      <c r="I70" s="272">
        <v>315000</v>
      </c>
      <c r="J70" s="272">
        <v>8200</v>
      </c>
      <c r="K70" s="272">
        <v>200000</v>
      </c>
      <c r="L70" s="272">
        <v>51310000</v>
      </c>
      <c r="M70" s="281">
        <v>1000000000</v>
      </c>
      <c r="N70" s="281"/>
      <c r="O70" s="281"/>
      <c r="P70" s="272">
        <v>200</v>
      </c>
      <c r="Q70" s="272"/>
      <c r="R70" s="280">
        <v>885</v>
      </c>
      <c r="S70" s="272">
        <v>450</v>
      </c>
      <c r="T70" s="272">
        <v>2000</v>
      </c>
      <c r="U70" s="272">
        <v>1350</v>
      </c>
      <c r="V70" s="272">
        <v>1800</v>
      </c>
      <c r="W70" s="272">
        <v>1257</v>
      </c>
    </row>
    <row r="71" spans="1:23">
      <c r="A71" s="153">
        <v>45148</v>
      </c>
      <c r="B71" s="279">
        <v>1</v>
      </c>
      <c r="C71" s="272">
        <v>22400</v>
      </c>
      <c r="D71" s="272"/>
      <c r="E71" s="272"/>
      <c r="F71" s="279">
        <v>2118000</v>
      </c>
      <c r="G71" s="272">
        <v>3700000</v>
      </c>
      <c r="H71" s="272">
        <v>370000</v>
      </c>
      <c r="I71" s="272">
        <v>315000</v>
      </c>
      <c r="J71" s="272">
        <v>8200</v>
      </c>
      <c r="K71" s="272">
        <v>200000</v>
      </c>
      <c r="L71" s="272">
        <v>51310000</v>
      </c>
      <c r="M71" s="281">
        <v>1000000000</v>
      </c>
      <c r="N71" s="281"/>
      <c r="O71" s="281"/>
      <c r="P71" s="272">
        <v>200</v>
      </c>
      <c r="Q71" s="272"/>
      <c r="R71" s="280">
        <v>885</v>
      </c>
      <c r="S71" s="272">
        <v>450</v>
      </c>
      <c r="T71" s="272">
        <v>2000</v>
      </c>
      <c r="U71" s="272">
        <v>1350</v>
      </c>
      <c r="V71" s="272">
        <v>1800</v>
      </c>
      <c r="W71" s="272">
        <v>1257</v>
      </c>
    </row>
    <row r="72" spans="1:23">
      <c r="A72" s="153">
        <v>45149</v>
      </c>
      <c r="B72" s="279">
        <v>1</v>
      </c>
      <c r="C72" s="272">
        <v>22400</v>
      </c>
      <c r="D72" s="272"/>
      <c r="E72" s="272"/>
      <c r="F72" s="279">
        <v>2118000</v>
      </c>
      <c r="G72" s="272">
        <v>3700000</v>
      </c>
      <c r="H72" s="272">
        <v>370000</v>
      </c>
      <c r="I72" s="272">
        <v>315000</v>
      </c>
      <c r="J72" s="272">
        <v>8200</v>
      </c>
      <c r="K72" s="272">
        <v>200000</v>
      </c>
      <c r="L72" s="272">
        <v>51310000</v>
      </c>
      <c r="M72" s="281">
        <v>1000000000</v>
      </c>
      <c r="N72" s="281"/>
      <c r="O72" s="281"/>
      <c r="P72" s="272">
        <v>200</v>
      </c>
      <c r="Q72" s="272"/>
      <c r="R72" s="280">
        <v>885</v>
      </c>
      <c r="S72" s="272">
        <v>450</v>
      </c>
      <c r="T72" s="272">
        <v>2000</v>
      </c>
      <c r="U72" s="272">
        <v>1350</v>
      </c>
      <c r="V72" s="272">
        <v>1800</v>
      </c>
      <c r="W72" s="272">
        <v>1257</v>
      </c>
    </row>
    <row r="73" spans="1:23">
      <c r="A73" s="153">
        <v>45152</v>
      </c>
      <c r="B73" s="279">
        <v>1</v>
      </c>
      <c r="C73" s="272">
        <v>22400</v>
      </c>
      <c r="D73" s="272"/>
      <c r="E73" s="272"/>
      <c r="F73" s="279">
        <v>2118000</v>
      </c>
      <c r="G73" s="272">
        <v>3700000</v>
      </c>
      <c r="H73" s="272">
        <v>370000</v>
      </c>
      <c r="I73" s="272">
        <v>315000</v>
      </c>
      <c r="J73" s="272">
        <v>8200</v>
      </c>
      <c r="K73" s="272">
        <v>200000</v>
      </c>
      <c r="L73" s="272">
        <v>51310000</v>
      </c>
      <c r="M73" s="281">
        <v>1000000000</v>
      </c>
      <c r="N73" s="281"/>
      <c r="O73" s="281"/>
      <c r="P73" s="272">
        <v>200</v>
      </c>
      <c r="Q73" s="272"/>
      <c r="R73" s="280">
        <v>885</v>
      </c>
      <c r="S73" s="272">
        <v>450</v>
      </c>
      <c r="T73" s="272">
        <v>2000</v>
      </c>
      <c r="U73" s="272">
        <v>1350</v>
      </c>
      <c r="V73" s="272">
        <v>1800</v>
      </c>
      <c r="W73" s="272">
        <v>1257</v>
      </c>
    </row>
    <row r="74" spans="1:23">
      <c r="A74" s="153">
        <v>45153</v>
      </c>
      <c r="B74" s="279">
        <v>1</v>
      </c>
      <c r="C74" s="272">
        <v>22400</v>
      </c>
      <c r="D74" s="272"/>
      <c r="E74" s="272"/>
      <c r="F74" s="279">
        <v>2118000</v>
      </c>
      <c r="G74" s="272">
        <v>3700000</v>
      </c>
      <c r="H74" s="272">
        <v>370000</v>
      </c>
      <c r="I74" s="272">
        <v>315000</v>
      </c>
      <c r="J74" s="272">
        <v>8200</v>
      </c>
      <c r="K74" s="272">
        <v>200000</v>
      </c>
      <c r="L74" s="272">
        <v>51310000</v>
      </c>
      <c r="M74" s="281">
        <v>1000000000</v>
      </c>
      <c r="N74" s="281"/>
      <c r="O74" s="281"/>
      <c r="P74" s="272">
        <v>200</v>
      </c>
      <c r="Q74" s="272"/>
      <c r="R74" s="280">
        <v>885</v>
      </c>
      <c r="S74" s="272">
        <v>450</v>
      </c>
      <c r="T74" s="272">
        <v>2000</v>
      </c>
      <c r="U74" s="272">
        <v>1350</v>
      </c>
      <c r="V74" s="272">
        <v>1800</v>
      </c>
      <c r="W74" s="272">
        <v>1257</v>
      </c>
    </row>
    <row r="75" spans="1:23">
      <c r="A75" s="153">
        <v>45154</v>
      </c>
      <c r="B75" s="279">
        <v>1</v>
      </c>
      <c r="C75" s="272">
        <v>22400</v>
      </c>
      <c r="D75" s="272"/>
      <c r="E75" s="272"/>
      <c r="F75" s="279">
        <v>2118000</v>
      </c>
      <c r="G75" s="272">
        <v>3700000</v>
      </c>
      <c r="H75" s="272">
        <v>370000</v>
      </c>
      <c r="I75" s="272">
        <v>315000</v>
      </c>
      <c r="J75" s="272">
        <v>8200</v>
      </c>
      <c r="K75" s="272">
        <v>200000</v>
      </c>
      <c r="L75" s="272">
        <v>51310000</v>
      </c>
      <c r="M75" s="281">
        <v>1000000000</v>
      </c>
      <c r="N75" s="281"/>
      <c r="O75" s="281"/>
      <c r="P75" s="272">
        <v>200</v>
      </c>
      <c r="Q75" s="272"/>
      <c r="R75" s="280">
        <v>885</v>
      </c>
      <c r="S75" s="272">
        <v>450</v>
      </c>
      <c r="T75" s="272">
        <v>2000</v>
      </c>
      <c r="U75" s="272">
        <v>1350</v>
      </c>
      <c r="V75" s="272">
        <v>1800</v>
      </c>
      <c r="W75" s="272">
        <v>1257</v>
      </c>
    </row>
    <row r="76" spans="1:23">
      <c r="A76" s="153">
        <v>45155</v>
      </c>
      <c r="B76" s="279">
        <v>1</v>
      </c>
      <c r="C76" s="272">
        <v>22400</v>
      </c>
      <c r="D76" s="272"/>
      <c r="E76" s="272"/>
      <c r="F76" s="279">
        <v>2118000</v>
      </c>
      <c r="G76" s="272">
        <v>3700000</v>
      </c>
      <c r="H76" s="272">
        <v>370000</v>
      </c>
      <c r="I76" s="272">
        <v>315000</v>
      </c>
      <c r="J76" s="272">
        <v>8200</v>
      </c>
      <c r="K76" s="272">
        <v>200000</v>
      </c>
      <c r="L76" s="272">
        <v>51310000</v>
      </c>
      <c r="M76" s="281">
        <v>1000000000</v>
      </c>
      <c r="N76" s="281"/>
      <c r="O76" s="281"/>
      <c r="P76" s="272">
        <v>200</v>
      </c>
      <c r="Q76" s="272"/>
      <c r="R76" s="280">
        <v>885</v>
      </c>
      <c r="S76" s="272">
        <v>450</v>
      </c>
      <c r="T76" s="272">
        <v>2000</v>
      </c>
      <c r="U76" s="272">
        <v>1350</v>
      </c>
      <c r="V76" s="272">
        <v>1800</v>
      </c>
      <c r="W76" s="272">
        <v>1257</v>
      </c>
    </row>
    <row r="77" spans="1:23">
      <c r="A77" s="153">
        <v>45156</v>
      </c>
      <c r="B77" s="279">
        <v>1</v>
      </c>
      <c r="C77" s="272">
        <v>22400</v>
      </c>
      <c r="D77" s="272"/>
      <c r="E77" s="272"/>
      <c r="F77" s="279">
        <v>2118000</v>
      </c>
      <c r="G77" s="272">
        <v>3700000</v>
      </c>
      <c r="H77" s="272">
        <v>370000</v>
      </c>
      <c r="I77" s="272">
        <v>315000</v>
      </c>
      <c r="J77" s="272">
        <v>8200</v>
      </c>
      <c r="K77" s="272">
        <v>200000</v>
      </c>
      <c r="L77" s="272">
        <v>51310000</v>
      </c>
      <c r="M77" s="281">
        <v>1000000000</v>
      </c>
      <c r="N77" s="281"/>
      <c r="O77" s="281"/>
      <c r="P77" s="272">
        <v>200</v>
      </c>
      <c r="Q77" s="272"/>
      <c r="R77" s="280">
        <v>885</v>
      </c>
      <c r="S77" s="272">
        <v>450</v>
      </c>
      <c r="T77" s="272">
        <v>2000</v>
      </c>
      <c r="U77" s="272">
        <v>1350</v>
      </c>
      <c r="V77" s="272">
        <v>1800</v>
      </c>
      <c r="W77" s="272">
        <v>1257</v>
      </c>
    </row>
    <row r="78" spans="1:23">
      <c r="A78" s="153">
        <v>45159</v>
      </c>
      <c r="B78" s="279">
        <v>1</v>
      </c>
      <c r="C78" s="272">
        <v>22400</v>
      </c>
      <c r="D78" s="272"/>
      <c r="E78" s="272"/>
      <c r="F78" s="279">
        <v>2118000</v>
      </c>
      <c r="G78" s="272">
        <v>3700000</v>
      </c>
      <c r="H78" s="272">
        <v>370000</v>
      </c>
      <c r="I78" s="272">
        <v>315000</v>
      </c>
      <c r="J78" s="272">
        <v>8200</v>
      </c>
      <c r="K78" s="272">
        <v>200000</v>
      </c>
      <c r="L78" s="272">
        <v>51310000</v>
      </c>
      <c r="M78" s="281">
        <v>1000000000</v>
      </c>
      <c r="N78" s="281"/>
      <c r="O78" s="281"/>
      <c r="P78" s="272">
        <v>200</v>
      </c>
      <c r="Q78" s="272"/>
      <c r="R78" s="280">
        <v>885</v>
      </c>
      <c r="S78" s="272">
        <v>450</v>
      </c>
      <c r="T78" s="272">
        <v>2000</v>
      </c>
      <c r="U78" s="272">
        <v>1350</v>
      </c>
      <c r="V78" s="272">
        <v>1800</v>
      </c>
      <c r="W78" s="272">
        <v>1257</v>
      </c>
    </row>
    <row r="79" spans="1:23">
      <c r="A79" s="153">
        <v>45160</v>
      </c>
      <c r="B79" s="279">
        <v>1</v>
      </c>
      <c r="C79" s="272">
        <v>22400</v>
      </c>
      <c r="D79" s="272"/>
      <c r="E79" s="272"/>
      <c r="F79" s="279">
        <v>2118000</v>
      </c>
      <c r="G79" s="272">
        <v>3700000</v>
      </c>
      <c r="H79" s="272">
        <v>370000</v>
      </c>
      <c r="I79" s="272">
        <v>315000</v>
      </c>
      <c r="J79" s="272">
        <v>8200</v>
      </c>
      <c r="K79" s="272">
        <v>200000</v>
      </c>
      <c r="L79" s="272">
        <v>51310000</v>
      </c>
      <c r="M79" s="281">
        <v>1000000000</v>
      </c>
      <c r="N79" s="281"/>
      <c r="O79" s="281"/>
      <c r="P79" s="272">
        <v>200</v>
      </c>
      <c r="Q79" s="272"/>
      <c r="R79" s="280">
        <v>885</v>
      </c>
      <c r="S79" s="272">
        <v>450</v>
      </c>
      <c r="T79" s="272">
        <v>2000</v>
      </c>
      <c r="U79" s="272">
        <v>1350</v>
      </c>
      <c r="V79" s="272">
        <v>1800</v>
      </c>
      <c r="W79" s="272">
        <v>1257</v>
      </c>
    </row>
    <row r="80" spans="1:23">
      <c r="A80" s="153">
        <v>45161</v>
      </c>
      <c r="B80" s="279">
        <v>1</v>
      </c>
      <c r="C80" s="272">
        <v>22400</v>
      </c>
      <c r="D80" s="272"/>
      <c r="E80" s="272"/>
      <c r="F80" s="279">
        <v>2118000</v>
      </c>
      <c r="G80" s="272">
        <v>3700000</v>
      </c>
      <c r="H80" s="272">
        <v>370000</v>
      </c>
      <c r="I80" s="272">
        <v>315000</v>
      </c>
      <c r="J80" s="272">
        <v>8200</v>
      </c>
      <c r="K80" s="272">
        <v>200000</v>
      </c>
      <c r="L80" s="272">
        <v>51310000</v>
      </c>
      <c r="M80" s="281">
        <v>1000000000</v>
      </c>
      <c r="N80" s="281"/>
      <c r="O80" s="281"/>
      <c r="P80" s="272">
        <v>200</v>
      </c>
      <c r="Q80" s="272"/>
      <c r="R80" s="280">
        <v>885</v>
      </c>
      <c r="S80" s="272">
        <v>450</v>
      </c>
      <c r="T80" s="272">
        <v>2000</v>
      </c>
      <c r="U80" s="272">
        <v>1350</v>
      </c>
      <c r="V80" s="272">
        <v>1800</v>
      </c>
      <c r="W80" s="272">
        <v>1257</v>
      </c>
    </row>
    <row r="81" spans="1:23">
      <c r="A81" s="153">
        <v>45162</v>
      </c>
      <c r="B81" s="279">
        <v>1</v>
      </c>
      <c r="C81" s="272">
        <v>22400</v>
      </c>
      <c r="D81" s="272"/>
      <c r="E81" s="272"/>
      <c r="F81" s="279">
        <v>2118000</v>
      </c>
      <c r="G81" s="272">
        <v>3700000</v>
      </c>
      <c r="H81" s="272">
        <v>370000</v>
      </c>
      <c r="I81" s="272">
        <v>315000</v>
      </c>
      <c r="J81" s="272">
        <v>8200</v>
      </c>
      <c r="K81" s="272">
        <v>200000</v>
      </c>
      <c r="L81" s="272">
        <v>51310000</v>
      </c>
      <c r="M81" s="281">
        <v>1000000000</v>
      </c>
      <c r="N81" s="281"/>
      <c r="O81" s="281"/>
      <c r="P81" s="272">
        <v>200</v>
      </c>
      <c r="Q81" s="272"/>
      <c r="R81" s="280">
        <v>885</v>
      </c>
      <c r="S81" s="272">
        <v>450</v>
      </c>
      <c r="T81" s="272">
        <v>2000</v>
      </c>
      <c r="U81" s="272">
        <v>1350</v>
      </c>
      <c r="V81" s="272">
        <v>1800</v>
      </c>
      <c r="W81" s="272">
        <v>1257</v>
      </c>
    </row>
    <row r="82" spans="1:23">
      <c r="A82" s="153">
        <v>45163</v>
      </c>
      <c r="B82" s="279">
        <v>1</v>
      </c>
      <c r="C82" s="272">
        <v>22400</v>
      </c>
      <c r="D82" s="272"/>
      <c r="E82" s="272"/>
      <c r="F82" s="279">
        <v>2118000</v>
      </c>
      <c r="G82" s="272">
        <v>3700000</v>
      </c>
      <c r="H82" s="272">
        <v>370000</v>
      </c>
      <c r="I82" s="272">
        <v>315000</v>
      </c>
      <c r="J82" s="272">
        <v>8200</v>
      </c>
      <c r="K82" s="272">
        <v>200000</v>
      </c>
      <c r="L82" s="272">
        <v>51310000</v>
      </c>
      <c r="M82" s="281">
        <v>1000000000</v>
      </c>
      <c r="N82" s="281"/>
      <c r="O82" s="281"/>
      <c r="P82" s="272">
        <v>200</v>
      </c>
      <c r="Q82" s="272"/>
      <c r="R82" s="280">
        <v>885</v>
      </c>
      <c r="S82" s="272">
        <v>450</v>
      </c>
      <c r="T82" s="272">
        <v>2000</v>
      </c>
      <c r="U82" s="272">
        <v>1350</v>
      </c>
      <c r="V82" s="272">
        <v>1800</v>
      </c>
      <c r="W82" s="272">
        <v>1257</v>
      </c>
    </row>
    <row r="83" spans="1:23">
      <c r="A83" s="153">
        <v>45166</v>
      </c>
      <c r="B83" s="279">
        <v>1</v>
      </c>
      <c r="C83" s="272">
        <v>22400</v>
      </c>
      <c r="D83" s="272"/>
      <c r="E83" s="272"/>
      <c r="F83" s="279">
        <v>2118000</v>
      </c>
      <c r="G83" s="272">
        <v>3700000</v>
      </c>
      <c r="H83" s="272">
        <v>370000</v>
      </c>
      <c r="I83" s="272">
        <v>315000</v>
      </c>
      <c r="J83" s="272">
        <v>8200</v>
      </c>
      <c r="K83" s="272">
        <v>200000</v>
      </c>
      <c r="L83" s="272">
        <v>51310000</v>
      </c>
      <c r="M83" s="281">
        <v>1000000000</v>
      </c>
      <c r="N83" s="281"/>
      <c r="O83" s="281"/>
      <c r="P83" s="272">
        <v>200</v>
      </c>
      <c r="Q83" s="272"/>
      <c r="R83" s="280">
        <v>885</v>
      </c>
      <c r="S83" s="272">
        <v>450</v>
      </c>
      <c r="T83" s="272">
        <v>2000</v>
      </c>
      <c r="U83" s="272">
        <v>1350</v>
      </c>
      <c r="V83" s="272">
        <v>1800</v>
      </c>
      <c r="W83" s="272">
        <v>1257</v>
      </c>
    </row>
    <row r="84" spans="1:23">
      <c r="A84" s="153">
        <v>45167</v>
      </c>
      <c r="B84" s="279">
        <v>1</v>
      </c>
      <c r="C84" s="272">
        <v>22400</v>
      </c>
      <c r="D84" s="272"/>
      <c r="E84" s="272"/>
      <c r="F84" s="279">
        <v>2118000</v>
      </c>
      <c r="G84" s="272">
        <v>3700000</v>
      </c>
      <c r="H84" s="272">
        <v>370000</v>
      </c>
      <c r="I84" s="272">
        <v>315000</v>
      </c>
      <c r="J84" s="272">
        <v>8200</v>
      </c>
      <c r="K84" s="272">
        <v>200000</v>
      </c>
      <c r="L84" s="272">
        <v>51310000</v>
      </c>
      <c r="M84" s="281">
        <v>1000000000</v>
      </c>
      <c r="N84" s="281"/>
      <c r="O84" s="281"/>
      <c r="P84" s="272">
        <v>200</v>
      </c>
      <c r="Q84" s="272"/>
      <c r="R84" s="280">
        <v>885</v>
      </c>
      <c r="S84" s="272">
        <v>450</v>
      </c>
      <c r="T84" s="272">
        <v>2000</v>
      </c>
      <c r="U84" s="272">
        <v>1350</v>
      </c>
      <c r="V84" s="272">
        <v>1800</v>
      </c>
      <c r="W84" s="272">
        <v>1257</v>
      </c>
    </row>
    <row r="85" spans="1:23">
      <c r="A85" s="153">
        <v>45168</v>
      </c>
      <c r="B85" s="279">
        <v>1</v>
      </c>
      <c r="C85" s="272">
        <v>22400</v>
      </c>
      <c r="D85" s="272"/>
      <c r="E85" s="272"/>
      <c r="F85" s="279">
        <v>2118000</v>
      </c>
      <c r="G85" s="272">
        <v>3700000</v>
      </c>
      <c r="H85" s="272">
        <v>370000</v>
      </c>
      <c r="I85" s="272">
        <v>315000</v>
      </c>
      <c r="J85" s="272">
        <v>8200</v>
      </c>
      <c r="K85" s="272">
        <v>200000</v>
      </c>
      <c r="L85" s="272">
        <v>51310000</v>
      </c>
      <c r="M85" s="281">
        <v>1000000000</v>
      </c>
      <c r="N85" s="281"/>
      <c r="O85" s="281"/>
      <c r="P85" s="272">
        <v>200</v>
      </c>
      <c r="Q85" s="272"/>
      <c r="R85" s="280">
        <v>885</v>
      </c>
      <c r="S85" s="272">
        <v>450</v>
      </c>
      <c r="T85" s="272">
        <v>2000</v>
      </c>
      <c r="U85" s="272">
        <v>1350</v>
      </c>
      <c r="V85" s="272">
        <v>1800</v>
      </c>
      <c r="W85" s="272">
        <v>1257</v>
      </c>
    </row>
    <row r="86" spans="1:23">
      <c r="A86" s="153">
        <v>45169</v>
      </c>
      <c r="B86" s="279">
        <v>1</v>
      </c>
      <c r="C86" s="272">
        <v>22400</v>
      </c>
      <c r="D86" s="272"/>
      <c r="E86" s="272"/>
      <c r="F86" s="279">
        <v>2118000</v>
      </c>
      <c r="G86" s="272">
        <v>3700000</v>
      </c>
      <c r="H86" s="272">
        <v>370000</v>
      </c>
      <c r="I86" s="272">
        <v>315000</v>
      </c>
      <c r="J86" s="272">
        <v>8200</v>
      </c>
      <c r="K86" s="272">
        <v>200000</v>
      </c>
      <c r="L86" s="272">
        <v>51310000</v>
      </c>
      <c r="M86" s="281">
        <v>1000000000</v>
      </c>
      <c r="N86" s="281"/>
      <c r="O86" s="281"/>
      <c r="P86" s="272">
        <v>200</v>
      </c>
      <c r="Q86" s="272"/>
      <c r="R86" s="280">
        <v>885</v>
      </c>
      <c r="S86" s="272">
        <v>450</v>
      </c>
      <c r="T86" s="272">
        <v>2000</v>
      </c>
      <c r="U86" s="272">
        <v>1350</v>
      </c>
      <c r="V86" s="272">
        <v>1800</v>
      </c>
      <c r="W86" s="272">
        <v>1257</v>
      </c>
    </row>
    <row r="87" spans="1:23">
      <c r="A87" s="153">
        <v>45170</v>
      </c>
      <c r="B87" s="279">
        <v>1</v>
      </c>
      <c r="C87" s="272">
        <v>22400</v>
      </c>
      <c r="D87" s="272"/>
      <c r="E87" s="272"/>
      <c r="F87" s="279">
        <v>2118000</v>
      </c>
      <c r="G87" s="272">
        <v>3700000</v>
      </c>
      <c r="H87" s="272">
        <v>370000</v>
      </c>
      <c r="I87" s="272">
        <v>315000</v>
      </c>
      <c r="J87" s="272">
        <v>8200</v>
      </c>
      <c r="K87" s="272">
        <v>200000</v>
      </c>
      <c r="L87" s="272">
        <v>51310000</v>
      </c>
      <c r="M87" s="281">
        <v>1000000000</v>
      </c>
      <c r="N87" s="281"/>
      <c r="O87" s="281"/>
      <c r="P87" s="272">
        <v>200</v>
      </c>
      <c r="Q87" s="272"/>
      <c r="R87" s="280">
        <v>885</v>
      </c>
      <c r="S87" s="272">
        <v>450</v>
      </c>
      <c r="T87" s="272">
        <v>2000</v>
      </c>
      <c r="U87" s="272">
        <v>1350</v>
      </c>
      <c r="V87" s="272">
        <v>1800</v>
      </c>
      <c r="W87" s="272">
        <v>1257</v>
      </c>
    </row>
    <row r="88" spans="1:23">
      <c r="A88" s="153">
        <v>45173</v>
      </c>
      <c r="B88" s="279">
        <v>1</v>
      </c>
      <c r="C88" s="272">
        <v>22400</v>
      </c>
      <c r="D88" s="272"/>
      <c r="E88" s="272"/>
      <c r="F88" s="279">
        <v>2118000</v>
      </c>
      <c r="G88" s="272">
        <v>3700000</v>
      </c>
      <c r="H88" s="272">
        <v>370000</v>
      </c>
      <c r="I88" s="272">
        <v>315000</v>
      </c>
      <c r="J88" s="272">
        <v>8200</v>
      </c>
      <c r="K88" s="272">
        <v>200000</v>
      </c>
      <c r="L88" s="272">
        <v>51310000</v>
      </c>
      <c r="M88" s="281">
        <v>1000000000</v>
      </c>
      <c r="N88" s="281"/>
      <c r="O88" s="281"/>
      <c r="P88" s="272">
        <v>200</v>
      </c>
      <c r="Q88" s="272"/>
      <c r="R88" s="280">
        <v>885</v>
      </c>
      <c r="S88" s="272">
        <v>450</v>
      </c>
      <c r="T88" s="272">
        <v>2000</v>
      </c>
      <c r="U88" s="272">
        <v>1350</v>
      </c>
      <c r="V88" s="272">
        <v>1800</v>
      </c>
      <c r="W88" s="272">
        <v>1257</v>
      </c>
    </row>
    <row r="89" spans="1:23">
      <c r="A89" s="153">
        <v>45174</v>
      </c>
      <c r="B89" s="279">
        <v>1</v>
      </c>
      <c r="C89" s="272">
        <v>22400</v>
      </c>
      <c r="D89" s="272"/>
      <c r="E89" s="272"/>
      <c r="F89" s="279">
        <v>2118000</v>
      </c>
      <c r="G89" s="272">
        <v>3700000</v>
      </c>
      <c r="H89" s="272">
        <v>370000</v>
      </c>
      <c r="I89" s="272">
        <v>315000</v>
      </c>
      <c r="J89" s="272">
        <v>8200</v>
      </c>
      <c r="K89" s="272">
        <v>200000</v>
      </c>
      <c r="L89" s="272">
        <v>51310000</v>
      </c>
      <c r="M89" s="281">
        <v>1000000000</v>
      </c>
      <c r="N89" s="281"/>
      <c r="O89" s="281"/>
      <c r="P89" s="272">
        <v>200</v>
      </c>
      <c r="Q89" s="272"/>
      <c r="R89" s="280">
        <v>885</v>
      </c>
      <c r="S89" s="272">
        <v>450</v>
      </c>
      <c r="T89" s="272">
        <v>2000</v>
      </c>
      <c r="U89" s="272">
        <v>1350</v>
      </c>
      <c r="V89" s="272">
        <v>1800</v>
      </c>
      <c r="W89" s="272">
        <v>1257</v>
      </c>
    </row>
    <row r="90" spans="1:23">
      <c r="A90" s="153">
        <v>45175</v>
      </c>
      <c r="B90" s="279">
        <v>1</v>
      </c>
      <c r="C90" s="272">
        <v>22400</v>
      </c>
      <c r="D90" s="272"/>
      <c r="E90" s="272"/>
      <c r="F90" s="279">
        <v>2118000</v>
      </c>
      <c r="G90" s="272">
        <v>3700000</v>
      </c>
      <c r="H90" s="272">
        <v>370000</v>
      </c>
      <c r="I90" s="272">
        <v>315000</v>
      </c>
      <c r="J90" s="272">
        <v>8200</v>
      </c>
      <c r="K90" s="272">
        <v>200000</v>
      </c>
      <c r="L90" s="272">
        <v>51310000</v>
      </c>
      <c r="M90" s="281">
        <v>1000000000</v>
      </c>
      <c r="N90" s="281"/>
      <c r="O90" s="281"/>
      <c r="P90" s="272">
        <v>200</v>
      </c>
      <c r="Q90" s="272"/>
      <c r="R90" s="280">
        <v>885</v>
      </c>
      <c r="S90" s="272">
        <v>450</v>
      </c>
      <c r="T90" s="272">
        <v>2000</v>
      </c>
      <c r="U90" s="272">
        <v>1350</v>
      </c>
      <c r="V90" s="272">
        <v>1800</v>
      </c>
      <c r="W90" s="272">
        <v>1257</v>
      </c>
    </row>
    <row r="91" spans="1:23">
      <c r="A91" s="153">
        <v>45176</v>
      </c>
      <c r="B91" s="279">
        <v>1</v>
      </c>
      <c r="C91" s="272">
        <v>22400</v>
      </c>
      <c r="D91" s="272"/>
      <c r="E91" s="272"/>
      <c r="F91" s="279">
        <v>2118000</v>
      </c>
      <c r="G91" s="272">
        <v>3700000</v>
      </c>
      <c r="H91" s="272">
        <v>370000</v>
      </c>
      <c r="I91" s="272">
        <v>315000</v>
      </c>
      <c r="J91" s="272">
        <v>8200</v>
      </c>
      <c r="K91" s="272">
        <v>200000</v>
      </c>
      <c r="L91" s="272">
        <v>51310000</v>
      </c>
      <c r="M91" s="281">
        <v>1000000000</v>
      </c>
      <c r="N91" s="281"/>
      <c r="O91" s="281"/>
      <c r="P91" s="272">
        <v>200</v>
      </c>
      <c r="Q91" s="272"/>
      <c r="R91" s="280">
        <v>885</v>
      </c>
      <c r="S91" s="272">
        <v>450</v>
      </c>
      <c r="T91" s="272">
        <v>2000</v>
      </c>
      <c r="U91" s="272">
        <v>1350</v>
      </c>
      <c r="V91" s="272">
        <v>1800</v>
      </c>
      <c r="W91" s="272">
        <v>1257</v>
      </c>
    </row>
    <row r="92" spans="1:23">
      <c r="A92" s="153">
        <v>45177</v>
      </c>
      <c r="B92" s="279">
        <v>1</v>
      </c>
      <c r="C92" s="272">
        <v>22400</v>
      </c>
      <c r="D92" s="272"/>
      <c r="E92" s="272"/>
      <c r="F92" s="279">
        <v>2118000</v>
      </c>
      <c r="G92" s="272">
        <v>3700000</v>
      </c>
      <c r="H92" s="272">
        <v>370000</v>
      </c>
      <c r="I92" s="272">
        <v>315000</v>
      </c>
      <c r="J92" s="272">
        <v>8200</v>
      </c>
      <c r="K92" s="272">
        <v>200000</v>
      </c>
      <c r="L92" s="272">
        <v>51310000</v>
      </c>
      <c r="M92" s="281">
        <v>1000000000</v>
      </c>
      <c r="N92" s="281"/>
      <c r="O92" s="281"/>
      <c r="P92" s="272">
        <v>200</v>
      </c>
      <c r="Q92" s="272"/>
      <c r="R92" s="280">
        <v>885</v>
      </c>
      <c r="S92" s="272">
        <v>450</v>
      </c>
      <c r="T92" s="272">
        <v>2000</v>
      </c>
      <c r="U92" s="272">
        <v>1350</v>
      </c>
      <c r="V92" s="272">
        <v>1800</v>
      </c>
      <c r="W92" s="272">
        <v>1257</v>
      </c>
    </row>
    <row r="93" spans="1:23">
      <c r="A93" s="153">
        <v>45180</v>
      </c>
      <c r="B93" s="279">
        <v>1</v>
      </c>
      <c r="C93" s="272">
        <v>22400</v>
      </c>
      <c r="D93" s="272"/>
      <c r="E93" s="272"/>
      <c r="F93" s="279">
        <v>2118000</v>
      </c>
      <c r="G93" s="272">
        <v>3700000</v>
      </c>
      <c r="H93" s="272">
        <v>370000</v>
      </c>
      <c r="I93" s="272">
        <v>315000</v>
      </c>
      <c r="J93" s="272">
        <v>8200</v>
      </c>
      <c r="K93" s="272">
        <v>200000</v>
      </c>
      <c r="L93" s="272">
        <v>51310000</v>
      </c>
      <c r="M93" s="281">
        <v>1000000000</v>
      </c>
      <c r="N93" s="281"/>
      <c r="O93" s="281"/>
      <c r="P93" s="272">
        <v>200</v>
      </c>
      <c r="Q93" s="272"/>
      <c r="R93" s="280">
        <v>885</v>
      </c>
      <c r="S93" s="272">
        <v>450</v>
      </c>
      <c r="T93" s="272">
        <v>2000</v>
      </c>
      <c r="U93" s="272">
        <v>1350</v>
      </c>
      <c r="V93" s="272">
        <v>1800</v>
      </c>
      <c r="W93" s="272">
        <v>1257</v>
      </c>
    </row>
    <row r="94" spans="1:23">
      <c r="A94" s="153">
        <v>45181</v>
      </c>
      <c r="B94" s="279">
        <v>1</v>
      </c>
      <c r="C94" s="272">
        <v>22400</v>
      </c>
      <c r="D94" s="272"/>
      <c r="E94" s="272"/>
      <c r="F94" s="279">
        <v>2118000</v>
      </c>
      <c r="G94" s="272">
        <v>3700000</v>
      </c>
      <c r="H94" s="272">
        <v>370000</v>
      </c>
      <c r="I94" s="272">
        <v>315000</v>
      </c>
      <c r="J94" s="272">
        <v>8200</v>
      </c>
      <c r="K94" s="272">
        <v>200000</v>
      </c>
      <c r="L94" s="272">
        <v>51310000</v>
      </c>
      <c r="M94" s="281">
        <v>1000000000</v>
      </c>
      <c r="N94" s="281"/>
      <c r="O94" s="281"/>
      <c r="P94" s="272">
        <v>200</v>
      </c>
      <c r="Q94" s="272"/>
      <c r="R94" s="280">
        <v>885</v>
      </c>
      <c r="S94" s="272">
        <v>450</v>
      </c>
      <c r="T94" s="272">
        <v>2000</v>
      </c>
      <c r="U94" s="272">
        <v>1350</v>
      </c>
      <c r="V94" s="272">
        <v>1800</v>
      </c>
      <c r="W94" s="272">
        <v>1257</v>
      </c>
    </row>
    <row r="95" spans="1:23">
      <c r="A95" s="153">
        <v>45182</v>
      </c>
      <c r="B95" s="279">
        <v>1</v>
      </c>
      <c r="C95" s="272">
        <v>22400</v>
      </c>
      <c r="D95" s="272"/>
      <c r="E95" s="272"/>
      <c r="F95" s="279">
        <v>2118000</v>
      </c>
      <c r="G95" s="272">
        <v>3700000</v>
      </c>
      <c r="H95" s="272">
        <v>370000</v>
      </c>
      <c r="I95" s="272">
        <v>315000</v>
      </c>
      <c r="J95" s="272">
        <v>8200</v>
      </c>
      <c r="K95" s="272">
        <v>200000</v>
      </c>
      <c r="L95" s="272">
        <v>51310000</v>
      </c>
      <c r="M95" s="281">
        <v>1000000000</v>
      </c>
      <c r="N95" s="281"/>
      <c r="O95" s="281"/>
      <c r="P95" s="272">
        <v>200</v>
      </c>
      <c r="Q95" s="272"/>
      <c r="R95" s="280">
        <v>885</v>
      </c>
      <c r="S95" s="272">
        <v>450</v>
      </c>
      <c r="T95" s="272">
        <v>2000</v>
      </c>
      <c r="U95" s="272">
        <v>1350</v>
      </c>
      <c r="V95" s="272">
        <v>1800</v>
      </c>
      <c r="W95" s="272">
        <v>1257</v>
      </c>
    </row>
    <row r="96" spans="1:23">
      <c r="A96" s="153">
        <v>45183</v>
      </c>
      <c r="B96" s="279">
        <v>1</v>
      </c>
      <c r="C96" s="272">
        <v>22400</v>
      </c>
      <c r="D96" s="272"/>
      <c r="E96" s="272"/>
      <c r="F96" s="279">
        <v>2118000</v>
      </c>
      <c r="G96" s="272">
        <v>3700000</v>
      </c>
      <c r="H96" s="272">
        <v>370000</v>
      </c>
      <c r="I96" s="272">
        <v>315000</v>
      </c>
      <c r="J96" s="272">
        <v>8200</v>
      </c>
      <c r="K96" s="272">
        <v>200000</v>
      </c>
      <c r="L96" s="272">
        <v>51310000</v>
      </c>
      <c r="M96" s="281">
        <v>1000000000</v>
      </c>
      <c r="N96" s="281"/>
      <c r="O96" s="281"/>
      <c r="P96" s="272">
        <v>200</v>
      </c>
      <c r="Q96" s="272"/>
      <c r="R96" s="280">
        <v>885</v>
      </c>
      <c r="S96" s="272">
        <v>450</v>
      </c>
      <c r="T96" s="272">
        <v>2000</v>
      </c>
      <c r="U96" s="272">
        <v>1350</v>
      </c>
      <c r="V96" s="272">
        <v>1800</v>
      </c>
      <c r="W96" s="272">
        <v>1257</v>
      </c>
    </row>
    <row r="97" spans="1:23">
      <c r="A97" s="153">
        <v>45184</v>
      </c>
      <c r="B97" s="279">
        <v>1</v>
      </c>
      <c r="C97" s="272">
        <v>22400</v>
      </c>
      <c r="D97" s="272"/>
      <c r="E97" s="272"/>
      <c r="F97" s="279">
        <v>2118000</v>
      </c>
      <c r="G97" s="272">
        <v>3700000</v>
      </c>
      <c r="H97" s="272">
        <v>370000</v>
      </c>
      <c r="I97" s="272">
        <v>315000</v>
      </c>
      <c r="J97" s="272">
        <v>8200</v>
      </c>
      <c r="K97" s="272">
        <v>200000</v>
      </c>
      <c r="L97" s="272">
        <v>51310000</v>
      </c>
      <c r="M97" s="281">
        <v>1000000000</v>
      </c>
      <c r="N97" s="281"/>
      <c r="O97" s="281"/>
      <c r="P97" s="272">
        <v>200</v>
      </c>
      <c r="Q97" s="272"/>
      <c r="R97" s="280">
        <v>885</v>
      </c>
      <c r="S97" s="272">
        <v>450</v>
      </c>
      <c r="T97" s="272">
        <v>2000</v>
      </c>
      <c r="U97" s="272">
        <v>1350</v>
      </c>
      <c r="V97" s="272">
        <v>1800</v>
      </c>
      <c r="W97" s="272">
        <v>1257</v>
      </c>
    </row>
    <row r="98" spans="1:23">
      <c r="A98" s="153">
        <v>45187</v>
      </c>
      <c r="B98" s="279">
        <v>1</v>
      </c>
      <c r="C98" s="272">
        <v>22400</v>
      </c>
      <c r="D98" s="272"/>
      <c r="E98" s="272"/>
      <c r="F98" s="279">
        <v>2118000</v>
      </c>
      <c r="G98" s="272">
        <v>3700000</v>
      </c>
      <c r="H98" s="272">
        <v>370000</v>
      </c>
      <c r="I98" s="272">
        <v>315000</v>
      </c>
      <c r="J98" s="272">
        <v>8200</v>
      </c>
      <c r="K98" s="272">
        <v>200000</v>
      </c>
      <c r="L98" s="272">
        <v>51310000</v>
      </c>
      <c r="M98" s="281">
        <v>1000000000</v>
      </c>
      <c r="N98" s="281"/>
      <c r="O98" s="281"/>
      <c r="P98" s="272">
        <v>200</v>
      </c>
      <c r="Q98" s="272"/>
      <c r="R98" s="280">
        <v>885</v>
      </c>
      <c r="S98" s="272">
        <v>450</v>
      </c>
      <c r="T98" s="272">
        <v>2000</v>
      </c>
      <c r="U98" s="272">
        <v>1350</v>
      </c>
      <c r="V98" s="272">
        <v>1800</v>
      </c>
      <c r="W98" s="272">
        <v>1257</v>
      </c>
    </row>
    <row r="99" spans="1:23">
      <c r="A99" s="153">
        <v>45188</v>
      </c>
      <c r="B99" s="279">
        <v>1</v>
      </c>
      <c r="C99" s="272">
        <v>22400</v>
      </c>
      <c r="D99" s="272"/>
      <c r="E99" s="272"/>
      <c r="F99" s="279">
        <v>2118000</v>
      </c>
      <c r="G99" s="272">
        <v>3700000</v>
      </c>
      <c r="H99" s="272">
        <v>370000</v>
      </c>
      <c r="I99" s="272">
        <v>315000</v>
      </c>
      <c r="J99" s="272">
        <v>8200</v>
      </c>
      <c r="K99" s="272">
        <v>200000</v>
      </c>
      <c r="L99" s="272">
        <v>51310000</v>
      </c>
      <c r="M99" s="281">
        <v>1000000000</v>
      </c>
      <c r="N99" s="281"/>
      <c r="O99" s="281"/>
      <c r="P99" s="272">
        <v>200</v>
      </c>
      <c r="Q99" s="272"/>
      <c r="R99" s="280">
        <v>885</v>
      </c>
      <c r="S99" s="272">
        <v>450</v>
      </c>
      <c r="T99" s="272">
        <v>2000</v>
      </c>
      <c r="U99" s="272">
        <v>1350</v>
      </c>
      <c r="V99" s="272">
        <v>1800</v>
      </c>
      <c r="W99" s="272">
        <v>1257</v>
      </c>
    </row>
    <row r="100" spans="1:23">
      <c r="A100" s="153">
        <v>45189</v>
      </c>
      <c r="B100" s="279">
        <v>1</v>
      </c>
      <c r="C100" s="272">
        <v>22400</v>
      </c>
      <c r="D100" s="272"/>
      <c r="E100" s="272"/>
      <c r="F100" s="279">
        <v>2118000</v>
      </c>
      <c r="G100" s="272">
        <v>3700000</v>
      </c>
      <c r="H100" s="272">
        <v>370000</v>
      </c>
      <c r="I100" s="272">
        <v>315000</v>
      </c>
      <c r="J100" s="272">
        <v>8200</v>
      </c>
      <c r="K100" s="272">
        <v>200000</v>
      </c>
      <c r="L100" s="272">
        <v>51310000</v>
      </c>
      <c r="M100" s="281">
        <v>1000000000</v>
      </c>
      <c r="N100" s="281"/>
      <c r="O100" s="281"/>
      <c r="P100" s="272">
        <v>200</v>
      </c>
      <c r="Q100" s="272"/>
      <c r="R100" s="280">
        <v>885</v>
      </c>
      <c r="S100" s="272">
        <v>450</v>
      </c>
      <c r="T100" s="272">
        <v>2000</v>
      </c>
      <c r="U100" s="272">
        <v>1350</v>
      </c>
      <c r="V100" s="272">
        <v>1800</v>
      </c>
      <c r="W100" s="272">
        <v>1257</v>
      </c>
    </row>
    <row r="101" spans="1:23">
      <c r="A101" s="153">
        <v>45190</v>
      </c>
      <c r="B101" s="279">
        <v>1</v>
      </c>
      <c r="C101" s="272">
        <v>22400</v>
      </c>
      <c r="D101" s="272"/>
      <c r="E101" s="272"/>
      <c r="F101" s="279">
        <v>2118000</v>
      </c>
      <c r="G101" s="272">
        <v>3700000</v>
      </c>
      <c r="H101" s="272">
        <v>370000</v>
      </c>
      <c r="I101" s="272">
        <v>315000</v>
      </c>
      <c r="J101" s="272">
        <v>8200</v>
      </c>
      <c r="K101" s="272">
        <v>200000</v>
      </c>
      <c r="L101" s="272">
        <v>51310000</v>
      </c>
      <c r="M101" s="281">
        <v>1000000000</v>
      </c>
      <c r="N101" s="281"/>
      <c r="O101" s="281"/>
      <c r="P101" s="272">
        <v>200</v>
      </c>
      <c r="Q101" s="272"/>
      <c r="R101" s="280">
        <v>885</v>
      </c>
      <c r="S101" s="272">
        <v>450</v>
      </c>
      <c r="T101" s="272">
        <v>2000</v>
      </c>
      <c r="U101" s="272">
        <v>1350</v>
      </c>
      <c r="V101" s="272">
        <v>1800</v>
      </c>
      <c r="W101" s="272">
        <v>1257</v>
      </c>
    </row>
    <row r="102" spans="1:23">
      <c r="A102" s="153">
        <v>45191</v>
      </c>
      <c r="B102" s="279">
        <v>1</v>
      </c>
      <c r="C102" s="272">
        <v>22400</v>
      </c>
      <c r="D102" s="272"/>
      <c r="E102" s="272"/>
      <c r="F102" s="279">
        <v>2118000</v>
      </c>
      <c r="G102" s="272">
        <v>3700000</v>
      </c>
      <c r="H102" s="272">
        <v>370000</v>
      </c>
      <c r="I102" s="272">
        <v>315000</v>
      </c>
      <c r="J102" s="272">
        <v>8200</v>
      </c>
      <c r="K102" s="272">
        <v>200000</v>
      </c>
      <c r="L102" s="272">
        <v>51310000</v>
      </c>
      <c r="M102" s="281">
        <v>1000000000</v>
      </c>
      <c r="N102" s="281"/>
      <c r="O102" s="281"/>
      <c r="P102" s="272">
        <v>200</v>
      </c>
      <c r="Q102" s="272"/>
      <c r="R102" s="280">
        <v>885</v>
      </c>
      <c r="S102" s="272">
        <v>450</v>
      </c>
      <c r="T102" s="272">
        <v>2000</v>
      </c>
      <c r="U102" s="272">
        <v>1350</v>
      </c>
      <c r="V102" s="272">
        <v>1800</v>
      </c>
      <c r="W102" s="272">
        <v>1257</v>
      </c>
    </row>
    <row r="103" spans="1:23">
      <c r="A103" s="153">
        <v>45194</v>
      </c>
      <c r="B103" s="279">
        <v>1</v>
      </c>
      <c r="C103" s="272">
        <v>22400</v>
      </c>
      <c r="D103" s="272"/>
      <c r="E103" s="272"/>
      <c r="F103" s="279">
        <v>2118000</v>
      </c>
      <c r="G103" s="272">
        <v>3700000</v>
      </c>
      <c r="H103" s="272">
        <v>370000</v>
      </c>
      <c r="I103" s="272">
        <v>315000</v>
      </c>
      <c r="J103" s="272">
        <v>8200</v>
      </c>
      <c r="K103" s="272">
        <v>200000</v>
      </c>
      <c r="L103" s="272">
        <v>51310000</v>
      </c>
      <c r="M103" s="281">
        <v>1000000000</v>
      </c>
      <c r="N103" s="281"/>
      <c r="O103" s="281"/>
      <c r="P103" s="272">
        <v>200</v>
      </c>
      <c r="Q103" s="272"/>
      <c r="R103" s="280">
        <v>885</v>
      </c>
      <c r="S103" s="272">
        <v>450</v>
      </c>
      <c r="T103" s="272">
        <v>2000</v>
      </c>
      <c r="U103" s="272">
        <v>1350</v>
      </c>
      <c r="V103" s="272">
        <v>1800</v>
      </c>
      <c r="W103" s="272">
        <v>1257</v>
      </c>
    </row>
    <row r="104" spans="1:23">
      <c r="A104" s="153">
        <v>45195</v>
      </c>
      <c r="B104" s="279">
        <v>1</v>
      </c>
      <c r="C104" s="272">
        <v>22400</v>
      </c>
      <c r="D104" s="272"/>
      <c r="E104" s="272"/>
      <c r="F104" s="279">
        <v>2118000</v>
      </c>
      <c r="G104" s="272">
        <v>3700000</v>
      </c>
      <c r="H104" s="272">
        <v>370000</v>
      </c>
      <c r="I104" s="272">
        <v>315000</v>
      </c>
      <c r="J104" s="272">
        <v>8200</v>
      </c>
      <c r="K104" s="272">
        <v>200000</v>
      </c>
      <c r="L104" s="272">
        <v>51310000</v>
      </c>
      <c r="M104" s="281">
        <v>1000000000</v>
      </c>
      <c r="N104" s="281"/>
      <c r="O104" s="281"/>
      <c r="P104" s="272">
        <v>200</v>
      </c>
      <c r="Q104" s="272"/>
      <c r="R104" s="280">
        <v>885</v>
      </c>
      <c r="S104" s="272">
        <v>450</v>
      </c>
      <c r="T104" s="272">
        <v>2000</v>
      </c>
      <c r="U104" s="272">
        <v>1350</v>
      </c>
      <c r="V104" s="272">
        <v>1800</v>
      </c>
      <c r="W104" s="272">
        <v>1257</v>
      </c>
    </row>
    <row r="105" spans="1:23">
      <c r="A105" s="153">
        <v>45196</v>
      </c>
      <c r="B105" s="279">
        <v>1</v>
      </c>
      <c r="C105" s="272">
        <v>22400</v>
      </c>
      <c r="D105" s="272"/>
      <c r="E105" s="272"/>
      <c r="F105" s="279">
        <v>2118000</v>
      </c>
      <c r="G105" s="272">
        <v>3700000</v>
      </c>
      <c r="H105" s="272">
        <v>370000</v>
      </c>
      <c r="I105" s="272">
        <v>315000</v>
      </c>
      <c r="J105" s="272">
        <v>8200</v>
      </c>
      <c r="K105" s="272">
        <v>200000</v>
      </c>
      <c r="L105" s="272">
        <v>51310000</v>
      </c>
      <c r="M105" s="281">
        <v>1000000000</v>
      </c>
      <c r="N105" s="281"/>
      <c r="O105" s="281"/>
      <c r="P105" s="272">
        <v>200</v>
      </c>
      <c r="Q105" s="272"/>
      <c r="R105" s="280">
        <v>885</v>
      </c>
      <c r="S105" s="272">
        <v>450</v>
      </c>
      <c r="T105" s="272">
        <v>2000</v>
      </c>
      <c r="U105" s="272">
        <v>1350</v>
      </c>
      <c r="V105" s="272">
        <v>1800</v>
      </c>
      <c r="W105" s="272">
        <v>1257</v>
      </c>
    </row>
    <row r="106" spans="1:23">
      <c r="A106" s="153">
        <v>45197</v>
      </c>
      <c r="B106" s="279">
        <v>1</v>
      </c>
      <c r="C106" s="272">
        <v>22400</v>
      </c>
      <c r="D106" s="272"/>
      <c r="E106" s="272"/>
      <c r="F106" s="279">
        <v>2118000</v>
      </c>
      <c r="G106" s="272">
        <v>3700000</v>
      </c>
      <c r="H106" s="272">
        <v>370000</v>
      </c>
      <c r="I106" s="272">
        <v>315000</v>
      </c>
      <c r="J106" s="272">
        <v>8200</v>
      </c>
      <c r="K106" s="272">
        <v>200000</v>
      </c>
      <c r="L106" s="272">
        <v>51310000</v>
      </c>
      <c r="M106" s="281">
        <v>1000000000</v>
      </c>
      <c r="N106" s="281"/>
      <c r="O106" s="281"/>
      <c r="P106" s="272">
        <v>200</v>
      </c>
      <c r="Q106" s="272"/>
      <c r="R106" s="280">
        <v>885</v>
      </c>
      <c r="S106" s="272">
        <v>450</v>
      </c>
      <c r="T106" s="272">
        <v>2000</v>
      </c>
      <c r="U106" s="272">
        <v>1350</v>
      </c>
      <c r="V106" s="272">
        <v>1800</v>
      </c>
      <c r="W106" s="272">
        <v>1257</v>
      </c>
    </row>
    <row r="107" spans="1:23">
      <c r="A107" s="153">
        <v>45198</v>
      </c>
      <c r="B107" s="279">
        <v>1</v>
      </c>
      <c r="C107" s="272">
        <v>22400</v>
      </c>
      <c r="D107" s="272"/>
      <c r="E107" s="272"/>
      <c r="F107" s="279">
        <v>2118000</v>
      </c>
      <c r="G107" s="272">
        <v>3700000</v>
      </c>
      <c r="H107" s="272">
        <v>370000</v>
      </c>
      <c r="I107" s="272">
        <v>315000</v>
      </c>
      <c r="J107" s="272">
        <v>8200</v>
      </c>
      <c r="K107" s="272">
        <v>200000</v>
      </c>
      <c r="L107" s="272">
        <v>51310000</v>
      </c>
      <c r="M107" s="281">
        <v>1000000000</v>
      </c>
      <c r="N107" s="281"/>
      <c r="O107" s="281"/>
      <c r="P107" s="272">
        <v>200</v>
      </c>
      <c r="Q107" s="272"/>
      <c r="R107" s="280">
        <v>885</v>
      </c>
      <c r="S107" s="272">
        <v>450</v>
      </c>
      <c r="T107" s="272">
        <v>2000</v>
      </c>
      <c r="U107" s="272">
        <v>1350</v>
      </c>
      <c r="V107" s="272">
        <v>1800</v>
      </c>
      <c r="W107" s="272">
        <v>1257</v>
      </c>
    </row>
    <row r="108" spans="1:23">
      <c r="A108" s="153">
        <v>45201</v>
      </c>
      <c r="B108" s="279">
        <v>1</v>
      </c>
      <c r="C108" s="272">
        <v>22400</v>
      </c>
      <c r="D108" s="272"/>
      <c r="E108" s="272"/>
      <c r="F108" s="279">
        <v>2118000</v>
      </c>
      <c r="G108" s="272">
        <v>3700000</v>
      </c>
      <c r="H108" s="272">
        <v>370000</v>
      </c>
      <c r="I108" s="272">
        <v>315000</v>
      </c>
      <c r="J108" s="272">
        <v>8200</v>
      </c>
      <c r="K108" s="272">
        <v>200000</v>
      </c>
      <c r="L108" s="272">
        <v>51310000</v>
      </c>
      <c r="M108" s="281">
        <v>1000000000</v>
      </c>
      <c r="N108" s="281"/>
      <c r="O108" s="281"/>
      <c r="P108" s="272">
        <v>200</v>
      </c>
      <c r="Q108" s="272"/>
      <c r="R108" s="280">
        <v>885</v>
      </c>
      <c r="S108" s="272">
        <v>450</v>
      </c>
      <c r="T108" s="272">
        <v>2000</v>
      </c>
      <c r="U108" s="272">
        <v>1350</v>
      </c>
      <c r="V108" s="272">
        <v>1800</v>
      </c>
      <c r="W108" s="272">
        <v>1257</v>
      </c>
    </row>
    <row r="109" spans="1:23">
      <c r="A109" s="153">
        <v>45202</v>
      </c>
      <c r="B109" s="279">
        <v>1</v>
      </c>
      <c r="C109" s="272">
        <v>22400</v>
      </c>
      <c r="D109" s="272"/>
      <c r="E109" s="272"/>
      <c r="F109" s="279">
        <v>2118000</v>
      </c>
      <c r="G109" s="272">
        <v>3700000</v>
      </c>
      <c r="H109" s="272">
        <v>370000</v>
      </c>
      <c r="I109" s="272">
        <v>315000</v>
      </c>
      <c r="J109" s="272">
        <v>8200</v>
      </c>
      <c r="K109" s="272">
        <v>200000</v>
      </c>
      <c r="L109" s="272">
        <v>51310000</v>
      </c>
      <c r="M109" s="281">
        <v>1000000000</v>
      </c>
      <c r="N109" s="281"/>
      <c r="O109" s="281"/>
      <c r="P109" s="272">
        <v>200</v>
      </c>
      <c r="Q109" s="272"/>
      <c r="R109" s="280">
        <v>885</v>
      </c>
      <c r="S109" s="272">
        <v>450</v>
      </c>
      <c r="T109" s="272">
        <v>2000</v>
      </c>
      <c r="U109" s="272">
        <v>1350</v>
      </c>
      <c r="V109" s="272">
        <v>1800</v>
      </c>
      <c r="W109" s="272">
        <v>1257</v>
      </c>
    </row>
    <row r="110" spans="1:23">
      <c r="A110" s="153">
        <v>45203</v>
      </c>
      <c r="B110" s="279">
        <v>1</v>
      </c>
      <c r="C110" s="272">
        <v>22400</v>
      </c>
      <c r="D110" s="272"/>
      <c r="E110" s="272"/>
      <c r="F110" s="279">
        <v>2118000</v>
      </c>
      <c r="G110" s="272">
        <v>3700000</v>
      </c>
      <c r="H110" s="272">
        <v>370000</v>
      </c>
      <c r="I110" s="272">
        <v>315000</v>
      </c>
      <c r="J110" s="272">
        <v>8200</v>
      </c>
      <c r="K110" s="272">
        <v>200000</v>
      </c>
      <c r="L110" s="272">
        <v>51310000</v>
      </c>
      <c r="M110" s="281">
        <v>1000000000</v>
      </c>
      <c r="N110" s="281"/>
      <c r="O110" s="281"/>
      <c r="P110" s="272">
        <v>200</v>
      </c>
      <c r="Q110" s="272"/>
      <c r="R110" s="280">
        <v>885</v>
      </c>
      <c r="S110" s="272">
        <v>450</v>
      </c>
      <c r="T110" s="272">
        <v>2000</v>
      </c>
      <c r="U110" s="272">
        <v>1350</v>
      </c>
      <c r="V110" s="272">
        <v>1800</v>
      </c>
      <c r="W110" s="272">
        <v>1257</v>
      </c>
    </row>
    <row r="111" spans="1:23">
      <c r="A111" s="153">
        <v>45204</v>
      </c>
      <c r="B111" s="279">
        <v>1</v>
      </c>
      <c r="C111" s="272">
        <v>22400</v>
      </c>
      <c r="D111" s="272"/>
      <c r="E111" s="272"/>
      <c r="F111" s="279">
        <v>2118000</v>
      </c>
      <c r="G111" s="272">
        <v>3700000</v>
      </c>
      <c r="H111" s="272">
        <v>370000</v>
      </c>
      <c r="I111" s="272">
        <v>315000</v>
      </c>
      <c r="J111" s="272">
        <v>8200</v>
      </c>
      <c r="K111" s="272">
        <v>200000</v>
      </c>
      <c r="L111" s="272">
        <v>51310000</v>
      </c>
      <c r="M111" s="281">
        <v>1000000000</v>
      </c>
      <c r="N111" s="281"/>
      <c r="O111" s="281"/>
      <c r="P111" s="272">
        <v>200</v>
      </c>
      <c r="Q111" s="272"/>
      <c r="R111" s="280">
        <v>885</v>
      </c>
      <c r="S111" s="272">
        <v>450</v>
      </c>
      <c r="T111" s="272">
        <v>2000</v>
      </c>
      <c r="U111" s="272">
        <v>1350</v>
      </c>
      <c r="V111" s="272">
        <v>1800</v>
      </c>
      <c r="W111" s="272">
        <v>1257</v>
      </c>
    </row>
    <row r="112" spans="1:23">
      <c r="A112" s="153">
        <v>45205</v>
      </c>
      <c r="B112" s="279">
        <v>1</v>
      </c>
      <c r="C112" s="272">
        <v>22400</v>
      </c>
      <c r="D112" s="272"/>
      <c r="E112" s="272"/>
      <c r="F112" s="279">
        <v>2118000</v>
      </c>
      <c r="G112" s="272">
        <v>3700000</v>
      </c>
      <c r="H112" s="272">
        <v>370000</v>
      </c>
      <c r="I112" s="272">
        <v>315000</v>
      </c>
      <c r="J112" s="272">
        <v>8200</v>
      </c>
      <c r="K112" s="272">
        <v>200000</v>
      </c>
      <c r="L112" s="272">
        <v>51310000</v>
      </c>
      <c r="M112" s="281">
        <v>1000000000</v>
      </c>
      <c r="N112" s="281"/>
      <c r="O112" s="281"/>
      <c r="P112" s="272">
        <v>200</v>
      </c>
      <c r="Q112" s="272"/>
      <c r="R112" s="280">
        <v>885</v>
      </c>
      <c r="S112" s="272">
        <v>450</v>
      </c>
      <c r="T112" s="272">
        <v>2000</v>
      </c>
      <c r="U112" s="272">
        <v>1350</v>
      </c>
      <c r="V112" s="272">
        <v>1800</v>
      </c>
      <c r="W112" s="272">
        <v>1257</v>
      </c>
    </row>
    <row r="113" spans="1:23">
      <c r="A113" s="153">
        <v>45208</v>
      </c>
      <c r="B113" s="279">
        <v>1</v>
      </c>
      <c r="C113" s="272">
        <v>22400</v>
      </c>
      <c r="D113" s="272"/>
      <c r="E113" s="272"/>
      <c r="F113" s="279">
        <v>2118000</v>
      </c>
      <c r="G113" s="272">
        <v>3700000</v>
      </c>
      <c r="H113" s="272">
        <v>370000</v>
      </c>
      <c r="I113" s="272">
        <v>315000</v>
      </c>
      <c r="J113" s="272">
        <v>8200</v>
      </c>
      <c r="K113" s="272">
        <v>200000</v>
      </c>
      <c r="L113" s="272">
        <v>51310000</v>
      </c>
      <c r="M113" s="281">
        <v>1000000000</v>
      </c>
      <c r="N113" s="281"/>
      <c r="O113" s="281"/>
      <c r="P113" s="272">
        <v>200</v>
      </c>
      <c r="Q113" s="272"/>
      <c r="R113" s="280">
        <v>885</v>
      </c>
      <c r="S113" s="272">
        <v>450</v>
      </c>
      <c r="T113" s="272">
        <v>2000</v>
      </c>
      <c r="U113" s="272">
        <v>1350</v>
      </c>
      <c r="V113" s="272">
        <v>1800</v>
      </c>
      <c r="W113" s="272">
        <v>1257</v>
      </c>
    </row>
    <row r="114" spans="1:23">
      <c r="A114" s="153">
        <v>45209</v>
      </c>
      <c r="B114" s="279">
        <v>1</v>
      </c>
      <c r="C114" s="272">
        <v>22400</v>
      </c>
      <c r="D114" s="272"/>
      <c r="E114" s="272"/>
      <c r="F114" s="279">
        <v>2118000</v>
      </c>
      <c r="G114" s="272">
        <v>3700000</v>
      </c>
      <c r="H114" s="272">
        <v>370000</v>
      </c>
      <c r="I114" s="272">
        <v>315000</v>
      </c>
      <c r="J114" s="272">
        <v>8200</v>
      </c>
      <c r="K114" s="272">
        <v>200000</v>
      </c>
      <c r="L114" s="272">
        <v>51310000</v>
      </c>
      <c r="M114" s="281">
        <v>1000000000</v>
      </c>
      <c r="N114" s="281"/>
      <c r="O114" s="281"/>
      <c r="P114" s="272">
        <v>200</v>
      </c>
      <c r="Q114" s="272"/>
      <c r="R114" s="280">
        <v>885</v>
      </c>
      <c r="S114" s="272">
        <v>450</v>
      </c>
      <c r="T114" s="272">
        <v>2000</v>
      </c>
      <c r="U114" s="272">
        <v>1350</v>
      </c>
      <c r="V114" s="272">
        <v>1800</v>
      </c>
      <c r="W114" s="272">
        <v>1257</v>
      </c>
    </row>
    <row r="115" spans="1:23">
      <c r="A115" s="153">
        <v>45210</v>
      </c>
      <c r="B115" s="279">
        <v>1</v>
      </c>
      <c r="C115" s="272">
        <v>22400</v>
      </c>
      <c r="D115" s="272"/>
      <c r="E115" s="272"/>
      <c r="F115" s="279">
        <v>2118000</v>
      </c>
      <c r="G115" s="272">
        <v>3700000</v>
      </c>
      <c r="H115" s="272">
        <v>370000</v>
      </c>
      <c r="I115" s="272">
        <v>315000</v>
      </c>
      <c r="J115" s="272">
        <v>8200</v>
      </c>
      <c r="K115" s="272">
        <v>200000</v>
      </c>
      <c r="L115" s="272">
        <v>51310000</v>
      </c>
      <c r="M115" s="281">
        <v>1000000000</v>
      </c>
      <c r="N115" s="281"/>
      <c r="O115" s="281"/>
      <c r="P115" s="272">
        <v>200</v>
      </c>
      <c r="Q115" s="272"/>
      <c r="R115" s="280">
        <v>885</v>
      </c>
      <c r="S115" s="272">
        <v>450</v>
      </c>
      <c r="T115" s="272">
        <v>2000</v>
      </c>
      <c r="U115" s="272">
        <v>1350</v>
      </c>
      <c r="V115" s="272">
        <v>1800</v>
      </c>
      <c r="W115" s="272">
        <v>1257</v>
      </c>
    </row>
    <row r="116" spans="1:23">
      <c r="A116" s="153">
        <v>45211</v>
      </c>
      <c r="B116" s="279">
        <v>1</v>
      </c>
      <c r="C116" s="272">
        <v>22400</v>
      </c>
      <c r="D116" s="272"/>
      <c r="E116" s="272"/>
      <c r="F116" s="279">
        <v>2118000</v>
      </c>
      <c r="G116" s="272">
        <v>3700000</v>
      </c>
      <c r="H116" s="272">
        <v>370000</v>
      </c>
      <c r="I116" s="272">
        <v>315000</v>
      </c>
      <c r="J116" s="272">
        <v>8200</v>
      </c>
      <c r="K116" s="272">
        <v>200000</v>
      </c>
      <c r="L116" s="272">
        <v>51310000</v>
      </c>
      <c r="M116" s="281">
        <v>1000000000</v>
      </c>
      <c r="N116" s="281"/>
      <c r="O116" s="281"/>
      <c r="P116" s="272">
        <v>200</v>
      </c>
      <c r="Q116" s="272"/>
      <c r="R116" s="280">
        <v>885</v>
      </c>
      <c r="S116" s="272">
        <v>450</v>
      </c>
      <c r="T116" s="272">
        <v>2000</v>
      </c>
      <c r="U116" s="272">
        <v>1350</v>
      </c>
      <c r="V116" s="272">
        <v>1800</v>
      </c>
      <c r="W116" s="272">
        <v>1257</v>
      </c>
    </row>
    <row r="117" spans="1:23">
      <c r="A117" s="153">
        <v>45212</v>
      </c>
      <c r="B117" s="279">
        <v>1</v>
      </c>
      <c r="C117" s="272">
        <v>22400</v>
      </c>
      <c r="D117" s="272"/>
      <c r="E117" s="272"/>
      <c r="F117" s="279">
        <v>2118000</v>
      </c>
      <c r="G117" s="272">
        <v>3700000</v>
      </c>
      <c r="H117" s="272">
        <v>370000</v>
      </c>
      <c r="I117" s="272">
        <v>315000</v>
      </c>
      <c r="J117" s="272">
        <v>23200</v>
      </c>
      <c r="K117" s="272">
        <v>200000</v>
      </c>
      <c r="L117" s="272">
        <v>51310000</v>
      </c>
      <c r="M117" s="281">
        <v>1000000000</v>
      </c>
      <c r="N117" s="281"/>
      <c r="O117" s="281"/>
      <c r="P117" s="272">
        <v>200</v>
      </c>
      <c r="Q117" s="272"/>
      <c r="R117" s="280">
        <v>885</v>
      </c>
      <c r="S117" s="272">
        <v>450</v>
      </c>
      <c r="T117" s="272">
        <v>2000</v>
      </c>
      <c r="U117" s="272">
        <v>1350</v>
      </c>
      <c r="V117" s="272">
        <v>1800</v>
      </c>
      <c r="W117" s="272">
        <v>1257</v>
      </c>
    </row>
    <row r="118" spans="1:23">
      <c r="A118" s="153">
        <v>45215</v>
      </c>
      <c r="B118" s="279">
        <v>1</v>
      </c>
      <c r="C118" s="272">
        <v>22400</v>
      </c>
      <c r="D118" s="272"/>
      <c r="E118" s="272"/>
      <c r="F118" s="279">
        <v>2118000</v>
      </c>
      <c r="G118" s="272">
        <v>3700000</v>
      </c>
      <c r="H118" s="272">
        <v>370000</v>
      </c>
      <c r="I118" s="272">
        <v>315000</v>
      </c>
      <c r="J118" s="272">
        <v>23200</v>
      </c>
      <c r="K118" s="272">
        <v>200000</v>
      </c>
      <c r="L118" s="272">
        <v>51310000</v>
      </c>
      <c r="M118" s="281">
        <v>1000000000</v>
      </c>
      <c r="N118" s="281"/>
      <c r="O118" s="281"/>
      <c r="P118" s="272">
        <v>200</v>
      </c>
      <c r="Q118" s="272"/>
      <c r="R118" s="280">
        <v>885</v>
      </c>
      <c r="S118" s="272">
        <v>450</v>
      </c>
      <c r="T118" s="272">
        <v>2000</v>
      </c>
      <c r="U118" s="272">
        <v>1350</v>
      </c>
      <c r="V118" s="272">
        <v>1800</v>
      </c>
      <c r="W118" s="272">
        <v>1257</v>
      </c>
    </row>
    <row r="119" spans="1:23">
      <c r="A119" s="153">
        <v>45216</v>
      </c>
      <c r="B119" s="279">
        <v>1</v>
      </c>
      <c r="C119" s="272">
        <v>22400</v>
      </c>
      <c r="D119" s="272"/>
      <c r="E119" s="272"/>
      <c r="F119" s="279">
        <v>2118000</v>
      </c>
      <c r="G119" s="272">
        <v>3700000</v>
      </c>
      <c r="H119" s="272">
        <v>370000</v>
      </c>
      <c r="I119" s="272">
        <v>315000</v>
      </c>
      <c r="J119" s="272">
        <v>23200</v>
      </c>
      <c r="K119" s="272">
        <v>200000</v>
      </c>
      <c r="L119" s="272">
        <v>51310000</v>
      </c>
      <c r="M119" s="281">
        <v>1000000000</v>
      </c>
      <c r="N119" s="281"/>
      <c r="O119" s="281"/>
      <c r="P119" s="272">
        <v>200</v>
      </c>
      <c r="Q119" s="272"/>
      <c r="R119" s="280">
        <v>885</v>
      </c>
      <c r="S119" s="272">
        <v>450</v>
      </c>
      <c r="T119" s="272">
        <v>2000</v>
      </c>
      <c r="U119" s="272">
        <v>1350</v>
      </c>
      <c r="V119" s="272">
        <v>1800</v>
      </c>
      <c r="W119" s="272">
        <v>1257</v>
      </c>
    </row>
    <row r="120" spans="1:23">
      <c r="A120" s="153">
        <v>45217</v>
      </c>
      <c r="B120" s="279">
        <v>1</v>
      </c>
      <c r="C120" s="272">
        <v>22400</v>
      </c>
      <c r="D120" s="272"/>
      <c r="E120" s="272"/>
      <c r="F120" s="279">
        <v>2118000</v>
      </c>
      <c r="G120" s="272">
        <v>3700000</v>
      </c>
      <c r="H120" s="272">
        <v>370000</v>
      </c>
      <c r="I120" s="272">
        <v>315000</v>
      </c>
      <c r="J120" s="272">
        <v>23200</v>
      </c>
      <c r="K120" s="272">
        <v>200000</v>
      </c>
      <c r="L120" s="272">
        <v>51310000</v>
      </c>
      <c r="M120" s="281">
        <v>1000000000</v>
      </c>
      <c r="N120" s="281"/>
      <c r="O120" s="281"/>
      <c r="P120" s="272">
        <v>200</v>
      </c>
      <c r="Q120" s="272"/>
      <c r="R120" s="280">
        <v>885</v>
      </c>
      <c r="S120" s="272">
        <v>450</v>
      </c>
      <c r="T120" s="272">
        <v>2000</v>
      </c>
      <c r="U120" s="272">
        <v>1350</v>
      </c>
      <c r="V120" s="272">
        <v>1800</v>
      </c>
      <c r="W120" s="272">
        <v>1257</v>
      </c>
    </row>
    <row r="121" spans="1:23">
      <c r="A121" s="153">
        <v>45218</v>
      </c>
      <c r="B121" s="279">
        <v>1</v>
      </c>
      <c r="C121" s="272">
        <v>22400</v>
      </c>
      <c r="D121" s="272"/>
      <c r="E121" s="272"/>
      <c r="F121" s="279">
        <v>2118000</v>
      </c>
      <c r="G121" s="272">
        <v>3700000</v>
      </c>
      <c r="H121" s="272">
        <v>370000</v>
      </c>
      <c r="I121" s="272">
        <v>315000</v>
      </c>
      <c r="J121" s="272">
        <v>23200</v>
      </c>
      <c r="K121" s="272">
        <v>200000</v>
      </c>
      <c r="L121" s="272">
        <v>51310000</v>
      </c>
      <c r="M121" s="281">
        <v>1000000000</v>
      </c>
      <c r="N121" s="281"/>
      <c r="O121" s="281"/>
      <c r="P121" s="272">
        <v>200</v>
      </c>
      <c r="Q121" s="272"/>
      <c r="R121" s="280">
        <v>885</v>
      </c>
      <c r="S121" s="272">
        <v>450</v>
      </c>
      <c r="T121" s="272">
        <v>2000</v>
      </c>
      <c r="U121" s="272">
        <v>1350</v>
      </c>
      <c r="V121" s="272">
        <v>1800</v>
      </c>
      <c r="W121" s="272">
        <v>1257</v>
      </c>
    </row>
    <row r="122" spans="1:23">
      <c r="A122" s="153">
        <v>45219</v>
      </c>
      <c r="B122" s="279">
        <v>1</v>
      </c>
      <c r="C122" s="272">
        <v>22400</v>
      </c>
      <c r="D122" s="272"/>
      <c r="E122" s="272"/>
      <c r="F122" s="279">
        <v>2118000</v>
      </c>
      <c r="G122" s="272">
        <v>3700000</v>
      </c>
      <c r="H122" s="272">
        <v>370000</v>
      </c>
      <c r="I122" s="272">
        <v>315000</v>
      </c>
      <c r="J122" s="272">
        <v>23200</v>
      </c>
      <c r="K122" s="272">
        <v>200000</v>
      </c>
      <c r="L122" s="272">
        <v>51310000</v>
      </c>
      <c r="M122" s="281">
        <v>1000000000</v>
      </c>
      <c r="N122" s="281"/>
      <c r="O122" s="281"/>
      <c r="P122" s="272">
        <v>200</v>
      </c>
      <c r="Q122" s="272"/>
      <c r="R122" s="280">
        <v>885</v>
      </c>
      <c r="S122" s="272">
        <v>450</v>
      </c>
      <c r="T122" s="272">
        <v>2000</v>
      </c>
      <c r="U122" s="272">
        <v>1350</v>
      </c>
      <c r="V122" s="272">
        <v>1800</v>
      </c>
      <c r="W122" s="272">
        <v>1257</v>
      </c>
    </row>
    <row r="123" spans="1:23">
      <c r="A123" s="153">
        <v>45222</v>
      </c>
      <c r="B123" s="279">
        <v>1</v>
      </c>
      <c r="C123" s="272">
        <v>22400</v>
      </c>
      <c r="D123" s="272"/>
      <c r="E123" s="272"/>
      <c r="F123" s="279">
        <v>2118000</v>
      </c>
      <c r="G123" s="272">
        <v>3700000</v>
      </c>
      <c r="H123" s="272">
        <v>370000</v>
      </c>
      <c r="I123" s="272">
        <v>315000</v>
      </c>
      <c r="J123" s="272">
        <v>23200</v>
      </c>
      <c r="K123" s="272">
        <v>200000</v>
      </c>
      <c r="L123" s="272">
        <v>51310000</v>
      </c>
      <c r="M123" s="281">
        <v>1000000000</v>
      </c>
      <c r="N123" s="281"/>
      <c r="O123" s="281"/>
      <c r="P123" s="272">
        <v>200</v>
      </c>
      <c r="Q123" s="272"/>
      <c r="R123" s="280">
        <v>885</v>
      </c>
      <c r="S123" s="272">
        <v>450</v>
      </c>
      <c r="T123" s="272">
        <v>2000</v>
      </c>
      <c r="U123" s="272">
        <v>1350</v>
      </c>
      <c r="V123" s="272">
        <v>1800</v>
      </c>
      <c r="W123" s="272">
        <v>1257</v>
      </c>
    </row>
    <row r="124" spans="1:23">
      <c r="A124" s="153">
        <v>45223</v>
      </c>
      <c r="B124" s="279">
        <v>1</v>
      </c>
      <c r="C124" s="272">
        <v>22400</v>
      </c>
      <c r="D124" s="272"/>
      <c r="E124" s="272"/>
      <c r="F124" s="279">
        <v>2118000</v>
      </c>
      <c r="G124" s="272">
        <v>3700000</v>
      </c>
      <c r="H124" s="272">
        <v>370000</v>
      </c>
      <c r="I124" s="272">
        <v>315000</v>
      </c>
      <c r="J124" s="272">
        <v>23200</v>
      </c>
      <c r="K124" s="272">
        <v>200000</v>
      </c>
      <c r="L124" s="272">
        <v>51310000</v>
      </c>
      <c r="M124" s="281">
        <v>1000000000</v>
      </c>
      <c r="N124" s="281"/>
      <c r="O124" s="281"/>
      <c r="P124" s="272">
        <v>200</v>
      </c>
      <c r="Q124" s="272"/>
      <c r="R124" s="280">
        <v>885</v>
      </c>
      <c r="S124" s="272">
        <v>450</v>
      </c>
      <c r="T124" s="272">
        <v>2000</v>
      </c>
      <c r="U124" s="272">
        <v>1350</v>
      </c>
      <c r="V124" s="272">
        <v>1800</v>
      </c>
      <c r="W124" s="272">
        <v>1257</v>
      </c>
    </row>
    <row r="125" spans="1:23">
      <c r="A125" s="153">
        <v>45224</v>
      </c>
      <c r="B125" s="279">
        <v>1</v>
      </c>
      <c r="C125" s="272">
        <v>22400</v>
      </c>
      <c r="D125" s="272"/>
      <c r="E125" s="272"/>
      <c r="F125" s="279">
        <v>2118000</v>
      </c>
      <c r="G125" s="272">
        <v>3700000</v>
      </c>
      <c r="H125" s="272">
        <v>370000</v>
      </c>
      <c r="I125" s="272">
        <v>315000</v>
      </c>
      <c r="J125" s="272">
        <v>23200</v>
      </c>
      <c r="K125" s="272">
        <v>200000</v>
      </c>
      <c r="L125" s="272">
        <v>51310000</v>
      </c>
      <c r="M125" s="281">
        <v>1000000000</v>
      </c>
      <c r="N125" s="281"/>
      <c r="O125" s="281"/>
      <c r="P125" s="272">
        <v>200</v>
      </c>
      <c r="Q125" s="272"/>
      <c r="R125" s="280">
        <v>885</v>
      </c>
      <c r="S125" s="272">
        <v>450</v>
      </c>
      <c r="T125" s="272">
        <v>2000</v>
      </c>
      <c r="U125" s="272">
        <v>1350</v>
      </c>
      <c r="V125" s="272">
        <v>1800</v>
      </c>
      <c r="W125" s="272">
        <v>1257</v>
      </c>
    </row>
    <row r="126" spans="1:23">
      <c r="A126" s="153">
        <v>45225</v>
      </c>
      <c r="B126" s="279">
        <v>1</v>
      </c>
      <c r="C126" s="272">
        <v>22400</v>
      </c>
      <c r="D126" s="272"/>
      <c r="E126" s="272"/>
      <c r="F126" s="279">
        <v>2118000</v>
      </c>
      <c r="G126" s="272">
        <v>3700000</v>
      </c>
      <c r="H126" s="272">
        <v>370000</v>
      </c>
      <c r="I126" s="272">
        <v>315000</v>
      </c>
      <c r="J126" s="272">
        <v>23200</v>
      </c>
      <c r="K126" s="272">
        <v>200000</v>
      </c>
      <c r="L126" s="272">
        <v>51310000</v>
      </c>
      <c r="M126" s="281">
        <v>1000000000</v>
      </c>
      <c r="N126" s="281"/>
      <c r="O126" s="281"/>
      <c r="P126" s="272">
        <v>200</v>
      </c>
      <c r="Q126" s="272"/>
      <c r="R126" s="280">
        <v>885</v>
      </c>
      <c r="S126" s="272">
        <v>450</v>
      </c>
      <c r="T126" s="272">
        <v>2000</v>
      </c>
      <c r="U126" s="272">
        <v>1350</v>
      </c>
      <c r="V126" s="272">
        <v>1800</v>
      </c>
      <c r="W126" s="272">
        <v>1257</v>
      </c>
    </row>
    <row r="127" spans="1:23">
      <c r="A127" s="153">
        <v>45226</v>
      </c>
      <c r="B127" s="279">
        <v>1</v>
      </c>
      <c r="C127" s="272">
        <v>22400</v>
      </c>
      <c r="D127" s="272"/>
      <c r="E127" s="272"/>
      <c r="F127" s="279">
        <v>2118000</v>
      </c>
      <c r="G127" s="272">
        <v>3700000</v>
      </c>
      <c r="H127" s="272">
        <v>370000</v>
      </c>
      <c r="I127" s="272">
        <v>315000</v>
      </c>
      <c r="J127" s="272">
        <v>23200</v>
      </c>
      <c r="K127" s="272">
        <v>200000</v>
      </c>
      <c r="L127" s="272">
        <v>51310000</v>
      </c>
      <c r="M127" s="281">
        <v>1000000000</v>
      </c>
      <c r="N127" s="281"/>
      <c r="O127" s="281"/>
      <c r="P127" s="272">
        <v>200</v>
      </c>
      <c r="Q127" s="272"/>
      <c r="R127" s="280">
        <v>885</v>
      </c>
      <c r="S127" s="272">
        <v>450</v>
      </c>
      <c r="T127" s="272">
        <v>2000</v>
      </c>
      <c r="U127" s="272">
        <v>1350</v>
      </c>
      <c r="V127" s="272">
        <v>1800</v>
      </c>
      <c r="W127" s="272">
        <v>2541</v>
      </c>
    </row>
    <row r="128" spans="1:23">
      <c r="A128" s="153">
        <v>45229</v>
      </c>
      <c r="B128" s="279">
        <v>1</v>
      </c>
      <c r="C128" s="272">
        <v>22400</v>
      </c>
      <c r="D128" s="272"/>
      <c r="E128" s="272"/>
      <c r="F128" s="279">
        <v>2118000</v>
      </c>
      <c r="G128" s="272">
        <v>3700000</v>
      </c>
      <c r="H128" s="272">
        <v>370000</v>
      </c>
      <c r="I128" s="272">
        <v>315000</v>
      </c>
      <c r="J128" s="272">
        <v>23200</v>
      </c>
      <c r="K128" s="272">
        <v>200000</v>
      </c>
      <c r="L128" s="272">
        <v>51310000</v>
      </c>
      <c r="M128" s="281">
        <v>1000000000</v>
      </c>
      <c r="N128" s="281"/>
      <c r="O128" s="281"/>
      <c r="P128" s="272">
        <v>200</v>
      </c>
      <c r="Q128" s="272"/>
      <c r="R128" s="280">
        <v>885</v>
      </c>
      <c r="S128" s="272">
        <v>450</v>
      </c>
      <c r="T128" s="272">
        <v>2000</v>
      </c>
      <c r="U128" s="272">
        <v>1350</v>
      </c>
      <c r="V128" s="272">
        <v>1800</v>
      </c>
      <c r="W128" s="272">
        <v>2541</v>
      </c>
    </row>
    <row r="129" spans="1:23">
      <c r="A129" s="153">
        <v>45230</v>
      </c>
      <c r="B129" s="279">
        <v>1</v>
      </c>
      <c r="C129" s="272">
        <v>22400</v>
      </c>
      <c r="D129" s="272"/>
      <c r="E129" s="272"/>
      <c r="F129" s="279">
        <v>2118000</v>
      </c>
      <c r="G129" s="272">
        <v>3700000</v>
      </c>
      <c r="H129" s="272">
        <v>370000</v>
      </c>
      <c r="I129" s="272">
        <v>315000</v>
      </c>
      <c r="J129" s="272">
        <v>23200</v>
      </c>
      <c r="K129" s="272">
        <v>200000</v>
      </c>
      <c r="L129" s="272">
        <v>51310000</v>
      </c>
      <c r="M129" s="281">
        <v>1000000000</v>
      </c>
      <c r="N129" s="281"/>
      <c r="O129" s="281"/>
      <c r="P129" s="272">
        <v>200</v>
      </c>
      <c r="Q129" s="272"/>
      <c r="R129" s="280">
        <v>885</v>
      </c>
      <c r="S129" s="272">
        <v>450</v>
      </c>
      <c r="T129" s="272">
        <v>2000</v>
      </c>
      <c r="U129" s="272">
        <v>1350</v>
      </c>
      <c r="V129" s="272">
        <v>1800</v>
      </c>
      <c r="W129" s="272">
        <v>2541</v>
      </c>
    </row>
    <row r="130" spans="1:23">
      <c r="A130" s="153">
        <v>45231</v>
      </c>
      <c r="B130" s="279">
        <v>1</v>
      </c>
      <c r="C130" s="272">
        <v>22400</v>
      </c>
      <c r="D130" s="272"/>
      <c r="E130" s="272"/>
      <c r="F130" s="279">
        <v>2118000</v>
      </c>
      <c r="G130" s="272">
        <v>3700000</v>
      </c>
      <c r="H130" s="272">
        <v>370000</v>
      </c>
      <c r="I130" s="272">
        <v>315000</v>
      </c>
      <c r="J130" s="272">
        <v>23200</v>
      </c>
      <c r="K130" s="272">
        <v>200000</v>
      </c>
      <c r="L130" s="272">
        <v>51310000</v>
      </c>
      <c r="M130" s="281">
        <v>1000000000</v>
      </c>
      <c r="N130" s="281"/>
      <c r="O130" s="281"/>
      <c r="P130" s="272">
        <v>200</v>
      </c>
      <c r="Q130" s="272"/>
      <c r="R130" s="280">
        <v>885</v>
      </c>
      <c r="S130" s="272">
        <v>450</v>
      </c>
      <c r="T130" s="272">
        <v>2000</v>
      </c>
      <c r="U130" s="272">
        <v>1350</v>
      </c>
      <c r="V130" s="272">
        <v>1800</v>
      </c>
      <c r="W130" s="272">
        <v>2541</v>
      </c>
    </row>
    <row r="131" spans="1:23">
      <c r="A131" s="153">
        <v>45232</v>
      </c>
      <c r="B131" s="279">
        <v>1</v>
      </c>
      <c r="C131" s="272">
        <v>22400</v>
      </c>
      <c r="D131" s="272"/>
      <c r="E131" s="272"/>
      <c r="F131" s="279">
        <v>2118000</v>
      </c>
      <c r="G131" s="272">
        <v>3700000</v>
      </c>
      <c r="H131" s="272">
        <v>370000</v>
      </c>
      <c r="I131" s="272">
        <v>315000</v>
      </c>
      <c r="J131" s="272">
        <v>23200</v>
      </c>
      <c r="K131" s="272">
        <v>200000</v>
      </c>
      <c r="L131" s="272">
        <v>51310000</v>
      </c>
      <c r="M131" s="281">
        <v>1000000000</v>
      </c>
      <c r="N131" s="281"/>
      <c r="O131" s="281"/>
      <c r="P131" s="272">
        <v>200</v>
      </c>
      <c r="Q131" s="272"/>
      <c r="R131" s="280">
        <v>885</v>
      </c>
      <c r="S131" s="272">
        <v>450</v>
      </c>
      <c r="T131" s="272">
        <v>2000</v>
      </c>
      <c r="U131" s="272">
        <v>1350</v>
      </c>
      <c r="V131" s="272">
        <v>1800</v>
      </c>
      <c r="W131" s="272">
        <v>2541</v>
      </c>
    </row>
    <row r="132" spans="1:23">
      <c r="A132" s="153">
        <v>45233</v>
      </c>
      <c r="B132" s="279">
        <v>1</v>
      </c>
      <c r="C132" s="272">
        <v>22400</v>
      </c>
      <c r="D132" s="272"/>
      <c r="E132" s="272"/>
      <c r="F132" s="279">
        <v>2118000</v>
      </c>
      <c r="G132" s="272">
        <v>3700000</v>
      </c>
      <c r="H132" s="272">
        <v>370000</v>
      </c>
      <c r="I132" s="272">
        <v>315000</v>
      </c>
      <c r="J132" s="272">
        <v>23200</v>
      </c>
      <c r="K132" s="272">
        <v>200000</v>
      </c>
      <c r="L132" s="272">
        <v>51310000</v>
      </c>
      <c r="M132" s="281">
        <v>1000000000</v>
      </c>
      <c r="N132" s="281"/>
      <c r="O132" s="281"/>
      <c r="P132" s="272">
        <v>200</v>
      </c>
      <c r="Q132" s="272"/>
      <c r="R132" s="280">
        <v>885</v>
      </c>
      <c r="S132" s="272">
        <v>450</v>
      </c>
      <c r="T132" s="272">
        <v>2000</v>
      </c>
      <c r="U132" s="272">
        <v>1350</v>
      </c>
      <c r="V132" s="272">
        <v>1800</v>
      </c>
      <c r="W132" s="272">
        <v>2541</v>
      </c>
    </row>
    <row r="133" spans="1:23">
      <c r="A133" s="153">
        <v>45236</v>
      </c>
      <c r="B133" s="279">
        <v>1</v>
      </c>
      <c r="C133" s="272">
        <v>22400</v>
      </c>
      <c r="D133" s="272"/>
      <c r="E133" s="272"/>
      <c r="F133" s="279">
        <v>2118000</v>
      </c>
      <c r="G133" s="272">
        <v>3700000</v>
      </c>
      <c r="H133" s="272">
        <v>370000</v>
      </c>
      <c r="I133" s="272">
        <v>315000</v>
      </c>
      <c r="J133" s="272">
        <v>23200</v>
      </c>
      <c r="K133" s="272">
        <v>200000</v>
      </c>
      <c r="L133" s="272">
        <v>51310000</v>
      </c>
      <c r="M133" s="281">
        <v>1000000000</v>
      </c>
      <c r="N133" s="281"/>
      <c r="O133" s="281"/>
      <c r="P133" s="272">
        <v>200</v>
      </c>
      <c r="Q133" s="272"/>
      <c r="R133" s="280">
        <v>885</v>
      </c>
      <c r="S133" s="272">
        <v>450</v>
      </c>
      <c r="T133" s="272">
        <v>2000</v>
      </c>
      <c r="U133" s="272">
        <v>1350</v>
      </c>
      <c r="V133" s="272">
        <v>1800</v>
      </c>
      <c r="W133" s="272">
        <v>2541</v>
      </c>
    </row>
    <row r="134" spans="1:23">
      <c r="A134" s="153">
        <v>45237</v>
      </c>
      <c r="B134" s="279">
        <v>1</v>
      </c>
      <c r="C134" s="272">
        <v>22400</v>
      </c>
      <c r="D134" s="272"/>
      <c r="E134" s="272"/>
      <c r="F134" s="279">
        <v>2118000</v>
      </c>
      <c r="G134" s="272">
        <v>3700000</v>
      </c>
      <c r="H134" s="272">
        <v>370000</v>
      </c>
      <c r="I134" s="272">
        <v>315000</v>
      </c>
      <c r="J134" s="272">
        <v>23200</v>
      </c>
      <c r="K134" s="272">
        <v>200000</v>
      </c>
      <c r="L134" s="272">
        <v>51310000</v>
      </c>
      <c r="M134" s="281">
        <v>1000000000</v>
      </c>
      <c r="N134" s="281"/>
      <c r="O134" s="281"/>
      <c r="P134" s="272">
        <v>200</v>
      </c>
      <c r="Q134" s="272"/>
      <c r="R134" s="280">
        <v>885</v>
      </c>
      <c r="S134" s="272">
        <v>450</v>
      </c>
      <c r="T134" s="272">
        <v>2000</v>
      </c>
      <c r="U134" s="272">
        <v>1350</v>
      </c>
      <c r="V134" s="272">
        <v>1800</v>
      </c>
      <c r="W134" s="272">
        <v>2541</v>
      </c>
    </row>
    <row r="135" spans="1:23">
      <c r="A135" s="153">
        <v>45238</v>
      </c>
      <c r="B135" s="279">
        <v>1</v>
      </c>
      <c r="C135" s="272">
        <v>22400</v>
      </c>
      <c r="D135" s="272"/>
      <c r="E135" s="272"/>
      <c r="F135" s="279">
        <v>2118000</v>
      </c>
      <c r="G135" s="272">
        <v>3700000</v>
      </c>
      <c r="H135" s="272">
        <v>370000</v>
      </c>
      <c r="I135" s="272">
        <v>315000</v>
      </c>
      <c r="J135" s="272">
        <v>23200</v>
      </c>
      <c r="K135" s="272">
        <v>200000</v>
      </c>
      <c r="L135" s="272">
        <v>51310000</v>
      </c>
      <c r="M135" s="281">
        <v>1000000000</v>
      </c>
      <c r="N135" s="281"/>
      <c r="O135" s="281"/>
      <c r="P135" s="272">
        <v>200</v>
      </c>
      <c r="Q135" s="272"/>
      <c r="R135" s="280">
        <v>885</v>
      </c>
      <c r="S135" s="272">
        <v>450</v>
      </c>
      <c r="T135" s="272">
        <v>2000</v>
      </c>
      <c r="U135" s="272">
        <v>1350</v>
      </c>
      <c r="V135" s="272">
        <v>1800</v>
      </c>
      <c r="W135" s="272">
        <v>2541</v>
      </c>
    </row>
    <row r="136" spans="1:23">
      <c r="A136" s="153">
        <v>45239</v>
      </c>
      <c r="B136" s="279">
        <v>1</v>
      </c>
      <c r="C136" s="272">
        <v>22400</v>
      </c>
      <c r="D136" s="272"/>
      <c r="E136" s="272"/>
      <c r="F136" s="279">
        <v>2118000</v>
      </c>
      <c r="G136" s="272">
        <v>3700000</v>
      </c>
      <c r="H136" s="272">
        <v>370000</v>
      </c>
      <c r="I136" s="272">
        <v>315000</v>
      </c>
      <c r="J136" s="272">
        <v>23200</v>
      </c>
      <c r="K136" s="272">
        <v>200000</v>
      </c>
      <c r="L136" s="272">
        <v>51310000</v>
      </c>
      <c r="M136" s="281">
        <v>1000000000</v>
      </c>
      <c r="N136" s="281"/>
      <c r="O136" s="281"/>
      <c r="P136" s="272">
        <v>200</v>
      </c>
      <c r="Q136" s="272"/>
      <c r="R136" s="280">
        <v>885</v>
      </c>
      <c r="S136" s="272">
        <v>450</v>
      </c>
      <c r="T136" s="272">
        <v>2000</v>
      </c>
      <c r="U136" s="272">
        <v>1350</v>
      </c>
      <c r="V136" s="272">
        <v>1800</v>
      </c>
      <c r="W136" s="272">
        <v>2541</v>
      </c>
    </row>
    <row r="137" spans="1:23">
      <c r="A137" s="153">
        <v>45240</v>
      </c>
      <c r="B137" s="279">
        <v>1</v>
      </c>
      <c r="C137" s="272">
        <v>22400</v>
      </c>
      <c r="D137" s="272"/>
      <c r="E137" s="272"/>
      <c r="F137" s="279">
        <v>2118000</v>
      </c>
      <c r="G137" s="272">
        <v>3700000</v>
      </c>
      <c r="H137" s="272">
        <v>370000</v>
      </c>
      <c r="I137" s="272">
        <v>315000</v>
      </c>
      <c r="J137" s="272">
        <v>23200</v>
      </c>
      <c r="K137" s="272">
        <v>200000</v>
      </c>
      <c r="L137" s="272">
        <v>51310000</v>
      </c>
      <c r="M137" s="281">
        <v>1000000000</v>
      </c>
      <c r="N137" s="281"/>
      <c r="O137" s="281"/>
      <c r="P137" s="272">
        <v>200</v>
      </c>
      <c r="Q137" s="272"/>
      <c r="R137" s="280">
        <v>885</v>
      </c>
      <c r="S137" s="272">
        <v>450</v>
      </c>
      <c r="T137" s="272">
        <v>2000</v>
      </c>
      <c r="U137" s="272">
        <v>1350</v>
      </c>
      <c r="V137" s="272">
        <v>1800</v>
      </c>
      <c r="W137" s="272">
        <v>2541</v>
      </c>
    </row>
    <row r="138" spans="1:23">
      <c r="A138" s="153">
        <v>45243</v>
      </c>
      <c r="B138" s="279">
        <v>1</v>
      </c>
      <c r="C138" s="272">
        <v>22400</v>
      </c>
      <c r="D138" s="272"/>
      <c r="E138" s="272"/>
      <c r="F138" s="279">
        <v>2118000</v>
      </c>
      <c r="G138" s="272">
        <v>3700000</v>
      </c>
      <c r="H138" s="272">
        <v>370000</v>
      </c>
      <c r="I138" s="272">
        <v>315000</v>
      </c>
      <c r="J138" s="272">
        <v>23200</v>
      </c>
      <c r="K138" s="272"/>
      <c r="L138" s="272">
        <v>51310000</v>
      </c>
      <c r="M138" s="281">
        <v>1000000000</v>
      </c>
      <c r="N138" s="281"/>
      <c r="O138" s="281"/>
      <c r="P138" s="272">
        <v>200</v>
      </c>
      <c r="Q138" s="272"/>
      <c r="R138" s="280">
        <v>885</v>
      </c>
      <c r="S138" s="272">
        <v>450</v>
      </c>
      <c r="T138" s="272">
        <v>2000</v>
      </c>
      <c r="U138" s="272">
        <v>1350</v>
      </c>
      <c r="V138" s="272">
        <v>1800</v>
      </c>
      <c r="W138" s="272">
        <v>2541</v>
      </c>
    </row>
    <row r="139" spans="1:23">
      <c r="A139" s="153">
        <v>45244</v>
      </c>
      <c r="B139" s="279">
        <v>1</v>
      </c>
      <c r="C139" s="272">
        <v>22400</v>
      </c>
      <c r="D139" s="272"/>
      <c r="E139" s="272"/>
      <c r="F139" s="279">
        <v>2118000</v>
      </c>
      <c r="G139" s="272">
        <v>3700000</v>
      </c>
      <c r="H139" s="272">
        <v>370000</v>
      </c>
      <c r="I139" s="272">
        <v>315000</v>
      </c>
      <c r="J139" s="272">
        <v>23200</v>
      </c>
      <c r="K139" s="272"/>
      <c r="L139" s="272">
        <v>51310000</v>
      </c>
      <c r="M139" s="281">
        <v>1000000000</v>
      </c>
      <c r="N139" s="281"/>
      <c r="O139" s="281"/>
      <c r="P139" s="272">
        <v>200</v>
      </c>
      <c r="Q139" s="272"/>
      <c r="R139" s="280">
        <v>885</v>
      </c>
      <c r="S139" s="272">
        <v>450</v>
      </c>
      <c r="T139" s="272">
        <v>2000</v>
      </c>
      <c r="U139" s="272">
        <v>1350</v>
      </c>
      <c r="V139" s="272">
        <v>1800</v>
      </c>
      <c r="W139" s="272">
        <v>2541</v>
      </c>
    </row>
    <row r="140" spans="1:23">
      <c r="A140" s="153">
        <v>45245</v>
      </c>
      <c r="B140" s="279">
        <v>1</v>
      </c>
      <c r="C140" s="272">
        <v>22400</v>
      </c>
      <c r="D140" s="272"/>
      <c r="E140" s="272"/>
      <c r="F140" s="279">
        <v>2118000</v>
      </c>
      <c r="G140" s="272">
        <v>3700000</v>
      </c>
      <c r="H140" s="272">
        <v>370000</v>
      </c>
      <c r="I140" s="272">
        <v>315000</v>
      </c>
      <c r="J140" s="272">
        <v>23200</v>
      </c>
      <c r="K140" s="272"/>
      <c r="L140" s="272">
        <v>51310000</v>
      </c>
      <c r="M140" s="281">
        <v>1000000000</v>
      </c>
      <c r="N140" s="281"/>
      <c r="O140" s="281"/>
      <c r="P140" s="272">
        <v>200</v>
      </c>
      <c r="Q140" s="272"/>
      <c r="R140" s="280">
        <v>885</v>
      </c>
      <c r="S140" s="272">
        <v>450</v>
      </c>
      <c r="T140" s="272">
        <v>2000</v>
      </c>
      <c r="U140" s="272">
        <v>1350</v>
      </c>
      <c r="V140" s="272">
        <v>1800</v>
      </c>
      <c r="W140" s="272">
        <v>2541</v>
      </c>
    </row>
    <row r="141" spans="1:23">
      <c r="A141" s="153">
        <v>45246</v>
      </c>
      <c r="B141" s="279">
        <v>1</v>
      </c>
      <c r="C141" s="272">
        <v>22400</v>
      </c>
      <c r="D141" s="272"/>
      <c r="E141" s="272"/>
      <c r="F141" s="279">
        <v>2118000</v>
      </c>
      <c r="G141" s="272">
        <v>3700000</v>
      </c>
      <c r="H141" s="272">
        <v>370000</v>
      </c>
      <c r="I141" s="272">
        <v>315000</v>
      </c>
      <c r="J141" s="272">
        <v>23200</v>
      </c>
      <c r="K141" s="272"/>
      <c r="L141" s="272">
        <v>51310000</v>
      </c>
      <c r="M141" s="281">
        <v>1000000000</v>
      </c>
      <c r="N141" s="281"/>
      <c r="O141" s="281"/>
      <c r="P141" s="272">
        <v>200</v>
      </c>
      <c r="Q141" s="272"/>
      <c r="R141" s="280">
        <v>885</v>
      </c>
      <c r="S141" s="272">
        <v>450</v>
      </c>
      <c r="T141" s="272">
        <v>2000</v>
      </c>
      <c r="U141" s="272">
        <v>1350</v>
      </c>
      <c r="V141" s="272">
        <v>1800</v>
      </c>
      <c r="W141" s="272">
        <v>2541</v>
      </c>
    </row>
    <row r="142" spans="1:23">
      <c r="A142" s="153">
        <v>45247</v>
      </c>
      <c r="B142" s="279">
        <v>1</v>
      </c>
      <c r="C142" s="272">
        <v>22400</v>
      </c>
      <c r="D142" s="272"/>
      <c r="E142" s="272"/>
      <c r="F142" s="279">
        <v>2118000</v>
      </c>
      <c r="G142" s="272">
        <v>3700000</v>
      </c>
      <c r="H142" s="272">
        <v>370000</v>
      </c>
      <c r="I142" s="272">
        <v>315000</v>
      </c>
      <c r="J142" s="272">
        <v>23200</v>
      </c>
      <c r="K142" s="272"/>
      <c r="L142" s="272">
        <v>51310000</v>
      </c>
      <c r="M142" s="281">
        <v>1000000000</v>
      </c>
      <c r="N142" s="281"/>
      <c r="O142" s="281"/>
      <c r="P142" s="272">
        <v>200</v>
      </c>
      <c r="Q142" s="272"/>
      <c r="R142" s="280">
        <v>885</v>
      </c>
      <c r="S142" s="272">
        <v>450</v>
      </c>
      <c r="T142" s="272">
        <v>2000</v>
      </c>
      <c r="U142" s="272">
        <v>1350</v>
      </c>
      <c r="V142" s="272">
        <v>1800</v>
      </c>
      <c r="W142" s="272">
        <v>2541</v>
      </c>
    </row>
    <row r="143" spans="1:23">
      <c r="A143" s="153">
        <v>45250</v>
      </c>
      <c r="B143" s="279">
        <v>1</v>
      </c>
      <c r="C143" s="272">
        <v>22400</v>
      </c>
      <c r="D143" s="272"/>
      <c r="E143" s="272"/>
      <c r="F143" s="279">
        <v>2118000</v>
      </c>
      <c r="G143" s="272">
        <v>3700000</v>
      </c>
      <c r="H143" s="272">
        <v>370000</v>
      </c>
      <c r="I143" s="272">
        <v>315000</v>
      </c>
      <c r="J143" s="272">
        <v>23200</v>
      </c>
      <c r="K143" s="272"/>
      <c r="L143" s="272">
        <v>51310000</v>
      </c>
      <c r="M143" s="281">
        <v>1000000000</v>
      </c>
      <c r="N143" s="281"/>
      <c r="O143" s="281"/>
      <c r="P143" s="272">
        <v>200</v>
      </c>
      <c r="Q143" s="272"/>
      <c r="R143" s="280">
        <v>885</v>
      </c>
      <c r="S143" s="272">
        <v>450</v>
      </c>
      <c r="T143" s="272">
        <v>2000</v>
      </c>
      <c r="U143" s="272">
        <v>1350</v>
      </c>
      <c r="V143" s="272">
        <v>1800</v>
      </c>
      <c r="W143" s="272">
        <v>2541</v>
      </c>
    </row>
    <row r="144" spans="1:23">
      <c r="A144" s="153">
        <v>45251</v>
      </c>
      <c r="B144" s="279">
        <v>1</v>
      </c>
      <c r="C144" s="272">
        <v>22400</v>
      </c>
      <c r="D144" s="272"/>
      <c r="E144" s="272"/>
      <c r="F144" s="279">
        <v>2118000</v>
      </c>
      <c r="G144" s="272">
        <v>3700000</v>
      </c>
      <c r="H144" s="272">
        <v>370000</v>
      </c>
      <c r="I144" s="272">
        <v>315000</v>
      </c>
      <c r="J144" s="272">
        <v>23200</v>
      </c>
      <c r="K144" s="272"/>
      <c r="L144" s="272">
        <v>51310000</v>
      </c>
      <c r="M144" s="281">
        <v>1000000000</v>
      </c>
      <c r="N144" s="281"/>
      <c r="O144" s="281"/>
      <c r="P144" s="272">
        <v>200</v>
      </c>
      <c r="Q144" s="272"/>
      <c r="R144" s="280">
        <v>885</v>
      </c>
      <c r="S144" s="272">
        <v>450</v>
      </c>
      <c r="T144" s="272">
        <v>2000</v>
      </c>
      <c r="U144" s="272">
        <v>1350</v>
      </c>
      <c r="V144" s="272">
        <v>1800</v>
      </c>
      <c r="W144" s="272">
        <v>2541</v>
      </c>
    </row>
    <row r="145" spans="1:23">
      <c r="A145" s="153">
        <v>45252</v>
      </c>
      <c r="B145" s="279">
        <v>1</v>
      </c>
      <c r="C145" s="272">
        <v>22400</v>
      </c>
      <c r="D145" s="272"/>
      <c r="E145" s="272"/>
      <c r="F145" s="279">
        <v>2118000</v>
      </c>
      <c r="G145" s="272">
        <v>3700000</v>
      </c>
      <c r="H145" s="272">
        <v>370000</v>
      </c>
      <c r="I145" s="272">
        <v>315000</v>
      </c>
      <c r="J145" s="272">
        <v>23200</v>
      </c>
      <c r="K145" s="272"/>
      <c r="L145" s="272">
        <v>51310000</v>
      </c>
      <c r="M145" s="281">
        <v>1000000000</v>
      </c>
      <c r="N145" s="281"/>
      <c r="O145" s="281"/>
      <c r="P145" s="272">
        <v>200</v>
      </c>
      <c r="Q145" s="272"/>
      <c r="R145" s="280">
        <v>885</v>
      </c>
      <c r="S145" s="272">
        <v>450</v>
      </c>
      <c r="T145" s="272">
        <v>2000</v>
      </c>
      <c r="U145" s="272">
        <v>1350</v>
      </c>
      <c r="V145" s="272">
        <v>1800</v>
      </c>
      <c r="W145" s="272">
        <v>2541</v>
      </c>
    </row>
    <row r="146" spans="1:23">
      <c r="A146" s="153">
        <v>45253</v>
      </c>
      <c r="B146" s="279">
        <v>1</v>
      </c>
      <c r="C146" s="272">
        <v>22400</v>
      </c>
      <c r="D146" s="272"/>
      <c r="E146" s="272"/>
      <c r="F146" s="279">
        <v>2118000</v>
      </c>
      <c r="G146" s="272">
        <v>3700000</v>
      </c>
      <c r="H146" s="272">
        <v>370000</v>
      </c>
      <c r="I146" s="272">
        <v>315000</v>
      </c>
      <c r="J146" s="272">
        <v>23200</v>
      </c>
      <c r="K146" s="272"/>
      <c r="L146" s="272">
        <v>51310000</v>
      </c>
      <c r="M146" s="281">
        <v>1000000000</v>
      </c>
      <c r="N146" s="281"/>
      <c r="O146" s="281"/>
      <c r="P146" s="272">
        <v>200</v>
      </c>
      <c r="Q146" s="272"/>
      <c r="R146" s="280">
        <v>885</v>
      </c>
      <c r="S146" s="272">
        <v>450</v>
      </c>
      <c r="T146" s="272">
        <v>2000</v>
      </c>
      <c r="U146" s="272">
        <v>1350</v>
      </c>
      <c r="V146" s="272">
        <v>1800</v>
      </c>
      <c r="W146" s="272">
        <v>2541</v>
      </c>
    </row>
    <row r="147" spans="1:23">
      <c r="A147" s="153">
        <v>45254</v>
      </c>
      <c r="B147" s="279">
        <v>1</v>
      </c>
      <c r="C147" s="272">
        <v>22400</v>
      </c>
      <c r="D147" s="272"/>
      <c r="E147" s="272"/>
      <c r="F147" s="279">
        <v>2118000</v>
      </c>
      <c r="G147" s="272">
        <v>3700000</v>
      </c>
      <c r="H147" s="272">
        <v>370000</v>
      </c>
      <c r="I147" s="272">
        <v>315000</v>
      </c>
      <c r="J147" s="272">
        <v>23200</v>
      </c>
      <c r="K147" s="272"/>
      <c r="L147" s="272">
        <v>51310000</v>
      </c>
      <c r="M147" s="281">
        <v>1000000000</v>
      </c>
      <c r="N147" s="281"/>
      <c r="O147" s="281"/>
      <c r="P147" s="272">
        <v>200</v>
      </c>
      <c r="Q147" s="272"/>
      <c r="R147" s="280">
        <v>885</v>
      </c>
      <c r="S147" s="272">
        <v>450</v>
      </c>
      <c r="T147" s="272">
        <v>2000</v>
      </c>
      <c r="U147" s="272"/>
      <c r="V147" s="272">
        <v>1800</v>
      </c>
      <c r="W147" s="272">
        <v>2541</v>
      </c>
    </row>
    <row r="148" spans="1:23">
      <c r="A148" s="153">
        <v>45257</v>
      </c>
      <c r="B148" s="279">
        <v>1</v>
      </c>
      <c r="C148" s="272">
        <v>22400</v>
      </c>
      <c r="D148" s="272"/>
      <c r="E148" s="272"/>
      <c r="F148" s="279">
        <v>2118000</v>
      </c>
      <c r="G148" s="272">
        <v>3700000</v>
      </c>
      <c r="H148" s="272">
        <v>370000</v>
      </c>
      <c r="I148" s="272">
        <v>315000</v>
      </c>
      <c r="J148" s="272">
        <v>23200</v>
      </c>
      <c r="K148" s="272"/>
      <c r="L148" s="272">
        <v>51310000</v>
      </c>
      <c r="M148" s="281">
        <v>1000000000</v>
      </c>
      <c r="N148" s="281"/>
      <c r="O148" s="281">
        <v>167</v>
      </c>
      <c r="P148" s="272">
        <v>200</v>
      </c>
      <c r="Q148" s="272"/>
      <c r="R148" s="280">
        <v>885</v>
      </c>
      <c r="S148" s="272">
        <v>450</v>
      </c>
      <c r="T148" s="272">
        <v>2000</v>
      </c>
      <c r="U148" s="272"/>
      <c r="V148" s="272">
        <v>1800</v>
      </c>
      <c r="W148" s="272">
        <v>2541</v>
      </c>
    </row>
    <row r="149" spans="1:23">
      <c r="A149" s="153">
        <v>45258</v>
      </c>
      <c r="B149" s="279">
        <v>1</v>
      </c>
      <c r="C149" s="272">
        <v>22400</v>
      </c>
      <c r="D149" s="272"/>
      <c r="E149" s="272"/>
      <c r="F149" s="279">
        <v>2118000</v>
      </c>
      <c r="G149" s="272">
        <v>3700000</v>
      </c>
      <c r="H149" s="272">
        <v>370000</v>
      </c>
      <c r="I149" s="272">
        <v>315000</v>
      </c>
      <c r="J149" s="272">
        <v>23200</v>
      </c>
      <c r="K149" s="272"/>
      <c r="L149" s="272">
        <v>51310000</v>
      </c>
      <c r="M149" s="281">
        <v>1000000000</v>
      </c>
      <c r="N149" s="281"/>
      <c r="O149" s="281">
        <v>167</v>
      </c>
      <c r="P149" s="272">
        <v>200</v>
      </c>
      <c r="Q149" s="272"/>
      <c r="R149" s="280">
        <v>885</v>
      </c>
      <c r="S149" s="272">
        <v>450</v>
      </c>
      <c r="T149" s="272">
        <v>2000</v>
      </c>
      <c r="U149" s="272"/>
      <c r="V149" s="272">
        <v>1800</v>
      </c>
      <c r="W149" s="272">
        <v>2541</v>
      </c>
    </row>
    <row r="150" spans="1:23">
      <c r="A150" s="153">
        <v>45259</v>
      </c>
      <c r="B150" s="279">
        <v>1</v>
      </c>
      <c r="C150" s="272">
        <v>22400</v>
      </c>
      <c r="D150" s="272"/>
      <c r="E150" s="272"/>
      <c r="F150" s="279">
        <v>2118000</v>
      </c>
      <c r="G150" s="272">
        <v>3700000</v>
      </c>
      <c r="H150" s="272">
        <v>370000</v>
      </c>
      <c r="I150" s="272">
        <v>315000</v>
      </c>
      <c r="J150" s="272">
        <v>23200</v>
      </c>
      <c r="K150" s="272"/>
      <c r="L150" s="272">
        <v>51310000</v>
      </c>
      <c r="M150" s="281">
        <v>1000000000</v>
      </c>
      <c r="N150" s="281"/>
      <c r="O150" s="281">
        <v>167</v>
      </c>
      <c r="P150" s="272">
        <v>200</v>
      </c>
      <c r="Q150" s="272"/>
      <c r="R150" s="280">
        <v>885</v>
      </c>
      <c r="S150" s="272">
        <v>450</v>
      </c>
      <c r="T150" s="272">
        <v>2000</v>
      </c>
      <c r="U150" s="272"/>
      <c r="V150" s="272">
        <v>1800</v>
      </c>
      <c r="W150" s="272">
        <v>2541</v>
      </c>
    </row>
    <row r="151" spans="1:23">
      <c r="A151" s="153">
        <v>45260</v>
      </c>
      <c r="B151" s="279">
        <v>1</v>
      </c>
      <c r="C151" s="272">
        <v>22400</v>
      </c>
      <c r="D151" s="272"/>
      <c r="E151" s="272"/>
      <c r="F151" s="279">
        <v>2118000</v>
      </c>
      <c r="G151" s="272">
        <v>3700000</v>
      </c>
      <c r="H151" s="272">
        <v>370000</v>
      </c>
      <c r="I151" s="272">
        <v>315000</v>
      </c>
      <c r="J151" s="272">
        <v>23200</v>
      </c>
      <c r="K151" s="272"/>
      <c r="L151" s="272">
        <v>51310000</v>
      </c>
      <c r="M151" s="281">
        <v>1000000000</v>
      </c>
      <c r="N151" s="281"/>
      <c r="O151" s="281">
        <v>167</v>
      </c>
      <c r="P151" s="272">
        <v>200</v>
      </c>
      <c r="Q151" s="272"/>
      <c r="R151" s="280">
        <v>885</v>
      </c>
      <c r="S151" s="272">
        <v>450</v>
      </c>
      <c r="T151" s="272">
        <v>2000</v>
      </c>
      <c r="U151" s="272"/>
      <c r="V151" s="272">
        <v>1800</v>
      </c>
      <c r="W151" s="272">
        <v>2541</v>
      </c>
    </row>
    <row r="152" spans="1:23">
      <c r="A152" s="153">
        <v>45261</v>
      </c>
      <c r="B152" s="279">
        <v>1</v>
      </c>
      <c r="C152" s="272">
        <v>22400</v>
      </c>
      <c r="D152" s="272"/>
      <c r="E152" s="272"/>
      <c r="F152" s="279">
        <v>2118000</v>
      </c>
      <c r="G152" s="272">
        <v>3700000</v>
      </c>
      <c r="H152" s="272">
        <v>370000</v>
      </c>
      <c r="I152" s="272">
        <v>315000</v>
      </c>
      <c r="J152" s="272">
        <v>23200</v>
      </c>
      <c r="K152" s="272"/>
      <c r="L152" s="272">
        <v>51310000</v>
      </c>
      <c r="M152" s="281">
        <v>1000000000</v>
      </c>
      <c r="N152" s="281"/>
      <c r="O152" s="281">
        <v>167</v>
      </c>
      <c r="P152" s="272">
        <v>200</v>
      </c>
      <c r="Q152" s="272"/>
      <c r="R152" s="280">
        <v>885</v>
      </c>
      <c r="S152" s="272">
        <v>450</v>
      </c>
      <c r="T152" s="272">
        <v>2000</v>
      </c>
      <c r="U152" s="272"/>
      <c r="V152" s="272">
        <v>1800</v>
      </c>
      <c r="W152" s="272">
        <v>2541</v>
      </c>
    </row>
    <row r="153" spans="1:23">
      <c r="A153" s="153">
        <v>45264</v>
      </c>
      <c r="B153" s="279">
        <v>1</v>
      </c>
      <c r="C153" s="272">
        <v>22400</v>
      </c>
      <c r="D153" s="272"/>
      <c r="E153" s="272"/>
      <c r="F153" s="279">
        <v>2118000</v>
      </c>
      <c r="G153" s="272">
        <v>3700000</v>
      </c>
      <c r="H153" s="272">
        <v>370000</v>
      </c>
      <c r="I153" s="272">
        <v>315000</v>
      </c>
      <c r="J153" s="272">
        <v>23200</v>
      </c>
      <c r="K153" s="272"/>
      <c r="L153" s="272">
        <v>51310000</v>
      </c>
      <c r="M153" s="281">
        <v>1000000000</v>
      </c>
      <c r="N153" s="281"/>
      <c r="O153" s="281">
        <v>167</v>
      </c>
      <c r="P153" s="272">
        <v>200</v>
      </c>
      <c r="Q153" s="272"/>
      <c r="R153" s="280">
        <v>885</v>
      </c>
      <c r="S153" s="272">
        <v>450</v>
      </c>
      <c r="T153" s="272">
        <v>2000</v>
      </c>
      <c r="U153" s="272"/>
      <c r="V153" s="272">
        <v>1800</v>
      </c>
      <c r="W153" s="272">
        <v>2541</v>
      </c>
    </row>
    <row r="154" spans="1:23">
      <c r="A154" s="153">
        <v>45265</v>
      </c>
      <c r="B154" s="279">
        <v>1</v>
      </c>
      <c r="C154" s="272">
        <v>22400</v>
      </c>
      <c r="D154" s="272"/>
      <c r="E154" s="272"/>
      <c r="F154" s="279">
        <v>2118000</v>
      </c>
      <c r="G154" s="272">
        <v>3700000</v>
      </c>
      <c r="H154" s="272">
        <v>370000</v>
      </c>
      <c r="I154" s="272">
        <v>315000</v>
      </c>
      <c r="J154" s="272">
        <v>23200</v>
      </c>
      <c r="K154" s="272"/>
      <c r="L154" s="272">
        <v>51310000</v>
      </c>
      <c r="M154" s="281">
        <v>1000000000</v>
      </c>
      <c r="N154" s="281"/>
      <c r="O154" s="281">
        <v>167</v>
      </c>
      <c r="P154" s="272">
        <v>200</v>
      </c>
      <c r="Q154" s="272"/>
      <c r="R154" s="280">
        <v>885</v>
      </c>
      <c r="S154" s="272">
        <v>450</v>
      </c>
      <c r="T154" s="272">
        <v>2000</v>
      </c>
      <c r="U154" s="272"/>
      <c r="V154" s="272">
        <v>1800</v>
      </c>
      <c r="W154" s="272">
        <v>2541</v>
      </c>
    </row>
    <row r="155" spans="1:23">
      <c r="A155" s="153">
        <v>45266</v>
      </c>
      <c r="B155" s="279">
        <v>1</v>
      </c>
      <c r="C155" s="272">
        <v>22400</v>
      </c>
      <c r="D155" s="272"/>
      <c r="E155" s="272"/>
      <c r="F155" s="279">
        <v>2118000</v>
      </c>
      <c r="G155" s="272">
        <v>3700000</v>
      </c>
      <c r="H155" s="272">
        <v>370000</v>
      </c>
      <c r="I155" s="272">
        <v>315000</v>
      </c>
      <c r="J155" s="272">
        <v>23200</v>
      </c>
      <c r="K155" s="272"/>
      <c r="L155" s="272">
        <v>51310000</v>
      </c>
      <c r="M155" s="281">
        <v>1000000000</v>
      </c>
      <c r="N155" s="281"/>
      <c r="O155" s="281">
        <v>167</v>
      </c>
      <c r="P155" s="272">
        <v>200</v>
      </c>
      <c r="Q155" s="272"/>
      <c r="R155" s="280">
        <v>885</v>
      </c>
      <c r="S155" s="272">
        <v>450</v>
      </c>
      <c r="T155" s="272">
        <v>2000</v>
      </c>
      <c r="U155" s="272"/>
      <c r="V155" s="272">
        <v>1800</v>
      </c>
      <c r="W155" s="272">
        <v>2541</v>
      </c>
    </row>
    <row r="156" spans="1:23">
      <c r="A156" s="153">
        <v>45267</v>
      </c>
      <c r="B156" s="279">
        <v>1</v>
      </c>
      <c r="C156" s="272">
        <v>22400</v>
      </c>
      <c r="D156" s="272"/>
      <c r="E156" s="272"/>
      <c r="F156" s="279">
        <v>2118000</v>
      </c>
      <c r="G156" s="272">
        <v>3700000</v>
      </c>
      <c r="H156" s="272">
        <v>370000</v>
      </c>
      <c r="I156" s="272">
        <v>315000</v>
      </c>
      <c r="J156" s="272">
        <v>23200</v>
      </c>
      <c r="K156" s="272"/>
      <c r="L156" s="272">
        <v>51310000</v>
      </c>
      <c r="M156" s="281">
        <v>1000000000</v>
      </c>
      <c r="N156" s="281"/>
      <c r="O156" s="281">
        <v>167</v>
      </c>
      <c r="P156" s="272">
        <v>200</v>
      </c>
      <c r="Q156" s="272"/>
      <c r="R156" s="280">
        <v>885</v>
      </c>
      <c r="S156" s="272">
        <v>450</v>
      </c>
      <c r="T156" s="272">
        <v>2000</v>
      </c>
      <c r="U156" s="272"/>
      <c r="V156" s="272">
        <v>1800</v>
      </c>
      <c r="W156" s="272">
        <v>2541</v>
      </c>
    </row>
    <row r="157" spans="1:23">
      <c r="A157" s="153">
        <v>45268</v>
      </c>
      <c r="B157" s="279">
        <v>1</v>
      </c>
      <c r="C157" s="272">
        <v>22400</v>
      </c>
      <c r="D157" s="272"/>
      <c r="E157" s="272"/>
      <c r="F157" s="279">
        <v>2118000</v>
      </c>
      <c r="G157" s="272">
        <v>3700000</v>
      </c>
      <c r="H157" s="272">
        <v>370000</v>
      </c>
      <c r="I157" s="272">
        <v>315000</v>
      </c>
      <c r="J157" s="272">
        <v>23200</v>
      </c>
      <c r="K157" s="272"/>
      <c r="L157" s="272">
        <v>51310000</v>
      </c>
      <c r="M157" s="281">
        <v>1000000000</v>
      </c>
      <c r="N157" s="281"/>
      <c r="O157" s="281">
        <v>167</v>
      </c>
      <c r="P157" s="272">
        <v>200</v>
      </c>
      <c r="Q157" s="272"/>
      <c r="R157" s="280">
        <v>885</v>
      </c>
      <c r="S157" s="272">
        <v>450</v>
      </c>
      <c r="T157" s="272">
        <v>2000</v>
      </c>
      <c r="U157" s="272"/>
      <c r="V157" s="272">
        <v>1800</v>
      </c>
      <c r="W157" s="272">
        <v>2541</v>
      </c>
    </row>
    <row r="158" spans="1:23">
      <c r="A158" s="153">
        <v>45271</v>
      </c>
      <c r="B158" s="279">
        <v>1</v>
      </c>
      <c r="C158" s="272">
        <v>22400</v>
      </c>
      <c r="D158" s="272"/>
      <c r="E158" s="272"/>
      <c r="F158" s="279">
        <v>2118000</v>
      </c>
      <c r="G158" s="272">
        <v>3700000</v>
      </c>
      <c r="H158" s="272">
        <v>370000</v>
      </c>
      <c r="I158" s="272">
        <v>315000</v>
      </c>
      <c r="J158" s="272">
        <v>23200</v>
      </c>
      <c r="K158" s="272"/>
      <c r="L158" s="272">
        <v>51310000</v>
      </c>
      <c r="M158" s="281">
        <v>1000000000</v>
      </c>
      <c r="N158" s="281"/>
      <c r="O158" s="281">
        <v>167</v>
      </c>
      <c r="P158" s="272">
        <v>200</v>
      </c>
      <c r="Q158" s="272"/>
      <c r="R158" s="280">
        <v>885</v>
      </c>
      <c r="S158" s="272">
        <v>450</v>
      </c>
      <c r="T158" s="272">
        <v>2000</v>
      </c>
      <c r="U158" s="272"/>
      <c r="V158" s="272">
        <v>1800</v>
      </c>
      <c r="W158" s="272">
        <v>2541</v>
      </c>
    </row>
    <row r="159" spans="1:23">
      <c r="A159" s="153">
        <v>45272</v>
      </c>
      <c r="B159" s="279">
        <v>1</v>
      </c>
      <c r="C159" s="272">
        <v>22400</v>
      </c>
      <c r="D159" s="272"/>
      <c r="E159" s="272"/>
      <c r="F159" s="279">
        <v>2118000</v>
      </c>
      <c r="G159" s="272">
        <v>3700000</v>
      </c>
      <c r="H159" s="272">
        <v>370000</v>
      </c>
      <c r="I159" s="272">
        <v>315000</v>
      </c>
      <c r="J159" s="272">
        <v>23200</v>
      </c>
      <c r="K159" s="272"/>
      <c r="L159" s="272">
        <v>51310000</v>
      </c>
      <c r="M159" s="281">
        <v>1000000000</v>
      </c>
      <c r="N159" s="281"/>
      <c r="O159" s="281">
        <v>167</v>
      </c>
      <c r="P159" s="272">
        <v>200</v>
      </c>
      <c r="Q159" s="272"/>
      <c r="R159" s="280">
        <v>885</v>
      </c>
      <c r="S159" s="272">
        <v>450</v>
      </c>
      <c r="T159" s="272">
        <v>2000</v>
      </c>
      <c r="U159" s="272"/>
      <c r="V159" s="272">
        <v>1800</v>
      </c>
      <c r="W159" s="272">
        <v>2541</v>
      </c>
    </row>
    <row r="160" spans="1:23">
      <c r="A160" s="153">
        <v>45273</v>
      </c>
      <c r="B160" s="279">
        <v>1</v>
      </c>
      <c r="C160" s="272">
        <v>22400</v>
      </c>
      <c r="D160" s="272"/>
      <c r="E160" s="272"/>
      <c r="F160" s="279">
        <v>2118000</v>
      </c>
      <c r="G160" s="272">
        <v>3700000</v>
      </c>
      <c r="H160" s="272">
        <v>370000</v>
      </c>
      <c r="I160" s="272">
        <v>315000</v>
      </c>
      <c r="J160" s="272">
        <v>23200</v>
      </c>
      <c r="K160" s="272"/>
      <c r="L160" s="272">
        <v>51310000</v>
      </c>
      <c r="M160" s="281">
        <v>1000000000</v>
      </c>
      <c r="N160" s="281"/>
      <c r="O160" s="281">
        <v>167</v>
      </c>
      <c r="P160" s="272">
        <v>200</v>
      </c>
      <c r="Q160" s="272"/>
      <c r="R160" s="280">
        <v>885</v>
      </c>
      <c r="S160" s="272">
        <v>450</v>
      </c>
      <c r="T160" s="272">
        <v>2000</v>
      </c>
      <c r="U160" s="272"/>
      <c r="V160" s="272">
        <v>1800</v>
      </c>
      <c r="W160" s="272">
        <v>2541</v>
      </c>
    </row>
    <row r="161" spans="1:23">
      <c r="A161" s="153">
        <v>45274</v>
      </c>
      <c r="B161" s="279">
        <v>1</v>
      </c>
      <c r="C161" s="272">
        <v>22400</v>
      </c>
      <c r="D161" s="272"/>
      <c r="E161" s="272"/>
      <c r="F161" s="279">
        <v>2118000</v>
      </c>
      <c r="G161" s="272">
        <v>3700000</v>
      </c>
      <c r="H161" s="272">
        <v>370000</v>
      </c>
      <c r="I161" s="272">
        <v>315000</v>
      </c>
      <c r="J161" s="272">
        <v>23200</v>
      </c>
      <c r="K161" s="272"/>
      <c r="L161" s="272">
        <v>51310000</v>
      </c>
      <c r="M161" s="281">
        <v>1000000000</v>
      </c>
      <c r="N161" s="281"/>
      <c r="O161" s="281">
        <v>167</v>
      </c>
      <c r="P161" s="272">
        <v>200</v>
      </c>
      <c r="Q161" s="272"/>
      <c r="R161" s="280">
        <v>885</v>
      </c>
      <c r="S161" s="272">
        <v>450</v>
      </c>
      <c r="T161" s="272">
        <v>2000</v>
      </c>
      <c r="U161" s="272"/>
      <c r="V161" s="272">
        <v>1800</v>
      </c>
      <c r="W161" s="272">
        <v>2541</v>
      </c>
    </row>
    <row r="162" spans="1:23">
      <c r="A162" s="153">
        <v>45275</v>
      </c>
      <c r="B162" s="279">
        <v>1</v>
      </c>
      <c r="C162" s="272">
        <v>22400</v>
      </c>
      <c r="D162" s="272"/>
      <c r="E162" s="272"/>
      <c r="F162" s="279">
        <v>2118000</v>
      </c>
      <c r="G162" s="272">
        <v>3700000</v>
      </c>
      <c r="H162" s="272">
        <v>370000</v>
      </c>
      <c r="I162" s="272">
        <v>315000</v>
      </c>
      <c r="J162" s="272">
        <v>23200</v>
      </c>
      <c r="K162" s="272"/>
      <c r="L162" s="272">
        <v>51310000</v>
      </c>
      <c r="M162" s="281">
        <v>1000000000</v>
      </c>
      <c r="N162" s="281">
        <v>100000</v>
      </c>
      <c r="O162" s="281">
        <v>167</v>
      </c>
      <c r="P162" s="272">
        <v>200</v>
      </c>
      <c r="Q162" s="272"/>
      <c r="R162" s="280">
        <v>885</v>
      </c>
      <c r="S162" s="272">
        <v>450</v>
      </c>
      <c r="T162" s="272">
        <v>2000</v>
      </c>
      <c r="U162" s="272"/>
      <c r="V162" s="272">
        <v>1800</v>
      </c>
      <c r="W162" s="272">
        <v>2541</v>
      </c>
    </row>
    <row r="163" spans="1:23">
      <c r="A163" s="153">
        <v>45278</v>
      </c>
      <c r="B163" s="279">
        <v>1</v>
      </c>
      <c r="C163" s="272">
        <v>22400</v>
      </c>
      <c r="D163" s="272"/>
      <c r="E163" s="272"/>
      <c r="F163" s="279">
        <v>2118000</v>
      </c>
      <c r="G163" s="272">
        <v>3700000</v>
      </c>
      <c r="H163" s="272">
        <v>370000</v>
      </c>
      <c r="I163" s="272">
        <v>315000</v>
      </c>
      <c r="J163" s="272">
        <v>23200</v>
      </c>
      <c r="K163" s="272"/>
      <c r="L163" s="272">
        <v>51310000</v>
      </c>
      <c r="M163" s="281">
        <v>1000000000</v>
      </c>
      <c r="N163" s="281">
        <v>100000</v>
      </c>
      <c r="O163" s="281">
        <v>167</v>
      </c>
      <c r="P163" s="272">
        <v>200</v>
      </c>
      <c r="Q163" s="272"/>
      <c r="R163" s="280">
        <v>885</v>
      </c>
      <c r="S163" s="272">
        <v>450</v>
      </c>
      <c r="T163" s="272">
        <v>2000</v>
      </c>
      <c r="U163" s="272"/>
      <c r="V163" s="272">
        <v>1800</v>
      </c>
      <c r="W163" s="272">
        <v>2541</v>
      </c>
    </row>
    <row r="164" spans="1:23">
      <c r="A164" s="153">
        <v>45279</v>
      </c>
      <c r="B164" s="279">
        <v>1</v>
      </c>
      <c r="C164" s="272">
        <v>22400</v>
      </c>
      <c r="D164" s="272"/>
      <c r="E164" s="272"/>
      <c r="F164" s="279">
        <v>2118000</v>
      </c>
      <c r="G164" s="272">
        <v>3700000</v>
      </c>
      <c r="H164" s="272">
        <v>370000</v>
      </c>
      <c r="I164" s="272">
        <v>315000</v>
      </c>
      <c r="J164" s="272">
        <v>23200</v>
      </c>
      <c r="K164" s="272"/>
      <c r="L164" s="272">
        <v>51310000</v>
      </c>
      <c r="M164" s="281">
        <v>1000000000</v>
      </c>
      <c r="N164" s="281">
        <v>100000</v>
      </c>
      <c r="O164" s="281">
        <v>167</v>
      </c>
      <c r="P164" s="272">
        <v>200</v>
      </c>
      <c r="Q164" s="272"/>
      <c r="R164" s="280">
        <v>885</v>
      </c>
      <c r="S164" s="272">
        <v>450</v>
      </c>
      <c r="T164" s="272">
        <v>2000</v>
      </c>
      <c r="U164" s="272"/>
      <c r="V164" s="272">
        <v>1800</v>
      </c>
      <c r="W164" s="272">
        <v>2541</v>
      </c>
    </row>
    <row r="165" spans="1:23">
      <c r="A165" s="153">
        <v>45280</v>
      </c>
      <c r="B165" s="279">
        <v>1</v>
      </c>
      <c r="C165" s="272">
        <v>22400</v>
      </c>
      <c r="D165" s="272"/>
      <c r="E165" s="272"/>
      <c r="F165" s="279">
        <v>2118000</v>
      </c>
      <c r="G165" s="272">
        <v>3700000</v>
      </c>
      <c r="H165" s="272">
        <v>370000</v>
      </c>
      <c r="I165" s="272">
        <v>315000</v>
      </c>
      <c r="J165" s="272">
        <v>23200</v>
      </c>
      <c r="K165" s="272"/>
      <c r="L165" s="272">
        <v>51310000</v>
      </c>
      <c r="M165" s="281">
        <v>1000000000</v>
      </c>
      <c r="N165" s="281">
        <v>100000</v>
      </c>
      <c r="O165" s="281">
        <v>167</v>
      </c>
      <c r="P165" s="272">
        <v>200</v>
      </c>
      <c r="Q165" s="272"/>
      <c r="R165" s="280">
        <v>885</v>
      </c>
      <c r="S165" s="272">
        <v>450</v>
      </c>
      <c r="T165" s="272">
        <v>2000</v>
      </c>
      <c r="U165" s="272"/>
      <c r="V165" s="272">
        <v>1800</v>
      </c>
      <c r="W165" s="272">
        <v>2541</v>
      </c>
    </row>
    <row r="166" spans="1:23">
      <c r="A166" s="153">
        <v>45281</v>
      </c>
      <c r="B166" s="279">
        <v>1</v>
      </c>
      <c r="C166" s="272">
        <v>22400</v>
      </c>
      <c r="D166" s="272"/>
      <c r="E166" s="272"/>
      <c r="F166" s="279">
        <v>2118000</v>
      </c>
      <c r="G166" s="272">
        <v>3700000</v>
      </c>
      <c r="H166" s="272">
        <v>370000</v>
      </c>
      <c r="I166" s="272">
        <v>315000</v>
      </c>
      <c r="J166" s="272">
        <v>23200</v>
      </c>
      <c r="K166" s="272"/>
      <c r="L166" s="272">
        <v>51310000</v>
      </c>
      <c r="M166" s="281">
        <v>1000000000</v>
      </c>
      <c r="N166" s="281">
        <v>100000</v>
      </c>
      <c r="O166" s="281">
        <v>167</v>
      </c>
      <c r="P166" s="272">
        <v>200</v>
      </c>
      <c r="Q166" s="272"/>
      <c r="R166" s="280">
        <v>885</v>
      </c>
      <c r="S166" s="272">
        <v>450</v>
      </c>
      <c r="T166" s="272">
        <v>2000</v>
      </c>
      <c r="U166" s="272"/>
      <c r="V166" s="272">
        <v>1800</v>
      </c>
      <c r="W166" s="272">
        <v>2541</v>
      </c>
    </row>
    <row r="167" spans="1:23">
      <c r="A167" s="153">
        <v>45282</v>
      </c>
      <c r="B167" s="279">
        <v>1</v>
      </c>
      <c r="C167" s="272">
        <v>22400</v>
      </c>
      <c r="D167" s="272"/>
      <c r="E167" s="272"/>
      <c r="F167" s="279">
        <v>2118000</v>
      </c>
      <c r="G167" s="272">
        <v>3700000</v>
      </c>
      <c r="H167" s="272">
        <v>370000</v>
      </c>
      <c r="I167" s="272">
        <v>315000</v>
      </c>
      <c r="J167" s="272">
        <v>23200</v>
      </c>
      <c r="K167" s="272"/>
      <c r="L167" s="272">
        <v>51310000</v>
      </c>
      <c r="M167" s="281">
        <v>1000000000</v>
      </c>
      <c r="N167" s="281">
        <v>100000</v>
      </c>
      <c r="O167" s="281">
        <v>167</v>
      </c>
      <c r="P167" s="272">
        <v>200</v>
      </c>
      <c r="Q167" s="272"/>
      <c r="R167" s="280">
        <v>885</v>
      </c>
      <c r="S167" s="272">
        <v>450</v>
      </c>
      <c r="T167" s="272">
        <v>2000</v>
      </c>
      <c r="U167" s="272"/>
      <c r="V167" s="272">
        <v>1800</v>
      </c>
      <c r="W167" s="272">
        <v>2541</v>
      </c>
    </row>
    <row r="168" spans="1:23">
      <c r="A168" s="153">
        <v>45285</v>
      </c>
      <c r="B168" s="279">
        <v>1</v>
      </c>
      <c r="C168" s="272">
        <v>22400</v>
      </c>
      <c r="D168" s="272"/>
      <c r="E168" s="272"/>
      <c r="F168" s="279">
        <v>2118000</v>
      </c>
      <c r="G168" s="272">
        <v>3700000</v>
      </c>
      <c r="H168" s="272">
        <v>370000</v>
      </c>
      <c r="I168" s="272">
        <v>315000</v>
      </c>
      <c r="J168" s="272">
        <v>23200</v>
      </c>
      <c r="K168" s="272"/>
      <c r="L168" s="272">
        <v>51310000</v>
      </c>
      <c r="M168" s="281">
        <v>1000000000</v>
      </c>
      <c r="N168" s="281">
        <v>100000</v>
      </c>
      <c r="O168" s="281">
        <v>167</v>
      </c>
      <c r="P168" s="272">
        <v>200</v>
      </c>
      <c r="Q168" s="272"/>
      <c r="R168" s="280">
        <v>885</v>
      </c>
      <c r="S168" s="272">
        <v>450</v>
      </c>
      <c r="T168" s="272">
        <v>2000</v>
      </c>
      <c r="U168" s="272"/>
      <c r="V168" s="272">
        <v>1800</v>
      </c>
      <c r="W168" s="272">
        <v>2541</v>
      </c>
    </row>
    <row r="169" spans="1:23">
      <c r="A169" s="153">
        <v>45286</v>
      </c>
      <c r="B169" s="279">
        <v>1</v>
      </c>
      <c r="C169" s="272">
        <v>22400</v>
      </c>
      <c r="D169" s="272"/>
      <c r="E169" s="272"/>
      <c r="F169" s="279">
        <v>2118000</v>
      </c>
      <c r="G169" s="272">
        <v>3700000</v>
      </c>
      <c r="H169" s="272">
        <v>370000</v>
      </c>
      <c r="I169" s="272">
        <v>315000</v>
      </c>
      <c r="J169" s="272">
        <v>23200</v>
      </c>
      <c r="K169" s="272"/>
      <c r="L169" s="272">
        <v>51310000</v>
      </c>
      <c r="M169" s="281">
        <v>1000000000</v>
      </c>
      <c r="N169" s="281">
        <v>100000</v>
      </c>
      <c r="O169" s="281">
        <v>167</v>
      </c>
      <c r="P169" s="272">
        <v>200</v>
      </c>
      <c r="Q169" s="272"/>
      <c r="R169" s="280">
        <v>885</v>
      </c>
      <c r="S169" s="272">
        <v>450</v>
      </c>
      <c r="T169" s="272">
        <v>2000</v>
      </c>
      <c r="U169" s="272"/>
      <c r="V169" s="272">
        <v>1800</v>
      </c>
      <c r="W169" s="272">
        <v>2541</v>
      </c>
    </row>
    <row r="170" spans="1:23">
      <c r="A170" s="153">
        <v>45287</v>
      </c>
      <c r="B170" s="279">
        <v>1</v>
      </c>
      <c r="C170" s="272">
        <v>22400</v>
      </c>
      <c r="D170" s="272"/>
      <c r="E170" s="272"/>
      <c r="F170" s="279">
        <v>2118000</v>
      </c>
      <c r="G170" s="272">
        <v>3700000</v>
      </c>
      <c r="H170" s="272">
        <v>370000</v>
      </c>
      <c r="I170" s="272">
        <v>315000</v>
      </c>
      <c r="J170" s="272">
        <v>23200</v>
      </c>
      <c r="K170" s="272"/>
      <c r="L170" s="272">
        <v>51310000</v>
      </c>
      <c r="M170" s="281">
        <v>1000000000</v>
      </c>
      <c r="N170" s="281">
        <v>100000</v>
      </c>
      <c r="O170" s="281">
        <v>167</v>
      </c>
      <c r="P170" s="272">
        <v>200</v>
      </c>
      <c r="Q170" s="272"/>
      <c r="R170" s="280">
        <v>885</v>
      </c>
      <c r="S170" s="272">
        <v>450</v>
      </c>
      <c r="T170" s="272">
        <v>2000</v>
      </c>
      <c r="U170" s="272"/>
      <c r="V170" s="272">
        <v>1800</v>
      </c>
      <c r="W170" s="272">
        <v>2541</v>
      </c>
    </row>
    <row r="171" spans="1:23">
      <c r="A171" s="153">
        <v>45288</v>
      </c>
      <c r="B171" s="279">
        <v>1</v>
      </c>
      <c r="C171" s="272">
        <v>22400</v>
      </c>
      <c r="D171" s="272"/>
      <c r="E171" s="272"/>
      <c r="F171" s="279">
        <v>2118000</v>
      </c>
      <c r="G171" s="272">
        <v>3700000</v>
      </c>
      <c r="H171" s="272">
        <v>370000</v>
      </c>
      <c r="I171" s="272">
        <v>315000</v>
      </c>
      <c r="J171" s="272">
        <v>23200</v>
      </c>
      <c r="K171" s="272"/>
      <c r="L171" s="272">
        <v>51310000</v>
      </c>
      <c r="M171" s="281">
        <v>1000000000</v>
      </c>
      <c r="N171" s="281">
        <v>100000</v>
      </c>
      <c r="O171" s="281">
        <v>167</v>
      </c>
      <c r="P171" s="272">
        <v>200</v>
      </c>
      <c r="Q171" s="272"/>
      <c r="R171" s="280">
        <v>885</v>
      </c>
      <c r="S171" s="272">
        <v>450</v>
      </c>
      <c r="T171" s="272">
        <v>2000</v>
      </c>
      <c r="U171" s="272"/>
      <c r="V171" s="272">
        <v>1800</v>
      </c>
      <c r="W171" s="272">
        <v>2541</v>
      </c>
    </row>
    <row r="172" spans="1:23">
      <c r="A172" s="153">
        <v>45289</v>
      </c>
      <c r="B172" s="279">
        <v>1</v>
      </c>
      <c r="C172" s="272">
        <v>22400</v>
      </c>
      <c r="D172" s="272"/>
      <c r="E172" s="272"/>
      <c r="F172" s="279">
        <v>2118000</v>
      </c>
      <c r="G172" s="272">
        <v>3700000</v>
      </c>
      <c r="H172" s="272">
        <v>370000</v>
      </c>
      <c r="I172" s="272">
        <v>315000</v>
      </c>
      <c r="J172" s="272">
        <v>23200</v>
      </c>
      <c r="K172" s="272"/>
      <c r="L172" s="272">
        <v>51310000</v>
      </c>
      <c r="M172" s="281">
        <v>1000000000</v>
      </c>
      <c r="N172" s="281">
        <v>100000</v>
      </c>
      <c r="O172" s="281">
        <v>167</v>
      </c>
      <c r="P172" s="272">
        <v>200</v>
      </c>
      <c r="Q172" s="272"/>
      <c r="R172" s="280">
        <v>885</v>
      </c>
      <c r="S172" s="272">
        <v>450</v>
      </c>
      <c r="T172" s="272">
        <v>2000</v>
      </c>
      <c r="U172" s="272"/>
      <c r="V172" s="272">
        <v>1800</v>
      </c>
      <c r="W172" s="272">
        <v>2541</v>
      </c>
    </row>
    <row r="173" spans="1:23">
      <c r="A173" s="366">
        <v>45292</v>
      </c>
      <c r="B173" s="279">
        <v>1</v>
      </c>
      <c r="C173" s="272">
        <v>22400</v>
      </c>
      <c r="D173" s="272"/>
      <c r="E173" s="272"/>
      <c r="F173" s="279">
        <v>2118000</v>
      </c>
      <c r="G173" s="272">
        <v>3700000</v>
      </c>
      <c r="H173" s="272">
        <v>370000</v>
      </c>
      <c r="I173" s="272">
        <v>315000</v>
      </c>
      <c r="J173" s="272">
        <v>23200</v>
      </c>
      <c r="K173" s="272"/>
      <c r="L173" s="272">
        <v>51310000</v>
      </c>
      <c r="M173" s="281">
        <v>1000000000</v>
      </c>
      <c r="N173" s="281">
        <v>100000</v>
      </c>
      <c r="O173" s="281">
        <v>167</v>
      </c>
      <c r="P173" s="272">
        <v>200</v>
      </c>
      <c r="Q173" s="272"/>
      <c r="R173" s="280">
        <v>885</v>
      </c>
      <c r="S173" s="272">
        <v>450</v>
      </c>
      <c r="T173" s="272">
        <v>2000</v>
      </c>
      <c r="U173" s="272"/>
      <c r="V173" s="272">
        <v>1800</v>
      </c>
      <c r="W173" s="272">
        <v>2541</v>
      </c>
    </row>
    <row r="174" spans="1:23">
      <c r="A174" s="366">
        <v>45293</v>
      </c>
      <c r="B174" s="279">
        <v>1</v>
      </c>
      <c r="C174" s="272">
        <v>22400</v>
      </c>
      <c r="D174" s="272"/>
      <c r="E174" s="272"/>
      <c r="F174" s="279">
        <v>2118000</v>
      </c>
      <c r="G174" s="272">
        <v>3700000</v>
      </c>
      <c r="H174" s="272">
        <v>370000</v>
      </c>
      <c r="I174" s="272">
        <v>315000</v>
      </c>
      <c r="J174" s="272">
        <v>23200</v>
      </c>
      <c r="K174" s="272"/>
      <c r="L174" s="272">
        <v>51310000</v>
      </c>
      <c r="M174" s="281">
        <v>1000000000</v>
      </c>
      <c r="N174" s="281">
        <v>100000</v>
      </c>
      <c r="O174" s="281">
        <v>167</v>
      </c>
      <c r="P174" s="272">
        <v>200</v>
      </c>
      <c r="Q174" s="272"/>
      <c r="R174" s="280">
        <v>885</v>
      </c>
      <c r="S174" s="272">
        <v>450</v>
      </c>
      <c r="T174" s="272">
        <v>2000</v>
      </c>
      <c r="U174" s="272"/>
      <c r="V174" s="272">
        <v>1800</v>
      </c>
      <c r="W174" s="272">
        <v>2541</v>
      </c>
    </row>
    <row r="175" spans="1:23">
      <c r="A175" s="366">
        <v>45294</v>
      </c>
      <c r="B175" s="279">
        <v>1</v>
      </c>
      <c r="C175" s="272">
        <v>22400</v>
      </c>
      <c r="D175" s="272"/>
      <c r="E175" s="272"/>
      <c r="F175" s="279">
        <v>2118000</v>
      </c>
      <c r="G175" s="272">
        <v>3700000</v>
      </c>
      <c r="H175" s="272">
        <v>370000</v>
      </c>
      <c r="I175" s="272">
        <v>315000</v>
      </c>
      <c r="J175" s="272">
        <v>23200</v>
      </c>
      <c r="K175" s="272"/>
      <c r="L175" s="272">
        <v>51310000</v>
      </c>
      <c r="M175" s="281">
        <v>1000000000</v>
      </c>
      <c r="N175" s="281">
        <v>100000</v>
      </c>
      <c r="O175" s="281">
        <v>167</v>
      </c>
      <c r="P175" s="272">
        <v>200</v>
      </c>
      <c r="Q175" s="272"/>
      <c r="R175" s="280">
        <v>885</v>
      </c>
      <c r="S175" s="272">
        <v>450</v>
      </c>
      <c r="T175" s="272">
        <v>2000</v>
      </c>
      <c r="U175" s="272"/>
      <c r="V175" s="272">
        <v>1800</v>
      </c>
      <c r="W175" s="272">
        <v>2541</v>
      </c>
    </row>
    <row r="176" spans="1:23">
      <c r="A176" s="366">
        <v>45295</v>
      </c>
      <c r="B176" s="279">
        <v>1</v>
      </c>
      <c r="C176" s="272">
        <v>22400</v>
      </c>
      <c r="D176" s="272"/>
      <c r="E176" s="272"/>
      <c r="F176" s="279">
        <v>2118000</v>
      </c>
      <c r="G176" s="272">
        <v>3700000</v>
      </c>
      <c r="H176" s="272">
        <v>370000</v>
      </c>
      <c r="I176" s="272">
        <v>315000</v>
      </c>
      <c r="J176" s="272">
        <v>23200</v>
      </c>
      <c r="K176" s="272"/>
      <c r="L176" s="272">
        <v>51310000</v>
      </c>
      <c r="M176" s="281">
        <v>1000000000</v>
      </c>
      <c r="N176" s="281">
        <v>100000</v>
      </c>
      <c r="O176" s="281">
        <v>167</v>
      </c>
      <c r="P176" s="272">
        <v>200</v>
      </c>
      <c r="Q176" s="272"/>
      <c r="R176" s="280">
        <v>885</v>
      </c>
      <c r="S176" s="272">
        <v>450</v>
      </c>
      <c r="T176" s="272">
        <v>2000</v>
      </c>
      <c r="U176" s="272"/>
      <c r="V176" s="272">
        <v>1800</v>
      </c>
      <c r="W176" s="272">
        <v>2541</v>
      </c>
    </row>
    <row r="177" spans="1:23">
      <c r="A177" s="366">
        <v>45296</v>
      </c>
      <c r="B177" s="279">
        <v>1</v>
      </c>
      <c r="C177" s="272">
        <v>22400</v>
      </c>
      <c r="D177" s="272"/>
      <c r="E177" s="272"/>
      <c r="F177" s="279">
        <v>2118000</v>
      </c>
      <c r="G177" s="272">
        <v>3700000</v>
      </c>
      <c r="H177" s="272">
        <v>370000</v>
      </c>
      <c r="I177" s="272">
        <v>315000</v>
      </c>
      <c r="J177" s="272">
        <v>23200</v>
      </c>
      <c r="K177" s="272"/>
      <c r="L177" s="272">
        <v>51310000</v>
      </c>
      <c r="M177" s="281">
        <v>1000000000</v>
      </c>
      <c r="N177" s="281">
        <v>100000</v>
      </c>
      <c r="O177" s="281">
        <v>167</v>
      </c>
      <c r="P177" s="272">
        <v>200</v>
      </c>
      <c r="Q177" s="272"/>
      <c r="R177" s="280">
        <v>885</v>
      </c>
      <c r="S177" s="272">
        <v>450</v>
      </c>
      <c r="T177" s="272">
        <v>2000</v>
      </c>
      <c r="U177" s="272"/>
      <c r="V177" s="272">
        <v>1800</v>
      </c>
      <c r="W177" s="272">
        <v>2541</v>
      </c>
    </row>
    <row r="178" spans="1:23">
      <c r="A178" s="366">
        <v>45299</v>
      </c>
      <c r="B178" s="279">
        <v>1</v>
      </c>
      <c r="C178" s="272">
        <v>22400</v>
      </c>
      <c r="D178" s="272"/>
      <c r="E178" s="272"/>
      <c r="F178" s="279">
        <v>2118000</v>
      </c>
      <c r="G178" s="272">
        <v>3700000</v>
      </c>
      <c r="H178" s="272">
        <v>370000</v>
      </c>
      <c r="I178" s="272">
        <v>315000</v>
      </c>
      <c r="J178" s="272">
        <v>23200</v>
      </c>
      <c r="K178" s="272"/>
      <c r="L178" s="272">
        <v>51310000</v>
      </c>
      <c r="M178" s="281">
        <v>1000000000</v>
      </c>
      <c r="N178" s="281">
        <v>100000</v>
      </c>
      <c r="O178" s="281">
        <v>167</v>
      </c>
      <c r="P178" s="272">
        <v>200</v>
      </c>
      <c r="Q178" s="272"/>
      <c r="R178" s="280">
        <v>885</v>
      </c>
      <c r="S178" s="272">
        <v>450</v>
      </c>
      <c r="T178" s="272">
        <v>2000</v>
      </c>
      <c r="U178" s="272"/>
      <c r="V178" s="272">
        <v>1800</v>
      </c>
      <c r="W178" s="272">
        <v>2541</v>
      </c>
    </row>
    <row r="179" spans="1:23">
      <c r="A179" s="366">
        <v>45300</v>
      </c>
      <c r="B179" s="279">
        <v>1</v>
      </c>
      <c r="C179" s="272">
        <v>22400</v>
      </c>
      <c r="D179" s="272"/>
      <c r="E179" s="272"/>
      <c r="F179" s="279">
        <v>2118000</v>
      </c>
      <c r="G179" s="272">
        <v>3700000</v>
      </c>
      <c r="H179" s="272">
        <v>370000</v>
      </c>
      <c r="I179" s="272">
        <v>315000</v>
      </c>
      <c r="J179" s="272">
        <v>23200</v>
      </c>
      <c r="K179" s="272"/>
      <c r="L179" s="272">
        <v>51310000</v>
      </c>
      <c r="M179" s="281">
        <v>1000000000</v>
      </c>
      <c r="N179" s="281">
        <v>100000</v>
      </c>
      <c r="O179" s="281">
        <v>167</v>
      </c>
      <c r="P179" s="272">
        <v>200</v>
      </c>
      <c r="Q179" s="272"/>
      <c r="R179" s="280">
        <v>885</v>
      </c>
      <c r="S179" s="272">
        <v>450</v>
      </c>
      <c r="T179" s="272">
        <v>2000</v>
      </c>
      <c r="U179" s="272"/>
      <c r="V179" s="272">
        <v>1800</v>
      </c>
      <c r="W179" s="272">
        <v>2541</v>
      </c>
    </row>
    <row r="180" spans="1:23">
      <c r="A180" s="366">
        <v>45301</v>
      </c>
      <c r="B180" s="279">
        <v>1</v>
      </c>
      <c r="C180" s="272">
        <v>22400</v>
      </c>
      <c r="D180" s="272"/>
      <c r="E180" s="272"/>
      <c r="F180" s="279">
        <v>2118000</v>
      </c>
      <c r="G180" s="272">
        <v>3700000</v>
      </c>
      <c r="H180" s="272">
        <v>370000</v>
      </c>
      <c r="I180" s="272">
        <v>315000</v>
      </c>
      <c r="J180" s="272">
        <v>23200</v>
      </c>
      <c r="K180" s="272"/>
      <c r="L180" s="272">
        <v>51310000</v>
      </c>
      <c r="M180" s="281">
        <v>1000000000</v>
      </c>
      <c r="N180" s="281">
        <v>100000</v>
      </c>
      <c r="O180" s="281">
        <v>167</v>
      </c>
      <c r="P180" s="272">
        <v>200</v>
      </c>
      <c r="Q180" s="272"/>
      <c r="R180" s="280">
        <v>885</v>
      </c>
      <c r="S180" s="272">
        <v>450</v>
      </c>
      <c r="T180" s="272">
        <v>2000</v>
      </c>
      <c r="U180" s="272"/>
      <c r="V180" s="272">
        <v>1800</v>
      </c>
      <c r="W180" s="272">
        <v>2541</v>
      </c>
    </row>
    <row r="181" spans="1:23">
      <c r="A181" s="366">
        <v>45302</v>
      </c>
      <c r="B181" s="279">
        <v>1</v>
      </c>
      <c r="C181" s="272">
        <v>22400</v>
      </c>
      <c r="D181" s="272"/>
      <c r="E181" s="272"/>
      <c r="F181" s="279">
        <v>2118000</v>
      </c>
      <c r="G181" s="272">
        <v>3700000</v>
      </c>
      <c r="H181" s="272">
        <v>370000</v>
      </c>
      <c r="I181" s="272">
        <v>315000</v>
      </c>
      <c r="J181" s="272">
        <v>23200</v>
      </c>
      <c r="K181" s="272"/>
      <c r="L181" s="272">
        <v>51310000</v>
      </c>
      <c r="M181" s="281">
        <v>1000000000</v>
      </c>
      <c r="N181" s="281">
        <v>100000</v>
      </c>
      <c r="O181" s="281">
        <v>167</v>
      </c>
      <c r="P181" s="272">
        <v>200</v>
      </c>
      <c r="Q181" s="272"/>
      <c r="R181" s="280">
        <v>885</v>
      </c>
      <c r="S181" s="272">
        <v>450</v>
      </c>
      <c r="T181" s="272">
        <v>2000</v>
      </c>
      <c r="U181" s="272"/>
      <c r="V181" s="272">
        <v>1800</v>
      </c>
      <c r="W181" s="272">
        <v>2541</v>
      </c>
    </row>
    <row r="182" spans="1:23">
      <c r="A182" s="366">
        <v>45303</v>
      </c>
      <c r="B182" s="279">
        <v>1</v>
      </c>
      <c r="C182" s="272">
        <v>22400</v>
      </c>
      <c r="D182" s="272"/>
      <c r="E182" s="272"/>
      <c r="F182" s="279">
        <v>2118000</v>
      </c>
      <c r="G182" s="272">
        <v>3700000</v>
      </c>
      <c r="H182" s="272">
        <v>370000</v>
      </c>
      <c r="I182" s="272">
        <v>315000</v>
      </c>
      <c r="J182" s="272">
        <v>23200</v>
      </c>
      <c r="K182" s="272"/>
      <c r="L182" s="272">
        <v>51310000</v>
      </c>
      <c r="M182" s="281">
        <v>1000000000</v>
      </c>
      <c r="N182" s="281">
        <v>100000</v>
      </c>
      <c r="O182" s="281">
        <v>167</v>
      </c>
      <c r="P182" s="272">
        <v>200</v>
      </c>
      <c r="Q182" s="272"/>
      <c r="R182" s="280">
        <v>885</v>
      </c>
      <c r="S182" s="272">
        <v>450</v>
      </c>
      <c r="T182" s="272">
        <v>2000</v>
      </c>
      <c r="U182" s="272"/>
      <c r="V182" s="272">
        <v>1800</v>
      </c>
      <c r="W182" s="272">
        <v>2541</v>
      </c>
    </row>
    <row r="183" spans="1:23">
      <c r="A183" s="366">
        <v>45306</v>
      </c>
      <c r="B183" s="279">
        <v>1</v>
      </c>
      <c r="C183" s="272">
        <v>22400</v>
      </c>
      <c r="D183" s="272"/>
      <c r="E183" s="272"/>
      <c r="F183" s="279">
        <v>2118000</v>
      </c>
      <c r="G183" s="272">
        <v>3700000</v>
      </c>
      <c r="H183" s="272">
        <v>370000</v>
      </c>
      <c r="I183" s="272">
        <v>315000</v>
      </c>
      <c r="J183" s="272">
        <v>23200</v>
      </c>
      <c r="K183" s="272"/>
      <c r="L183" s="272">
        <v>51310000</v>
      </c>
      <c r="M183" s="281">
        <v>1000000000</v>
      </c>
      <c r="N183" s="281">
        <v>100000</v>
      </c>
      <c r="O183" s="281">
        <v>167</v>
      </c>
      <c r="P183" s="272">
        <v>200</v>
      </c>
      <c r="Q183" s="272"/>
      <c r="R183" s="280">
        <v>885</v>
      </c>
      <c r="S183" s="272">
        <v>450</v>
      </c>
      <c r="T183" s="272">
        <v>2000</v>
      </c>
      <c r="U183" s="272"/>
      <c r="V183" s="272">
        <v>1800</v>
      </c>
      <c r="W183" s="272">
        <v>2541</v>
      </c>
    </row>
    <row r="184" spans="1:23">
      <c r="A184" s="366">
        <v>45307</v>
      </c>
      <c r="B184" s="279">
        <v>1</v>
      </c>
      <c r="C184" s="272">
        <v>22400</v>
      </c>
      <c r="D184" s="272"/>
      <c r="E184" s="272"/>
      <c r="F184" s="279">
        <v>2118000</v>
      </c>
      <c r="G184" s="272">
        <v>3700000</v>
      </c>
      <c r="H184" s="272">
        <v>370000</v>
      </c>
      <c r="I184" s="272">
        <v>315000</v>
      </c>
      <c r="J184" s="272">
        <v>23200</v>
      </c>
      <c r="K184" s="272"/>
      <c r="L184" s="272">
        <v>51310000</v>
      </c>
      <c r="M184" s="281">
        <v>1000000000</v>
      </c>
      <c r="N184" s="281">
        <v>100000</v>
      </c>
      <c r="O184" s="281">
        <v>167</v>
      </c>
      <c r="P184" s="272">
        <v>200</v>
      </c>
      <c r="Q184" s="272"/>
      <c r="R184" s="280">
        <v>885</v>
      </c>
      <c r="S184" s="272">
        <v>450</v>
      </c>
      <c r="T184" s="272">
        <v>2000</v>
      </c>
      <c r="U184" s="272"/>
      <c r="V184" s="272">
        <v>1800</v>
      </c>
      <c r="W184" s="272">
        <v>2541</v>
      </c>
    </row>
    <row r="185" spans="1:23">
      <c r="A185" s="366">
        <v>45308</v>
      </c>
      <c r="B185" s="279">
        <v>1</v>
      </c>
      <c r="C185" s="272">
        <v>22400</v>
      </c>
      <c r="D185" s="272"/>
      <c r="E185" s="272"/>
      <c r="F185" s="279">
        <v>2118000</v>
      </c>
      <c r="G185" s="272">
        <v>3700000</v>
      </c>
      <c r="H185" s="272">
        <v>370000</v>
      </c>
      <c r="I185" s="272">
        <v>315000</v>
      </c>
      <c r="J185" s="272">
        <v>23200</v>
      </c>
      <c r="K185" s="272"/>
      <c r="L185" s="272">
        <v>51310000</v>
      </c>
      <c r="M185" s="281">
        <v>1000000000</v>
      </c>
      <c r="N185" s="281">
        <v>100000</v>
      </c>
      <c r="O185" s="281">
        <v>167</v>
      </c>
      <c r="P185" s="272">
        <v>200</v>
      </c>
      <c r="Q185" s="272"/>
      <c r="R185" s="280">
        <v>885</v>
      </c>
      <c r="S185" s="272">
        <v>450</v>
      </c>
      <c r="T185" s="272">
        <v>2000</v>
      </c>
      <c r="U185" s="272"/>
      <c r="V185" s="272">
        <v>1800</v>
      </c>
      <c r="W185" s="272">
        <v>2541</v>
      </c>
    </row>
    <row r="186" spans="1:23">
      <c r="A186" s="366">
        <v>45309</v>
      </c>
      <c r="B186" s="279">
        <v>1</v>
      </c>
      <c r="C186" s="272">
        <v>22400</v>
      </c>
      <c r="D186" s="272"/>
      <c r="E186" s="272"/>
      <c r="F186" s="279">
        <v>2118000</v>
      </c>
      <c r="G186" s="272">
        <v>3700000</v>
      </c>
      <c r="H186" s="272">
        <v>370000</v>
      </c>
      <c r="I186" s="272">
        <v>315000</v>
      </c>
      <c r="J186" s="272">
        <v>23200</v>
      </c>
      <c r="K186" s="272"/>
      <c r="L186" s="272">
        <v>51310000</v>
      </c>
      <c r="M186" s="281">
        <v>1000000000</v>
      </c>
      <c r="N186" s="281">
        <v>100000</v>
      </c>
      <c r="O186" s="281">
        <v>167</v>
      </c>
      <c r="P186" s="272">
        <v>200</v>
      </c>
      <c r="Q186" s="272"/>
      <c r="R186" s="280">
        <v>885</v>
      </c>
      <c r="S186" s="272">
        <v>450</v>
      </c>
      <c r="T186" s="272">
        <v>2000</v>
      </c>
      <c r="U186" s="272"/>
      <c r="V186" s="272">
        <v>1800</v>
      </c>
      <c r="W186" s="272">
        <v>2541</v>
      </c>
    </row>
    <row r="187" spans="1:23">
      <c r="A187" s="366">
        <v>45310</v>
      </c>
      <c r="B187" s="279">
        <v>1</v>
      </c>
      <c r="C187" s="272">
        <v>22400</v>
      </c>
      <c r="D187" s="272"/>
      <c r="E187" s="272"/>
      <c r="F187" s="279">
        <v>2118000</v>
      </c>
      <c r="G187" s="272">
        <v>3700000</v>
      </c>
      <c r="H187" s="272">
        <v>370000</v>
      </c>
      <c r="I187" s="272">
        <v>315000</v>
      </c>
      <c r="J187" s="272">
        <v>23200</v>
      </c>
      <c r="K187" s="272"/>
      <c r="L187" s="272">
        <v>51310000</v>
      </c>
      <c r="M187" s="281">
        <v>1000000000</v>
      </c>
      <c r="N187" s="281">
        <v>100000</v>
      </c>
      <c r="O187" s="281">
        <v>167</v>
      </c>
      <c r="P187" s="272">
        <v>200</v>
      </c>
      <c r="Q187" s="272"/>
      <c r="R187" s="280">
        <v>885</v>
      </c>
      <c r="S187" s="272">
        <v>450</v>
      </c>
      <c r="T187" s="272">
        <v>2000</v>
      </c>
      <c r="U187" s="272"/>
      <c r="V187" s="272">
        <v>1800</v>
      </c>
      <c r="W187" s="272">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8"/>
    <col min="2" max="2" width="13.125" style="98" customWidth="1"/>
    <col min="3" max="12" width="11" style="98"/>
    <col min="13" max="13" width="21.5" style="98" bestFit="1" customWidth="1"/>
    <col min="14" max="14" width="21.625" style="98" bestFit="1" customWidth="1"/>
    <col min="15" max="15" width="22.125" style="98" bestFit="1" customWidth="1"/>
    <col min="16" max="16" width="21.625" style="98" bestFit="1" customWidth="1"/>
    <col min="17" max="16384" width="11" style="98"/>
  </cols>
  <sheetData>
    <row r="1" spans="1:16" s="284" customFormat="1">
      <c r="A1" s="284" t="s">
        <v>9</v>
      </c>
      <c r="B1" s="284" t="s">
        <v>464</v>
      </c>
      <c r="C1" s="284" t="s">
        <v>465</v>
      </c>
      <c r="D1" s="284" t="s">
        <v>466</v>
      </c>
      <c r="E1" s="284" t="s">
        <v>467</v>
      </c>
      <c r="F1" s="284" t="s">
        <v>468</v>
      </c>
      <c r="G1" s="297" t="s">
        <v>469</v>
      </c>
      <c r="H1" s="297" t="s">
        <v>470</v>
      </c>
      <c r="I1" s="297" t="s">
        <v>471</v>
      </c>
      <c r="J1" s="297" t="s">
        <v>472</v>
      </c>
      <c r="K1" s="297" t="s">
        <v>442</v>
      </c>
      <c r="L1" s="297" t="s">
        <v>448</v>
      </c>
      <c r="M1" s="285" t="s">
        <v>443</v>
      </c>
      <c r="N1" s="285" t="s">
        <v>444</v>
      </c>
      <c r="O1" s="285" t="s">
        <v>445</v>
      </c>
      <c r="P1" s="285" t="s">
        <v>446</v>
      </c>
    </row>
    <row r="2" spans="1:16">
      <c r="A2" s="153">
        <v>45051</v>
      </c>
      <c r="B2" s="295"/>
      <c r="C2" s="295"/>
      <c r="D2" s="295"/>
      <c r="E2" s="295"/>
      <c r="F2" s="295"/>
      <c r="G2" s="296"/>
      <c r="H2" s="296"/>
      <c r="I2" s="296"/>
      <c r="J2" s="296"/>
      <c r="K2" s="298">
        <v>469</v>
      </c>
      <c r="L2" s="298">
        <v>306</v>
      </c>
      <c r="M2" s="299">
        <v>36</v>
      </c>
      <c r="N2" s="295">
        <v>-286</v>
      </c>
      <c r="O2" s="295">
        <v>-1103</v>
      </c>
      <c r="P2" s="295">
        <v>-884</v>
      </c>
    </row>
    <row r="3" spans="1:16">
      <c r="A3" s="153">
        <v>45058</v>
      </c>
      <c r="B3" s="295"/>
      <c r="C3" s="295"/>
      <c r="D3" s="295"/>
      <c r="E3" s="295"/>
      <c r="F3" s="295"/>
      <c r="G3" s="296"/>
      <c r="H3" s="296"/>
      <c r="I3" s="296"/>
      <c r="J3" s="296"/>
      <c r="K3" s="298">
        <v>1333</v>
      </c>
      <c r="L3" s="298">
        <v>472</v>
      </c>
      <c r="M3" s="299">
        <v>533</v>
      </c>
      <c r="N3" s="295">
        <v>-359</v>
      </c>
      <c r="O3" s="295">
        <v>-1097</v>
      </c>
      <c r="P3" s="295">
        <v>-874</v>
      </c>
    </row>
    <row r="4" spans="1:16">
      <c r="A4" s="153">
        <v>45065</v>
      </c>
      <c r="B4" s="295"/>
      <c r="C4" s="295"/>
      <c r="D4" s="295"/>
      <c r="E4" s="295"/>
      <c r="F4" s="295"/>
      <c r="G4" s="296"/>
      <c r="H4" s="296"/>
      <c r="I4" s="296"/>
      <c r="J4" s="296"/>
      <c r="K4" s="298">
        <v>2400</v>
      </c>
      <c r="L4" s="298">
        <v>178</v>
      </c>
      <c r="M4" s="299">
        <v>381</v>
      </c>
      <c r="N4" s="295">
        <v>-32</v>
      </c>
      <c r="O4" s="295">
        <v>-1409</v>
      </c>
      <c r="P4" s="295">
        <v>-1391</v>
      </c>
    </row>
    <row r="5" spans="1:16">
      <c r="A5" s="153">
        <v>45072</v>
      </c>
      <c r="B5" s="295"/>
      <c r="C5" s="295"/>
      <c r="D5" s="295"/>
      <c r="E5" s="295"/>
      <c r="F5" s="295"/>
      <c r="G5" s="295"/>
      <c r="H5" s="295"/>
      <c r="I5" s="295"/>
      <c r="J5" s="295"/>
      <c r="K5" s="295"/>
      <c r="L5" s="295"/>
      <c r="M5" s="295"/>
      <c r="N5" s="295"/>
      <c r="O5" s="295"/>
      <c r="P5" s="295"/>
    </row>
    <row r="6" spans="1:16">
      <c r="A6" s="153">
        <v>45079</v>
      </c>
      <c r="B6" s="295"/>
      <c r="C6" s="295"/>
      <c r="D6" s="295"/>
      <c r="E6" s="295"/>
      <c r="F6" s="295"/>
      <c r="G6" s="295"/>
      <c r="H6" s="295"/>
      <c r="I6" s="295"/>
      <c r="J6" s="295"/>
      <c r="K6" s="295"/>
      <c r="L6" s="295"/>
      <c r="M6" s="295"/>
      <c r="N6" s="295"/>
      <c r="O6" s="295"/>
      <c r="P6" s="295"/>
    </row>
    <row r="7" spans="1:16">
      <c r="A7" s="153">
        <v>45086</v>
      </c>
      <c r="B7" s="295"/>
      <c r="C7" s="295"/>
      <c r="D7" s="295"/>
      <c r="E7" s="295"/>
      <c r="F7" s="295"/>
      <c r="G7" s="295"/>
      <c r="H7" s="295"/>
      <c r="I7" s="295"/>
      <c r="J7" s="295"/>
      <c r="K7" s="295"/>
      <c r="L7" s="295"/>
      <c r="M7" s="295"/>
      <c r="N7" s="295"/>
      <c r="O7" s="295"/>
      <c r="P7" s="295"/>
    </row>
    <row r="8" spans="1:16">
      <c r="A8" s="153">
        <v>45093</v>
      </c>
      <c r="B8" s="293"/>
      <c r="C8" s="294"/>
      <c r="D8" s="294"/>
      <c r="E8" s="294"/>
      <c r="F8" s="293"/>
      <c r="G8" s="295"/>
      <c r="H8" s="295"/>
      <c r="I8" s="295"/>
      <c r="J8" s="295"/>
      <c r="K8" s="295"/>
      <c r="L8" s="295"/>
      <c r="M8" s="295"/>
      <c r="N8" s="295"/>
      <c r="O8" s="295"/>
      <c r="P8" s="295"/>
    </row>
    <row r="9" spans="1:16">
      <c r="A9" s="153">
        <v>45100</v>
      </c>
      <c r="B9" s="293"/>
      <c r="C9" s="294"/>
      <c r="D9" s="294"/>
      <c r="E9" s="294"/>
      <c r="F9" s="294"/>
      <c r="G9" s="295"/>
      <c r="H9" s="295"/>
      <c r="I9" s="295"/>
      <c r="J9" s="295"/>
      <c r="K9" s="295"/>
      <c r="L9" s="295"/>
      <c r="M9" s="295"/>
      <c r="N9" s="295"/>
      <c r="O9" s="295"/>
      <c r="P9" s="295"/>
    </row>
    <row r="10" spans="1:16">
      <c r="A10" s="153">
        <v>45107</v>
      </c>
      <c r="B10" s="295"/>
      <c r="C10" s="295"/>
      <c r="D10" s="295"/>
      <c r="E10" s="295"/>
      <c r="F10" s="295"/>
      <c r="G10" s="295"/>
      <c r="H10" s="295"/>
      <c r="I10" s="295"/>
      <c r="J10" s="295"/>
      <c r="K10" s="295"/>
      <c r="L10" s="295"/>
      <c r="M10" s="295"/>
      <c r="N10" s="295"/>
      <c r="O10" s="295"/>
      <c r="P10" s="295"/>
    </row>
    <row r="11" spans="1:16">
      <c r="A11" s="153">
        <v>45114</v>
      </c>
      <c r="B11" s="295"/>
      <c r="C11" s="295"/>
      <c r="D11" s="295"/>
      <c r="E11" s="295"/>
      <c r="F11" s="295"/>
      <c r="G11" s="295"/>
      <c r="H11" s="295"/>
      <c r="I11" s="295"/>
      <c r="J11" s="295"/>
      <c r="K11" s="295"/>
      <c r="L11" s="295"/>
      <c r="M11" s="295"/>
      <c r="N11" s="295"/>
      <c r="O11" s="295"/>
      <c r="P11" s="295"/>
    </row>
    <row r="12" spans="1:16">
      <c r="A12" s="153">
        <v>45121</v>
      </c>
      <c r="B12" s="295"/>
      <c r="C12" s="295"/>
      <c r="D12" s="295"/>
      <c r="E12" s="295"/>
      <c r="F12" s="295"/>
      <c r="G12" s="295"/>
      <c r="H12" s="295"/>
      <c r="I12" s="295"/>
      <c r="J12" s="295"/>
      <c r="K12" s="295"/>
      <c r="L12" s="295"/>
      <c r="M12" s="295"/>
      <c r="N12" s="295"/>
      <c r="O12" s="295"/>
      <c r="P12" s="295"/>
    </row>
    <row r="13" spans="1:16">
      <c r="A13" s="153">
        <v>45128</v>
      </c>
      <c r="B13" s="295"/>
      <c r="C13" s="295"/>
      <c r="D13" s="295"/>
      <c r="E13" s="295"/>
      <c r="F13" s="295"/>
      <c r="G13" s="295"/>
      <c r="H13" s="295"/>
      <c r="I13" s="295"/>
      <c r="J13" s="295"/>
      <c r="K13" s="295"/>
      <c r="L13" s="295"/>
      <c r="M13" s="295"/>
      <c r="N13" s="295"/>
      <c r="O13" s="295"/>
      <c r="P13" s="295"/>
    </row>
    <row r="14" spans="1:16">
      <c r="A14" s="153">
        <v>45135</v>
      </c>
      <c r="B14" s="295"/>
      <c r="C14" s="295"/>
      <c r="D14" s="295"/>
      <c r="E14" s="295"/>
      <c r="F14" s="295"/>
      <c r="G14" s="295"/>
      <c r="H14" s="295"/>
      <c r="I14" s="295"/>
      <c r="J14" s="295"/>
      <c r="K14" s="295"/>
      <c r="L14" s="295"/>
      <c r="M14" s="295"/>
      <c r="N14" s="295"/>
      <c r="O14" s="295"/>
      <c r="P14" s="295"/>
    </row>
    <row r="15" spans="1:16">
      <c r="A15" s="153">
        <v>45142</v>
      </c>
      <c r="B15" s="295"/>
      <c r="C15" s="295"/>
      <c r="D15" s="295"/>
      <c r="E15" s="295"/>
      <c r="F15" s="295"/>
      <c r="G15" s="295"/>
      <c r="H15" s="295"/>
      <c r="I15" s="295"/>
      <c r="J15" s="295"/>
      <c r="K15" s="295"/>
      <c r="L15" s="295"/>
      <c r="M15" s="295"/>
      <c r="N15" s="295"/>
      <c r="O15" s="295"/>
      <c r="P15" s="295"/>
    </row>
    <row r="16" spans="1:16">
      <c r="A16" s="153">
        <v>45149</v>
      </c>
      <c r="B16" s="295"/>
      <c r="C16" s="295"/>
      <c r="D16" s="295"/>
      <c r="E16" s="295"/>
      <c r="F16" s="295"/>
      <c r="G16" s="295"/>
      <c r="H16" s="295"/>
      <c r="I16" s="295"/>
      <c r="J16" s="295"/>
      <c r="K16" s="295"/>
      <c r="L16" s="295"/>
      <c r="M16" s="295"/>
      <c r="N16" s="295"/>
      <c r="O16" s="295"/>
      <c r="P16" s="295"/>
    </row>
    <row r="17" spans="1:16">
      <c r="A17" s="153">
        <v>45156</v>
      </c>
      <c r="B17" s="295"/>
      <c r="C17" s="295"/>
      <c r="D17" s="295"/>
      <c r="E17" s="295"/>
      <c r="F17" s="295"/>
      <c r="G17" s="295"/>
      <c r="H17" s="295"/>
      <c r="I17" s="295"/>
      <c r="J17" s="295"/>
      <c r="K17" s="295"/>
      <c r="L17" s="295"/>
      <c r="M17" s="295"/>
      <c r="N17" s="295"/>
      <c r="O17" s="295"/>
      <c r="P17" s="295"/>
    </row>
    <row r="18" spans="1:16">
      <c r="A18" s="153">
        <v>45163</v>
      </c>
      <c r="B18" s="295"/>
      <c r="C18" s="295"/>
      <c r="D18" s="295"/>
      <c r="E18" s="295"/>
      <c r="F18" s="295"/>
      <c r="G18" s="295"/>
      <c r="H18" s="295"/>
      <c r="I18" s="295"/>
      <c r="J18" s="295"/>
      <c r="K18" s="295"/>
      <c r="L18" s="295"/>
      <c r="M18" s="295"/>
      <c r="N18" s="295"/>
      <c r="O18" s="295"/>
      <c r="P18" s="295"/>
    </row>
    <row r="19" spans="1:16">
      <c r="A19" s="153">
        <v>45170</v>
      </c>
      <c r="B19" s="295"/>
      <c r="C19" s="295"/>
      <c r="D19" s="295"/>
      <c r="E19" s="295"/>
      <c r="F19" s="295"/>
      <c r="G19" s="295"/>
      <c r="H19" s="295"/>
      <c r="I19" s="295"/>
      <c r="J19" s="295"/>
      <c r="K19" s="295"/>
      <c r="L19" s="295"/>
      <c r="M19" s="295"/>
      <c r="N19" s="295"/>
      <c r="O19" s="295"/>
      <c r="P19" s="295"/>
    </row>
    <row r="20" spans="1:16">
      <c r="A20" s="153">
        <v>45177</v>
      </c>
      <c r="B20" s="295"/>
      <c r="C20" s="295"/>
      <c r="D20" s="295"/>
      <c r="E20" s="295"/>
      <c r="F20" s="295"/>
      <c r="G20" s="295"/>
      <c r="H20" s="295"/>
      <c r="I20" s="295"/>
      <c r="J20" s="295"/>
      <c r="K20" s="295"/>
      <c r="L20" s="295"/>
      <c r="M20" s="295"/>
      <c r="N20" s="295"/>
      <c r="O20" s="295"/>
      <c r="P20" s="295"/>
    </row>
    <row r="21" spans="1:16">
      <c r="A21" s="153">
        <v>45184</v>
      </c>
      <c r="B21" s="295"/>
      <c r="C21" s="295"/>
      <c r="D21" s="295"/>
      <c r="E21" s="295"/>
      <c r="F21" s="295"/>
      <c r="G21" s="295"/>
      <c r="H21" s="295"/>
      <c r="I21" s="295"/>
      <c r="J21" s="295"/>
      <c r="K21" s="295"/>
      <c r="L21" s="295"/>
      <c r="M21" s="295"/>
      <c r="N21" s="295"/>
      <c r="O21" s="295"/>
      <c r="P21" s="295"/>
    </row>
    <row r="22" spans="1:16">
      <c r="A22" s="153">
        <v>45191</v>
      </c>
      <c r="B22" s="295"/>
      <c r="C22" s="295"/>
      <c r="D22" s="295"/>
      <c r="E22" s="295"/>
      <c r="F22" s="295"/>
      <c r="G22" s="295"/>
      <c r="H22" s="295"/>
      <c r="I22" s="295"/>
      <c r="J22" s="295"/>
      <c r="K22" s="295"/>
      <c r="L22" s="295"/>
      <c r="M22" s="295"/>
      <c r="N22" s="295"/>
      <c r="O22" s="295"/>
      <c r="P22" s="295"/>
    </row>
    <row r="23" spans="1:16">
      <c r="A23" s="153">
        <v>45198</v>
      </c>
      <c r="B23" s="295"/>
      <c r="C23" s="295"/>
      <c r="D23" s="295"/>
      <c r="E23" s="295"/>
      <c r="F23" s="295">
        <v>0</v>
      </c>
      <c r="G23" s="295">
        <v>0</v>
      </c>
      <c r="H23" s="295">
        <v>0</v>
      </c>
      <c r="I23" s="295">
        <v>0</v>
      </c>
      <c r="J23" s="295">
        <v>0</v>
      </c>
      <c r="K23" s="295"/>
      <c r="L23" s="295"/>
      <c r="M23" s="295"/>
      <c r="N23" s="295"/>
      <c r="O23" s="295"/>
      <c r="P23" s="295"/>
    </row>
    <row r="24" spans="1:16">
      <c r="A24" s="153">
        <v>45205</v>
      </c>
      <c r="B24" s="295"/>
      <c r="C24" s="295"/>
      <c r="D24" s="295"/>
      <c r="E24" s="295"/>
      <c r="F24" s="299">
        <v>1250</v>
      </c>
      <c r="G24" s="295">
        <v>-20</v>
      </c>
      <c r="H24" s="295">
        <v>-921</v>
      </c>
      <c r="I24" s="295">
        <v>-2762</v>
      </c>
      <c r="J24" s="295">
        <v>14</v>
      </c>
      <c r="K24" s="295"/>
      <c r="L24" s="295"/>
      <c r="M24" s="295"/>
      <c r="N24" s="295"/>
      <c r="O24" s="295"/>
      <c r="P24" s="295"/>
    </row>
    <row r="25" spans="1:16">
      <c r="A25" s="153">
        <v>45212</v>
      </c>
      <c r="B25" s="295"/>
      <c r="C25" s="295"/>
      <c r="D25" s="295"/>
      <c r="E25" s="295"/>
      <c r="F25" s="299">
        <v>1138</v>
      </c>
      <c r="G25" s="295">
        <v>-212</v>
      </c>
      <c r="H25" s="295">
        <v>-2681</v>
      </c>
      <c r="I25" s="295">
        <v>-1517</v>
      </c>
      <c r="J25" s="295">
        <v>-290</v>
      </c>
      <c r="K25" s="295"/>
      <c r="L25" s="295"/>
      <c r="M25" s="295"/>
      <c r="N25" s="295"/>
      <c r="O25" s="295"/>
      <c r="P25" s="295"/>
    </row>
    <row r="26" spans="1:16">
      <c r="A26" s="153">
        <v>45219</v>
      </c>
      <c r="B26" s="295"/>
      <c r="C26" s="295"/>
      <c r="D26" s="295"/>
      <c r="E26" s="295"/>
      <c r="F26" s="299">
        <v>1794</v>
      </c>
      <c r="G26" s="295">
        <v>-10</v>
      </c>
      <c r="H26" s="295">
        <v>-4712</v>
      </c>
      <c r="I26" s="295">
        <v>-3692</v>
      </c>
      <c r="J26" s="295">
        <v>-422</v>
      </c>
      <c r="K26" s="295"/>
      <c r="L26" s="295"/>
      <c r="M26" s="295"/>
      <c r="N26" s="295"/>
      <c r="O26" s="295"/>
      <c r="P26" s="295"/>
    </row>
    <row r="27" spans="1:16">
      <c r="A27" s="153">
        <v>45226</v>
      </c>
      <c r="B27" s="295"/>
      <c r="C27" s="295"/>
      <c r="D27" s="295"/>
      <c r="E27" s="295"/>
      <c r="F27" s="299">
        <v>2504</v>
      </c>
      <c r="G27" s="299">
        <v>838</v>
      </c>
      <c r="H27" s="295">
        <v>-4634</v>
      </c>
      <c r="I27" s="295">
        <v>-2109</v>
      </c>
      <c r="J27" s="295">
        <v>-505</v>
      </c>
      <c r="K27" s="295"/>
      <c r="L27" s="295"/>
      <c r="M27" s="295"/>
      <c r="N27" s="295"/>
      <c r="O27" s="295"/>
      <c r="P27" s="295"/>
    </row>
    <row r="28" spans="1:16">
      <c r="A28" s="153">
        <v>45233</v>
      </c>
      <c r="B28" s="295">
        <v>-259</v>
      </c>
      <c r="C28" s="295">
        <v>-645</v>
      </c>
      <c r="D28" s="295">
        <v>-590</v>
      </c>
      <c r="E28" s="295">
        <v>-3883</v>
      </c>
      <c r="F28" s="295"/>
      <c r="G28" s="295"/>
      <c r="H28" s="295"/>
      <c r="I28" s="295"/>
      <c r="J28" s="295"/>
      <c r="K28" s="295"/>
      <c r="L28" s="295"/>
      <c r="M28" s="295"/>
      <c r="N28" s="295"/>
      <c r="O28" s="295"/>
      <c r="P28" s="295"/>
    </row>
    <row r="29" spans="1:16">
      <c r="A29" s="153">
        <v>45240</v>
      </c>
      <c r="B29" s="299">
        <v>1279</v>
      </c>
      <c r="C29" s="295">
        <v>-1197</v>
      </c>
      <c r="D29" s="295">
        <v>-480</v>
      </c>
      <c r="E29" s="295">
        <v>-1474</v>
      </c>
      <c r="F29" s="295"/>
      <c r="G29" s="295"/>
      <c r="H29" s="295"/>
      <c r="I29" s="295"/>
      <c r="J29" s="295"/>
      <c r="K29" s="295"/>
      <c r="L29" s="295"/>
      <c r="M29" s="295"/>
      <c r="N29" s="295"/>
      <c r="O29" s="295"/>
      <c r="P29" s="295"/>
    </row>
    <row r="30" spans="1:16">
      <c r="A30" s="153">
        <v>45247</v>
      </c>
      <c r="B30" s="299">
        <v>2985</v>
      </c>
      <c r="C30" s="295">
        <v>-3527</v>
      </c>
      <c r="D30" s="295">
        <v>-647</v>
      </c>
      <c r="E30" s="295">
        <v>-3897</v>
      </c>
      <c r="F30" s="295"/>
      <c r="G30" s="295"/>
      <c r="H30" s="295"/>
      <c r="I30" s="295"/>
      <c r="J30" s="295"/>
      <c r="K30" s="295"/>
      <c r="L30" s="295"/>
      <c r="M30" s="295"/>
      <c r="N30" s="295"/>
      <c r="O30" s="295"/>
      <c r="P30" s="295"/>
    </row>
    <row r="31" spans="1:16">
      <c r="A31" s="153">
        <v>45254</v>
      </c>
      <c r="B31" s="299">
        <v>3504</v>
      </c>
      <c r="C31" s="295">
        <v>-4603</v>
      </c>
      <c r="D31" s="295">
        <v>-1006</v>
      </c>
      <c r="E31" s="295">
        <v>-4127</v>
      </c>
      <c r="F31" s="295"/>
      <c r="G31" s="295"/>
      <c r="H31" s="295"/>
      <c r="I31" s="295"/>
      <c r="J31" s="295"/>
      <c r="K31" s="295"/>
      <c r="L31" s="295"/>
      <c r="M31" s="295"/>
      <c r="N31" s="295"/>
      <c r="O31" s="295"/>
      <c r="P31" s="295"/>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8"/>
  </cols>
  <sheetData>
    <row r="1" spans="1:16" s="286" customFormat="1">
      <c r="A1" s="286" t="s">
        <v>9</v>
      </c>
      <c r="B1" s="287" t="s">
        <v>464</v>
      </c>
      <c r="C1" s="287" t="s">
        <v>465</v>
      </c>
      <c r="D1" s="287" t="s">
        <v>466</v>
      </c>
      <c r="E1" s="287" t="s">
        <v>467</v>
      </c>
      <c r="F1" s="284" t="s">
        <v>468</v>
      </c>
      <c r="G1" s="297" t="s">
        <v>469</v>
      </c>
      <c r="H1" s="297" t="s">
        <v>470</v>
      </c>
      <c r="I1" s="297" t="s">
        <v>471</v>
      </c>
      <c r="J1" s="297" t="s">
        <v>472</v>
      </c>
      <c r="K1" s="297" t="s">
        <v>442</v>
      </c>
      <c r="L1" s="297" t="s">
        <v>448</v>
      </c>
      <c r="M1" s="285" t="s">
        <v>443</v>
      </c>
      <c r="N1" s="285" t="s">
        <v>444</v>
      </c>
      <c r="O1" s="285" t="s">
        <v>445</v>
      </c>
      <c r="P1" s="285" t="s">
        <v>446</v>
      </c>
    </row>
    <row r="2" spans="1:16">
      <c r="A2" s="153">
        <v>45051</v>
      </c>
      <c r="B2" s="272"/>
      <c r="C2" s="272"/>
      <c r="D2" s="272"/>
      <c r="E2" s="272"/>
      <c r="F2" s="272"/>
      <c r="G2" s="272"/>
      <c r="H2" s="272"/>
      <c r="I2" s="272"/>
      <c r="J2" s="272"/>
      <c r="K2" s="272">
        <v>60000</v>
      </c>
      <c r="L2" s="272">
        <v>23982.26</v>
      </c>
      <c r="M2" s="272">
        <v>35000</v>
      </c>
      <c r="N2" s="272">
        <v>36545.800000000003</v>
      </c>
      <c r="O2" s="272">
        <v>38000</v>
      </c>
      <c r="P2" s="272">
        <v>37000</v>
      </c>
    </row>
    <row r="3" spans="1:16">
      <c r="A3" s="153">
        <v>45058</v>
      </c>
      <c r="B3" s="272"/>
      <c r="C3" s="272"/>
      <c r="D3" s="272"/>
      <c r="E3" s="272"/>
      <c r="F3" s="272"/>
      <c r="G3" s="272"/>
      <c r="H3" s="272"/>
      <c r="I3" s="272"/>
      <c r="J3" s="272"/>
      <c r="K3" s="272">
        <v>60000</v>
      </c>
      <c r="L3" s="272">
        <v>23982.26</v>
      </c>
      <c r="M3" s="272">
        <v>35000</v>
      </c>
      <c r="N3" s="272">
        <v>36545.800000000003</v>
      </c>
      <c r="O3" s="272">
        <v>38000</v>
      </c>
      <c r="P3" s="272">
        <v>37000</v>
      </c>
    </row>
    <row r="4" spans="1:16">
      <c r="A4" s="153">
        <v>45065</v>
      </c>
      <c r="B4" s="272"/>
      <c r="C4" s="272"/>
      <c r="D4" s="272"/>
      <c r="E4" s="272"/>
      <c r="F4" s="272"/>
      <c r="G4" s="272"/>
      <c r="H4" s="272"/>
      <c r="I4" s="272"/>
      <c r="J4" s="272"/>
      <c r="K4" s="272">
        <v>60000</v>
      </c>
      <c r="L4" s="272">
        <v>23982.26</v>
      </c>
      <c r="M4" s="272">
        <v>35000</v>
      </c>
      <c r="N4" s="272">
        <v>36545.800000000003</v>
      </c>
      <c r="O4" s="272">
        <v>38000</v>
      </c>
      <c r="P4" s="272">
        <v>37000</v>
      </c>
    </row>
    <row r="5" spans="1:16">
      <c r="A5" s="153">
        <v>45072</v>
      </c>
      <c r="B5" s="272"/>
      <c r="C5" s="272"/>
      <c r="D5" s="272"/>
      <c r="E5" s="272"/>
      <c r="F5" s="272"/>
      <c r="G5" s="272"/>
      <c r="H5" s="272"/>
      <c r="I5" s="272"/>
      <c r="J5" s="272"/>
      <c r="K5" s="272"/>
      <c r="L5" s="272"/>
      <c r="M5" s="272"/>
      <c r="N5" s="272"/>
      <c r="O5" s="272"/>
      <c r="P5" s="272"/>
    </row>
    <row r="6" spans="1:16">
      <c r="A6" s="153">
        <v>45079</v>
      </c>
      <c r="B6" s="272"/>
      <c r="C6" s="272"/>
      <c r="D6" s="272"/>
      <c r="E6" s="272"/>
      <c r="F6" s="272"/>
      <c r="G6" s="272"/>
      <c r="H6" s="272"/>
      <c r="I6" s="272"/>
      <c r="J6" s="272"/>
      <c r="K6" s="272"/>
      <c r="L6" s="272"/>
      <c r="M6" s="272"/>
      <c r="N6" s="272"/>
      <c r="O6" s="272"/>
      <c r="P6" s="272"/>
    </row>
    <row r="7" spans="1:16">
      <c r="A7" s="153">
        <v>45086</v>
      </c>
      <c r="B7" s="272"/>
      <c r="C7" s="272"/>
      <c r="D7" s="272"/>
      <c r="E7" s="272"/>
      <c r="F7" s="272"/>
      <c r="G7" s="272"/>
      <c r="H7" s="272"/>
      <c r="I7" s="272"/>
      <c r="J7" s="272"/>
      <c r="K7" s="272"/>
      <c r="L7" s="272"/>
      <c r="M7" s="272"/>
      <c r="N7" s="272"/>
      <c r="O7" s="272"/>
      <c r="P7" s="272"/>
    </row>
    <row r="8" spans="1:16">
      <c r="A8" s="153">
        <v>45093</v>
      </c>
      <c r="B8" s="272"/>
      <c r="C8" s="272"/>
      <c r="D8" s="272"/>
      <c r="E8" s="272"/>
      <c r="F8" s="272"/>
      <c r="G8" s="272"/>
      <c r="H8" s="272"/>
      <c r="I8" s="272"/>
      <c r="J8" s="272"/>
      <c r="K8" s="272"/>
      <c r="L8" s="272"/>
      <c r="M8" s="272"/>
      <c r="N8" s="272"/>
      <c r="O8" s="272"/>
      <c r="P8" s="272"/>
    </row>
    <row r="9" spans="1:16">
      <c r="A9" s="153">
        <v>45100</v>
      </c>
      <c r="B9" s="272"/>
      <c r="C9" s="272"/>
      <c r="D9" s="272"/>
      <c r="E9" s="272"/>
      <c r="F9" s="272"/>
      <c r="G9" s="272"/>
      <c r="H9" s="272"/>
      <c r="I9" s="272"/>
      <c r="J9" s="272"/>
      <c r="K9" s="272"/>
      <c r="L9" s="272"/>
      <c r="M9" s="272"/>
      <c r="N9" s="272"/>
      <c r="O9" s="272"/>
      <c r="P9" s="272"/>
    </row>
    <row r="10" spans="1:16">
      <c r="A10" s="153">
        <v>45107</v>
      </c>
      <c r="B10" s="272"/>
      <c r="C10" s="272"/>
      <c r="D10" s="272"/>
      <c r="E10" s="272"/>
      <c r="F10" s="272"/>
      <c r="G10" s="272"/>
      <c r="H10" s="272"/>
      <c r="I10" s="272"/>
      <c r="J10" s="272"/>
      <c r="K10" s="272"/>
      <c r="L10" s="272"/>
      <c r="M10" s="272"/>
      <c r="N10" s="272"/>
      <c r="O10" s="272"/>
      <c r="P10" s="272"/>
    </row>
    <row r="11" spans="1:16">
      <c r="A11" s="153">
        <v>45114</v>
      </c>
      <c r="B11" s="272"/>
      <c r="C11" s="272"/>
      <c r="D11" s="272"/>
      <c r="E11" s="272"/>
      <c r="F11" s="272"/>
      <c r="G11" s="272"/>
      <c r="H11" s="272"/>
      <c r="I11" s="272"/>
      <c r="J11" s="272"/>
      <c r="K11" s="272"/>
      <c r="L11" s="272"/>
      <c r="M11" s="272"/>
      <c r="N11" s="272"/>
      <c r="O11" s="272"/>
      <c r="P11" s="272"/>
    </row>
    <row r="12" spans="1:16">
      <c r="A12" s="153">
        <v>45121</v>
      </c>
      <c r="B12" s="272"/>
      <c r="C12" s="272"/>
      <c r="D12" s="272"/>
      <c r="E12" s="272"/>
      <c r="F12" s="272"/>
      <c r="G12" s="272"/>
      <c r="H12" s="272"/>
      <c r="I12" s="272"/>
      <c r="J12" s="272"/>
      <c r="K12" s="272"/>
      <c r="L12" s="272"/>
      <c r="M12" s="272"/>
      <c r="N12" s="272"/>
      <c r="O12" s="272"/>
      <c r="P12" s="272"/>
    </row>
    <row r="13" spans="1:16">
      <c r="A13" s="153">
        <v>45128</v>
      </c>
      <c r="B13" s="272"/>
      <c r="C13" s="272"/>
      <c r="D13" s="272"/>
      <c r="E13" s="272"/>
      <c r="F13" s="272"/>
      <c r="G13" s="272"/>
      <c r="H13" s="272"/>
      <c r="I13" s="272"/>
      <c r="J13" s="272"/>
      <c r="K13" s="272"/>
      <c r="L13" s="272"/>
      <c r="M13" s="272"/>
      <c r="N13" s="272"/>
      <c r="O13" s="272"/>
      <c r="P13" s="272"/>
    </row>
    <row r="14" spans="1:16">
      <c r="A14" s="153">
        <v>45135</v>
      </c>
      <c r="B14" s="272"/>
      <c r="C14" s="272"/>
      <c r="D14" s="272"/>
      <c r="E14" s="272"/>
      <c r="F14" s="272"/>
      <c r="G14" s="272"/>
      <c r="H14" s="272"/>
      <c r="I14" s="272"/>
      <c r="J14" s="272"/>
      <c r="K14" s="272"/>
      <c r="L14" s="272"/>
      <c r="M14" s="272"/>
      <c r="N14" s="272"/>
      <c r="O14" s="272"/>
      <c r="P14" s="272"/>
    </row>
    <row r="15" spans="1:16">
      <c r="A15" s="153">
        <v>45142</v>
      </c>
      <c r="B15" s="272"/>
      <c r="C15" s="272"/>
      <c r="D15" s="272"/>
      <c r="E15" s="272"/>
      <c r="F15" s="272"/>
      <c r="G15" s="272"/>
      <c r="H15" s="272"/>
      <c r="I15" s="272"/>
      <c r="J15" s="272"/>
      <c r="K15" s="272"/>
      <c r="L15" s="272"/>
      <c r="M15" s="272"/>
      <c r="N15" s="272"/>
      <c r="O15" s="272"/>
      <c r="P15" s="272"/>
    </row>
    <row r="16" spans="1:16">
      <c r="A16" s="153">
        <v>45149</v>
      </c>
      <c r="B16" s="272"/>
      <c r="C16" s="272"/>
      <c r="D16" s="272"/>
      <c r="E16" s="272"/>
      <c r="F16" s="272"/>
      <c r="G16" s="272"/>
      <c r="H16" s="272"/>
      <c r="I16" s="272"/>
      <c r="J16" s="272"/>
      <c r="K16" s="272"/>
      <c r="L16" s="272"/>
      <c r="M16" s="272"/>
      <c r="N16" s="272"/>
      <c r="O16" s="272"/>
      <c r="P16" s="272"/>
    </row>
    <row r="17" spans="1:16">
      <c r="A17" s="153">
        <v>45156</v>
      </c>
      <c r="B17" s="272"/>
      <c r="C17" s="272"/>
      <c r="D17" s="272"/>
      <c r="E17" s="272"/>
      <c r="F17" s="272"/>
      <c r="G17" s="272"/>
      <c r="H17" s="272"/>
      <c r="I17" s="272"/>
      <c r="J17" s="272"/>
      <c r="K17" s="272"/>
      <c r="L17" s="272"/>
      <c r="M17" s="272"/>
      <c r="N17" s="272"/>
      <c r="O17" s="272"/>
      <c r="P17" s="272"/>
    </row>
    <row r="18" spans="1:16">
      <c r="A18" s="153">
        <v>45163</v>
      </c>
      <c r="B18" s="272"/>
      <c r="C18" s="272"/>
      <c r="D18" s="272"/>
      <c r="E18" s="272"/>
      <c r="F18" s="272"/>
      <c r="G18" s="272"/>
      <c r="H18" s="272"/>
      <c r="I18" s="272"/>
      <c r="J18" s="272"/>
      <c r="K18" s="272"/>
      <c r="L18" s="272"/>
      <c r="M18" s="272"/>
      <c r="N18" s="272"/>
      <c r="O18" s="272"/>
      <c r="P18" s="272"/>
    </row>
    <row r="19" spans="1:16">
      <c r="A19" s="153">
        <v>45170</v>
      </c>
      <c r="B19" s="272"/>
      <c r="C19" s="272"/>
      <c r="D19" s="272"/>
      <c r="E19" s="272"/>
      <c r="F19" s="272"/>
      <c r="G19" s="272"/>
      <c r="H19" s="272"/>
      <c r="I19" s="272"/>
      <c r="J19" s="272"/>
      <c r="K19" s="272"/>
      <c r="L19" s="272"/>
      <c r="M19" s="272"/>
      <c r="N19" s="272"/>
      <c r="O19" s="272"/>
      <c r="P19" s="272"/>
    </row>
    <row r="20" spans="1:16">
      <c r="A20" s="153">
        <v>45177</v>
      </c>
      <c r="B20" s="272"/>
      <c r="C20" s="272"/>
      <c r="D20" s="272"/>
      <c r="E20" s="272"/>
      <c r="F20" s="272"/>
      <c r="G20" s="272"/>
      <c r="H20" s="272"/>
      <c r="I20" s="272"/>
      <c r="J20" s="272"/>
      <c r="K20" s="272"/>
      <c r="L20" s="272"/>
      <c r="M20" s="272"/>
      <c r="N20" s="272"/>
      <c r="O20" s="272"/>
      <c r="P20" s="272"/>
    </row>
    <row r="21" spans="1:16">
      <c r="A21" s="153">
        <v>45184</v>
      </c>
      <c r="B21" s="272"/>
      <c r="C21" s="272"/>
      <c r="D21" s="272"/>
      <c r="E21" s="272"/>
      <c r="F21" s="272"/>
      <c r="G21" s="272"/>
      <c r="H21" s="272"/>
      <c r="I21" s="272"/>
      <c r="J21" s="272"/>
      <c r="K21" s="272"/>
      <c r="L21" s="272"/>
      <c r="M21" s="272"/>
      <c r="N21" s="272"/>
      <c r="O21" s="272"/>
      <c r="P21" s="272"/>
    </row>
    <row r="22" spans="1:16">
      <c r="A22" s="153">
        <v>45191</v>
      </c>
      <c r="B22" s="272"/>
      <c r="C22" s="272"/>
      <c r="D22" s="272"/>
      <c r="E22" s="272"/>
      <c r="F22" s="272"/>
      <c r="G22" s="272"/>
      <c r="H22" s="272"/>
      <c r="I22" s="272"/>
      <c r="J22" s="272"/>
      <c r="K22" s="272"/>
      <c r="L22" s="272"/>
      <c r="M22" s="272"/>
      <c r="N22" s="272"/>
      <c r="O22" s="272"/>
      <c r="P22" s="272"/>
    </row>
    <row r="23" spans="1:16">
      <c r="A23" s="153">
        <v>45198</v>
      </c>
      <c r="B23" s="272"/>
      <c r="C23" s="272"/>
      <c r="D23" s="272"/>
      <c r="E23" s="272"/>
      <c r="F23" s="272">
        <v>65000</v>
      </c>
      <c r="G23" s="272">
        <v>60000</v>
      </c>
      <c r="H23" s="272">
        <v>110000</v>
      </c>
      <c r="I23" s="272">
        <v>100000</v>
      </c>
      <c r="J23" s="272">
        <v>140000</v>
      </c>
      <c r="K23" s="272"/>
      <c r="L23" s="272"/>
      <c r="M23" s="272"/>
      <c r="N23" s="272"/>
      <c r="O23" s="272"/>
      <c r="P23" s="272"/>
    </row>
    <row r="24" spans="1:16">
      <c r="A24" s="153">
        <v>45205</v>
      </c>
      <c r="B24" s="272"/>
      <c r="C24" s="272"/>
      <c r="D24" s="272"/>
      <c r="E24" s="272"/>
      <c r="F24" s="272">
        <v>65000</v>
      </c>
      <c r="G24" s="272">
        <v>60000</v>
      </c>
      <c r="H24" s="272">
        <v>110000</v>
      </c>
      <c r="I24" s="272">
        <v>100000</v>
      </c>
      <c r="J24" s="272">
        <v>140000</v>
      </c>
      <c r="K24" s="272"/>
      <c r="L24" s="272"/>
      <c r="M24" s="272"/>
      <c r="N24" s="272"/>
      <c r="O24" s="272"/>
      <c r="P24" s="272"/>
    </row>
    <row r="25" spans="1:16">
      <c r="A25" s="153">
        <v>45212</v>
      </c>
      <c r="B25" s="272"/>
      <c r="C25" s="272"/>
      <c r="D25" s="272"/>
      <c r="E25" s="272"/>
      <c r="F25" s="272">
        <v>65000</v>
      </c>
      <c r="G25" s="272">
        <v>60000</v>
      </c>
      <c r="H25" s="272">
        <v>110000</v>
      </c>
      <c r="I25" s="272">
        <v>100000</v>
      </c>
      <c r="J25" s="272">
        <v>140000</v>
      </c>
      <c r="K25" s="272"/>
      <c r="L25" s="272"/>
      <c r="M25" s="272"/>
      <c r="N25" s="272"/>
      <c r="O25" s="272"/>
      <c r="P25" s="272"/>
    </row>
    <row r="26" spans="1:16">
      <c r="A26" s="153">
        <v>45219</v>
      </c>
      <c r="B26" s="272"/>
      <c r="C26" s="272"/>
      <c r="D26" s="272"/>
      <c r="E26" s="272"/>
      <c r="F26" s="272">
        <v>65000</v>
      </c>
      <c r="G26" s="272">
        <v>60000</v>
      </c>
      <c r="H26" s="272">
        <v>110000</v>
      </c>
      <c r="I26" s="272">
        <v>100000</v>
      </c>
      <c r="J26" s="272">
        <v>140000</v>
      </c>
      <c r="K26" s="272"/>
      <c r="L26" s="272"/>
      <c r="M26" s="272"/>
      <c r="N26" s="272"/>
      <c r="O26" s="272"/>
      <c r="P26" s="272"/>
    </row>
    <row r="27" spans="1:16">
      <c r="A27" s="153">
        <v>45226</v>
      </c>
      <c r="B27" s="272"/>
      <c r="C27" s="272"/>
      <c r="D27" s="272"/>
      <c r="E27" s="272"/>
      <c r="F27" s="272">
        <v>65000</v>
      </c>
      <c r="G27" s="272">
        <v>60000</v>
      </c>
      <c r="H27" s="272">
        <v>110000</v>
      </c>
      <c r="I27" s="272">
        <v>100000</v>
      </c>
      <c r="J27" s="272">
        <v>140000</v>
      </c>
      <c r="K27" s="272"/>
      <c r="L27" s="272"/>
      <c r="M27" s="272"/>
      <c r="N27" s="272"/>
      <c r="O27" s="272"/>
      <c r="P27" s="272"/>
    </row>
    <row r="28" spans="1:16">
      <c r="A28" s="153">
        <v>45233</v>
      </c>
      <c r="B28" s="272">
        <v>110000</v>
      </c>
      <c r="C28" s="272">
        <v>120000</v>
      </c>
      <c r="D28" s="272">
        <v>100000</v>
      </c>
      <c r="E28" s="272">
        <v>170000</v>
      </c>
      <c r="F28" s="272"/>
      <c r="G28" s="272"/>
      <c r="H28" s="272"/>
      <c r="I28" s="272"/>
      <c r="J28" s="272"/>
      <c r="K28" s="272"/>
      <c r="L28" s="272"/>
      <c r="M28" s="272"/>
      <c r="N28" s="272"/>
      <c r="O28" s="272"/>
      <c r="P28" s="272"/>
    </row>
    <row r="29" spans="1:16">
      <c r="A29" s="153">
        <v>45240</v>
      </c>
      <c r="B29" s="272">
        <v>110000</v>
      </c>
      <c r="C29" s="272">
        <v>120000</v>
      </c>
      <c r="D29" s="272">
        <v>100000</v>
      </c>
      <c r="E29" s="272">
        <v>170000</v>
      </c>
      <c r="F29" s="272"/>
    </row>
    <row r="30" spans="1:16">
      <c r="A30" s="153">
        <v>45247</v>
      </c>
      <c r="B30" s="272">
        <v>110000</v>
      </c>
      <c r="C30" s="272">
        <v>120000</v>
      </c>
      <c r="D30" s="272">
        <v>100000</v>
      </c>
      <c r="E30" s="272">
        <v>170000</v>
      </c>
    </row>
    <row r="31" spans="1:16">
      <c r="A31" s="153">
        <v>45254</v>
      </c>
      <c r="B31" s="272">
        <v>110000</v>
      </c>
      <c r="C31" s="272">
        <v>120000</v>
      </c>
      <c r="D31" s="272">
        <v>100000</v>
      </c>
      <c r="E31" s="272">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8"/>
  <sheetViews>
    <sheetView workbookViewId="0">
      <pane xSplit="1" ySplit="1" topLeftCell="B24" activePane="bottomRight" state="frozen"/>
      <selection activeCell="L43" sqref="L43"/>
      <selection pane="topRight" activeCell="L43" sqref="L43"/>
      <selection pane="bottomLeft" activeCell="L43" sqref="L43"/>
      <selection pane="bottomRight" activeCell="D36" sqref="D36"/>
    </sheetView>
  </sheetViews>
  <sheetFormatPr defaultRowHeight="15.75"/>
  <cols>
    <col min="1" max="1" width="10.25" style="98" bestFit="1" customWidth="1"/>
    <col min="2" max="2" width="24.625" style="98" customWidth="1"/>
    <col min="3" max="3" width="23.125" style="98" customWidth="1"/>
    <col min="4" max="4" width="22.125" style="98" bestFit="1" customWidth="1"/>
    <col min="5" max="5" width="21.75" style="272" bestFit="1" customWidth="1"/>
    <col min="6" max="16384" width="9" style="98"/>
  </cols>
  <sheetData>
    <row r="1" spans="1:5">
      <c r="A1" s="286" t="s">
        <v>9</v>
      </c>
      <c r="B1" s="418" t="s">
        <v>526</v>
      </c>
      <c r="C1" s="418" t="s">
        <v>525</v>
      </c>
      <c r="D1" s="283" t="s">
        <v>455</v>
      </c>
      <c r="E1" s="283" t="s">
        <v>447</v>
      </c>
    </row>
    <row r="2" spans="1:5">
      <c r="A2" s="153">
        <v>45051</v>
      </c>
      <c r="B2" s="272"/>
      <c r="C2" s="272"/>
      <c r="D2" s="289"/>
      <c r="E2" s="292">
        <v>1782</v>
      </c>
    </row>
    <row r="3" spans="1:5">
      <c r="A3" s="153">
        <v>45058</v>
      </c>
      <c r="B3" s="272"/>
      <c r="C3" s="272"/>
      <c r="D3" s="289"/>
      <c r="E3" s="292">
        <v>2129</v>
      </c>
    </row>
    <row r="4" spans="1:5">
      <c r="A4" s="153">
        <v>45065</v>
      </c>
      <c r="B4" s="272"/>
      <c r="C4" s="272"/>
      <c r="D4" s="289"/>
      <c r="E4" s="292">
        <v>1516</v>
      </c>
    </row>
    <row r="5" spans="1:5">
      <c r="A5" s="153">
        <v>45072</v>
      </c>
      <c r="B5" s="272"/>
      <c r="C5" s="272"/>
      <c r="D5" s="289"/>
      <c r="E5" s="289"/>
    </row>
    <row r="6" spans="1:5">
      <c r="A6" s="153">
        <v>45079</v>
      </c>
      <c r="B6" s="272"/>
      <c r="C6" s="272"/>
      <c r="D6" s="289"/>
      <c r="E6" s="289"/>
    </row>
    <row r="7" spans="1:5">
      <c r="A7" s="153">
        <v>45086</v>
      </c>
      <c r="B7" s="272"/>
      <c r="C7" s="272"/>
      <c r="D7" s="282"/>
      <c r="E7" s="289"/>
    </row>
    <row r="8" spans="1:5">
      <c r="A8" s="153">
        <v>45093</v>
      </c>
      <c r="B8" s="272"/>
      <c r="C8" s="272"/>
      <c r="D8" s="282"/>
      <c r="E8" s="289"/>
    </row>
    <row r="9" spans="1:5">
      <c r="A9" s="153">
        <v>45100</v>
      </c>
      <c r="B9" s="272"/>
      <c r="C9" s="272"/>
      <c r="D9" s="272"/>
    </row>
    <row r="10" spans="1:5">
      <c r="A10" s="153">
        <v>45107</v>
      </c>
      <c r="B10" s="272"/>
      <c r="C10" s="272"/>
      <c r="D10" s="272"/>
    </row>
    <row r="11" spans="1:5">
      <c r="A11" s="153">
        <v>45114</v>
      </c>
      <c r="B11" s="272"/>
      <c r="C11" s="272"/>
      <c r="D11" s="272"/>
    </row>
    <row r="12" spans="1:5">
      <c r="A12" s="153">
        <v>45121</v>
      </c>
      <c r="B12" s="272"/>
      <c r="C12" s="272"/>
      <c r="D12" s="272"/>
    </row>
    <row r="13" spans="1:5">
      <c r="A13" s="153">
        <v>45128</v>
      </c>
      <c r="B13" s="272"/>
      <c r="C13" s="272"/>
      <c r="D13" s="272"/>
    </row>
    <row r="14" spans="1:5">
      <c r="A14" s="153">
        <v>45135</v>
      </c>
      <c r="B14" s="272"/>
      <c r="C14" s="272"/>
      <c r="D14" s="272"/>
    </row>
    <row r="15" spans="1:5">
      <c r="A15" s="153">
        <v>45142</v>
      </c>
      <c r="B15" s="272"/>
      <c r="C15" s="272"/>
      <c r="D15" s="272"/>
    </row>
    <row r="16" spans="1:5">
      <c r="A16" s="153">
        <v>45149</v>
      </c>
      <c r="B16" s="272"/>
      <c r="C16" s="272"/>
      <c r="D16" s="272"/>
    </row>
    <row r="17" spans="1:4">
      <c r="A17" s="153">
        <v>45156</v>
      </c>
      <c r="B17" s="272"/>
      <c r="C17" s="272"/>
      <c r="D17" s="272"/>
    </row>
    <row r="18" spans="1:4">
      <c r="A18" s="153">
        <v>45163</v>
      </c>
      <c r="B18" s="272"/>
      <c r="C18" s="272"/>
      <c r="D18" s="272"/>
    </row>
    <row r="19" spans="1:4">
      <c r="A19" s="153">
        <v>45170</v>
      </c>
      <c r="B19" s="272"/>
      <c r="C19" s="272"/>
      <c r="D19" s="272"/>
    </row>
    <row r="20" spans="1:4">
      <c r="A20" s="153">
        <v>45177</v>
      </c>
      <c r="B20" s="272"/>
      <c r="C20" s="272"/>
      <c r="D20" s="272"/>
    </row>
    <row r="21" spans="1:4">
      <c r="A21" s="153">
        <v>45184</v>
      </c>
      <c r="B21" s="272"/>
      <c r="C21" s="272"/>
      <c r="D21" s="272"/>
    </row>
    <row r="22" spans="1:4">
      <c r="A22" s="153">
        <v>45191</v>
      </c>
      <c r="B22" s="272"/>
      <c r="C22" s="272"/>
      <c r="D22" s="272"/>
    </row>
    <row r="23" spans="1:4">
      <c r="A23" s="153">
        <v>45198</v>
      </c>
      <c r="B23" s="272"/>
      <c r="C23" s="272"/>
      <c r="D23" s="272"/>
    </row>
    <row r="24" spans="1:4">
      <c r="A24" s="153">
        <v>45205</v>
      </c>
      <c r="B24" s="272"/>
      <c r="C24" s="272"/>
      <c r="D24" s="300">
        <v>34</v>
      </c>
    </row>
    <row r="25" spans="1:4">
      <c r="A25" s="153">
        <v>45212</v>
      </c>
      <c r="B25" s="272"/>
      <c r="C25" s="272"/>
      <c r="D25" s="300">
        <v>182</v>
      </c>
    </row>
    <row r="26" spans="1:4">
      <c r="A26" s="153">
        <v>45219</v>
      </c>
      <c r="B26" s="272"/>
      <c r="C26" s="272"/>
      <c r="D26" s="300">
        <v>832</v>
      </c>
    </row>
    <row r="27" spans="1:4">
      <c r="A27" s="153">
        <v>45226</v>
      </c>
      <c r="B27" s="272"/>
      <c r="C27" s="272"/>
      <c r="D27" s="300">
        <v>897</v>
      </c>
    </row>
    <row r="28" spans="1:4">
      <c r="A28" s="153">
        <v>45233</v>
      </c>
      <c r="B28" s="272"/>
      <c r="C28" s="272"/>
      <c r="D28" s="300">
        <v>1108</v>
      </c>
    </row>
    <row r="29" spans="1:4">
      <c r="A29" s="153">
        <v>45240</v>
      </c>
      <c r="B29" s="272"/>
      <c r="C29" s="272"/>
      <c r="D29" s="300">
        <v>1791</v>
      </c>
    </row>
    <row r="30" spans="1:4">
      <c r="A30" s="153">
        <v>45247</v>
      </c>
      <c r="B30" s="272"/>
      <c r="C30" s="272"/>
      <c r="D30" s="300">
        <v>1634</v>
      </c>
    </row>
    <row r="31" spans="1:4">
      <c r="A31" s="153">
        <v>45254</v>
      </c>
      <c r="B31" s="272"/>
      <c r="C31" s="272"/>
      <c r="D31" s="300">
        <v>1547</v>
      </c>
    </row>
    <row r="32" spans="1:4">
      <c r="A32" s="153">
        <v>45261</v>
      </c>
      <c r="B32" s="272"/>
      <c r="C32" s="272"/>
      <c r="D32" s="300">
        <f>378.9/382.64*D34</f>
        <v>1360.5702487978256</v>
      </c>
    </row>
    <row r="33" spans="1:4">
      <c r="A33" s="153">
        <v>45268</v>
      </c>
      <c r="B33" s="272"/>
      <c r="C33" s="272"/>
      <c r="D33" s="300">
        <f>380.74/382.64 *D34</f>
        <v>1367.1773991218902</v>
      </c>
    </row>
    <row r="34" spans="1:4">
      <c r="A34" s="153">
        <v>45275</v>
      </c>
      <c r="B34" s="419">
        <v>-157</v>
      </c>
      <c r="C34" s="419">
        <v>-412</v>
      </c>
      <c r="D34" s="300">
        <v>1374</v>
      </c>
    </row>
    <row r="35" spans="1:4">
      <c r="A35" s="153">
        <v>45282</v>
      </c>
      <c r="B35" s="300">
        <v>78</v>
      </c>
      <c r="C35" s="419">
        <v>-201</v>
      </c>
      <c r="D35" s="300">
        <v>1587</v>
      </c>
    </row>
    <row r="36" spans="1:4">
      <c r="A36" s="153">
        <v>45289</v>
      </c>
      <c r="B36" s="419">
        <v>-216</v>
      </c>
      <c r="C36" s="300">
        <v>438</v>
      </c>
    </row>
    <row r="37" spans="1:4">
      <c r="A37" s="366">
        <v>45296</v>
      </c>
      <c r="B37" s="425">
        <v>911</v>
      </c>
      <c r="C37" s="425">
        <v>467</v>
      </c>
    </row>
    <row r="38" spans="1:4">
      <c r="A38" s="153">
        <v>45303</v>
      </c>
      <c r="B38" s="425">
        <v>635</v>
      </c>
      <c r="C38" s="425">
        <v>347</v>
      </c>
    </row>
  </sheetData>
  <conditionalFormatting sqref="E2:E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2024-02-05T13:01:24Z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y fmtid="{D5CDD505-2E9C-101B-9397-08002B2CF9AE}" pid="31" name="SpreadsheetBuilder_30">
    <vt:lpwstr>eyIwIjoiSGlzdG9yeSIsIjEiOjAsIjIiOjEsIjMiOjAsIjQiOjAsIjUiOjEsIjYiOjEsIjciOjEsIjgiOjAsIjkiOjEsIjEwIjowLCIxMSI6MCwiMTIiOjB9</vt:lpwstr>
  </property>
  <property fmtid="{D5CDD505-2E9C-101B-9397-08002B2CF9AE}" pid="32" name="SpreadsheetBuilder_31">
    <vt:lpwstr>eyIwIjoiSGlzdG9yeSIsIjEiOjAsIjIiOjEsIjMiOjAsIjQiOjAsIjUiOjEsIjYiOjEsIjciOjEsIjgiOjAsIjkiOjEsIjEwIjowLCIxMSI6MSwiMTIiOjB9</vt:lpwstr>
  </property>
</Properties>
</file>