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240" windowHeight="13740" activeTab="5"/>
  </bookViews>
  <sheets>
    <sheet name="Romaniuk" sheetId="1" r:id="rId1"/>
    <sheet name="Hadwiger" sheetId="2" r:id="rId2"/>
    <sheet name="Gompertz" sheetId="5" r:id="rId3"/>
    <sheet name="UN" sheetId="6" r:id="rId4"/>
    <sheet name="Booth" sheetId="7" r:id="rId5"/>
    <sheet name="Sheet1" sheetId="8" r:id="rId6"/>
  </sheets>
  <calcPr calcId="145621"/>
</workbook>
</file>

<file path=xl/calcChain.xml><?xml version="1.0" encoding="utf-8"?>
<calcChain xmlns="http://schemas.openxmlformats.org/spreadsheetml/2006/main">
  <c r="P5" i="8" l="1"/>
  <c r="O5" i="8"/>
  <c r="Q5" i="8"/>
  <c r="U5" i="8"/>
  <c r="U22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N5" i="8" l="1"/>
  <c r="Q22" i="8"/>
  <c r="W22" i="8" s="1"/>
  <c r="Q21" i="8"/>
  <c r="I8" i="8"/>
  <c r="J8" i="8" s="1"/>
  <c r="K8" i="8" s="1"/>
  <c r="L8" i="8" s="1"/>
  <c r="M8" i="8" s="1"/>
  <c r="I6" i="8"/>
  <c r="J6" i="8" s="1"/>
  <c r="K6" i="8" s="1"/>
  <c r="L6" i="8" s="1"/>
  <c r="M6" i="8" s="1"/>
  <c r="I7" i="8"/>
  <c r="J7" i="8" s="1"/>
  <c r="K7" i="8" s="1"/>
  <c r="L7" i="8" s="1"/>
  <c r="M7" i="8" s="1"/>
  <c r="N7" i="8" l="1"/>
  <c r="Q7" i="8" s="1"/>
  <c r="O7" i="8"/>
  <c r="P7" i="8" s="1"/>
  <c r="N6" i="8"/>
  <c r="I9" i="8" l="1"/>
  <c r="J9" i="8" s="1"/>
  <c r="K9" i="8" s="1"/>
  <c r="L9" i="8" s="1"/>
  <c r="M9" i="8" s="1"/>
  <c r="O6" i="8"/>
  <c r="P6" i="8" s="1"/>
  <c r="Q6" i="8"/>
  <c r="I10" i="8" l="1"/>
  <c r="J10" i="8" s="1"/>
  <c r="K10" i="8" s="1"/>
  <c r="L10" i="8" s="1"/>
  <c r="M10" i="8" s="1"/>
  <c r="N9" i="8" s="1"/>
  <c r="N8" i="8"/>
  <c r="O9" i="8" l="1"/>
  <c r="P9" i="8" s="1"/>
  <c r="Q9" i="8"/>
  <c r="O8" i="8"/>
  <c r="P8" i="8" s="1"/>
  <c r="Q8" i="8"/>
  <c r="I11" i="8"/>
  <c r="J11" i="8" s="1"/>
  <c r="K11" i="8" s="1"/>
  <c r="L11" i="8" s="1"/>
  <c r="M11" i="8" s="1"/>
  <c r="N10" i="8" s="1"/>
  <c r="O10" i="8" l="1"/>
  <c r="P10" i="8" s="1"/>
  <c r="Q10" i="8"/>
  <c r="I12" i="8"/>
  <c r="J12" i="8" s="1"/>
  <c r="K12" i="8" s="1"/>
  <c r="L12" i="8" s="1"/>
  <c r="M12" i="8" s="1"/>
  <c r="I13" i="8" l="1"/>
  <c r="J13" i="8" s="1"/>
  <c r="K13" i="8" s="1"/>
  <c r="L13" i="8" s="1"/>
  <c r="M13" i="8" s="1"/>
  <c r="N11" i="8"/>
  <c r="O11" i="8" l="1"/>
  <c r="P11" i="8" s="1"/>
  <c r="Q11" i="8"/>
  <c r="I14" i="8"/>
  <c r="J14" i="8" s="1"/>
  <c r="K14" i="8" s="1"/>
  <c r="L14" i="8" s="1"/>
  <c r="M14" i="8" s="1"/>
  <c r="N12" i="8"/>
  <c r="I15" i="8" l="1"/>
  <c r="J15" i="8" s="1"/>
  <c r="K15" i="8" s="1"/>
  <c r="L15" i="8" s="1"/>
  <c r="M15" i="8" s="1"/>
  <c r="N14" i="8" s="1"/>
  <c r="Q12" i="8"/>
  <c r="O12" i="8"/>
  <c r="P12" i="8" s="1"/>
  <c r="N13" i="8"/>
  <c r="I16" i="8" l="1"/>
  <c r="J16" i="8" s="1"/>
  <c r="K16" i="8" s="1"/>
  <c r="L16" i="8" s="1"/>
  <c r="M16" i="8" s="1"/>
  <c r="N15" i="8" s="1"/>
  <c r="O13" i="8"/>
  <c r="P13" i="8" s="1"/>
  <c r="Q13" i="8"/>
  <c r="Q14" i="8"/>
  <c r="O14" i="8"/>
  <c r="P14" i="8" s="1"/>
  <c r="Q15" i="8" l="1"/>
  <c r="O15" i="8"/>
  <c r="P15" i="8" s="1"/>
  <c r="I17" i="8"/>
  <c r="J17" i="8" s="1"/>
  <c r="K17" i="8" s="1"/>
  <c r="L17" i="8" s="1"/>
  <c r="M17" i="8" s="1"/>
  <c r="N16" i="8" s="1"/>
  <c r="O16" i="8" l="1"/>
  <c r="P16" i="8" s="1"/>
  <c r="Q16" i="8"/>
  <c r="I18" i="8"/>
  <c r="J18" i="8" s="1"/>
  <c r="K18" i="8" s="1"/>
  <c r="L18" i="8" s="1"/>
  <c r="M18" i="8" s="1"/>
  <c r="N17" i="8" s="1"/>
  <c r="O17" i="8" l="1"/>
  <c r="P17" i="8" s="1"/>
  <c r="Q17" i="8"/>
  <c r="I19" i="8"/>
  <c r="J19" i="8" s="1"/>
  <c r="K19" i="8" s="1"/>
  <c r="L19" i="8" s="1"/>
  <c r="M19" i="8" s="1"/>
  <c r="N18" i="8" l="1"/>
  <c r="I20" i="8"/>
  <c r="J20" i="8" s="1"/>
  <c r="K20" i="8" s="1"/>
  <c r="L20" i="8" s="1"/>
  <c r="M20" i="8" s="1"/>
  <c r="I22" i="8" l="1"/>
  <c r="J22" i="8" s="1"/>
  <c r="K22" i="8" s="1"/>
  <c r="L22" i="8" s="1"/>
  <c r="M22" i="8" s="1"/>
  <c r="I21" i="8"/>
  <c r="J21" i="8" s="1"/>
  <c r="K21" i="8" s="1"/>
  <c r="L21" i="8" s="1"/>
  <c r="M21" i="8" s="1"/>
  <c r="N20" i="8" s="1"/>
  <c r="O18" i="8"/>
  <c r="P18" i="8" s="1"/>
  <c r="Q18" i="8"/>
  <c r="N19" i="8"/>
  <c r="O20" i="8" l="1"/>
  <c r="P20" i="8" s="1"/>
  <c r="Q20" i="8"/>
  <c r="O19" i="8"/>
  <c r="P19" i="8" s="1"/>
  <c r="Q19" i="8"/>
  <c r="N21" i="8"/>
  <c r="O21" i="8" s="1"/>
  <c r="P21" i="8" s="1"/>
  <c r="N22" i="8"/>
  <c r="O22" i="8" s="1"/>
  <c r="P22" i="8" s="1"/>
  <c r="R20" i="8" l="1"/>
  <c r="S20" i="8" s="1"/>
  <c r="R22" i="8"/>
  <c r="S22" i="8" s="1"/>
  <c r="R6" i="8"/>
  <c r="S6" i="8" s="1"/>
  <c r="R10" i="8"/>
  <c r="S10" i="8" s="1"/>
  <c r="R9" i="8"/>
  <c r="S9" i="8" s="1"/>
  <c r="R7" i="8"/>
  <c r="S7" i="8" s="1"/>
  <c r="R5" i="8"/>
  <c r="S5" i="8" s="1"/>
  <c r="R12" i="8"/>
  <c r="S12" i="8" s="1"/>
  <c r="R8" i="8"/>
  <c r="S8" i="8" s="1"/>
  <c r="R11" i="8"/>
  <c r="S11" i="8" s="1"/>
  <c r="R16" i="8"/>
  <c r="S16" i="8" s="1"/>
  <c r="R21" i="8"/>
  <c r="S21" i="8" s="1"/>
  <c r="R13" i="8"/>
  <c r="S13" i="8" s="1"/>
  <c r="R14" i="8"/>
  <c r="S14" i="8" s="1"/>
  <c r="R17" i="8"/>
  <c r="S17" i="8" s="1"/>
  <c r="R15" i="8"/>
  <c r="S15" i="8" s="1"/>
  <c r="R19" i="8"/>
  <c r="S19" i="8" s="1"/>
  <c r="R18" i="8"/>
  <c r="S18" i="8" s="1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  <c r="F3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E35" i="5"/>
  <c r="E7" i="5"/>
  <c r="D8" i="5"/>
  <c r="D7" i="5"/>
  <c r="C6" i="5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O8" i="5"/>
  <c r="D9" i="5" l="1"/>
  <c r="D10" i="5" s="1"/>
  <c r="O10" i="5"/>
  <c r="O11" i="5"/>
  <c r="E8" i="5" l="1"/>
  <c r="B8" i="6"/>
  <c r="C12" i="2"/>
  <c r="F11" i="2"/>
  <c r="C11" i="2"/>
  <c r="H4" i="2"/>
  <c r="G1" i="1"/>
  <c r="E9" i="1"/>
  <c r="D9" i="1"/>
  <c r="C9" i="1"/>
  <c r="B11" i="2"/>
  <c r="B73" i="2"/>
  <c r="C19" i="2" s="1"/>
  <c r="B3" i="2"/>
  <c r="E9" i="5" l="1"/>
  <c r="C57" i="2"/>
  <c r="C41" i="2"/>
  <c r="C33" i="2"/>
  <c r="C17" i="2"/>
  <c r="C64" i="2"/>
  <c r="C40" i="2"/>
  <c r="C24" i="2"/>
  <c r="C16" i="2"/>
  <c r="C55" i="2"/>
  <c r="C39" i="2"/>
  <c r="C23" i="2"/>
  <c r="C70" i="2"/>
  <c r="C54" i="2"/>
  <c r="C38" i="2"/>
  <c r="C22" i="2"/>
  <c r="C69" i="2"/>
  <c r="C61" i="2"/>
  <c r="C45" i="2"/>
  <c r="C37" i="2"/>
  <c r="C29" i="2"/>
  <c r="C21" i="2"/>
  <c r="C13" i="2"/>
  <c r="C68" i="2"/>
  <c r="C60" i="2"/>
  <c r="C52" i="2"/>
  <c r="C44" i="2"/>
  <c r="C36" i="2"/>
  <c r="C28" i="2"/>
  <c r="C20" i="2"/>
  <c r="C66" i="2"/>
  <c r="C58" i="2"/>
  <c r="C50" i="2"/>
  <c r="C42" i="2"/>
  <c r="C34" i="2"/>
  <c r="C26" i="2"/>
  <c r="C18" i="2"/>
  <c r="C65" i="2"/>
  <c r="C49" i="2"/>
  <c r="C25" i="2"/>
  <c r="C56" i="2"/>
  <c r="C48" i="2"/>
  <c r="C32" i="2"/>
  <c r="C71" i="2"/>
  <c r="C63" i="2"/>
  <c r="C47" i="2"/>
  <c r="C31" i="2"/>
  <c r="C15" i="2"/>
  <c r="C62" i="2"/>
  <c r="C46" i="2"/>
  <c r="C30" i="2"/>
  <c r="C14" i="2"/>
  <c r="C53" i="2"/>
  <c r="C67" i="2"/>
  <c r="C59" i="2"/>
  <c r="C51" i="2"/>
  <c r="C43" i="2"/>
  <c r="C35" i="2"/>
  <c r="C27" i="2"/>
  <c r="Y51" i="5"/>
  <c r="X51" i="5"/>
  <c r="W51" i="5"/>
  <c r="V51" i="5"/>
  <c r="U52" i="5"/>
  <c r="U51" i="5"/>
  <c r="T51" i="5"/>
  <c r="D11" i="5" l="1"/>
  <c r="E10" i="5"/>
  <c r="AD3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9" i="5"/>
  <c r="P8" i="5" s="1"/>
  <c r="O7" i="5"/>
  <c r="P7" i="5" s="1"/>
  <c r="D12" i="5" l="1"/>
  <c r="E11" i="5"/>
  <c r="X10" i="5"/>
  <c r="V10" i="5"/>
  <c r="X8" i="5"/>
  <c r="V8" i="5"/>
  <c r="X12" i="5"/>
  <c r="V12" i="5"/>
  <c r="X16" i="5"/>
  <c r="V16" i="5"/>
  <c r="X20" i="5"/>
  <c r="V20" i="5"/>
  <c r="X24" i="5"/>
  <c r="V24" i="5"/>
  <c r="X28" i="5"/>
  <c r="V28" i="5"/>
  <c r="X32" i="5"/>
  <c r="V32" i="5"/>
  <c r="X36" i="5"/>
  <c r="V36" i="5"/>
  <c r="X40" i="5"/>
  <c r="V40" i="5"/>
  <c r="X44" i="5"/>
  <c r="V44" i="5"/>
  <c r="X48" i="5"/>
  <c r="V48" i="5"/>
  <c r="P23" i="5"/>
  <c r="P39" i="5"/>
  <c r="P9" i="5"/>
  <c r="X9" i="5"/>
  <c r="V9" i="5"/>
  <c r="X13" i="5"/>
  <c r="V13" i="5"/>
  <c r="X17" i="5"/>
  <c r="V17" i="5"/>
  <c r="P21" i="5"/>
  <c r="X21" i="5"/>
  <c r="V21" i="5"/>
  <c r="X25" i="5"/>
  <c r="V25" i="5"/>
  <c r="X29" i="5"/>
  <c r="V29" i="5"/>
  <c r="P33" i="5"/>
  <c r="X33" i="5"/>
  <c r="V33" i="5"/>
  <c r="X37" i="5"/>
  <c r="V37" i="5"/>
  <c r="X41" i="5"/>
  <c r="V41" i="5"/>
  <c r="X45" i="5"/>
  <c r="V45" i="5"/>
  <c r="X49" i="5"/>
  <c r="V49" i="5"/>
  <c r="P11" i="5"/>
  <c r="P27" i="5"/>
  <c r="P43" i="5"/>
  <c r="X14" i="5"/>
  <c r="V14" i="5"/>
  <c r="X18" i="5"/>
  <c r="V18" i="5"/>
  <c r="X22" i="5"/>
  <c r="V22" i="5"/>
  <c r="X26" i="5"/>
  <c r="V26" i="5"/>
  <c r="X30" i="5"/>
  <c r="V30" i="5"/>
  <c r="X34" i="5"/>
  <c r="V34" i="5"/>
  <c r="X38" i="5"/>
  <c r="V38" i="5"/>
  <c r="X42" i="5"/>
  <c r="V42" i="5"/>
  <c r="X46" i="5"/>
  <c r="V46" i="5"/>
  <c r="X50" i="5"/>
  <c r="V50" i="5"/>
  <c r="P15" i="5"/>
  <c r="P31" i="5"/>
  <c r="P47" i="5"/>
  <c r="V7" i="5"/>
  <c r="X7" i="5"/>
  <c r="V11" i="5"/>
  <c r="X11" i="5"/>
  <c r="V15" i="5"/>
  <c r="X15" i="5"/>
  <c r="V19" i="5"/>
  <c r="X19" i="5"/>
  <c r="X23" i="5"/>
  <c r="V23" i="5"/>
  <c r="X27" i="5"/>
  <c r="V27" i="5"/>
  <c r="X31" i="5"/>
  <c r="V31" i="5"/>
  <c r="X35" i="5"/>
  <c r="V35" i="5"/>
  <c r="X39" i="5"/>
  <c r="V39" i="5"/>
  <c r="X43" i="5"/>
  <c r="V43" i="5"/>
  <c r="X47" i="5"/>
  <c r="V47" i="5"/>
  <c r="P19" i="5"/>
  <c r="P35" i="5"/>
  <c r="T13" i="5"/>
  <c r="T17" i="5"/>
  <c r="T25" i="5"/>
  <c r="T29" i="5"/>
  <c r="T37" i="5"/>
  <c r="T41" i="5"/>
  <c r="T45" i="5"/>
  <c r="T49" i="5"/>
  <c r="T7" i="5"/>
  <c r="T11" i="5"/>
  <c r="T15" i="5"/>
  <c r="T19" i="5"/>
  <c r="T23" i="5"/>
  <c r="T27" i="5"/>
  <c r="T31" i="5"/>
  <c r="T35" i="5"/>
  <c r="T39" i="5"/>
  <c r="T43" i="5"/>
  <c r="T47" i="5"/>
  <c r="P13" i="5"/>
  <c r="P17" i="5"/>
  <c r="P25" i="5"/>
  <c r="P29" i="5"/>
  <c r="P37" i="5"/>
  <c r="P41" i="5"/>
  <c r="P45" i="5"/>
  <c r="P49" i="5"/>
  <c r="T8" i="5"/>
  <c r="T12" i="5"/>
  <c r="T16" i="5"/>
  <c r="T20" i="5"/>
  <c r="T24" i="5"/>
  <c r="T28" i="5"/>
  <c r="T32" i="5"/>
  <c r="T36" i="5"/>
  <c r="T40" i="5"/>
  <c r="T44" i="5"/>
  <c r="T48" i="5"/>
  <c r="P6" i="5"/>
  <c r="P10" i="5"/>
  <c r="P14" i="5"/>
  <c r="P18" i="5"/>
  <c r="P22" i="5"/>
  <c r="P26" i="5"/>
  <c r="P30" i="5"/>
  <c r="P34" i="5"/>
  <c r="P38" i="5"/>
  <c r="P42" i="5"/>
  <c r="P46" i="5"/>
  <c r="T9" i="5"/>
  <c r="T21" i="5"/>
  <c r="T33" i="5"/>
  <c r="T10" i="5"/>
  <c r="T14" i="5"/>
  <c r="T18" i="5"/>
  <c r="T22" i="5"/>
  <c r="T26" i="5"/>
  <c r="T30" i="5"/>
  <c r="T34" i="5"/>
  <c r="T38" i="5"/>
  <c r="T42" i="5"/>
  <c r="T46" i="5"/>
  <c r="T50" i="5"/>
  <c r="P12" i="5"/>
  <c r="P16" i="5"/>
  <c r="P20" i="5"/>
  <c r="P24" i="5"/>
  <c r="P28" i="5"/>
  <c r="P32" i="5"/>
  <c r="P36" i="5"/>
  <c r="P40" i="5"/>
  <c r="P44" i="5"/>
  <c r="P48" i="5"/>
  <c r="AD2" i="5"/>
  <c r="AD1" i="5"/>
  <c r="Q7" i="5" l="1"/>
  <c r="R6" i="5" s="1"/>
  <c r="L51" i="5"/>
  <c r="K51" i="5" s="1"/>
  <c r="L8" i="5"/>
  <c r="L6" i="5"/>
  <c r="K6" i="5" s="1"/>
  <c r="L7" i="5"/>
  <c r="L47" i="5"/>
  <c r="K47" i="5" s="1"/>
  <c r="L50" i="5"/>
  <c r="K50" i="5" s="1"/>
  <c r="L48" i="5"/>
  <c r="K48" i="5" s="1"/>
  <c r="L49" i="5"/>
  <c r="K49" i="5" s="1"/>
  <c r="D13" i="5"/>
  <c r="E12" i="5"/>
  <c r="F12" i="5"/>
  <c r="G12" i="5" s="1"/>
  <c r="F7" i="5"/>
  <c r="G7" i="5" s="1"/>
  <c r="H6" i="5" s="1"/>
  <c r="F8" i="5"/>
  <c r="G8" i="5" s="1"/>
  <c r="F9" i="5"/>
  <c r="G9" i="5" s="1"/>
  <c r="F10" i="5"/>
  <c r="G10" i="5" s="1"/>
  <c r="F11" i="5"/>
  <c r="G11" i="5" s="1"/>
  <c r="Q9" i="5"/>
  <c r="L15" i="5"/>
  <c r="K15" i="5" s="1"/>
  <c r="L23" i="5"/>
  <c r="K23" i="5" s="1"/>
  <c r="L31" i="5"/>
  <c r="K31" i="5" s="1"/>
  <c r="L39" i="5"/>
  <c r="K39" i="5" s="1"/>
  <c r="L17" i="5"/>
  <c r="K17" i="5" s="1"/>
  <c r="L33" i="5"/>
  <c r="K33" i="5" s="1"/>
  <c r="L35" i="5"/>
  <c r="K35" i="5" s="1"/>
  <c r="L28" i="5"/>
  <c r="K28" i="5" s="1"/>
  <c r="L13" i="5"/>
  <c r="K13" i="5" s="1"/>
  <c r="L37" i="5"/>
  <c r="K37" i="5" s="1"/>
  <c r="L22" i="5"/>
  <c r="K22" i="5" s="1"/>
  <c r="L38" i="5"/>
  <c r="K38" i="5" s="1"/>
  <c r="L16" i="5"/>
  <c r="K16" i="5" s="1"/>
  <c r="L24" i="5"/>
  <c r="K24" i="5" s="1"/>
  <c r="L32" i="5"/>
  <c r="K32" i="5" s="1"/>
  <c r="L40" i="5"/>
  <c r="K40" i="5" s="1"/>
  <c r="L9" i="5"/>
  <c r="K9" i="5" s="1"/>
  <c r="L25" i="5"/>
  <c r="K25" i="5" s="1"/>
  <c r="L41" i="5"/>
  <c r="K41" i="5" s="1"/>
  <c r="L12" i="5"/>
  <c r="K12" i="5" s="1"/>
  <c r="L36" i="5"/>
  <c r="K36" i="5" s="1"/>
  <c r="L21" i="5"/>
  <c r="K21" i="5" s="1"/>
  <c r="L45" i="5"/>
  <c r="K45" i="5" s="1"/>
  <c r="L30" i="5"/>
  <c r="K30" i="5" s="1"/>
  <c r="L10" i="5"/>
  <c r="K10" i="5" s="1"/>
  <c r="L18" i="5"/>
  <c r="K18" i="5" s="1"/>
  <c r="L26" i="5"/>
  <c r="K26" i="5" s="1"/>
  <c r="L34" i="5"/>
  <c r="K34" i="5" s="1"/>
  <c r="L42" i="5"/>
  <c r="K42" i="5" s="1"/>
  <c r="L11" i="5"/>
  <c r="K11" i="5" s="1"/>
  <c r="L19" i="5"/>
  <c r="K19" i="5" s="1"/>
  <c r="L27" i="5"/>
  <c r="K27" i="5" s="1"/>
  <c r="L43" i="5"/>
  <c r="K43" i="5" s="1"/>
  <c r="L20" i="5"/>
  <c r="K20" i="5" s="1"/>
  <c r="L44" i="5"/>
  <c r="K44" i="5" s="1"/>
  <c r="L29" i="5"/>
  <c r="K29" i="5" s="1"/>
  <c r="L14" i="5"/>
  <c r="K14" i="5" s="1"/>
  <c r="L46" i="5"/>
  <c r="K46" i="5" s="1"/>
  <c r="AB16" i="5"/>
  <c r="Z48" i="5"/>
  <c r="AB48" i="5"/>
  <c r="Z32" i="5"/>
  <c r="AB32" i="5"/>
  <c r="AB34" i="5"/>
  <c r="AB18" i="5"/>
  <c r="AB45" i="5"/>
  <c r="AB15" i="5"/>
  <c r="AB9" i="5"/>
  <c r="AB28" i="5"/>
  <c r="AB30" i="5"/>
  <c r="AB17" i="5"/>
  <c r="AB43" i="5"/>
  <c r="AB39" i="5"/>
  <c r="AB40" i="5"/>
  <c r="AB24" i="5"/>
  <c r="AB8" i="5"/>
  <c r="AB42" i="5"/>
  <c r="AB26" i="5"/>
  <c r="AB10" i="5"/>
  <c r="AB37" i="5"/>
  <c r="AB13" i="5"/>
  <c r="AB35" i="5"/>
  <c r="AB47" i="5"/>
  <c r="AB27" i="5"/>
  <c r="AB33" i="5"/>
  <c r="AB23" i="5"/>
  <c r="AB25" i="5"/>
  <c r="AB44" i="5"/>
  <c r="AB12" i="5"/>
  <c r="AB46" i="5"/>
  <c r="AB14" i="5"/>
  <c r="AB41" i="5"/>
  <c r="AB21" i="5"/>
  <c r="AB36" i="5"/>
  <c r="AB20" i="5"/>
  <c r="AB38" i="5"/>
  <c r="AB22" i="5"/>
  <c r="Z33" i="5"/>
  <c r="AB51" i="5"/>
  <c r="AB50" i="5"/>
  <c r="AB6" i="5"/>
  <c r="AB49" i="5"/>
  <c r="AB29" i="5"/>
  <c r="AB19" i="5"/>
  <c r="AB31" i="5"/>
  <c r="AB11" i="5"/>
  <c r="AB7" i="5"/>
  <c r="Z18" i="5"/>
  <c r="Z13" i="5"/>
  <c r="Z23" i="5"/>
  <c r="Z7" i="5"/>
  <c r="Z44" i="5"/>
  <c r="Z12" i="5"/>
  <c r="Z30" i="5"/>
  <c r="Z14" i="5"/>
  <c r="Z49" i="5"/>
  <c r="Z35" i="5"/>
  <c r="Z19" i="5"/>
  <c r="Z21" i="5"/>
  <c r="Z40" i="5"/>
  <c r="Z24" i="5"/>
  <c r="Z8" i="5"/>
  <c r="Z42" i="5"/>
  <c r="Z26" i="5"/>
  <c r="Z10" i="5"/>
  <c r="AJ19" i="5"/>
  <c r="Z45" i="5"/>
  <c r="Z25" i="5"/>
  <c r="Z47" i="5"/>
  <c r="Z31" i="5"/>
  <c r="Z15" i="5"/>
  <c r="Z16" i="5"/>
  <c r="Z34" i="5"/>
  <c r="Z37" i="5"/>
  <c r="Z39" i="5"/>
  <c r="Z28" i="5"/>
  <c r="Z46" i="5"/>
  <c r="Z29" i="5"/>
  <c r="Z36" i="5"/>
  <c r="Z20" i="5"/>
  <c r="Z38" i="5"/>
  <c r="Z22" i="5"/>
  <c r="Z51" i="5"/>
  <c r="Z50" i="5"/>
  <c r="Z6" i="5"/>
  <c r="AJ20" i="5"/>
  <c r="AJ21" i="5"/>
  <c r="AJ22" i="5"/>
  <c r="Z41" i="5"/>
  <c r="Z17" i="5"/>
  <c r="Z43" i="5"/>
  <c r="Z27" i="5"/>
  <c r="Z11" i="5"/>
  <c r="Z9" i="5"/>
  <c r="AM18" i="5"/>
  <c r="Q50" i="5"/>
  <c r="Q47" i="5"/>
  <c r="Q43" i="5"/>
  <c r="Q39" i="5"/>
  <c r="Q35" i="5"/>
  <c r="Q31" i="5"/>
  <c r="Q27" i="5"/>
  <c r="Q23" i="5"/>
  <c r="Q19" i="5"/>
  <c r="Q15" i="5"/>
  <c r="Q11" i="5"/>
  <c r="Q41" i="5"/>
  <c r="Q37" i="5"/>
  <c r="Q29" i="5"/>
  <c r="Q21" i="5"/>
  <c r="Q17" i="5"/>
  <c r="Q44" i="5"/>
  <c r="Q40" i="5"/>
  <c r="Q32" i="5"/>
  <c r="Q24" i="5"/>
  <c r="Q16" i="5"/>
  <c r="Q12" i="5"/>
  <c r="Q49" i="5"/>
  <c r="Q46" i="5"/>
  <c r="Q42" i="5"/>
  <c r="Q38" i="5"/>
  <c r="Q34" i="5"/>
  <c r="Q30" i="5"/>
  <c r="Q26" i="5"/>
  <c r="Q22" i="5"/>
  <c r="Q18" i="5"/>
  <c r="Q14" i="5"/>
  <c r="Q10" i="5"/>
  <c r="Q45" i="5"/>
  <c r="Q33" i="5"/>
  <c r="Q25" i="5"/>
  <c r="Q13" i="5"/>
  <c r="Q48" i="5"/>
  <c r="Q36" i="5"/>
  <c r="Q28" i="5"/>
  <c r="Q20" i="5"/>
  <c r="Q8" i="5"/>
  <c r="R7" i="5" s="1"/>
  <c r="H8" i="5" l="1"/>
  <c r="H9" i="5"/>
  <c r="H11" i="5"/>
  <c r="H7" i="5"/>
  <c r="R8" i="5"/>
  <c r="H10" i="5"/>
  <c r="K7" i="5"/>
  <c r="K8" i="5"/>
  <c r="D14" i="5"/>
  <c r="E13" i="5"/>
  <c r="F13" i="5" s="1"/>
  <c r="G13" i="5" s="1"/>
  <c r="H12" i="5" s="1"/>
  <c r="Y48" i="5"/>
  <c r="W48" i="5"/>
  <c r="Y38" i="5"/>
  <c r="W38" i="5"/>
  <c r="Y20" i="5"/>
  <c r="W20" i="5"/>
  <c r="Y10" i="5"/>
  <c r="W10" i="5"/>
  <c r="Y42" i="5"/>
  <c r="W42" i="5"/>
  <c r="Y44" i="5"/>
  <c r="W44" i="5"/>
  <c r="Y11" i="5"/>
  <c r="W11" i="5"/>
  <c r="Y43" i="5"/>
  <c r="W43" i="5"/>
  <c r="Y28" i="5"/>
  <c r="W28" i="5"/>
  <c r="Y25" i="5"/>
  <c r="W25" i="5"/>
  <c r="Y14" i="5"/>
  <c r="W14" i="5"/>
  <c r="Y30" i="5"/>
  <c r="W30" i="5"/>
  <c r="Y46" i="5"/>
  <c r="W46" i="5"/>
  <c r="Y24" i="5"/>
  <c r="W24" i="5"/>
  <c r="Y9" i="5"/>
  <c r="W9" i="5"/>
  <c r="Y37" i="5"/>
  <c r="W37" i="5"/>
  <c r="Y15" i="5"/>
  <c r="W15" i="5"/>
  <c r="Y31" i="5"/>
  <c r="W31" i="5"/>
  <c r="Y47" i="5"/>
  <c r="W47" i="5"/>
  <c r="Y8" i="5"/>
  <c r="W8" i="5"/>
  <c r="Y45" i="5"/>
  <c r="W45" i="5"/>
  <c r="Y22" i="5"/>
  <c r="W22" i="5"/>
  <c r="Y12" i="5"/>
  <c r="W12" i="5"/>
  <c r="Y40" i="5"/>
  <c r="W40" i="5"/>
  <c r="Y21" i="5"/>
  <c r="W21" i="5"/>
  <c r="W7" i="5"/>
  <c r="Y23" i="5"/>
  <c r="W23" i="5"/>
  <c r="Y39" i="5"/>
  <c r="W39" i="5"/>
  <c r="Y13" i="5"/>
  <c r="W13" i="5"/>
  <c r="Y26" i="5"/>
  <c r="W26" i="5"/>
  <c r="Y16" i="5"/>
  <c r="W16" i="5"/>
  <c r="Y29" i="5"/>
  <c r="W29" i="5"/>
  <c r="Y27" i="5"/>
  <c r="W27" i="5"/>
  <c r="Y36" i="5"/>
  <c r="W36" i="5"/>
  <c r="Y33" i="5"/>
  <c r="W33" i="5"/>
  <c r="Y18" i="5"/>
  <c r="W18" i="5"/>
  <c r="Y34" i="5"/>
  <c r="W34" i="5"/>
  <c r="Y49" i="5"/>
  <c r="W49" i="5"/>
  <c r="Y32" i="5"/>
  <c r="W32" i="5"/>
  <c r="Y17" i="5"/>
  <c r="W17" i="5"/>
  <c r="Y41" i="5"/>
  <c r="W41" i="5"/>
  <c r="Y19" i="5"/>
  <c r="W19" i="5"/>
  <c r="Y35" i="5"/>
  <c r="W35" i="5"/>
  <c r="Y50" i="5"/>
  <c r="W50" i="5"/>
  <c r="AJ23" i="5"/>
  <c r="U8" i="5"/>
  <c r="U13" i="5"/>
  <c r="U26" i="5"/>
  <c r="U16" i="5"/>
  <c r="U11" i="5"/>
  <c r="U43" i="5"/>
  <c r="U28" i="5"/>
  <c r="R24" i="5"/>
  <c r="U25" i="5"/>
  <c r="U14" i="5"/>
  <c r="U30" i="5"/>
  <c r="U46" i="5"/>
  <c r="U24" i="5"/>
  <c r="U9" i="5"/>
  <c r="U37" i="5"/>
  <c r="U15" i="5"/>
  <c r="U31" i="5"/>
  <c r="U47" i="5"/>
  <c r="R47" i="5"/>
  <c r="U48" i="5"/>
  <c r="U45" i="5"/>
  <c r="R21" i="5"/>
  <c r="U22" i="5"/>
  <c r="U38" i="5"/>
  <c r="U12" i="5"/>
  <c r="R39" i="5"/>
  <c r="U40" i="5"/>
  <c r="U21" i="5"/>
  <c r="Y7" i="5"/>
  <c r="U7" i="5"/>
  <c r="U23" i="5"/>
  <c r="U39" i="5"/>
  <c r="U20" i="5"/>
  <c r="U10" i="5"/>
  <c r="U42" i="5"/>
  <c r="R43" i="5"/>
  <c r="U44" i="5"/>
  <c r="U29" i="5"/>
  <c r="U27" i="5"/>
  <c r="R35" i="5"/>
  <c r="U36" i="5"/>
  <c r="R32" i="5"/>
  <c r="U33" i="5"/>
  <c r="R17" i="5"/>
  <c r="U18" i="5"/>
  <c r="U34" i="5"/>
  <c r="U49" i="5"/>
  <c r="U32" i="5"/>
  <c r="U17" i="5"/>
  <c r="U41" i="5"/>
  <c r="U19" i="5"/>
  <c r="U35" i="5"/>
  <c r="U50" i="5"/>
  <c r="R37" i="5"/>
  <c r="R44" i="5"/>
  <c r="R20" i="5"/>
  <c r="R19" i="5"/>
  <c r="R41" i="5"/>
  <c r="R11" i="5"/>
  <c r="R27" i="5"/>
  <c r="R13" i="5"/>
  <c r="R29" i="5"/>
  <c r="R23" i="5"/>
  <c r="R36" i="5"/>
  <c r="R22" i="5"/>
  <c r="R38" i="5"/>
  <c r="R12" i="5"/>
  <c r="R9" i="5"/>
  <c r="R25" i="5"/>
  <c r="R15" i="5"/>
  <c r="R28" i="5"/>
  <c r="R10" i="5"/>
  <c r="R26" i="5"/>
  <c r="R42" i="5"/>
  <c r="R45" i="5"/>
  <c r="R14" i="5"/>
  <c r="R30" i="5"/>
  <c r="R46" i="5"/>
  <c r="R33" i="5"/>
  <c r="R48" i="5"/>
  <c r="R31" i="5"/>
  <c r="R16" i="5"/>
  <c r="R40" i="5"/>
  <c r="R18" i="5"/>
  <c r="R34" i="5"/>
  <c r="R49" i="5"/>
  <c r="D15" i="5" l="1"/>
  <c r="E14" i="5"/>
  <c r="F14" i="5" s="1"/>
  <c r="G14" i="5" s="1"/>
  <c r="H13" i="5" s="1"/>
  <c r="AA49" i="5"/>
  <c r="AA16" i="5"/>
  <c r="AA45" i="5"/>
  <c r="AA12" i="5"/>
  <c r="AA11" i="5"/>
  <c r="AA34" i="5"/>
  <c r="AA30" i="5"/>
  <c r="AA15" i="5"/>
  <c r="AA29" i="5"/>
  <c r="AA37" i="5"/>
  <c r="AA17" i="5"/>
  <c r="AA35" i="5"/>
  <c r="AM22" i="5"/>
  <c r="AA39" i="5"/>
  <c r="AA24" i="5"/>
  <c r="AA18" i="5"/>
  <c r="AA48" i="5"/>
  <c r="AA14" i="5"/>
  <c r="AA26" i="5"/>
  <c r="AA25" i="5"/>
  <c r="AA22" i="5"/>
  <c r="AA13" i="5"/>
  <c r="AA19" i="5"/>
  <c r="AA50" i="5"/>
  <c r="AA6" i="5"/>
  <c r="AA51" i="5"/>
  <c r="AM20" i="5"/>
  <c r="AM21" i="5"/>
  <c r="AA47" i="5"/>
  <c r="AM19" i="5"/>
  <c r="AA46" i="5"/>
  <c r="AA28" i="5"/>
  <c r="AA23" i="5"/>
  <c r="AA44" i="5"/>
  <c r="AA31" i="5"/>
  <c r="AA42" i="5"/>
  <c r="AA38" i="5"/>
  <c r="AA41" i="5"/>
  <c r="AA32" i="5"/>
  <c r="AA40" i="5"/>
  <c r="AA33" i="5"/>
  <c r="AA8" i="5"/>
  <c r="AA10" i="5"/>
  <c r="AA9" i="5"/>
  <c r="AA36" i="5"/>
  <c r="AA27" i="5"/>
  <c r="AA20" i="5"/>
  <c r="AA43" i="5"/>
  <c r="AA21" i="5"/>
  <c r="AA7" i="5"/>
  <c r="D16" i="5" l="1"/>
  <c r="E15" i="5"/>
  <c r="F15" i="5" s="1"/>
  <c r="G15" i="5" s="1"/>
  <c r="H14" i="5" s="1"/>
  <c r="AM23" i="5"/>
  <c r="B62" i="2"/>
  <c r="B63" i="2"/>
  <c r="B64" i="2"/>
  <c r="B65" i="2"/>
  <c r="B66" i="2"/>
  <c r="B67" i="2"/>
  <c r="B68" i="2"/>
  <c r="B69" i="2"/>
  <c r="B70" i="2"/>
  <c r="B71" i="2"/>
  <c r="H7" i="2"/>
  <c r="E11" i="2" s="1"/>
  <c r="H6" i="2"/>
  <c r="H5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N4" i="1"/>
  <c r="G4" i="1" s="1"/>
  <c r="B9" i="1" s="1"/>
  <c r="N5" i="1"/>
  <c r="N6" i="1" s="1"/>
  <c r="D17" i="5" l="1"/>
  <c r="E16" i="5"/>
  <c r="F16" i="5" s="1"/>
  <c r="G16" i="5" s="1"/>
  <c r="H15" i="5" s="1"/>
  <c r="E13" i="2"/>
  <c r="E3" i="2"/>
  <c r="G2" i="1"/>
  <c r="G5" i="1"/>
  <c r="E71" i="2"/>
  <c r="E69" i="2"/>
  <c r="E65" i="2"/>
  <c r="E64" i="2"/>
  <c r="E70" i="2"/>
  <c r="E67" i="2"/>
  <c r="E62" i="2"/>
  <c r="E68" i="2"/>
  <c r="E66" i="2"/>
  <c r="E63" i="2"/>
  <c r="E12" i="2"/>
  <c r="E61" i="2"/>
  <c r="E14" i="2"/>
  <c r="E46" i="2"/>
  <c r="E30" i="2"/>
  <c r="E38" i="2"/>
  <c r="E22" i="2"/>
  <c r="E54" i="2"/>
  <c r="E18" i="2"/>
  <c r="E34" i="2"/>
  <c r="E50" i="2"/>
  <c r="E26" i="2"/>
  <c r="E42" i="2"/>
  <c r="E58" i="2"/>
  <c r="E16" i="2"/>
  <c r="E24" i="2"/>
  <c r="E32" i="2"/>
  <c r="E40" i="2"/>
  <c r="E48" i="2"/>
  <c r="E56" i="2"/>
  <c r="E20" i="2"/>
  <c r="E28" i="2"/>
  <c r="E36" i="2"/>
  <c r="E44" i="2"/>
  <c r="E52" i="2"/>
  <c r="E60" i="2"/>
  <c r="E15" i="2"/>
  <c r="E19" i="2"/>
  <c r="E23" i="2"/>
  <c r="E27" i="2"/>
  <c r="E31" i="2"/>
  <c r="E35" i="2"/>
  <c r="E39" i="2"/>
  <c r="E43" i="2"/>
  <c r="E47" i="2"/>
  <c r="E51" i="2"/>
  <c r="E55" i="2"/>
  <c r="E59" i="2"/>
  <c r="E17" i="2"/>
  <c r="E21" i="2"/>
  <c r="E25" i="2"/>
  <c r="E29" i="2"/>
  <c r="E33" i="2"/>
  <c r="E37" i="2"/>
  <c r="E41" i="2"/>
  <c r="E45" i="2"/>
  <c r="E49" i="2"/>
  <c r="E53" i="2"/>
  <c r="E57" i="2"/>
  <c r="K1" i="1"/>
  <c r="D18" i="5" l="1"/>
  <c r="E17" i="5"/>
  <c r="F17" i="5" s="1"/>
  <c r="G17" i="5" s="1"/>
  <c r="H16" i="5" s="1"/>
  <c r="F63" i="2"/>
  <c r="D19" i="5" l="1"/>
  <c r="E18" i="5"/>
  <c r="F18" i="5" s="1"/>
  <c r="G18" i="5" s="1"/>
  <c r="H17" i="5" s="1"/>
  <c r="B10" i="1"/>
  <c r="C10" i="1" s="1"/>
  <c r="A9" i="1"/>
  <c r="H9" i="1" s="1"/>
  <c r="F54" i="2"/>
  <c r="F66" i="2"/>
  <c r="F65" i="2"/>
  <c r="F69" i="2"/>
  <c r="F71" i="2"/>
  <c r="F68" i="2"/>
  <c r="F70" i="2"/>
  <c r="F64" i="2"/>
  <c r="F67" i="2"/>
  <c r="F62" i="2"/>
  <c r="F36" i="2"/>
  <c r="F43" i="2"/>
  <c r="F20" i="2"/>
  <c r="F45" i="2"/>
  <c r="F27" i="2"/>
  <c r="F29" i="2"/>
  <c r="F24" i="2"/>
  <c r="F14" i="2"/>
  <c r="F51" i="2"/>
  <c r="F56" i="2"/>
  <c r="F46" i="2"/>
  <c r="F13" i="2"/>
  <c r="F18" i="2"/>
  <c r="F23" i="2"/>
  <c r="F55" i="2"/>
  <c r="F48" i="2"/>
  <c r="F33" i="2"/>
  <c r="F34" i="2"/>
  <c r="F35" i="2"/>
  <c r="F16" i="2"/>
  <c r="F40" i="2"/>
  <c r="F17" i="2"/>
  <c r="F53" i="2"/>
  <c r="F42" i="2"/>
  <c r="F19" i="2"/>
  <c r="F39" i="2"/>
  <c r="F59" i="2"/>
  <c r="F32" i="2"/>
  <c r="F52" i="2"/>
  <c r="F21" i="2"/>
  <c r="F49" i="2"/>
  <c r="F26" i="2"/>
  <c r="F58" i="2"/>
  <c r="F37" i="2"/>
  <c r="F61" i="2"/>
  <c r="F30" i="2"/>
  <c r="F50" i="2"/>
  <c r="F15" i="2"/>
  <c r="F31" i="2"/>
  <c r="F47" i="2"/>
  <c r="F12" i="2"/>
  <c r="F28" i="2"/>
  <c r="F44" i="2"/>
  <c r="F60" i="2"/>
  <c r="F25" i="2"/>
  <c r="F41" i="2"/>
  <c r="F57" i="2"/>
  <c r="F22" i="2"/>
  <c r="F38" i="2"/>
  <c r="D20" i="5" l="1"/>
  <c r="E19" i="5"/>
  <c r="F19" i="5" s="1"/>
  <c r="G19" i="5" s="1"/>
  <c r="H18" i="5" s="1"/>
  <c r="A10" i="1"/>
  <c r="H10" i="1" s="1"/>
  <c r="D10" i="1"/>
  <c r="E10" i="1" s="1"/>
  <c r="B11" i="1"/>
  <c r="A11" i="1" s="1"/>
  <c r="H11" i="1" s="1"/>
  <c r="D21" i="5" l="1"/>
  <c r="E20" i="5"/>
  <c r="F20" i="5" s="1"/>
  <c r="G20" i="5" s="1"/>
  <c r="H19" i="5" s="1"/>
  <c r="D11" i="1"/>
  <c r="B12" i="1"/>
  <c r="C12" i="1" s="1"/>
  <c r="C11" i="1"/>
  <c r="D22" i="5" l="1"/>
  <c r="E21" i="5"/>
  <c r="F21" i="5" s="1"/>
  <c r="G21" i="5" s="1"/>
  <c r="H20" i="5" s="1"/>
  <c r="E11" i="1"/>
  <c r="A12" i="1"/>
  <c r="H12" i="1" s="1"/>
  <c r="B13" i="1"/>
  <c r="C13" i="1" s="1"/>
  <c r="D12" i="1"/>
  <c r="E12" i="1" s="1"/>
  <c r="D23" i="5" l="1"/>
  <c r="E22" i="5"/>
  <c r="F22" i="5" s="1"/>
  <c r="G22" i="5" s="1"/>
  <c r="H21" i="5" s="1"/>
  <c r="A13" i="1"/>
  <c r="H13" i="1" s="1"/>
  <c r="B14" i="1"/>
  <c r="B15" i="1" s="1"/>
  <c r="D13" i="1"/>
  <c r="E13" i="1" s="1"/>
  <c r="D24" i="5" l="1"/>
  <c r="E23" i="5"/>
  <c r="F23" i="5" s="1"/>
  <c r="G23" i="5" s="1"/>
  <c r="H22" i="5" s="1"/>
  <c r="C14" i="1"/>
  <c r="D14" i="1"/>
  <c r="A14" i="1"/>
  <c r="H14" i="1" s="1"/>
  <c r="A15" i="1"/>
  <c r="H15" i="1" s="1"/>
  <c r="C15" i="1"/>
  <c r="B16" i="1"/>
  <c r="D15" i="1"/>
  <c r="E24" i="5" l="1"/>
  <c r="F24" i="5" s="1"/>
  <c r="G24" i="5" s="1"/>
  <c r="H23" i="5" s="1"/>
  <c r="D25" i="5"/>
  <c r="E14" i="1"/>
  <c r="E15" i="1"/>
  <c r="A16" i="1"/>
  <c r="H16" i="1" s="1"/>
  <c r="B17" i="1"/>
  <c r="D16" i="1"/>
  <c r="C16" i="1"/>
  <c r="D26" i="5" l="1"/>
  <c r="E25" i="5"/>
  <c r="F25" i="5" s="1"/>
  <c r="G25" i="5" s="1"/>
  <c r="H24" i="5" s="1"/>
  <c r="E16" i="1"/>
  <c r="A17" i="1"/>
  <c r="H17" i="1" s="1"/>
  <c r="B18" i="1"/>
  <c r="D17" i="1"/>
  <c r="C17" i="1"/>
  <c r="D27" i="5" l="1"/>
  <c r="E26" i="5"/>
  <c r="F26" i="5" s="1"/>
  <c r="G26" i="5" s="1"/>
  <c r="H25" i="5" s="1"/>
  <c r="E17" i="1"/>
  <c r="A18" i="1"/>
  <c r="H18" i="1" s="1"/>
  <c r="C18" i="1"/>
  <c r="B19" i="1"/>
  <c r="D18" i="1"/>
  <c r="D28" i="5" l="1"/>
  <c r="E27" i="5"/>
  <c r="F27" i="5" s="1"/>
  <c r="G27" i="5" s="1"/>
  <c r="H26" i="5" s="1"/>
  <c r="E18" i="1"/>
  <c r="A19" i="1"/>
  <c r="H19" i="1" s="1"/>
  <c r="C19" i="1"/>
  <c r="B20" i="1"/>
  <c r="B21" i="1" s="1"/>
  <c r="D19" i="1"/>
  <c r="D29" i="5" l="1"/>
  <c r="E28" i="5"/>
  <c r="F28" i="5" s="1"/>
  <c r="G28" i="5" s="1"/>
  <c r="H27" i="5" s="1"/>
  <c r="E19" i="1"/>
  <c r="A20" i="1"/>
  <c r="H20" i="1" s="1"/>
  <c r="D20" i="1"/>
  <c r="C20" i="1"/>
  <c r="D30" i="5" l="1"/>
  <c r="E29" i="5"/>
  <c r="F29" i="5" s="1"/>
  <c r="G29" i="5" s="1"/>
  <c r="H28" i="5" s="1"/>
  <c r="E20" i="1"/>
  <c r="A21" i="1"/>
  <c r="H21" i="1" s="1"/>
  <c r="B22" i="1"/>
  <c r="D21" i="1"/>
  <c r="C21" i="1"/>
  <c r="D31" i="5" l="1"/>
  <c r="E30" i="5"/>
  <c r="F30" i="5" s="1"/>
  <c r="G30" i="5" s="1"/>
  <c r="H29" i="5" s="1"/>
  <c r="E21" i="1"/>
  <c r="A22" i="1"/>
  <c r="H22" i="1" s="1"/>
  <c r="C22" i="1"/>
  <c r="B23" i="1"/>
  <c r="D22" i="1"/>
  <c r="D32" i="5" l="1"/>
  <c r="E31" i="5"/>
  <c r="F31" i="5" s="1"/>
  <c r="G31" i="5" s="1"/>
  <c r="H30" i="5" s="1"/>
  <c r="E22" i="1"/>
  <c r="A23" i="1"/>
  <c r="H23" i="1" s="1"/>
  <c r="C23" i="1"/>
  <c r="B24" i="1"/>
  <c r="D23" i="1"/>
  <c r="D33" i="5" l="1"/>
  <c r="E32" i="5"/>
  <c r="F32" i="5" s="1"/>
  <c r="G32" i="5" s="1"/>
  <c r="H31" i="5" s="1"/>
  <c r="E23" i="1"/>
  <c r="A24" i="1"/>
  <c r="H24" i="1" s="1"/>
  <c r="B25" i="1"/>
  <c r="D24" i="1"/>
  <c r="C24" i="1"/>
  <c r="D34" i="5" l="1"/>
  <c r="E33" i="5"/>
  <c r="F33" i="5" s="1"/>
  <c r="G33" i="5" s="1"/>
  <c r="H32" i="5" s="1"/>
  <c r="E24" i="1"/>
  <c r="A25" i="1"/>
  <c r="H25" i="1" s="1"/>
  <c r="B26" i="1"/>
  <c r="D25" i="1"/>
  <c r="C25" i="1"/>
  <c r="D35" i="5" l="1"/>
  <c r="E34" i="5"/>
  <c r="F34" i="5" s="1"/>
  <c r="G34" i="5" s="1"/>
  <c r="H33" i="5" s="1"/>
  <c r="E25" i="1"/>
  <c r="A26" i="1"/>
  <c r="H26" i="1" s="1"/>
  <c r="C26" i="1"/>
  <c r="B27" i="1"/>
  <c r="D26" i="1"/>
  <c r="D36" i="5" l="1"/>
  <c r="F35" i="5"/>
  <c r="G35" i="5" s="1"/>
  <c r="H34" i="5" s="1"/>
  <c r="E26" i="1"/>
  <c r="A27" i="1"/>
  <c r="H27" i="1" s="1"/>
  <c r="C27" i="1"/>
  <c r="B28" i="1"/>
  <c r="D27" i="1"/>
  <c r="D37" i="5" l="1"/>
  <c r="E36" i="5"/>
  <c r="F36" i="5" s="1"/>
  <c r="G36" i="5" s="1"/>
  <c r="H35" i="5" s="1"/>
  <c r="E27" i="1"/>
  <c r="A28" i="1"/>
  <c r="H28" i="1" s="1"/>
  <c r="B29" i="1"/>
  <c r="D28" i="1"/>
  <c r="C28" i="1"/>
  <c r="D38" i="5" l="1"/>
  <c r="E37" i="5"/>
  <c r="F37" i="5" s="1"/>
  <c r="G37" i="5" s="1"/>
  <c r="H36" i="5" s="1"/>
  <c r="E28" i="1"/>
  <c r="A29" i="1"/>
  <c r="H29" i="1" s="1"/>
  <c r="B30" i="1"/>
  <c r="D29" i="1"/>
  <c r="C29" i="1"/>
  <c r="D39" i="5" l="1"/>
  <c r="E38" i="5"/>
  <c r="F38" i="5" s="1"/>
  <c r="G38" i="5" s="1"/>
  <c r="H37" i="5" s="1"/>
  <c r="E29" i="1"/>
  <c r="A30" i="1"/>
  <c r="H30" i="1" s="1"/>
  <c r="D30" i="1"/>
  <c r="B31" i="1"/>
  <c r="C30" i="1"/>
  <c r="D40" i="5" l="1"/>
  <c r="E39" i="5"/>
  <c r="F39" i="5" s="1"/>
  <c r="G39" i="5" s="1"/>
  <c r="H38" i="5" s="1"/>
  <c r="E30" i="1"/>
  <c r="A31" i="1"/>
  <c r="H31" i="1" s="1"/>
  <c r="B32" i="1"/>
  <c r="D31" i="1"/>
  <c r="C31" i="1"/>
  <c r="D41" i="5" l="1"/>
  <c r="E40" i="5"/>
  <c r="F40" i="5" s="1"/>
  <c r="G40" i="5" s="1"/>
  <c r="H39" i="5" s="1"/>
  <c r="E31" i="1"/>
  <c r="A32" i="1"/>
  <c r="H32" i="1" s="1"/>
  <c r="B33" i="1"/>
  <c r="D32" i="1"/>
  <c r="C32" i="1"/>
  <c r="D42" i="5" l="1"/>
  <c r="E41" i="5"/>
  <c r="F41" i="5" s="1"/>
  <c r="G41" i="5" s="1"/>
  <c r="H40" i="5" s="1"/>
  <c r="E32" i="1"/>
  <c r="A33" i="1"/>
  <c r="H33" i="1" s="1"/>
  <c r="B34" i="1"/>
  <c r="C33" i="1"/>
  <c r="D33" i="1"/>
  <c r="D43" i="5" l="1"/>
  <c r="E42" i="5"/>
  <c r="F42" i="5" s="1"/>
  <c r="G42" i="5" s="1"/>
  <c r="H41" i="5" s="1"/>
  <c r="E33" i="1"/>
  <c r="A34" i="1"/>
  <c r="H34" i="1" s="1"/>
  <c r="C34" i="1"/>
  <c r="D34" i="1"/>
  <c r="B35" i="1"/>
  <c r="D44" i="5" l="1"/>
  <c r="E43" i="5"/>
  <c r="F43" i="5" s="1"/>
  <c r="G43" i="5" s="1"/>
  <c r="H42" i="5" s="1"/>
  <c r="E34" i="1"/>
  <c r="A35" i="1"/>
  <c r="H35" i="1" s="1"/>
  <c r="C35" i="1"/>
  <c r="B36" i="1"/>
  <c r="D35" i="1"/>
  <c r="D45" i="5" l="1"/>
  <c r="E44" i="5"/>
  <c r="F44" i="5" s="1"/>
  <c r="G44" i="5" s="1"/>
  <c r="H43" i="5" s="1"/>
  <c r="E35" i="1"/>
  <c r="A36" i="1"/>
  <c r="H36" i="1" s="1"/>
  <c r="B37" i="1"/>
  <c r="C36" i="1"/>
  <c r="D36" i="1"/>
  <c r="D46" i="5" l="1"/>
  <c r="E45" i="5"/>
  <c r="F45" i="5" s="1"/>
  <c r="G45" i="5" s="1"/>
  <c r="H44" i="5" s="1"/>
  <c r="E36" i="1"/>
  <c r="A37" i="1"/>
  <c r="H37" i="1" s="1"/>
  <c r="B38" i="1"/>
  <c r="D37" i="1"/>
  <c r="C37" i="1"/>
  <c r="D47" i="5" l="1"/>
  <c r="E46" i="5"/>
  <c r="F46" i="5" s="1"/>
  <c r="G46" i="5" s="1"/>
  <c r="H45" i="5" s="1"/>
  <c r="E37" i="1"/>
  <c r="A38" i="1"/>
  <c r="H38" i="1" s="1"/>
  <c r="D38" i="1"/>
  <c r="C38" i="1"/>
  <c r="B39" i="1"/>
  <c r="D48" i="5" l="1"/>
  <c r="E47" i="5"/>
  <c r="F47" i="5" s="1"/>
  <c r="G47" i="5" s="1"/>
  <c r="H46" i="5" s="1"/>
  <c r="E38" i="1"/>
  <c r="A39" i="1"/>
  <c r="H39" i="1" s="1"/>
  <c r="C39" i="1"/>
  <c r="B40" i="1"/>
  <c r="D39" i="1"/>
  <c r="D49" i="5" l="1"/>
  <c r="E48" i="5"/>
  <c r="F48" i="5" s="1"/>
  <c r="G48" i="5" s="1"/>
  <c r="H47" i="5" s="1"/>
  <c r="E39" i="1"/>
  <c r="A40" i="1"/>
  <c r="H40" i="1" s="1"/>
  <c r="D40" i="1"/>
  <c r="C40" i="1"/>
  <c r="B41" i="1"/>
  <c r="D50" i="5" l="1"/>
  <c r="E50" i="5" s="1"/>
  <c r="F50" i="5" s="1"/>
  <c r="G50" i="5" s="1"/>
  <c r="E49" i="5"/>
  <c r="F49" i="5" s="1"/>
  <c r="G49" i="5" s="1"/>
  <c r="H48" i="5" s="1"/>
  <c r="E40" i="1"/>
  <c r="A41" i="1"/>
  <c r="H41" i="1" s="1"/>
  <c r="B42" i="1"/>
  <c r="D41" i="1"/>
  <c r="C41" i="1"/>
  <c r="H50" i="5" l="1"/>
  <c r="H49" i="5"/>
  <c r="E41" i="1"/>
  <c r="A42" i="1"/>
  <c r="H42" i="1" s="1"/>
  <c r="D42" i="1"/>
  <c r="B43" i="1"/>
  <c r="C42" i="1"/>
  <c r="E42" i="1" l="1"/>
  <c r="A43" i="1"/>
  <c r="C43" i="1"/>
  <c r="D43" i="1"/>
  <c r="F34" i="1" l="1"/>
  <c r="F9" i="1"/>
  <c r="F40" i="1"/>
  <c r="F35" i="1"/>
  <c r="F38" i="1"/>
  <c r="F41" i="1"/>
  <c r="F37" i="1"/>
  <c r="F39" i="1"/>
  <c r="F10" i="1"/>
  <c r="F11" i="1"/>
  <c r="F13" i="1"/>
  <c r="F14" i="1"/>
  <c r="F12" i="1"/>
  <c r="F16" i="1"/>
  <c r="F17" i="1"/>
  <c r="F15" i="1"/>
  <c r="F18" i="1"/>
  <c r="F19" i="1"/>
  <c r="F20" i="1"/>
  <c r="F22" i="1"/>
  <c r="F21" i="1"/>
  <c r="F25" i="1"/>
  <c r="F23" i="1"/>
  <c r="F24" i="1"/>
  <c r="F26" i="1"/>
  <c r="F30" i="1"/>
  <c r="F27" i="1"/>
  <c r="F28" i="1"/>
  <c r="F29" i="1"/>
  <c r="F31" i="1"/>
  <c r="F33" i="1"/>
  <c r="F32" i="1"/>
  <c r="F36" i="1"/>
  <c r="E43" i="1"/>
  <c r="F43" i="1" s="1"/>
  <c r="F42" i="1"/>
</calcChain>
</file>

<file path=xl/sharedStrings.xml><?xml version="1.0" encoding="utf-8"?>
<sst xmlns="http://schemas.openxmlformats.org/spreadsheetml/2006/main" count="142" uniqueCount="112">
  <si>
    <t>x</t>
  </si>
  <si>
    <t>f(x)</t>
  </si>
  <si>
    <t>T</t>
  </si>
  <si>
    <t>alpha</t>
  </si>
  <si>
    <t>delta</t>
  </si>
  <si>
    <t>A</t>
  </si>
  <si>
    <t>m1</t>
  </si>
  <si>
    <t>m2</t>
  </si>
  <si>
    <t>p(x)</t>
  </si>
  <si>
    <t>a1</t>
  </si>
  <si>
    <t>a2</t>
  </si>
  <si>
    <t>A-alpha</t>
  </si>
  <si>
    <t>Mode</t>
  </si>
  <si>
    <t>A = 27.2</t>
  </si>
  <si>
    <t>A = 28.2</t>
  </si>
  <si>
    <t>A = 29.2</t>
  </si>
  <si>
    <t>R</t>
  </si>
  <si>
    <t>H</t>
  </si>
  <si>
    <t>d</t>
  </si>
  <si>
    <t>TFR</t>
  </si>
  <si>
    <t>scaled to TFR of 3</t>
  </si>
  <si>
    <t>f*(x)</t>
  </si>
  <si>
    <t>Interactive graph</t>
  </si>
  <si>
    <t>beta</t>
  </si>
  <si>
    <t>Standard</t>
  </si>
  <si>
    <t>F(x)</t>
  </si>
  <si>
    <t>F*(x)</t>
  </si>
  <si>
    <t>Measures of location and dispersion</t>
  </si>
  <si>
    <t>Mean</t>
  </si>
  <si>
    <t>IQR</t>
  </si>
  <si>
    <t>Age</t>
  </si>
  <si>
    <t>Median</t>
  </si>
  <si>
    <t>Interpolation</t>
  </si>
  <si>
    <t>ASFR&lt;0.2max</t>
  </si>
  <si>
    <t>Range &gt;0.2 max</t>
  </si>
  <si>
    <t>SD</t>
  </si>
  <si>
    <r>
      <t xml:space="preserve">Standard: </t>
    </r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</rPr>
      <t xml:space="preserve">=0; </t>
    </r>
    <r>
      <rPr>
        <b/>
        <sz val="11"/>
        <color theme="1"/>
        <rFont val="Symbol"/>
        <family val="1"/>
        <charset val="2"/>
      </rPr>
      <t>b</t>
    </r>
    <r>
      <rPr>
        <b/>
        <sz val="11"/>
        <color theme="1"/>
        <rFont val="Calibri"/>
        <family val="2"/>
      </rPr>
      <t>=1; TFR=3</t>
    </r>
  </si>
  <si>
    <t>Mode (M)</t>
  </si>
  <si>
    <t>Average age (A)</t>
  </si>
  <si>
    <t>age_group</t>
  </si>
  <si>
    <t>combined</t>
  </si>
  <si>
    <t>high</t>
  </si>
  <si>
    <t>low</t>
  </si>
  <si>
    <t>15--19</t>
  </si>
  <si>
    <t>20--24</t>
  </si>
  <si>
    <t>25--29</t>
  </si>
  <si>
    <t>30--34</t>
  </si>
  <si>
    <t>34--39</t>
  </si>
  <si>
    <t>40--44</t>
  </si>
  <si>
    <t>45--49</t>
  </si>
  <si>
    <t>f(x) sum to 1</t>
  </si>
  <si>
    <t>F_m(x)</t>
  </si>
  <si>
    <t>Y_s(x)</t>
  </si>
  <si>
    <t>Y_m(x)</t>
  </si>
  <si>
    <t>F_s(x)</t>
  </si>
  <si>
    <t>f_m(x)</t>
  </si>
  <si>
    <t>10--11</t>
  </si>
  <si>
    <t>11--12</t>
  </si>
  <si>
    <t>12--13</t>
  </si>
  <si>
    <t>13--14</t>
  </si>
  <si>
    <t>14--15</t>
  </si>
  <si>
    <t>15--16</t>
  </si>
  <si>
    <t>16--17</t>
  </si>
  <si>
    <t>17--18</t>
  </si>
  <si>
    <t>18--19</t>
  </si>
  <si>
    <t>19--20</t>
  </si>
  <si>
    <t>20--21</t>
  </si>
  <si>
    <t>21--22</t>
  </si>
  <si>
    <t>22--23</t>
  </si>
  <si>
    <t>23--24</t>
  </si>
  <si>
    <t>24--25</t>
  </si>
  <si>
    <t>25--26</t>
  </si>
  <si>
    <t>26--27</t>
  </si>
  <si>
    <t>27--28</t>
  </si>
  <si>
    <t>28--29</t>
  </si>
  <si>
    <t>29--30</t>
  </si>
  <si>
    <t>30--31</t>
  </si>
  <si>
    <t>31--32</t>
  </si>
  <si>
    <t>32--33</t>
  </si>
  <si>
    <t>33--34</t>
  </si>
  <si>
    <t>34--35</t>
  </si>
  <si>
    <t>35--36</t>
  </si>
  <si>
    <t>36--37</t>
  </si>
  <si>
    <t>37--38</t>
  </si>
  <si>
    <t>38--39</t>
  </si>
  <si>
    <t>39--40</t>
  </si>
  <si>
    <t>40--41</t>
  </si>
  <si>
    <t>41--42</t>
  </si>
  <si>
    <t>42--43</t>
  </si>
  <si>
    <t>43--44</t>
  </si>
  <si>
    <t>44--45</t>
  </si>
  <si>
    <t>45--46</t>
  </si>
  <si>
    <t>46--47</t>
  </si>
  <si>
    <t>47--48</t>
  </si>
  <si>
    <t>48--49</t>
  </si>
  <si>
    <t>age</t>
  </si>
  <si>
    <t>49--50</t>
  </si>
  <si>
    <t>Inf</t>
  </si>
  <si>
    <t>delta_s</t>
  </si>
  <si>
    <t>F_s</t>
  </si>
  <si>
    <t>delta_adj</t>
  </si>
  <si>
    <t>Age x</t>
  </si>
  <si>
    <t>CD West 30</t>
  </si>
  <si>
    <t>UN LA 60</t>
  </si>
  <si>
    <t>lx propn.</t>
  </si>
  <si>
    <t>Yx</t>
  </si>
  <si>
    <t>logit lx</t>
  </si>
  <si>
    <t>q</t>
  </si>
  <si>
    <t>l</t>
  </si>
  <si>
    <t>p</t>
  </si>
  <si>
    <t>L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</si>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</sst>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General_)"/>
    <numFmt numFmtId="167" formatCode="0.0000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sz val="12"/>
      <name val="Courier"/>
      <family val="3"/>
    </font>
    <font>
      <b/>
      <sz val="11"/>
      <name val="Arial Narrow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5" fillId="0" borderId="0"/>
  </cellStyleXfs>
  <cellXfs count="2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quotePrefix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2" fillId="0" borderId="0" xfId="0" applyFont="1"/>
    <xf numFmtId="166" fontId="6" fillId="2" borderId="1" xfId="1" applyFont="1" applyFill="1" applyBorder="1" applyAlignment="1" applyProtection="1">
      <alignment horizontal="center" wrapText="1"/>
      <protection hidden="1"/>
    </xf>
    <xf numFmtId="1" fontId="7" fillId="2" borderId="0" xfId="1" applyNumberFormat="1" applyFont="1" applyFill="1" applyBorder="1" applyAlignment="1" applyProtection="1">
      <alignment horizontal="center"/>
      <protection hidden="1"/>
    </xf>
    <xf numFmtId="167" fontId="7" fillId="2" borderId="0" xfId="1" applyNumberFormat="1" applyFont="1" applyFill="1" applyBorder="1" applyProtection="1">
      <protection hidden="1"/>
    </xf>
    <xf numFmtId="167" fontId="7" fillId="2" borderId="2" xfId="1" applyNumberFormat="1" applyFont="1" applyFill="1" applyBorder="1" applyProtection="1">
      <protection hidden="1"/>
    </xf>
    <xf numFmtId="1" fontId="7" fillId="2" borderId="3" xfId="1" applyNumberFormat="1" applyFont="1" applyFill="1" applyBorder="1" applyAlignment="1" applyProtection="1">
      <alignment horizontal="center"/>
      <protection hidden="1"/>
    </xf>
    <xf numFmtId="167" fontId="7" fillId="2" borderId="3" xfId="1" applyNumberFormat="1" applyFont="1" applyFill="1" applyBorder="1" applyProtection="1">
      <protection hidden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6" fillId="2" borderId="2" xfId="1" applyFont="1" applyFill="1" applyBorder="1" applyAlignment="1" applyProtection="1">
      <alignment horizontal="center" wrapText="1"/>
      <protection hidden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Base A = 27,2; M = 26</c:v>
          </c:tx>
          <c:marker>
            <c:symbol val="none"/>
          </c:marker>
          <c:xVal>
            <c:numRef>
              <c:f>Romaniuk!$H$9:$H$42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Romaniuk!$I$9:$I$42</c:f>
              <c:numCache>
                <c:formatCode>General</c:formatCode>
                <c:ptCount val="34"/>
                <c:pt idx="0">
                  <c:v>0</c:v>
                </c:pt>
                <c:pt idx="1">
                  <c:v>4.3916299914778835E-3</c:v>
                </c:pt>
                <c:pt idx="2">
                  <c:v>1.9764034120161349E-2</c:v>
                </c:pt>
                <c:pt idx="3">
                  <c:v>4.4514386636781339E-2</c:v>
                </c:pt>
                <c:pt idx="4">
                  <c:v>7.5269789942047541E-2</c:v>
                </c:pt>
                <c:pt idx="5">
                  <c:v>0.108471284687117</c:v>
                </c:pt>
                <c:pt idx="6">
                  <c:v>0.14093163290446736</c:v>
                </c:pt>
                <c:pt idx="7">
                  <c:v>0.17006978378308266</c:v>
                </c:pt>
                <c:pt idx="8">
                  <c:v>0.19399117223584028</c:v>
                </c:pt>
                <c:pt idx="9">
                  <c:v>0.2114830431424275</c:v>
                </c:pt>
                <c:pt idx="10">
                  <c:v>0.22196040412930854</c:v>
                </c:pt>
                <c:pt idx="11">
                  <c:v>0.22538358938555722</c:v>
                </c:pt>
                <c:pt idx="12">
                  <c:v>0.22216092509873811</c:v>
                </c:pt>
                <c:pt idx="13">
                  <c:v>0.21304567513087386</c:v>
                </c:pt>
                <c:pt idx="14">
                  <c:v>0.19903373423715043</c:v>
                </c:pt>
                <c:pt idx="15">
                  <c:v>0.18126670680338847</c:v>
                </c:pt>
                <c:pt idx="16">
                  <c:v>0.16094370115224915</c:v>
                </c:pt>
                <c:pt idx="17">
                  <c:v>0.13924418744886902</c:v>
                </c:pt>
                <c:pt idx="18">
                  <c:v>0.11726349817451859</c:v>
                </c:pt>
                <c:pt idx="19">
                  <c:v>9.596192513837154E-2</c:v>
                </c:pt>
                <c:pt idx="20">
                  <c:v>7.6127841962869036E-2</c:v>
                </c:pt>
                <c:pt idx="21">
                  <c:v>5.8354826358542417E-2</c:v>
                </c:pt>
                <c:pt idx="22">
                  <c:v>4.3032351544892537E-2</c:v>
                </c:pt>
                <c:pt idx="23">
                  <c:v>3.0349245491596014E-2</c:v>
                </c:pt>
                <c:pt idx="24">
                  <c:v>2.030876805298383E-2</c:v>
                </c:pt>
                <c:pt idx="25">
                  <c:v>1.2753818989733708E-2</c:v>
                </c:pt>
                <c:pt idx="26">
                  <c:v>7.4004540831123736E-3</c:v>
                </c:pt>
                <c:pt idx="27">
                  <c:v>3.8775407237155593E-3</c:v>
                </c:pt>
                <c:pt idx="28">
                  <c:v>1.7700140726402964E-3</c:v>
                </c:pt>
                <c:pt idx="29">
                  <c:v>6.6277909157354221E-4</c:v>
                </c:pt>
                <c:pt idx="30">
                  <c:v>1.8180737850203974E-4</c:v>
                </c:pt>
                <c:pt idx="31">
                  <c:v>2.8333839346943573E-5</c:v>
                </c:pt>
                <c:pt idx="32">
                  <c:v>1.1142680629788775E-6</c:v>
                </c:pt>
                <c:pt idx="33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Romaniuk!$K$1</c:f>
              <c:strCache>
                <c:ptCount val="1"/>
                <c:pt idx="0">
                  <c:v>A = 27; M = 26</c:v>
                </c:pt>
              </c:strCache>
            </c:strRef>
          </c:tx>
          <c:marker>
            <c:symbol val="none"/>
          </c:marker>
          <c:xVal>
            <c:numRef>
              <c:f>Romaniuk!$A$9:$A$42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Romaniuk!$F$9:$F$42</c:f>
              <c:numCache>
                <c:formatCode>General</c:formatCode>
                <c:ptCount val="34"/>
                <c:pt idx="0">
                  <c:v>0</c:v>
                </c:pt>
                <c:pt idx="1">
                  <c:v>1.7666823297355456E-3</c:v>
                </c:pt>
                <c:pt idx="2">
                  <c:v>1.1682041516884789E-2</c:v>
                </c:pt>
                <c:pt idx="3">
                  <c:v>3.2385446407072901E-2</c:v>
                </c:pt>
                <c:pt idx="4">
                  <c:v>6.2636366517860476E-2</c:v>
                </c:pt>
                <c:pt idx="5">
                  <c:v>9.9109844880608103E-2</c:v>
                </c:pt>
                <c:pt idx="6">
                  <c:v>0.13768763219216981</c:v>
                </c:pt>
                <c:pt idx="7">
                  <c:v>0.17433829856352887</c:v>
                </c:pt>
                <c:pt idx="8">
                  <c:v>0.20566889198212213</c:v>
                </c:pt>
                <c:pt idx="9">
                  <c:v>0.22922056249926426</c:v>
                </c:pt>
                <c:pt idx="10">
                  <c:v>0.24357101811374737</c:v>
                </c:pt>
                <c:pt idx="11">
                  <c:v>0.2482977223474041</c:v>
                </c:pt>
                <c:pt idx="12">
                  <c:v>0.24384738459812613</c:v>
                </c:pt>
                <c:pt idx="13">
                  <c:v>0.23134953251057799</c:v>
                </c:pt>
                <c:pt idx="14">
                  <c:v>0.21240479082459668</c:v>
                </c:pt>
                <c:pt idx="15">
                  <c:v>0.18887192344604914</c:v>
                </c:pt>
                <c:pt idx="16">
                  <c:v>0.16267172483471842</c:v>
                </c:pt>
                <c:pt idx="17">
                  <c:v>0.1356204732186051</c:v>
                </c:pt>
                <c:pt idx="18">
                  <c:v>0.10930088162387107</c:v>
                </c:pt>
                <c:pt idx="19">
                  <c:v>8.4974303254511357E-2</c:v>
                </c:pt>
                <c:pt idx="20">
                  <c:v>6.3534365365717438E-2</c:v>
                </c:pt>
                <c:pt idx="21">
                  <c:v>4.5499220449796103E-2</c:v>
                </c:pt>
                <c:pt idx="22">
                  <c:v>3.1037215293425513E-2</c:v>
                </c:pt>
                <c:pt idx="23">
                  <c:v>2.0018987269971863E-2</c:v>
                </c:pt>
                <c:pt idx="24">
                  <c:v>1.2087803100547136E-2</c:v>
                </c:pt>
                <c:pt idx="25">
                  <c:v>6.739358252470181E-3</c:v>
                </c:pt>
                <c:pt idx="26">
                  <c:v>3.4022551437921256E-3</c:v>
                </c:pt>
                <c:pt idx="27">
                  <c:v>1.5109753875683926E-3</c:v>
                </c:pt>
                <c:pt idx="28">
                  <c:v>5.6435543959894373E-4</c:v>
                </c:pt>
                <c:pt idx="29">
                  <c:v>1.6436620841949503E-4</c:v>
                </c:pt>
                <c:pt idx="30">
                  <c:v>3.2385446407072897E-5</c:v>
                </c:pt>
                <c:pt idx="31">
                  <c:v>3.1370659640521821E-6</c:v>
                </c:pt>
                <c:pt idx="32">
                  <c:v>5.3914866019761166E-8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56576"/>
        <c:axId val="287258496"/>
      </c:scatterChart>
      <c:valAx>
        <c:axId val="287256576"/>
        <c:scaling>
          <c:orientation val="minMax"/>
          <c:max val="50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287258496"/>
        <c:crosses val="autoZero"/>
        <c:crossBetween val="midCat"/>
      </c:valAx>
      <c:valAx>
        <c:axId val="287258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256576"/>
        <c:crosses val="autoZero"/>
        <c:crossBetween val="midCat"/>
        <c:majorUnit val="5.0000000000000017E-2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Romaniuk!$I$8</c:f>
              <c:strCache>
                <c:ptCount val="1"/>
                <c:pt idx="0">
                  <c:v>A = 27.2</c:v>
                </c:pt>
              </c:strCache>
            </c:strRef>
          </c:tx>
          <c:marker>
            <c:symbol val="none"/>
          </c:marker>
          <c:xVal>
            <c:numRef>
              <c:f>Romaniuk!$H$9:$H$42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Romaniuk!$I$9:$I$42</c:f>
              <c:numCache>
                <c:formatCode>General</c:formatCode>
                <c:ptCount val="34"/>
                <c:pt idx="0">
                  <c:v>0</c:v>
                </c:pt>
                <c:pt idx="1">
                  <c:v>4.3916299914778835E-3</c:v>
                </c:pt>
                <c:pt idx="2">
                  <c:v>1.9764034120161349E-2</c:v>
                </c:pt>
                <c:pt idx="3">
                  <c:v>4.4514386636781339E-2</c:v>
                </c:pt>
                <c:pt idx="4">
                  <c:v>7.5269789942047541E-2</c:v>
                </c:pt>
                <c:pt idx="5">
                  <c:v>0.108471284687117</c:v>
                </c:pt>
                <c:pt idx="6">
                  <c:v>0.14093163290446736</c:v>
                </c:pt>
                <c:pt idx="7">
                  <c:v>0.17006978378308266</c:v>
                </c:pt>
                <c:pt idx="8">
                  <c:v>0.19399117223584028</c:v>
                </c:pt>
                <c:pt idx="9">
                  <c:v>0.2114830431424275</c:v>
                </c:pt>
                <c:pt idx="10">
                  <c:v>0.22196040412930854</c:v>
                </c:pt>
                <c:pt idx="11">
                  <c:v>0.22538358938555722</c:v>
                </c:pt>
                <c:pt idx="12">
                  <c:v>0.22216092509873811</c:v>
                </c:pt>
                <c:pt idx="13">
                  <c:v>0.21304567513087386</c:v>
                </c:pt>
                <c:pt idx="14">
                  <c:v>0.19903373423715043</c:v>
                </c:pt>
                <c:pt idx="15">
                  <c:v>0.18126670680338847</c:v>
                </c:pt>
                <c:pt idx="16">
                  <c:v>0.16094370115224915</c:v>
                </c:pt>
                <c:pt idx="17">
                  <c:v>0.13924418744886902</c:v>
                </c:pt>
                <c:pt idx="18">
                  <c:v>0.11726349817451859</c:v>
                </c:pt>
                <c:pt idx="19">
                  <c:v>9.596192513837154E-2</c:v>
                </c:pt>
                <c:pt idx="20">
                  <c:v>7.6127841962869036E-2</c:v>
                </c:pt>
                <c:pt idx="21">
                  <c:v>5.8354826358542417E-2</c:v>
                </c:pt>
                <c:pt idx="22">
                  <c:v>4.3032351544892537E-2</c:v>
                </c:pt>
                <c:pt idx="23">
                  <c:v>3.0349245491596014E-2</c:v>
                </c:pt>
                <c:pt idx="24">
                  <c:v>2.030876805298383E-2</c:v>
                </c:pt>
                <c:pt idx="25">
                  <c:v>1.2753818989733708E-2</c:v>
                </c:pt>
                <c:pt idx="26">
                  <c:v>7.4004540831123736E-3</c:v>
                </c:pt>
                <c:pt idx="27">
                  <c:v>3.8775407237155593E-3</c:v>
                </c:pt>
                <c:pt idx="28">
                  <c:v>1.7700140726402964E-3</c:v>
                </c:pt>
                <c:pt idx="29">
                  <c:v>6.6277909157354221E-4</c:v>
                </c:pt>
                <c:pt idx="30">
                  <c:v>1.8180737850203974E-4</c:v>
                </c:pt>
                <c:pt idx="31">
                  <c:v>2.8333839346943573E-5</c:v>
                </c:pt>
                <c:pt idx="32">
                  <c:v>1.1142680629788775E-6</c:v>
                </c:pt>
                <c:pt idx="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Romaniuk!$J$8</c:f>
              <c:strCache>
                <c:ptCount val="1"/>
                <c:pt idx="0">
                  <c:v>A = 28.2</c:v>
                </c:pt>
              </c:strCache>
            </c:strRef>
          </c:tx>
          <c:marker>
            <c:symbol val="none"/>
          </c:marker>
          <c:xVal>
            <c:numRef>
              <c:f>Romaniuk!$H$9:$H$42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Romaniuk!$J$9:$J$42</c:f>
              <c:numCache>
                <c:formatCode>General</c:formatCode>
                <c:ptCount val="34"/>
                <c:pt idx="0">
                  <c:v>0</c:v>
                </c:pt>
                <c:pt idx="1">
                  <c:v>3.1113271754982956E-2</c:v>
                </c:pt>
                <c:pt idx="2">
                  <c:v>5.8398152649489513E-2</c:v>
                </c:pt>
                <c:pt idx="3">
                  <c:v>8.2036947010209027E-2</c:v>
                </c:pt>
                <c:pt idx="4">
                  <c:v>0.1022119591638308</c:v>
                </c:pt>
                <c:pt idx="5">
                  <c:v>0.11910549343704424</c:v>
                </c:pt>
                <c:pt idx="6">
                  <c:v>0.13289985415653865</c:v>
                </c:pt>
                <c:pt idx="7">
                  <c:v>0.14377734564900341</c:v>
                </c:pt>
                <c:pt idx="8">
                  <c:v>0.15192027224112786</c:v>
                </c:pt>
                <c:pt idx="9">
                  <c:v>0.15751093825960136</c:v>
                </c:pt>
                <c:pt idx="10">
                  <c:v>0.16073164803111328</c:v>
                </c:pt>
                <c:pt idx="11">
                  <c:v>0.16176470588235298</c:v>
                </c:pt>
                <c:pt idx="12">
                  <c:v>0.16079241614000972</c:v>
                </c:pt>
                <c:pt idx="13">
                  <c:v>0.15799708313077299</c:v>
                </c:pt>
                <c:pt idx="14">
                  <c:v>0.15356101118133203</c:v>
                </c:pt>
                <c:pt idx="15">
                  <c:v>0.14766650461837627</c:v>
                </c:pt>
                <c:pt idx="16">
                  <c:v>0.14049586776859502</c:v>
                </c:pt>
                <c:pt idx="17">
                  <c:v>0.13223140495867769</c:v>
                </c:pt>
                <c:pt idx="18">
                  <c:v>0.12305542051531354</c:v>
                </c:pt>
                <c:pt idx="19">
                  <c:v>0.11315021876519203</c:v>
                </c:pt>
                <c:pt idx="20">
                  <c:v>0.1026981040350024</c:v>
                </c:pt>
                <c:pt idx="21">
                  <c:v>9.1881380651434072E-2</c:v>
                </c:pt>
                <c:pt idx="22">
                  <c:v>8.0882352941176447E-2</c:v>
                </c:pt>
                <c:pt idx="23">
                  <c:v>6.988332523091878E-2</c:v>
                </c:pt>
                <c:pt idx="24">
                  <c:v>5.9066601847350478E-2</c:v>
                </c:pt>
                <c:pt idx="25">
                  <c:v>4.8614487117160876E-2</c:v>
                </c:pt>
                <c:pt idx="26">
                  <c:v>3.870928536703936E-2</c:v>
                </c:pt>
                <c:pt idx="27">
                  <c:v>2.9533300923675225E-2</c:v>
                </c:pt>
                <c:pt idx="28">
                  <c:v>2.1268838113757887E-2</c:v>
                </c:pt>
                <c:pt idx="29">
                  <c:v>1.409820126397664E-2</c:v>
                </c:pt>
                <c:pt idx="30">
                  <c:v>8.2036947010208881E-3</c:v>
                </c:pt>
                <c:pt idx="31">
                  <c:v>3.767622751579964E-3</c:v>
                </c:pt>
                <c:pt idx="32">
                  <c:v>9.7228974234321282E-4</c:v>
                </c:pt>
                <c:pt idx="3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Romaniuk!$K$8</c:f>
              <c:strCache>
                <c:ptCount val="1"/>
                <c:pt idx="0">
                  <c:v>A = 29.2</c:v>
                </c:pt>
              </c:strCache>
            </c:strRef>
          </c:tx>
          <c:marker>
            <c:symbol val="none"/>
          </c:marker>
          <c:xVal>
            <c:numRef>
              <c:f>Romaniuk!$H$9:$H$42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Romaniuk!$K$9:$K$42</c:f>
              <c:numCache>
                <c:formatCode>General</c:formatCode>
                <c:ptCount val="34"/>
                <c:pt idx="0">
                  <c:v>0</c:v>
                </c:pt>
                <c:pt idx="1">
                  <c:v>5.9188237643365074E-2</c:v>
                </c:pt>
                <c:pt idx="2">
                  <c:v>8.0032277481862396E-2</c:v>
                </c:pt>
                <c:pt idx="3">
                  <c:v>9.4187907788995648E-2</c:v>
                </c:pt>
                <c:pt idx="4">
                  <c:v>0.10465303800471551</c:v>
                </c:pt>
                <c:pt idx="5">
                  <c:v>0.11261154581851807</c:v>
                </c:pt>
                <c:pt idx="6">
                  <c:v>0.11868279380110974</c:v>
                </c:pt>
                <c:pt idx="7">
                  <c:v>0.12324205999109172</c:v>
                </c:pt>
                <c:pt idx="8">
                  <c:v>0.12653863346107938</c:v>
                </c:pt>
                <c:pt idx="9">
                  <c:v>0.12874893799141257</c:v>
                </c:pt>
                <c:pt idx="10">
                  <c:v>0.13000374280308974</c:v>
                </c:pt>
                <c:pt idx="11">
                  <c:v>0.13040344869538364</c:v>
                </c:pt>
                <c:pt idx="12">
                  <c:v>0.13002729188743403</c:v>
                </c:pt>
                <c:pt idx="13">
                  <c:v>0.12893919321198194</c:v>
                </c:pt>
                <c:pt idx="14">
                  <c:v>0.12719163917433407</c:v>
                </c:pt>
                <c:pt idx="15">
                  <c:v>0.12482834865874415</c:v>
                </c:pt>
                <c:pt idx="16">
                  <c:v>0.12188615796201216</c:v>
                </c:pt>
                <c:pt idx="17">
                  <c:v>0.11839638379155754</c:v>
                </c:pt>
                <c:pt idx="18">
                  <c:v>0.11438582572040468</c:v>
                </c:pt>
                <c:pt idx="19">
                  <c:v>0.10987751132095916</c:v>
                </c:pt>
                <c:pt idx="20">
                  <c:v>0.10489125101449098</c:v>
                </c:pt>
                <c:pt idx="21">
                  <c:v>9.9444046007126169E-2</c:v>
                </c:pt>
                <c:pt idx="22">
                  <c:v>9.3550376020763243E-2</c:v>
                </c:pt>
                <c:pt idx="23">
                  <c:v>8.7222380296496121E-2</c:v>
                </c:pt>
                <c:pt idx="24">
                  <c:v>8.0469932647170145E-2</c:v>
                </c:pt>
                <c:pt idx="25">
                  <c:v>7.3300595795252027E-2</c:v>
                </c:pt>
                <c:pt idx="26">
                  <c:v>6.5719416254766488E-2</c:v>
                </c:pt>
                <c:pt idx="27">
                  <c:v>5.7728476760559443E-2</c:v>
                </c:pt>
                <c:pt idx="28">
                  <c:v>4.9326029364728435E-2</c:v>
                </c:pt>
                <c:pt idx="29">
                  <c:v>4.0504804962211663E-2</c:v>
                </c:pt>
                <c:pt idx="30">
                  <c:v>3.1248450226347594E-2</c:v>
                </c:pt>
                <c:pt idx="31">
                  <c:v>2.1522757069392238E-2</c:v>
                </c:pt>
                <c:pt idx="32">
                  <c:v>1.1246508372644131E-2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94592"/>
        <c:axId val="285296128"/>
      </c:scatterChart>
      <c:valAx>
        <c:axId val="285294592"/>
        <c:scaling>
          <c:orientation val="minMax"/>
          <c:max val="50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285296128"/>
        <c:crosses val="autoZero"/>
        <c:crossBetween val="midCat"/>
      </c:valAx>
      <c:valAx>
        <c:axId val="28529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294592"/>
        <c:crosses val="autoZero"/>
        <c:crossBetween val="midCat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Hadwiger!$B$3</c:f>
              <c:strCache>
                <c:ptCount val="1"/>
                <c:pt idx="0">
                  <c:v>R=3; H=3; T=26; d=2</c:v>
                </c:pt>
              </c:strCache>
            </c:strRef>
          </c:tx>
          <c:marker>
            <c:symbol val="none"/>
          </c:marker>
          <c:xVal>
            <c:numRef>
              <c:f>Hadwiger!$A$11:$A$61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Hadwiger!$B$11:$B$61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2.8524198543208955E-93</c:v>
                </c:pt>
                <c:pt idx="4">
                  <c:v>4.6322302103208975E-43</c:v>
                </c:pt>
                <c:pt idx="5">
                  <c:v>1.5445619610646867E-26</c:v>
                </c:pt>
                <c:pt idx="6">
                  <c:v>2.0883674806607472E-18</c:v>
                </c:pt>
                <c:pt idx="7">
                  <c:v>1.2745434205208839E-13</c:v>
                </c:pt>
                <c:pt idx="8">
                  <c:v>1.6739674921233288E-10</c:v>
                </c:pt>
                <c:pt idx="9">
                  <c:v>2.4696466213944887E-8</c:v>
                </c:pt>
                <c:pt idx="10">
                  <c:v>9.3335036787021696E-7</c:v>
                </c:pt>
                <c:pt idx="11">
                  <c:v>1.4270535827280892E-5</c:v>
                </c:pt>
                <c:pt idx="12">
                  <c:v>1.1604782148767053E-4</c:v>
                </c:pt>
                <c:pt idx="13">
                  <c:v>5.9714261548272094E-4</c:v>
                </c:pt>
                <c:pt idx="14">
                  <c:v>2.1824695437406474E-3</c:v>
                </c:pt>
                <c:pt idx="15">
                  <c:v>6.1364054934526244E-3</c:v>
                </c:pt>
                <c:pt idx="16">
                  <c:v>1.4050214007888695E-2</c:v>
                </c:pt>
                <c:pt idx="17">
                  <c:v>2.7310744288418908E-2</c:v>
                </c:pt>
                <c:pt idx="18">
                  <c:v>4.64937809474439E-2</c:v>
                </c:pt>
                <c:pt idx="19">
                  <c:v>7.0988784469965885E-2</c:v>
                </c:pt>
                <c:pt idx="20">
                  <c:v>9.902143232056293E-2</c:v>
                </c:pt>
                <c:pt idx="21">
                  <c:v>0.12803352747857971</c:v>
                </c:pt>
                <c:pt idx="22">
                  <c:v>0.15524241283579568</c:v>
                </c:pt>
                <c:pt idx="23">
                  <c:v>0.17817952576366625</c:v>
                </c:pt>
                <c:pt idx="24">
                  <c:v>0.19506859201163623</c:v>
                </c:pt>
                <c:pt idx="25">
                  <c:v>0.20499187690382847</c:v>
                </c:pt>
                <c:pt idx="26">
                  <c:v>0.20786526994759844</c:v>
                </c:pt>
                <c:pt idx="27">
                  <c:v>0.20428238794021583</c:v>
                </c:pt>
                <c:pt idx="28">
                  <c:v>0.19529639430499257</c:v>
                </c:pt>
                <c:pt idx="29">
                  <c:v>0.18219679071219375</c:v>
                </c:pt>
                <c:pt idx="30">
                  <c:v>0.16631870672420668</c:v>
                </c:pt>
                <c:pt idx="31">
                  <c:v>0.14890259714118539</c:v>
                </c:pt>
                <c:pt idx="32">
                  <c:v>0.13100712686825289</c:v>
                </c:pt>
                <c:pt idx="33">
                  <c:v>0.11346858881987078</c:v>
                </c:pt>
                <c:pt idx="34">
                  <c:v>9.6895807458808714E-2</c:v>
                </c:pt>
                <c:pt idx="35">
                  <c:v>8.168871182950907E-2</c:v>
                </c:pt>
                <c:pt idx="36">
                  <c:v>6.8070142784670329E-2</c:v>
                </c:pt>
                <c:pt idx="37">
                  <c:v>5.6122802356904498E-2</c:v>
                </c:pt>
                <c:pt idx="38">
                  <c:v>4.5825757010323952E-2</c:v>
                </c:pt>
                <c:pt idx="39">
                  <c:v>3.7087117845117805E-2</c:v>
                </c:pt>
                <c:pt idx="40">
                  <c:v>2.9771246707337551E-2</c:v>
                </c:pt>
                <c:pt idx="41">
                  <c:v>2.3720050739041453E-2</c:v>
                </c:pt>
                <c:pt idx="42">
                  <c:v>1.8768691860698891E-2</c:v>
                </c:pt>
                <c:pt idx="43">
                  <c:v>1.4756450612845477E-2</c:v>
                </c:pt>
                <c:pt idx="44">
                  <c:v>1.1533647640482961E-2</c:v>
                </c:pt>
                <c:pt idx="45">
                  <c:v>8.965529417486448E-3</c:v>
                </c:pt>
                <c:pt idx="46">
                  <c:v>6.9339364523523985E-3</c:v>
                </c:pt>
                <c:pt idx="47">
                  <c:v>5.3374412465703666E-3</c:v>
                </c:pt>
                <c:pt idx="48">
                  <c:v>4.090501762527632E-3</c:v>
                </c:pt>
                <c:pt idx="49">
                  <c:v>3.1220430347562631E-3</c:v>
                </c:pt>
                <c:pt idx="50">
                  <c:v>2.3737644028040731E-3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Hadwiger!$E$3</c:f>
              <c:strCache>
                <c:ptCount val="1"/>
                <c:pt idx="0">
                  <c:v>R=2.6; H=2; T=28; d=3</c:v>
                </c:pt>
              </c:strCache>
            </c:strRef>
          </c:tx>
          <c:marker>
            <c:symbol val="none"/>
          </c:marker>
          <c:xVal>
            <c:numRef>
              <c:f>Hadwiger!$A$11:$A$61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Hadwiger!$E$11:$E$61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9.1693644801052303E-45</c:v>
                </c:pt>
                <c:pt idx="5">
                  <c:v>5.8781837848579192E-21</c:v>
                </c:pt>
                <c:pt idx="6">
                  <c:v>3.5472723348356942E-13</c:v>
                </c:pt>
                <c:pt idx="7">
                  <c:v>2.2587050483045755E-9</c:v>
                </c:pt>
                <c:pt idx="8">
                  <c:v>3.7887987099298993E-7</c:v>
                </c:pt>
                <c:pt idx="9">
                  <c:v>1.0448493110521897E-5</c:v>
                </c:pt>
                <c:pt idx="10">
                  <c:v>1.0344512430329839E-4</c:v>
                </c:pt>
                <c:pt idx="11">
                  <c:v>5.4233670762616885E-4</c:v>
                </c:pt>
                <c:pt idx="12">
                  <c:v>1.8666691147948263E-3</c:v>
                </c:pt>
                <c:pt idx="13">
                  <c:v>4.7956159109570915E-3</c:v>
                </c:pt>
                <c:pt idx="14">
                  <c:v>9.9747964274113539E-3</c:v>
                </c:pt>
                <c:pt idx="15">
                  <c:v>1.7728476603591749E-2</c:v>
                </c:pt>
                <c:pt idx="16">
                  <c:v>2.7943921771108188E-2</c:v>
                </c:pt>
                <c:pt idx="17">
                  <c:v>4.0107575124082556E-2</c:v>
                </c:pt>
                <c:pt idx="18">
                  <c:v>5.3439603280382428E-2</c:v>
                </c:pt>
                <c:pt idx="19">
                  <c:v>6.7057727148480198E-2</c:v>
                </c:pt>
                <c:pt idx="20">
                  <c:v>8.0119917249014364E-2</c:v>
                </c:pt>
                <c:pt idx="21">
                  <c:v>9.1922220142708219E-2</c:v>
                </c:pt>
                <c:pt idx="22">
                  <c:v>0.1019487454692647</c:v>
                </c:pt>
                <c:pt idx="23">
                  <c:v>0.10988231717733388</c:v>
                </c:pt>
                <c:pt idx="24">
                  <c:v>0.11558824067669278</c:v>
                </c:pt>
                <c:pt idx="25">
                  <c:v>0.11908306834782836</c:v>
                </c:pt>
                <c:pt idx="26">
                  <c:v>0.12049766675727845</c:v>
                </c:pt>
                <c:pt idx="27">
                  <c:v>0.12004088294549216</c:v>
                </c:pt>
                <c:pt idx="28">
                  <c:v>0.1179674699419766</c:v>
                </c:pt>
                <c:pt idx="29">
                  <c:v>0.11455194494064834</c:v>
                </c:pt>
                <c:pt idx="30">
                  <c:v>0.11006872158836052</c:v>
                </c:pt>
                <c:pt idx="31">
                  <c:v>0.10477806551601189</c:v>
                </c:pt>
                <c:pt idx="32">
                  <c:v>9.8917024602876991E-2</c:v>
                </c:pt>
                <c:pt idx="33">
                  <c:v>9.2694350350019092E-2</c:v>
                </c:pt>
                <c:pt idx="34">
                  <c:v>8.6288450168427108E-2</c:v>
                </c:pt>
                <c:pt idx="35">
                  <c:v>7.9847518016567198E-2</c:v>
                </c:pt>
                <c:pt idx="36">
                  <c:v>7.3491133501364464E-2</c:v>
                </c:pt>
                <c:pt idx="37">
                  <c:v>6.7312767277593943E-2</c:v>
                </c:pt>
                <c:pt idx="38">
                  <c:v>6.1382766784682276E-2</c:v>
                </c:pt>
                <c:pt idx="39">
                  <c:v>5.5751513339781837E-2</c:v>
                </c:pt>
                <c:pt idx="40">
                  <c:v>5.0452537104751699E-2</c:v>
                </c:pt>
                <c:pt idx="41">
                  <c:v>4.5505451297595839E-2</c:v>
                </c:pt>
                <c:pt idx="42">
                  <c:v>4.0918623606564716E-2</c:v>
                </c:pt>
                <c:pt idx="43">
                  <c:v>3.6691544054405868E-2</c:v>
                </c:pt>
                <c:pt idx="44">
                  <c:v>3.2816877548652292E-2</c:v>
                </c:pt>
                <c:pt idx="45">
                  <c:v>2.9282208777580386E-2</c:v>
                </c:pt>
                <c:pt idx="46">
                  <c:v>2.6071499318353567E-2</c:v>
                </c:pt>
                <c:pt idx="47">
                  <c:v>2.3166283742983872E-2</c:v>
                </c:pt>
                <c:pt idx="48">
                  <c:v>2.0546634672096543E-2</c:v>
                </c:pt>
                <c:pt idx="49">
                  <c:v>1.8191927320674268E-2</c:v>
                </c:pt>
                <c:pt idx="50">
                  <c:v>1.6081432996490983E-2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24576"/>
        <c:axId val="285933568"/>
      </c:scatterChart>
      <c:valAx>
        <c:axId val="2856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933568"/>
        <c:crosses val="autoZero"/>
        <c:crossBetween val="midCat"/>
      </c:valAx>
      <c:valAx>
        <c:axId val="28593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624576"/>
        <c:crosses val="autoZero"/>
        <c:crossBetween val="midCat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Hadwiger!$B$10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Hadwiger!$A$11:$A$71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Hadwiger!$B$11:$B$71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2.8524198543208955E-93</c:v>
                </c:pt>
                <c:pt idx="4">
                  <c:v>4.6322302103208975E-43</c:v>
                </c:pt>
                <c:pt idx="5">
                  <c:v>1.5445619610646867E-26</c:v>
                </c:pt>
                <c:pt idx="6">
                  <c:v>2.0883674806607472E-18</c:v>
                </c:pt>
                <c:pt idx="7">
                  <c:v>1.2745434205208839E-13</c:v>
                </c:pt>
                <c:pt idx="8">
                  <c:v>1.6739674921233288E-10</c:v>
                </c:pt>
                <c:pt idx="9">
                  <c:v>2.4696466213944887E-8</c:v>
                </c:pt>
                <c:pt idx="10">
                  <c:v>9.3335036787021696E-7</c:v>
                </c:pt>
                <c:pt idx="11">
                  <c:v>1.4270535827280892E-5</c:v>
                </c:pt>
                <c:pt idx="12">
                  <c:v>1.1604782148767053E-4</c:v>
                </c:pt>
                <c:pt idx="13">
                  <c:v>5.9714261548272094E-4</c:v>
                </c:pt>
                <c:pt idx="14">
                  <c:v>2.1824695437406474E-3</c:v>
                </c:pt>
                <c:pt idx="15">
                  <c:v>6.1364054934526244E-3</c:v>
                </c:pt>
                <c:pt idx="16">
                  <c:v>1.4050214007888695E-2</c:v>
                </c:pt>
                <c:pt idx="17">
                  <c:v>2.7310744288418908E-2</c:v>
                </c:pt>
                <c:pt idx="18">
                  <c:v>4.64937809474439E-2</c:v>
                </c:pt>
                <c:pt idx="19">
                  <c:v>7.0988784469965885E-2</c:v>
                </c:pt>
                <c:pt idx="20">
                  <c:v>9.902143232056293E-2</c:v>
                </c:pt>
                <c:pt idx="21">
                  <c:v>0.12803352747857971</c:v>
                </c:pt>
                <c:pt idx="22">
                  <c:v>0.15524241283579568</c:v>
                </c:pt>
                <c:pt idx="23">
                  <c:v>0.17817952576366625</c:v>
                </c:pt>
                <c:pt idx="24">
                  <c:v>0.19506859201163623</c:v>
                </c:pt>
                <c:pt idx="25">
                  <c:v>0.20499187690382847</c:v>
                </c:pt>
                <c:pt idx="26">
                  <c:v>0.20786526994759844</c:v>
                </c:pt>
                <c:pt idx="27">
                  <c:v>0.20428238794021583</c:v>
                </c:pt>
                <c:pt idx="28">
                  <c:v>0.19529639430499257</c:v>
                </c:pt>
                <c:pt idx="29">
                  <c:v>0.18219679071219375</c:v>
                </c:pt>
                <c:pt idx="30">
                  <c:v>0.16631870672420668</c:v>
                </c:pt>
                <c:pt idx="31">
                  <c:v>0.14890259714118539</c:v>
                </c:pt>
                <c:pt idx="32">
                  <c:v>0.13100712686825289</c:v>
                </c:pt>
                <c:pt idx="33">
                  <c:v>0.11346858881987078</c:v>
                </c:pt>
                <c:pt idx="34">
                  <c:v>9.6895807458808714E-2</c:v>
                </c:pt>
                <c:pt idx="35">
                  <c:v>8.168871182950907E-2</c:v>
                </c:pt>
                <c:pt idx="36">
                  <c:v>6.8070142784670329E-2</c:v>
                </c:pt>
                <c:pt idx="37">
                  <c:v>5.6122802356904498E-2</c:v>
                </c:pt>
                <c:pt idx="38">
                  <c:v>4.5825757010323952E-2</c:v>
                </c:pt>
                <c:pt idx="39">
                  <c:v>3.7087117845117805E-2</c:v>
                </c:pt>
                <c:pt idx="40">
                  <c:v>2.9771246707337551E-2</c:v>
                </c:pt>
                <c:pt idx="41">
                  <c:v>2.3720050739041453E-2</c:v>
                </c:pt>
                <c:pt idx="42">
                  <c:v>1.8768691860698891E-2</c:v>
                </c:pt>
                <c:pt idx="43">
                  <c:v>1.4756450612845477E-2</c:v>
                </c:pt>
                <c:pt idx="44">
                  <c:v>1.1533647640482961E-2</c:v>
                </c:pt>
                <c:pt idx="45">
                  <c:v>8.965529417486448E-3</c:v>
                </c:pt>
                <c:pt idx="46">
                  <c:v>6.9339364523523985E-3</c:v>
                </c:pt>
                <c:pt idx="47">
                  <c:v>5.3374412465703666E-3</c:v>
                </c:pt>
                <c:pt idx="48">
                  <c:v>4.090501762527632E-3</c:v>
                </c:pt>
                <c:pt idx="49">
                  <c:v>3.1220430347562631E-3</c:v>
                </c:pt>
                <c:pt idx="50">
                  <c:v>2.3737644028040731E-3</c:v>
                </c:pt>
                <c:pt idx="51">
                  <c:v>1.7983760614791119E-3</c:v>
                </c:pt>
                <c:pt idx="52">
                  <c:v>1.3578958962249955E-3</c:v>
                </c:pt>
                <c:pt idx="53">
                  <c:v>1.0220835964499708E-3</c:v>
                </c:pt>
                <c:pt idx="54">
                  <c:v>7.6705068668157816E-4</c:v>
                </c:pt>
                <c:pt idx="55">
                  <c:v>5.7405913018977522E-4</c:v>
                </c:pt>
                <c:pt idx="56">
                  <c:v>4.2850455406275072E-4</c:v>
                </c:pt>
                <c:pt idx="57">
                  <c:v>3.19070375252645E-4</c:v>
                </c:pt>
                <c:pt idx="58">
                  <c:v>2.3703412357430509E-4</c:v>
                </c:pt>
                <c:pt idx="59">
                  <c:v>1.7570547766952526E-4</c:v>
                </c:pt>
                <c:pt idx="60">
                  <c:v>1.2997577800062153E-4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Hadwiger!$C$10</c:f>
              <c:strCache>
                <c:ptCount val="1"/>
                <c:pt idx="0">
                  <c:v>scaled to TFR of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Hadwiger!$A$11:$A$71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Hadwiger!$C$11:$C$71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4.75460452021862E-93</c:v>
                </c:pt>
                <c:pt idx="4">
                  <c:v>7.7213116657149922E-43</c:v>
                </c:pt>
                <c:pt idx="5">
                  <c:v>2.5745793595958205E-26</c:v>
                </c:pt>
                <c:pt idx="6">
                  <c:v>3.4810308336572501E-18</c:v>
                </c:pt>
                <c:pt idx="7">
                  <c:v>2.1244943654573775E-13</c:v>
                </c:pt>
                <c:pt idx="8">
                  <c:v>2.7902811687038611E-10</c:v>
                </c:pt>
                <c:pt idx="9">
                  <c:v>4.1165724504538137E-8</c:v>
                </c:pt>
                <c:pt idx="10">
                  <c:v>1.5557709259740014E-6</c:v>
                </c:pt>
                <c:pt idx="11">
                  <c:v>2.3787085217328709E-5</c:v>
                </c:pt>
                <c:pt idx="12">
                  <c:v>1.9343628385245736E-4</c:v>
                </c:pt>
                <c:pt idx="13">
                  <c:v>9.9535731897549347E-4</c:v>
                </c:pt>
                <c:pt idx="14">
                  <c:v>3.6378864570690123E-3</c:v>
                </c:pt>
                <c:pt idx="15">
                  <c:v>1.0228571804696853E-2</c:v>
                </c:pt>
                <c:pt idx="16">
                  <c:v>2.3419838047597338E-2</c:v>
                </c:pt>
                <c:pt idx="17">
                  <c:v>4.5523378351033997E-2</c:v>
                </c:pt>
                <c:pt idx="18">
                  <c:v>7.7498949083497026E-2</c:v>
                </c:pt>
                <c:pt idx="19">
                  <c:v>0.11832886207633091</c:v>
                </c:pt>
                <c:pt idx="20">
                  <c:v>0.16505555765105295</c:v>
                </c:pt>
                <c:pt idx="21">
                  <c:v>0.2134148616190028</c:v>
                </c:pt>
                <c:pt idx="22">
                  <c:v>0.25876845467914122</c:v>
                </c:pt>
                <c:pt idx="23">
                  <c:v>0.29700157125292226</c:v>
                </c:pt>
                <c:pt idx="24">
                  <c:v>0.32515339841231772</c:v>
                </c:pt>
                <c:pt idx="25">
                  <c:v>0.34169419451299105</c:v>
                </c:pt>
                <c:pt idx="26">
                  <c:v>0.34648375855054964</c:v>
                </c:pt>
                <c:pt idx="27">
                  <c:v>0.34051157077394795</c:v>
                </c:pt>
                <c:pt idx="28">
                  <c:v>0.32553311453723094</c:v>
                </c:pt>
                <c:pt idx="29">
                  <c:v>0.30369781761870562</c:v>
                </c:pt>
                <c:pt idx="30">
                  <c:v>0.2772311634242558</c:v>
                </c:pt>
                <c:pt idx="31">
                  <c:v>0.24820082512303451</c:v>
                </c:pt>
                <c:pt idx="32">
                  <c:v>0.21837145630755905</c:v>
                </c:pt>
                <c:pt idx="33">
                  <c:v>0.18913704603778583</c:v>
                </c:pt>
                <c:pt idx="34">
                  <c:v>0.16151242371841112</c:v>
                </c:pt>
                <c:pt idx="35">
                  <c:v>0.13616421787524327</c:v>
                </c:pt>
                <c:pt idx="36">
                  <c:v>0.11346387457149931</c:v>
                </c:pt>
                <c:pt idx="37">
                  <c:v>9.354924709602544E-2</c:v>
                </c:pt>
                <c:pt idx="38">
                  <c:v>7.6385442028694642E-2</c:v>
                </c:pt>
                <c:pt idx="39">
                  <c:v>6.1819292794909927E-2</c:v>
                </c:pt>
                <c:pt idx="40">
                  <c:v>4.9624708632155831E-2</c:v>
                </c:pt>
                <c:pt idx="41">
                  <c:v>3.95381697728759E-2</c:v>
                </c:pt>
                <c:pt idx="42">
                  <c:v>3.1284913062251521E-2</c:v>
                </c:pt>
                <c:pt idx="43">
                  <c:v>2.4597040537330674E-2</c:v>
                </c:pt>
                <c:pt idx="44">
                  <c:v>1.9225056620952783E-2</c:v>
                </c:pt>
                <c:pt idx="45">
                  <c:v>1.4944345107527254E-2</c:v>
                </c:pt>
                <c:pt idx="46">
                  <c:v>1.1557949840141059E-2</c:v>
                </c:pt>
                <c:pt idx="47">
                  <c:v>8.8968046688157106E-3</c:v>
                </c:pt>
                <c:pt idx="48">
                  <c:v>6.8183223940945616E-3</c:v>
                </c:pt>
                <c:pt idx="49">
                  <c:v>5.2040305016399025E-3</c:v>
                </c:pt>
                <c:pt idx="50">
                  <c:v>3.9567495445698847E-3</c:v>
                </c:pt>
                <c:pt idx="51">
                  <c:v>2.9976537072580658E-3</c:v>
                </c:pt>
                <c:pt idx="52">
                  <c:v>2.2634318564280168E-3</c:v>
                </c:pt>
                <c:pt idx="53">
                  <c:v>1.7036774163385951E-3</c:v>
                </c:pt>
                <c:pt idx="54">
                  <c:v>1.2785714755871069E-3</c:v>
                </c:pt>
                <c:pt idx="55">
                  <c:v>9.5688021913691804E-4</c:v>
                </c:pt>
                <c:pt idx="56">
                  <c:v>7.142600997517162E-4</c:v>
                </c:pt>
                <c:pt idx="57">
                  <c:v>5.3184787861647299E-4</c:v>
                </c:pt>
                <c:pt idx="58">
                  <c:v>3.9510435803664917E-4</c:v>
                </c:pt>
                <c:pt idx="59">
                  <c:v>2.9287766213280375E-4</c:v>
                </c:pt>
                <c:pt idx="60">
                  <c:v>2.166523349164587E-4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110080"/>
        <c:axId val="286111616"/>
      </c:lineChart>
      <c:catAx>
        <c:axId val="2861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1616"/>
        <c:crosses val="autoZero"/>
        <c:auto val="1"/>
        <c:lblAlgn val="ctr"/>
        <c:lblOffset val="100"/>
        <c:noMultiLvlLbl val="0"/>
      </c:catAx>
      <c:valAx>
        <c:axId val="2861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Gompertz!$AJ$18</c:f>
              <c:strCache>
                <c:ptCount val="1"/>
                <c:pt idx="0">
                  <c:v>Standard: a=0; b=1; TFR=3</c:v>
                </c:pt>
              </c:strCache>
            </c:strRef>
          </c:tx>
          <c:marker>
            <c:symbol val="none"/>
          </c:marker>
          <c:xVal>
            <c:numRef>
              <c:f>Gompertz!$A$6:$A$49</c:f>
              <c:numCache>
                <c:formatCode>General</c:formatCode>
                <c:ptCount val="4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</c:numCache>
            </c:numRef>
          </c:xVal>
          <c:yVal>
            <c:numRef>
              <c:f>Gompertz!$P$6:$P$49</c:f>
              <c:numCache>
                <c:formatCode>0.0000</c:formatCode>
                <c:ptCount val="44"/>
                <c:pt idx="0">
                  <c:v>1.3435349876977748E-10</c:v>
                </c:pt>
                <c:pt idx="1">
                  <c:v>5.4191162140723668E-7</c:v>
                </c:pt>
                <c:pt idx="2">
                  <c:v>6.8335990931917267E-5</c:v>
                </c:pt>
                <c:pt idx="3">
                  <c:v>1.2941113784893361E-3</c:v>
                </c:pt>
                <c:pt idx="4">
                  <c:v>8.027219373752871E-3</c:v>
                </c:pt>
                <c:pt idx="5">
                  <c:v>2.5652367630270706E-2</c:v>
                </c:pt>
                <c:pt idx="6">
                  <c:v>5.6234059602161546E-2</c:v>
                </c:pt>
                <c:pt idx="7">
                  <c:v>8.3510015322307465E-2</c:v>
                </c:pt>
                <c:pt idx="8">
                  <c:v>0.10806748676794131</c:v>
                </c:pt>
                <c:pt idx="9">
                  <c:v>0.12465302829228724</c:v>
                </c:pt>
                <c:pt idx="10">
                  <c:v>0.13810300383021135</c:v>
                </c:pt>
                <c:pt idx="11">
                  <c:v>0.14418899920622993</c:v>
                </c:pt>
                <c:pt idx="12">
                  <c:v>0.14712179948892828</c:v>
                </c:pt>
                <c:pt idx="13">
                  <c:v>0.14794857952431278</c:v>
                </c:pt>
                <c:pt idx="14">
                  <c:v>0.14706298126481937</c:v>
                </c:pt>
                <c:pt idx="15">
                  <c:v>0.14596340854598344</c:v>
                </c:pt>
                <c:pt idx="16">
                  <c:v>0.14322771024812664</c:v>
                </c:pt>
                <c:pt idx="17">
                  <c:v>0.13927379711631749</c:v>
                </c:pt>
                <c:pt idx="18">
                  <c:v>0.13510623724358672</c:v>
                </c:pt>
                <c:pt idx="19">
                  <c:v>0.13031227054058592</c:v>
                </c:pt>
                <c:pt idx="20">
                  <c:v>0.12466195215314746</c:v>
                </c:pt>
                <c:pt idx="21">
                  <c:v>0.11856805980294338</c:v>
                </c:pt>
                <c:pt idx="22">
                  <c:v>0.11262762653311509</c:v>
                </c:pt>
                <c:pt idx="23">
                  <c:v>0.10656860715707539</c:v>
                </c:pt>
                <c:pt idx="24">
                  <c:v>0.10029956096751858</c:v>
                </c:pt>
                <c:pt idx="25">
                  <c:v>9.3996621826954341E-2</c:v>
                </c:pt>
                <c:pt idx="26">
                  <c:v>8.7359735990932164E-2</c:v>
                </c:pt>
                <c:pt idx="27">
                  <c:v>8.0722942608245307E-2</c:v>
                </c:pt>
                <c:pt idx="28">
                  <c:v>7.3857195064786496E-2</c:v>
                </c:pt>
                <c:pt idx="29">
                  <c:v>6.6093157832901483E-2</c:v>
                </c:pt>
                <c:pt idx="30">
                  <c:v>5.7191171722197565E-2</c:v>
                </c:pt>
                <c:pt idx="31">
                  <c:v>4.6625437405151127E-2</c:v>
                </c:pt>
                <c:pt idx="32">
                  <c:v>3.6556760545894074E-2</c:v>
                </c:pt>
                <c:pt idx="33">
                  <c:v>2.6776266185235875E-2</c:v>
                </c:pt>
                <c:pt idx="34">
                  <c:v>1.7927408565766023E-2</c:v>
                </c:pt>
                <c:pt idx="35">
                  <c:v>1.1008040313650325E-2</c:v>
                </c:pt>
                <c:pt idx="36">
                  <c:v>6.8119929756641495E-3</c:v>
                </c:pt>
                <c:pt idx="37">
                  <c:v>3.9824542606874402E-3</c:v>
                </c:pt>
                <c:pt idx="38">
                  <c:v>2.0228737362728566E-3</c:v>
                </c:pt>
                <c:pt idx="39">
                  <c:v>5.2526323182044976E-4</c:v>
                </c:pt>
                <c:pt idx="40">
                  <c:v>9.1770682120184688E-7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Gompertz!$AM$18</c:f>
              <c:strCache>
                <c:ptCount val="1"/>
                <c:pt idx="0">
                  <c:v>a=0; b=1; TFR=3</c:v>
                </c:pt>
              </c:strCache>
            </c:strRef>
          </c:tx>
          <c:marker>
            <c:symbol val="none"/>
          </c:marker>
          <c:xVal>
            <c:numRef>
              <c:f>Gompertz!$A$6:$A$49</c:f>
              <c:numCache>
                <c:formatCode>General</c:formatCode>
                <c:ptCount val="4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</c:numCache>
            </c:numRef>
          </c:xVal>
          <c:yVal>
            <c:numRef>
              <c:f>Gompertz!$R$6:$R$49</c:f>
              <c:numCache>
                <c:formatCode>0.0000</c:formatCode>
                <c:ptCount val="44"/>
                <c:pt idx="0">
                  <c:v>1.3435349876977748E-10</c:v>
                </c:pt>
                <c:pt idx="1">
                  <c:v>5.4191162140723668E-7</c:v>
                </c:pt>
                <c:pt idx="2">
                  <c:v>6.8335990931917267E-5</c:v>
                </c:pt>
                <c:pt idx="3">
                  <c:v>1.2941113784893361E-3</c:v>
                </c:pt>
                <c:pt idx="4">
                  <c:v>8.027219373752871E-3</c:v>
                </c:pt>
                <c:pt idx="5">
                  <c:v>2.5652367630270706E-2</c:v>
                </c:pt>
                <c:pt idx="6">
                  <c:v>5.6234059602161546E-2</c:v>
                </c:pt>
                <c:pt idx="7">
                  <c:v>8.3510015322307465E-2</c:v>
                </c:pt>
                <c:pt idx="8">
                  <c:v>0.10806748676794131</c:v>
                </c:pt>
                <c:pt idx="9">
                  <c:v>0.12465302829228724</c:v>
                </c:pt>
                <c:pt idx="10">
                  <c:v>0.13810300383021135</c:v>
                </c:pt>
                <c:pt idx="11">
                  <c:v>0.14418899920622993</c:v>
                </c:pt>
                <c:pt idx="12">
                  <c:v>0.14712179948892828</c:v>
                </c:pt>
                <c:pt idx="13">
                  <c:v>0.14794857952431278</c:v>
                </c:pt>
                <c:pt idx="14">
                  <c:v>0.14706298126481937</c:v>
                </c:pt>
                <c:pt idx="15">
                  <c:v>0.14596340854598344</c:v>
                </c:pt>
                <c:pt idx="16">
                  <c:v>0.14322771024812664</c:v>
                </c:pt>
                <c:pt idx="17">
                  <c:v>0.13927379711631749</c:v>
                </c:pt>
                <c:pt idx="18">
                  <c:v>0.13510623724358672</c:v>
                </c:pt>
                <c:pt idx="19">
                  <c:v>0.13031227054058592</c:v>
                </c:pt>
                <c:pt idx="20">
                  <c:v>0.12466195215314746</c:v>
                </c:pt>
                <c:pt idx="21">
                  <c:v>0.11856805980294338</c:v>
                </c:pt>
                <c:pt idx="22">
                  <c:v>0.11262762653311509</c:v>
                </c:pt>
                <c:pt idx="23">
                  <c:v>0.10656860715707539</c:v>
                </c:pt>
                <c:pt idx="24">
                  <c:v>0.10029956096751858</c:v>
                </c:pt>
                <c:pt idx="25">
                  <c:v>9.3996621826954341E-2</c:v>
                </c:pt>
                <c:pt idx="26">
                  <c:v>8.7359735990932164E-2</c:v>
                </c:pt>
                <c:pt idx="27">
                  <c:v>8.0722942608245307E-2</c:v>
                </c:pt>
                <c:pt idx="28">
                  <c:v>7.3857195064786496E-2</c:v>
                </c:pt>
                <c:pt idx="29">
                  <c:v>6.6093157832901483E-2</c:v>
                </c:pt>
                <c:pt idx="30">
                  <c:v>5.7191171722197565E-2</c:v>
                </c:pt>
                <c:pt idx="31">
                  <c:v>4.6625437405151127E-2</c:v>
                </c:pt>
                <c:pt idx="32">
                  <c:v>3.6556760545894074E-2</c:v>
                </c:pt>
                <c:pt idx="33">
                  <c:v>2.6776266185235875E-2</c:v>
                </c:pt>
                <c:pt idx="34">
                  <c:v>1.7927408565766023E-2</c:v>
                </c:pt>
                <c:pt idx="35">
                  <c:v>1.1008040313650325E-2</c:v>
                </c:pt>
                <c:pt idx="36">
                  <c:v>6.8119929756641495E-3</c:v>
                </c:pt>
                <c:pt idx="37">
                  <c:v>3.9824542606874402E-3</c:v>
                </c:pt>
                <c:pt idx="38">
                  <c:v>2.0228737362728566E-3</c:v>
                </c:pt>
                <c:pt idx="39">
                  <c:v>5.2526323182044976E-4</c:v>
                </c:pt>
                <c:pt idx="40">
                  <c:v>9.1770682120184688E-7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47008"/>
        <c:axId val="285948544"/>
      </c:scatterChart>
      <c:valAx>
        <c:axId val="285947008"/>
        <c:scaling>
          <c:orientation val="minMax"/>
          <c:max val="5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285948544"/>
        <c:crosses val="autoZero"/>
        <c:crossBetween val="midCat"/>
      </c:valAx>
      <c:valAx>
        <c:axId val="285948544"/>
        <c:scaling>
          <c:orientation val="minMax"/>
          <c:max val="0.3000000000000001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285947008"/>
        <c:crosses val="autoZero"/>
        <c:crossBetween val="midCat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$O$5" max="295" min="261" page="10" val="270"/>
</file>

<file path=xl/ctrlProps/ctrlProp2.xml><?xml version="1.0" encoding="utf-8"?>
<formControlPr xmlns="http://schemas.microsoft.com/office/spreadsheetml/2009/9/main" objectType="Spin" dx="16" fmlaLink="$O$4" max="260" min="230" page="10" val="260"/>
</file>

<file path=xl/ctrlProps/ctrlProp3.xml><?xml version="1.0" encoding="utf-8"?>
<formControlPr xmlns="http://schemas.microsoft.com/office/spreadsheetml/2009/9/main" objectType="Spin" dx="16" fmlaLink="$I$4" inc="2" max="50" min="10" page="10" val="26"/>
</file>

<file path=xl/ctrlProps/ctrlProp4.xml><?xml version="1.0" encoding="utf-8"?>
<formControlPr xmlns="http://schemas.microsoft.com/office/spreadsheetml/2009/9/main" objectType="Spin" dx="16" fmlaLink="$I$5" inc="2" max="40" min="10" page="10" val="20"/>
</file>

<file path=xl/ctrlProps/ctrlProp5.xml><?xml version="1.0" encoding="utf-8"?>
<formControlPr xmlns="http://schemas.microsoft.com/office/spreadsheetml/2009/9/main" objectType="Spin" dx="16" fmlaLink="$I$6" inc="2" max="290" min="240" page="10" val="280"/>
</file>

<file path=xl/ctrlProps/ctrlProp6.xml><?xml version="1.0" encoding="utf-8"?>
<formControlPr xmlns="http://schemas.microsoft.com/office/spreadsheetml/2009/9/main" objectType="Spin" dx="16" fmlaLink="$I$7" max="10" page="10" val="3"/>
</file>

<file path=xl/ctrlProps/ctrlProp7.xml><?xml version="1.0" encoding="utf-8"?>
<formControlPr xmlns="http://schemas.microsoft.com/office/spreadsheetml/2009/9/main" objectType="Spin" dx="16" fmlaLink="AE1" max="12" page="10" val="6"/>
</file>

<file path=xl/ctrlProps/ctrlProp8.xml><?xml version="1.0" encoding="utf-8"?>
<formControlPr xmlns="http://schemas.microsoft.com/office/spreadsheetml/2009/9/main" objectType="Spin" dx="16" fmlaLink="AE2" inc="5" max="140" min="70" page="10" val="100"/>
</file>

<file path=xl/ctrlProps/ctrlProp9.xml><?xml version="1.0" encoding="utf-8"?>
<formControlPr xmlns="http://schemas.microsoft.com/office/spreadsheetml/2009/9/main" objectType="Spin" dx="16" fmlaLink="AE3" inc="5" max="60" min="15" page="10" val="3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85725</xdr:rowOff>
    </xdr:from>
    <xdr:to>
      <xdr:col>22</xdr:col>
      <xdr:colOff>485775</xdr:colOff>
      <xdr:row>17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20</xdr:row>
      <xdr:rowOff>33337</xdr:rowOff>
    </xdr:from>
    <xdr:to>
      <xdr:col>22</xdr:col>
      <xdr:colOff>276225</xdr:colOff>
      <xdr:row>34</xdr:row>
      <xdr:rowOff>109537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4</xdr:row>
          <xdr:rowOff>28575</xdr:rowOff>
        </xdr:from>
        <xdr:to>
          <xdr:col>15</xdr:col>
          <xdr:colOff>28575</xdr:colOff>
          <xdr:row>5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3</xdr:row>
          <xdr:rowOff>0</xdr:rowOff>
        </xdr:from>
        <xdr:to>
          <xdr:col>15</xdr:col>
          <xdr:colOff>28575</xdr:colOff>
          <xdr:row>3</xdr:row>
          <xdr:rowOff>171450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</xdr:row>
      <xdr:rowOff>76200</xdr:rowOff>
    </xdr:from>
    <xdr:to>
      <xdr:col>16</xdr:col>
      <xdr:colOff>590550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3</xdr:row>
          <xdr:rowOff>38100</xdr:rowOff>
        </xdr:from>
        <xdr:to>
          <xdr:col>8</xdr:col>
          <xdr:colOff>571500</xdr:colOff>
          <xdr:row>4</xdr:row>
          <xdr:rowOff>19050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4</xdr:row>
          <xdr:rowOff>38100</xdr:rowOff>
        </xdr:from>
        <xdr:to>
          <xdr:col>8</xdr:col>
          <xdr:colOff>571500</xdr:colOff>
          <xdr:row>5</xdr:row>
          <xdr:rowOff>19050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5</xdr:row>
          <xdr:rowOff>38100</xdr:rowOff>
        </xdr:from>
        <xdr:to>
          <xdr:col>8</xdr:col>
          <xdr:colOff>571500</xdr:colOff>
          <xdr:row>6</xdr:row>
          <xdr:rowOff>19050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6</xdr:row>
          <xdr:rowOff>38100</xdr:rowOff>
        </xdr:from>
        <xdr:to>
          <xdr:col>8</xdr:col>
          <xdr:colOff>571500</xdr:colOff>
          <xdr:row>7</xdr:row>
          <xdr:rowOff>19050</xdr:rowOff>
        </xdr:to>
        <xdr:sp macro="" textlink="">
          <xdr:nvSpPr>
            <xdr:cNvPr id="2053" name="Spinner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304800</xdr:colOff>
      <xdr:row>20</xdr:row>
      <xdr:rowOff>119062</xdr:rowOff>
    </xdr:from>
    <xdr:to>
      <xdr:col>17</xdr:col>
      <xdr:colOff>0</xdr:colOff>
      <xdr:row>35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552450</xdr:colOff>
      <xdr:row>1</xdr:row>
      <xdr:rowOff>19050</xdr:rowOff>
    </xdr:from>
    <xdr:to>
      <xdr:col>40</xdr:col>
      <xdr:colOff>247650</xdr:colOff>
      <xdr:row>15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0</xdr:row>
          <xdr:rowOff>0</xdr:rowOff>
        </xdr:from>
        <xdr:to>
          <xdr:col>31</xdr:col>
          <xdr:colOff>19050</xdr:colOff>
          <xdr:row>1</xdr:row>
          <xdr:rowOff>0</xdr:rowOff>
        </xdr:to>
        <xdr:sp macro="" textlink="">
          <xdr:nvSpPr>
            <xdr:cNvPr id="6145" name="Spinne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1</xdr:row>
          <xdr:rowOff>0</xdr:rowOff>
        </xdr:from>
        <xdr:to>
          <xdr:col>31</xdr:col>
          <xdr:colOff>19050</xdr:colOff>
          <xdr:row>2</xdr:row>
          <xdr:rowOff>0</xdr:rowOff>
        </xdr:to>
        <xdr:sp macro="" textlink="">
          <xdr:nvSpPr>
            <xdr:cNvPr id="6146" name="Spinner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2</xdr:row>
          <xdr:rowOff>9525</xdr:rowOff>
        </xdr:from>
        <xdr:to>
          <xdr:col>31</xdr:col>
          <xdr:colOff>0</xdr:colOff>
          <xdr:row>3</xdr:row>
          <xdr:rowOff>19050</xdr:rowOff>
        </xdr:to>
        <xdr:sp macro="" textlink="">
          <xdr:nvSpPr>
            <xdr:cNvPr id="6147" name="Spinner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4"/>
  <sheetViews>
    <sheetView workbookViewId="0">
      <selection activeCell="G20" sqref="G20"/>
    </sheetView>
  </sheetViews>
  <sheetFormatPr defaultRowHeight="15" x14ac:dyDescent="0.25"/>
  <cols>
    <col min="1" max="12" width="9.140625" customWidth="1"/>
    <col min="13" max="13" width="15.140625" bestFit="1" customWidth="1"/>
  </cols>
  <sheetData>
    <row r="1" spans="1:16" x14ac:dyDescent="0.25">
      <c r="F1" t="s">
        <v>6</v>
      </c>
      <c r="G1" s="2">
        <f>(N4-N2)*(N3-2*(N5-N2))/(N3*(N5-N4))</f>
        <v>3</v>
      </c>
      <c r="K1" t="str">
        <f>"A = "&amp;N5&amp;"; M = "&amp;N4</f>
        <v>A = 27; M = 26</v>
      </c>
      <c r="M1" t="s">
        <v>2</v>
      </c>
      <c r="N1" s="3">
        <v>3</v>
      </c>
    </row>
    <row r="2" spans="1:16" x14ac:dyDescent="0.25">
      <c r="F2" t="s">
        <v>7</v>
      </c>
      <c r="G2">
        <f>(N3-N4+N2)*(N3-2*(N5-N2))/(N3*(N5-N4))</f>
        <v>6</v>
      </c>
      <c r="M2" t="s">
        <v>3</v>
      </c>
      <c r="N2" s="3">
        <v>15</v>
      </c>
      <c r="P2" t="s">
        <v>22</v>
      </c>
    </row>
    <row r="3" spans="1:16" x14ac:dyDescent="0.25">
      <c r="M3" t="s">
        <v>4</v>
      </c>
      <c r="N3" s="3">
        <v>33</v>
      </c>
    </row>
    <row r="4" spans="1:16" x14ac:dyDescent="0.25">
      <c r="F4" t="s">
        <v>9</v>
      </c>
      <c r="G4">
        <f>N4-N2</f>
        <v>11</v>
      </c>
      <c r="M4" t="s">
        <v>37</v>
      </c>
      <c r="N4" s="3">
        <f>O4/10</f>
        <v>26</v>
      </c>
      <c r="O4">
        <v>260</v>
      </c>
    </row>
    <row r="5" spans="1:16" x14ac:dyDescent="0.25">
      <c r="F5" t="s">
        <v>10</v>
      </c>
      <c r="G5">
        <f>N3-G4</f>
        <v>22</v>
      </c>
      <c r="M5" t="s">
        <v>38</v>
      </c>
      <c r="N5" s="3">
        <f>O5/10</f>
        <v>27</v>
      </c>
      <c r="O5">
        <v>270</v>
      </c>
    </row>
    <row r="6" spans="1:16" x14ac:dyDescent="0.25">
      <c r="M6" t="s">
        <v>11</v>
      </c>
      <c r="N6">
        <f>N5-N2</f>
        <v>12</v>
      </c>
    </row>
    <row r="7" spans="1:16" x14ac:dyDescent="0.25">
      <c r="I7" t="s">
        <v>5</v>
      </c>
    </row>
    <row r="8" spans="1:16" x14ac:dyDescent="0.25">
      <c r="B8" t="s">
        <v>0</v>
      </c>
      <c r="E8" t="s">
        <v>8</v>
      </c>
      <c r="F8" t="s">
        <v>1</v>
      </c>
      <c r="I8" s="4" t="s">
        <v>13</v>
      </c>
      <c r="J8" s="4" t="s">
        <v>14</v>
      </c>
      <c r="K8" s="4" t="s">
        <v>15</v>
      </c>
    </row>
    <row r="9" spans="1:16" x14ac:dyDescent="0.25">
      <c r="A9">
        <f t="shared" ref="A9:A43" si="0">$N$4+B9</f>
        <v>15</v>
      </c>
      <c r="B9">
        <f>-G4</f>
        <v>-11</v>
      </c>
      <c r="C9">
        <f>(1+B9/($N$4-$N$2))</f>
        <v>0</v>
      </c>
      <c r="D9">
        <f>(1-B9/($N$3-$N$4+$N$2))</f>
        <v>1.5</v>
      </c>
      <c r="E9">
        <f>(C9^$G$1)*(D9^$G$2)</f>
        <v>0</v>
      </c>
      <c r="F9">
        <f>$N$1*(E9/SUM($E$9:$E$42))</f>
        <v>0</v>
      </c>
      <c r="H9">
        <f>A9</f>
        <v>15</v>
      </c>
      <c r="I9">
        <v>0</v>
      </c>
      <c r="J9">
        <v>0</v>
      </c>
      <c r="K9">
        <v>0</v>
      </c>
    </row>
    <row r="10" spans="1:16" x14ac:dyDescent="0.25">
      <c r="A10">
        <f t="shared" si="0"/>
        <v>16</v>
      </c>
      <c r="B10">
        <f>B9+1</f>
        <v>-10</v>
      </c>
      <c r="C10">
        <f t="shared" ref="C10:C43" si="1">(1+B10/($N$4-$N$2))</f>
        <v>9.0909090909090939E-2</v>
      </c>
      <c r="D10">
        <f t="shared" ref="D10:D43" si="2">(1-(B10/($N$3-$N$4+$N$2)))</f>
        <v>1.4545454545454546</v>
      </c>
      <c r="E10">
        <f t="shared" ref="E10:E43" si="3">(C10^$G$1)*(D10^$G$2)</f>
        <v>7.115177348520756E-3</v>
      </c>
      <c r="F10">
        <f t="shared" ref="F10:F43" si="4">$N$1*(E10/SUM($E$9:$E$42))</f>
        <v>1.7666823297355456E-3</v>
      </c>
      <c r="H10">
        <f t="shared" ref="H10:H42" si="5">A10</f>
        <v>16</v>
      </c>
      <c r="I10">
        <v>4.3916299914778835E-3</v>
      </c>
      <c r="J10">
        <v>3.1113271754982956E-2</v>
      </c>
      <c r="K10">
        <v>5.9188237643365074E-2</v>
      </c>
    </row>
    <row r="11" spans="1:16" x14ac:dyDescent="0.25">
      <c r="A11">
        <f t="shared" si="0"/>
        <v>17</v>
      </c>
      <c r="B11">
        <f t="shared" ref="B11:B43" si="6">B10+1</f>
        <v>-9</v>
      </c>
      <c r="C11">
        <f t="shared" si="1"/>
        <v>0.18181818181818177</v>
      </c>
      <c r="D11">
        <f t="shared" si="2"/>
        <v>1.4090909090909092</v>
      </c>
      <c r="E11">
        <f t="shared" si="3"/>
        <v>4.704852467611418E-2</v>
      </c>
      <c r="F11">
        <f t="shared" si="4"/>
        <v>1.1682041516884789E-2</v>
      </c>
      <c r="H11">
        <f t="shared" si="5"/>
        <v>17</v>
      </c>
      <c r="I11">
        <v>1.9764034120161349E-2</v>
      </c>
      <c r="J11">
        <v>5.8398152649489513E-2</v>
      </c>
      <c r="K11">
        <v>8.0032277481862396E-2</v>
      </c>
    </row>
    <row r="12" spans="1:16" x14ac:dyDescent="0.25">
      <c r="A12">
        <f t="shared" si="0"/>
        <v>18</v>
      </c>
      <c r="B12">
        <f t="shared" si="6"/>
        <v>-8</v>
      </c>
      <c r="C12">
        <f t="shared" si="1"/>
        <v>0.27272727272727271</v>
      </c>
      <c r="D12">
        <f t="shared" si="2"/>
        <v>1.3636363636363638</v>
      </c>
      <c r="E12">
        <f t="shared" si="3"/>
        <v>0.13042989722540033</v>
      </c>
      <c r="F12">
        <f t="shared" si="4"/>
        <v>3.2385446407072901E-2</v>
      </c>
      <c r="H12">
        <f t="shared" si="5"/>
        <v>18</v>
      </c>
      <c r="I12">
        <v>4.4514386636781339E-2</v>
      </c>
      <c r="J12">
        <v>8.2036947010209027E-2</v>
      </c>
      <c r="K12">
        <v>9.4187907788995648E-2</v>
      </c>
    </row>
    <row r="13" spans="1:16" x14ac:dyDescent="0.25">
      <c r="A13">
        <f t="shared" si="0"/>
        <v>19</v>
      </c>
      <c r="B13">
        <f t="shared" si="6"/>
        <v>-7</v>
      </c>
      <c r="C13">
        <f t="shared" si="1"/>
        <v>0.36363636363636365</v>
      </c>
      <c r="D13">
        <f t="shared" si="2"/>
        <v>1.3181818181818181</v>
      </c>
      <c r="E13">
        <f t="shared" si="3"/>
        <v>0.25226315378851205</v>
      </c>
      <c r="F13">
        <f t="shared" si="4"/>
        <v>6.2636366517860476E-2</v>
      </c>
      <c r="H13">
        <f t="shared" si="5"/>
        <v>19</v>
      </c>
      <c r="I13">
        <v>7.5269789942047541E-2</v>
      </c>
      <c r="J13">
        <v>0.1022119591638308</v>
      </c>
      <c r="K13">
        <v>0.10465303800471551</v>
      </c>
    </row>
    <row r="14" spans="1:16" x14ac:dyDescent="0.25">
      <c r="A14">
        <f t="shared" si="0"/>
        <v>20</v>
      </c>
      <c r="B14">
        <f t="shared" si="6"/>
        <v>-6</v>
      </c>
      <c r="C14">
        <f t="shared" si="1"/>
        <v>0.45454545454545459</v>
      </c>
      <c r="D14">
        <f t="shared" si="2"/>
        <v>1.2727272727272727</v>
      </c>
      <c r="E14">
        <f t="shared" si="3"/>
        <v>0.39915728563123593</v>
      </c>
      <c r="F14">
        <f t="shared" si="4"/>
        <v>9.9109844880608103E-2</v>
      </c>
      <c r="H14">
        <f t="shared" si="5"/>
        <v>20</v>
      </c>
      <c r="I14">
        <v>0.108471284687117</v>
      </c>
      <c r="J14">
        <v>0.11910549343704424</v>
      </c>
      <c r="K14">
        <v>0.11261154581851807</v>
      </c>
    </row>
    <row r="15" spans="1:16" x14ac:dyDescent="0.25">
      <c r="A15">
        <f t="shared" si="0"/>
        <v>21</v>
      </c>
      <c r="B15">
        <f t="shared" si="6"/>
        <v>-5</v>
      </c>
      <c r="C15">
        <f t="shared" si="1"/>
        <v>0.54545454545454541</v>
      </c>
      <c r="D15">
        <f t="shared" si="2"/>
        <v>1.2272727272727273</v>
      </c>
      <c r="E15">
        <f t="shared" si="3"/>
        <v>0.55452636009091161</v>
      </c>
      <c r="F15">
        <f t="shared" si="4"/>
        <v>0.13768763219216981</v>
      </c>
      <c r="H15">
        <f t="shared" si="5"/>
        <v>21</v>
      </c>
      <c r="I15">
        <v>0.14093163290446736</v>
      </c>
      <c r="J15">
        <v>0.13289985415653865</v>
      </c>
      <c r="K15">
        <v>0.11868279380110974</v>
      </c>
    </row>
    <row r="16" spans="1:16" x14ac:dyDescent="0.25">
      <c r="A16">
        <f t="shared" si="0"/>
        <v>22</v>
      </c>
      <c r="B16">
        <f t="shared" si="6"/>
        <v>-4</v>
      </c>
      <c r="C16">
        <f t="shared" si="1"/>
        <v>0.63636363636363635</v>
      </c>
      <c r="D16">
        <f t="shared" si="2"/>
        <v>1.1818181818181819</v>
      </c>
      <c r="E16">
        <f t="shared" si="3"/>
        <v>0.70213410302493462</v>
      </c>
      <c r="F16">
        <f t="shared" si="4"/>
        <v>0.17433829856352887</v>
      </c>
      <c r="H16">
        <f t="shared" si="5"/>
        <v>22</v>
      </c>
      <c r="I16">
        <v>0.17006978378308266</v>
      </c>
      <c r="J16">
        <v>0.14377734564900341</v>
      </c>
      <c r="K16">
        <v>0.12324205999109172</v>
      </c>
    </row>
    <row r="17" spans="1:11" x14ac:dyDescent="0.25">
      <c r="A17">
        <f t="shared" si="0"/>
        <v>23</v>
      </c>
      <c r="B17">
        <f t="shared" si="6"/>
        <v>-3</v>
      </c>
      <c r="C17">
        <f t="shared" si="1"/>
        <v>0.72727272727272729</v>
      </c>
      <c r="D17">
        <f t="shared" si="2"/>
        <v>1.1363636363636362</v>
      </c>
      <c r="E17">
        <f t="shared" si="3"/>
        <v>0.82831566088375896</v>
      </c>
      <c r="F17">
        <f t="shared" si="4"/>
        <v>0.20566889198212213</v>
      </c>
      <c r="H17">
        <f t="shared" si="5"/>
        <v>23</v>
      </c>
      <c r="I17">
        <v>0.19399117223584028</v>
      </c>
      <c r="J17">
        <v>0.15192027224112786</v>
      </c>
      <c r="K17">
        <v>0.12653863346107938</v>
      </c>
    </row>
    <row r="18" spans="1:11" x14ac:dyDescent="0.25">
      <c r="A18">
        <f t="shared" si="0"/>
        <v>24</v>
      </c>
      <c r="B18">
        <f t="shared" si="6"/>
        <v>-2</v>
      </c>
      <c r="C18">
        <f t="shared" si="1"/>
        <v>0.81818181818181812</v>
      </c>
      <c r="D18">
        <f t="shared" si="2"/>
        <v>1.0909090909090908</v>
      </c>
      <c r="E18">
        <f t="shared" si="3"/>
        <v>0.9231682044128936</v>
      </c>
      <c r="F18">
        <f t="shared" si="4"/>
        <v>0.22922056249926426</v>
      </c>
      <c r="H18">
        <f t="shared" si="5"/>
        <v>24</v>
      </c>
      <c r="I18">
        <v>0.2114830431424275</v>
      </c>
      <c r="J18">
        <v>0.15751093825960136</v>
      </c>
      <c r="K18">
        <v>0.12874893799141257</v>
      </c>
    </row>
    <row r="19" spans="1:11" x14ac:dyDescent="0.25">
      <c r="A19">
        <f t="shared" si="0"/>
        <v>25</v>
      </c>
      <c r="B19">
        <f t="shared" si="6"/>
        <v>-1</v>
      </c>
      <c r="C19">
        <f t="shared" si="1"/>
        <v>0.90909090909090906</v>
      </c>
      <c r="D19">
        <f t="shared" si="2"/>
        <v>1.0454545454545454</v>
      </c>
      <c r="E19">
        <f t="shared" si="3"/>
        <v>0.98096356185239841</v>
      </c>
      <c r="F19">
        <f t="shared" si="4"/>
        <v>0.24357101811374737</v>
      </c>
      <c r="H19">
        <f t="shared" si="5"/>
        <v>25</v>
      </c>
      <c r="I19">
        <v>0.22196040412930854</v>
      </c>
      <c r="J19">
        <v>0.16073164803111328</v>
      </c>
      <c r="K19">
        <v>0.13000374280308974</v>
      </c>
    </row>
    <row r="20" spans="1:11" x14ac:dyDescent="0.25">
      <c r="A20">
        <f t="shared" si="0"/>
        <v>26</v>
      </c>
      <c r="B20">
        <f t="shared" si="6"/>
        <v>0</v>
      </c>
      <c r="C20">
        <f t="shared" si="1"/>
        <v>1</v>
      </c>
      <c r="D20">
        <f t="shared" si="2"/>
        <v>1</v>
      </c>
      <c r="E20">
        <f t="shared" si="3"/>
        <v>1</v>
      </c>
      <c r="F20">
        <f t="shared" si="4"/>
        <v>0.2482977223474041</v>
      </c>
      <c r="H20">
        <f t="shared" si="5"/>
        <v>26</v>
      </c>
      <c r="I20">
        <v>0.22538358938555722</v>
      </c>
      <c r="J20">
        <v>0.16176470588235298</v>
      </c>
      <c r="K20">
        <v>0.13040344869538364</v>
      </c>
    </row>
    <row r="21" spans="1:11" x14ac:dyDescent="0.25">
      <c r="A21">
        <f t="shared" si="0"/>
        <v>27</v>
      </c>
      <c r="B21">
        <f>B20+1</f>
        <v>1</v>
      </c>
      <c r="C21">
        <f t="shared" si="1"/>
        <v>1.0909090909090908</v>
      </c>
      <c r="D21">
        <f t="shared" si="2"/>
        <v>0.95454545454545459</v>
      </c>
      <c r="E21">
        <f t="shared" si="3"/>
        <v>0.982076606634952</v>
      </c>
      <c r="F21">
        <f t="shared" si="4"/>
        <v>0.24384738459812613</v>
      </c>
      <c r="H21">
        <f t="shared" si="5"/>
        <v>27</v>
      </c>
      <c r="I21">
        <v>0.22216092509873811</v>
      </c>
      <c r="J21">
        <v>0.16079241614000972</v>
      </c>
      <c r="K21">
        <v>0.13002729188743403</v>
      </c>
    </row>
    <row r="22" spans="1:11" x14ac:dyDescent="0.25">
      <c r="A22">
        <f t="shared" si="0"/>
        <v>28</v>
      </c>
      <c r="B22">
        <f t="shared" si="6"/>
        <v>2</v>
      </c>
      <c r="C22">
        <f t="shared" si="1"/>
        <v>1.1818181818181819</v>
      </c>
      <c r="D22">
        <f t="shared" si="2"/>
        <v>0.90909090909090906</v>
      </c>
      <c r="E22">
        <f t="shared" si="3"/>
        <v>0.93174246756434931</v>
      </c>
      <c r="F22">
        <f t="shared" si="4"/>
        <v>0.23134953251057799</v>
      </c>
      <c r="H22">
        <f t="shared" si="5"/>
        <v>28</v>
      </c>
      <c r="I22">
        <v>0.21304567513087386</v>
      </c>
      <c r="J22">
        <v>0.15799708313077299</v>
      </c>
      <c r="K22">
        <v>0.12893919321198194</v>
      </c>
    </row>
    <row r="23" spans="1:11" x14ac:dyDescent="0.25">
      <c r="A23">
        <f t="shared" si="0"/>
        <v>29</v>
      </c>
      <c r="B23">
        <f t="shared" si="6"/>
        <v>3</v>
      </c>
      <c r="C23">
        <f t="shared" si="1"/>
        <v>1.2727272727272727</v>
      </c>
      <c r="D23">
        <f t="shared" si="2"/>
        <v>0.86363636363636365</v>
      </c>
      <c r="E23">
        <f t="shared" si="3"/>
        <v>0.85544397595162758</v>
      </c>
      <c r="F23">
        <f t="shared" si="4"/>
        <v>0.21240479082459668</v>
      </c>
      <c r="H23">
        <f t="shared" si="5"/>
        <v>29</v>
      </c>
      <c r="I23">
        <v>0.19903373423715043</v>
      </c>
      <c r="J23">
        <v>0.15356101118133203</v>
      </c>
      <c r="K23">
        <v>0.12719163917433407</v>
      </c>
    </row>
    <row r="24" spans="1:11" x14ac:dyDescent="0.25">
      <c r="A24">
        <f t="shared" si="0"/>
        <v>30</v>
      </c>
      <c r="B24">
        <f t="shared" si="6"/>
        <v>4</v>
      </c>
      <c r="C24">
        <f t="shared" si="1"/>
        <v>1.3636363636363638</v>
      </c>
      <c r="D24">
        <f t="shared" si="2"/>
        <v>0.81818181818181812</v>
      </c>
      <c r="E24">
        <f t="shared" si="3"/>
        <v>0.76066716061853445</v>
      </c>
      <c r="F24">
        <f t="shared" si="4"/>
        <v>0.18887192344604914</v>
      </c>
      <c r="H24">
        <f t="shared" si="5"/>
        <v>30</v>
      </c>
      <c r="I24">
        <v>0.18126670680338847</v>
      </c>
      <c r="J24">
        <v>0.14766650461837627</v>
      </c>
      <c r="K24">
        <v>0.12482834865874415</v>
      </c>
    </row>
    <row r="25" spans="1:11" x14ac:dyDescent="0.25">
      <c r="A25">
        <f t="shared" si="0"/>
        <v>31</v>
      </c>
      <c r="B25">
        <f t="shared" si="6"/>
        <v>5</v>
      </c>
      <c r="C25">
        <f t="shared" si="1"/>
        <v>1.4545454545454546</v>
      </c>
      <c r="D25">
        <f t="shared" si="2"/>
        <v>0.77272727272727271</v>
      </c>
      <c r="E25">
        <f t="shared" si="3"/>
        <v>0.65514787367689731</v>
      </c>
      <c r="F25">
        <f t="shared" si="4"/>
        <v>0.16267172483471842</v>
      </c>
      <c r="H25">
        <f t="shared" si="5"/>
        <v>31</v>
      </c>
      <c r="I25">
        <v>0.16094370115224915</v>
      </c>
      <c r="J25">
        <v>0.14049586776859502</v>
      </c>
      <c r="K25">
        <v>0.12188615796201216</v>
      </c>
    </row>
    <row r="26" spans="1:11" x14ac:dyDescent="0.25">
      <c r="A26">
        <f t="shared" si="0"/>
        <v>32</v>
      </c>
      <c r="B26">
        <f t="shared" si="6"/>
        <v>6</v>
      </c>
      <c r="C26">
        <f t="shared" si="1"/>
        <v>1.5454545454545454</v>
      </c>
      <c r="D26">
        <f t="shared" si="2"/>
        <v>0.72727272727272729</v>
      </c>
      <c r="E26">
        <f t="shared" si="3"/>
        <v>0.54620103614503812</v>
      </c>
      <c r="F26">
        <f t="shared" si="4"/>
        <v>0.1356204732186051</v>
      </c>
      <c r="H26">
        <f t="shared" si="5"/>
        <v>32</v>
      </c>
      <c r="I26">
        <v>0.13924418744886902</v>
      </c>
      <c r="J26">
        <v>0.13223140495867769</v>
      </c>
      <c r="K26">
        <v>0.11839638379155754</v>
      </c>
    </row>
    <row r="27" spans="1:11" x14ac:dyDescent="0.25">
      <c r="A27">
        <f t="shared" si="0"/>
        <v>33</v>
      </c>
      <c r="B27">
        <f t="shared" si="6"/>
        <v>7</v>
      </c>
      <c r="C27">
        <f t="shared" si="1"/>
        <v>1.6363636363636362</v>
      </c>
      <c r="D27">
        <f t="shared" si="2"/>
        <v>0.68181818181818188</v>
      </c>
      <c r="E27">
        <f t="shared" si="3"/>
        <v>0.44020090313572613</v>
      </c>
      <c r="F27">
        <f t="shared" si="4"/>
        <v>0.10930088162387107</v>
      </c>
      <c r="H27">
        <f t="shared" si="5"/>
        <v>33</v>
      </c>
      <c r="I27">
        <v>0.11726349817451859</v>
      </c>
      <c r="J27">
        <v>0.12305542051531354</v>
      </c>
      <c r="K27">
        <v>0.11438582572040468</v>
      </c>
    </row>
    <row r="28" spans="1:11" x14ac:dyDescent="0.25">
      <c r="A28">
        <f t="shared" si="0"/>
        <v>34</v>
      </c>
      <c r="B28">
        <f t="shared" si="6"/>
        <v>8</v>
      </c>
      <c r="C28">
        <f t="shared" si="1"/>
        <v>1.7272727272727273</v>
      </c>
      <c r="D28">
        <f t="shared" si="2"/>
        <v>0.63636363636363635</v>
      </c>
      <c r="E28">
        <f t="shared" si="3"/>
        <v>0.34222747776808082</v>
      </c>
      <c r="F28">
        <f t="shared" si="4"/>
        <v>8.4974303254511357E-2</v>
      </c>
      <c r="H28">
        <f t="shared" si="5"/>
        <v>34</v>
      </c>
      <c r="I28">
        <v>9.596192513837154E-2</v>
      </c>
      <c r="J28">
        <v>0.11315021876519203</v>
      </c>
      <c r="K28">
        <v>0.10987751132095916</v>
      </c>
    </row>
    <row r="29" spans="1:11" x14ac:dyDescent="0.25">
      <c r="A29">
        <f t="shared" si="0"/>
        <v>35</v>
      </c>
      <c r="B29">
        <f t="shared" si="6"/>
        <v>9</v>
      </c>
      <c r="C29">
        <f t="shared" si="1"/>
        <v>1.8181818181818183</v>
      </c>
      <c r="D29">
        <f t="shared" si="2"/>
        <v>0.59090909090909083</v>
      </c>
      <c r="E29">
        <f t="shared" si="3"/>
        <v>0.25587977515485927</v>
      </c>
      <c r="F29">
        <f t="shared" si="4"/>
        <v>6.3534365365717438E-2</v>
      </c>
      <c r="H29">
        <f t="shared" si="5"/>
        <v>35</v>
      </c>
      <c r="I29">
        <v>7.6127841962869036E-2</v>
      </c>
      <c r="J29">
        <v>0.1026981040350024</v>
      </c>
      <c r="K29">
        <v>0.10489125101449098</v>
      </c>
    </row>
    <row r="30" spans="1:11" x14ac:dyDescent="0.25">
      <c r="A30">
        <f t="shared" si="0"/>
        <v>36</v>
      </c>
      <c r="B30">
        <f t="shared" si="6"/>
        <v>10</v>
      </c>
      <c r="C30">
        <f t="shared" si="1"/>
        <v>1.9090909090909092</v>
      </c>
      <c r="D30">
        <f t="shared" si="2"/>
        <v>0.54545454545454541</v>
      </c>
      <c r="E30">
        <f t="shared" si="3"/>
        <v>0.18324461464908715</v>
      </c>
      <c r="F30">
        <f t="shared" si="4"/>
        <v>4.5499220449796103E-2</v>
      </c>
      <c r="H30">
        <f t="shared" si="5"/>
        <v>36</v>
      </c>
      <c r="I30">
        <v>5.8354826358542417E-2</v>
      </c>
      <c r="J30">
        <v>9.1881380651434072E-2</v>
      </c>
      <c r="K30">
        <v>9.9444046007126169E-2</v>
      </c>
    </row>
    <row r="31" spans="1:11" x14ac:dyDescent="0.25">
      <c r="A31">
        <f t="shared" si="0"/>
        <v>37</v>
      </c>
      <c r="B31">
        <f t="shared" si="6"/>
        <v>11</v>
      </c>
      <c r="C31">
        <f t="shared" si="1"/>
        <v>2</v>
      </c>
      <c r="D31">
        <f t="shared" si="2"/>
        <v>0.5</v>
      </c>
      <c r="E31">
        <f t="shared" si="3"/>
        <v>0.125</v>
      </c>
      <c r="F31">
        <f t="shared" si="4"/>
        <v>3.1037215293425513E-2</v>
      </c>
      <c r="H31">
        <f t="shared" si="5"/>
        <v>37</v>
      </c>
      <c r="I31">
        <v>4.3032351544892537E-2</v>
      </c>
      <c r="J31">
        <v>8.0882352941176447E-2</v>
      </c>
      <c r="K31">
        <v>9.3550376020763243E-2</v>
      </c>
    </row>
    <row r="32" spans="1:11" x14ac:dyDescent="0.25">
      <c r="A32">
        <f t="shared" si="0"/>
        <v>38</v>
      </c>
      <c r="B32">
        <f t="shared" si="6"/>
        <v>12</v>
      </c>
      <c r="C32">
        <f t="shared" si="1"/>
        <v>2.0909090909090908</v>
      </c>
      <c r="D32">
        <f t="shared" si="2"/>
        <v>0.45454545454545459</v>
      </c>
      <c r="E32">
        <f t="shared" si="3"/>
        <v>8.0624933167781659E-2</v>
      </c>
      <c r="F32">
        <f t="shared" si="4"/>
        <v>2.0018987269971863E-2</v>
      </c>
      <c r="H32">
        <f t="shared" si="5"/>
        <v>38</v>
      </c>
      <c r="I32">
        <v>3.0349245491596014E-2</v>
      </c>
      <c r="J32">
        <v>6.988332523091878E-2</v>
      </c>
      <c r="K32">
        <v>8.7222380296496121E-2</v>
      </c>
    </row>
    <row r="33" spans="1:11" x14ac:dyDescent="0.25">
      <c r="A33">
        <f t="shared" si="0"/>
        <v>39</v>
      </c>
      <c r="B33">
        <f t="shared" si="6"/>
        <v>13</v>
      </c>
      <c r="C33">
        <f t="shared" si="1"/>
        <v>2.1818181818181817</v>
      </c>
      <c r="D33">
        <f t="shared" si="2"/>
        <v>0.40909090909090906</v>
      </c>
      <c r="E33">
        <f t="shared" si="3"/>
        <v>4.8682698279586177E-2</v>
      </c>
      <c r="F33">
        <f t="shared" si="4"/>
        <v>1.2087803100547136E-2</v>
      </c>
      <c r="H33">
        <f t="shared" si="5"/>
        <v>39</v>
      </c>
      <c r="I33">
        <v>2.030876805298383E-2</v>
      </c>
      <c r="J33">
        <v>5.9066601847350478E-2</v>
      </c>
      <c r="K33">
        <v>8.0469932647170145E-2</v>
      </c>
    </row>
    <row r="34" spans="1:11" x14ac:dyDescent="0.25">
      <c r="A34">
        <f t="shared" si="0"/>
        <v>40</v>
      </c>
      <c r="B34">
        <f t="shared" si="6"/>
        <v>14</v>
      </c>
      <c r="C34">
        <f t="shared" si="1"/>
        <v>2.2727272727272725</v>
      </c>
      <c r="D34">
        <f t="shared" si="2"/>
        <v>0.36363636363636365</v>
      </c>
      <c r="E34">
        <f t="shared" si="3"/>
        <v>2.7142247575839027E-2</v>
      </c>
      <c r="F34">
        <f t="shared" si="4"/>
        <v>6.739358252470181E-3</v>
      </c>
      <c r="H34">
        <f t="shared" si="5"/>
        <v>40</v>
      </c>
      <c r="I34">
        <v>1.2753818989733708E-2</v>
      </c>
      <c r="J34">
        <v>4.8614487117160876E-2</v>
      </c>
      <c r="K34">
        <v>7.3300595795252027E-2</v>
      </c>
    </row>
    <row r="35" spans="1:11" x14ac:dyDescent="0.25">
      <c r="A35">
        <f t="shared" si="0"/>
        <v>41</v>
      </c>
      <c r="B35">
        <f t="shared" si="6"/>
        <v>15</v>
      </c>
      <c r="C35">
        <f t="shared" si="1"/>
        <v>2.3636363636363633</v>
      </c>
      <c r="D35">
        <f t="shared" si="2"/>
        <v>0.31818181818181823</v>
      </c>
      <c r="E35">
        <f t="shared" si="3"/>
        <v>1.3702321195809776E-2</v>
      </c>
      <c r="F35">
        <f t="shared" si="4"/>
        <v>3.4022551437921256E-3</v>
      </c>
      <c r="H35">
        <f t="shared" si="5"/>
        <v>41</v>
      </c>
      <c r="I35">
        <v>7.4004540831123736E-3</v>
      </c>
      <c r="J35">
        <v>3.870928536703936E-2</v>
      </c>
      <c r="K35">
        <v>6.5719416254766488E-2</v>
      </c>
    </row>
    <row r="36" spans="1:11" x14ac:dyDescent="0.25">
      <c r="A36">
        <f t="shared" si="0"/>
        <v>42</v>
      </c>
      <c r="B36">
        <f t="shared" si="6"/>
        <v>16</v>
      </c>
      <c r="C36">
        <f t="shared" si="1"/>
        <v>2.4545454545454546</v>
      </c>
      <c r="D36">
        <f t="shared" si="2"/>
        <v>0.27272727272727271</v>
      </c>
      <c r="E36">
        <f t="shared" si="3"/>
        <v>6.0853372849482747E-3</v>
      </c>
      <c r="F36">
        <f t="shared" si="4"/>
        <v>1.5109753875683926E-3</v>
      </c>
      <c r="H36">
        <f t="shared" si="5"/>
        <v>42</v>
      </c>
      <c r="I36">
        <v>3.8775407237155593E-3</v>
      </c>
      <c r="J36">
        <v>2.9533300923675225E-2</v>
      </c>
      <c r="K36">
        <v>5.7728476760559443E-2</v>
      </c>
    </row>
    <row r="37" spans="1:11" x14ac:dyDescent="0.25">
      <c r="A37">
        <f t="shared" si="0"/>
        <v>43</v>
      </c>
      <c r="B37">
        <f t="shared" si="6"/>
        <v>17</v>
      </c>
      <c r="C37">
        <f t="shared" si="1"/>
        <v>2.5454545454545454</v>
      </c>
      <c r="D37">
        <f t="shared" si="2"/>
        <v>0.22727272727272729</v>
      </c>
      <c r="E37">
        <f t="shared" si="3"/>
        <v>2.2728981734650372E-3</v>
      </c>
      <c r="F37">
        <f t="shared" si="4"/>
        <v>5.6435543959894373E-4</v>
      </c>
      <c r="H37">
        <f t="shared" si="5"/>
        <v>43</v>
      </c>
      <c r="I37">
        <v>1.7700140726402964E-3</v>
      </c>
      <c r="J37">
        <v>2.1268838113757887E-2</v>
      </c>
      <c r="K37">
        <v>4.9326029364728435E-2</v>
      </c>
    </row>
    <row r="38" spans="1:11" x14ac:dyDescent="0.25">
      <c r="A38">
        <f t="shared" si="0"/>
        <v>44</v>
      </c>
      <c r="B38">
        <f t="shared" si="6"/>
        <v>18</v>
      </c>
      <c r="C38">
        <f t="shared" si="1"/>
        <v>2.6363636363636367</v>
      </c>
      <c r="D38">
        <f t="shared" si="2"/>
        <v>0.18181818181818177</v>
      </c>
      <c r="E38">
        <f t="shared" si="3"/>
        <v>6.6197227612713714E-4</v>
      </c>
      <c r="F38">
        <f t="shared" si="4"/>
        <v>1.6436620841949503E-4</v>
      </c>
      <c r="H38">
        <f t="shared" si="5"/>
        <v>44</v>
      </c>
      <c r="I38">
        <v>6.6277909157354221E-4</v>
      </c>
      <c r="J38">
        <v>1.409820126397664E-2</v>
      </c>
      <c r="K38">
        <v>4.0504804962211663E-2</v>
      </c>
    </row>
    <row r="39" spans="1:11" x14ac:dyDescent="0.25">
      <c r="A39">
        <f t="shared" si="0"/>
        <v>45</v>
      </c>
      <c r="B39">
        <f t="shared" si="6"/>
        <v>19</v>
      </c>
      <c r="C39">
        <f t="shared" si="1"/>
        <v>2.7272727272727275</v>
      </c>
      <c r="D39">
        <f t="shared" si="2"/>
        <v>0.13636363636363635</v>
      </c>
      <c r="E39">
        <f t="shared" si="3"/>
        <v>1.3042989722540031E-4</v>
      </c>
      <c r="F39">
        <f t="shared" si="4"/>
        <v>3.2385446407072897E-5</v>
      </c>
      <c r="H39">
        <f t="shared" si="5"/>
        <v>45</v>
      </c>
      <c r="I39">
        <v>1.8180737850203974E-4</v>
      </c>
      <c r="J39">
        <v>8.2036947010208881E-3</v>
      </c>
      <c r="K39">
        <v>3.1248450226347594E-2</v>
      </c>
    </row>
    <row r="40" spans="1:11" x14ac:dyDescent="0.25">
      <c r="A40">
        <f t="shared" si="0"/>
        <v>46</v>
      </c>
      <c r="B40">
        <f t="shared" si="6"/>
        <v>20</v>
      </c>
      <c r="C40">
        <f t="shared" si="1"/>
        <v>2.8181818181818183</v>
      </c>
      <c r="D40">
        <f t="shared" si="2"/>
        <v>9.0909090909090939E-2</v>
      </c>
      <c r="E40">
        <f t="shared" si="3"/>
        <v>1.2634292148934726E-5</v>
      </c>
      <c r="F40">
        <f t="shared" si="4"/>
        <v>3.1370659640521821E-6</v>
      </c>
      <c r="H40">
        <f t="shared" si="5"/>
        <v>46</v>
      </c>
      <c r="I40">
        <v>2.8333839346943573E-5</v>
      </c>
      <c r="J40">
        <v>3.767622751579964E-3</v>
      </c>
      <c r="K40">
        <v>2.1522757069392238E-2</v>
      </c>
    </row>
    <row r="41" spans="1:11" x14ac:dyDescent="0.25">
      <c r="A41">
        <f t="shared" si="0"/>
        <v>47</v>
      </c>
      <c r="B41">
        <f t="shared" si="6"/>
        <v>21</v>
      </c>
      <c r="C41">
        <f t="shared" si="1"/>
        <v>2.9090909090909092</v>
      </c>
      <c r="D41">
        <f t="shared" si="2"/>
        <v>4.5454545454545414E-2</v>
      </c>
      <c r="E41">
        <f t="shared" si="3"/>
        <v>2.1713798060671109E-7</v>
      </c>
      <c r="F41">
        <f t="shared" si="4"/>
        <v>5.3914866019761166E-8</v>
      </c>
      <c r="H41">
        <f t="shared" si="5"/>
        <v>47</v>
      </c>
      <c r="I41">
        <v>1.1142680629788775E-6</v>
      </c>
      <c r="J41">
        <v>9.7228974234321282E-4</v>
      </c>
      <c r="K41">
        <v>1.1246508372644131E-2</v>
      </c>
    </row>
    <row r="42" spans="1:11" x14ac:dyDescent="0.25">
      <c r="A42">
        <f t="shared" si="0"/>
        <v>48</v>
      </c>
      <c r="B42">
        <f t="shared" si="6"/>
        <v>22</v>
      </c>
      <c r="C42">
        <f t="shared" si="1"/>
        <v>3</v>
      </c>
      <c r="D42">
        <f t="shared" si="2"/>
        <v>0</v>
      </c>
      <c r="E42">
        <f t="shared" si="3"/>
        <v>0</v>
      </c>
      <c r="F42">
        <f t="shared" si="4"/>
        <v>0</v>
      </c>
      <c r="H42">
        <f t="shared" si="5"/>
        <v>48</v>
      </c>
      <c r="I42">
        <v>0</v>
      </c>
      <c r="J42">
        <v>0</v>
      </c>
      <c r="K42">
        <v>0</v>
      </c>
    </row>
    <row r="43" spans="1:11" x14ac:dyDescent="0.25">
      <c r="A43">
        <f t="shared" si="0"/>
        <v>49</v>
      </c>
      <c r="B43">
        <f t="shared" si="6"/>
        <v>23</v>
      </c>
      <c r="C43">
        <f t="shared" si="1"/>
        <v>3.0909090909090908</v>
      </c>
      <c r="D43">
        <f t="shared" si="2"/>
        <v>-4.5454545454545414E-2</v>
      </c>
      <c r="E43">
        <f t="shared" si="3"/>
        <v>2.6044894988300086E-7</v>
      </c>
      <c r="F43">
        <f t="shared" si="4"/>
        <v>6.4668881043722319E-8</v>
      </c>
      <c r="J43" t="e">
        <v>#NUM!</v>
      </c>
      <c r="K43" t="e">
        <v>#NUM!</v>
      </c>
    </row>
    <row r="44" spans="1:11" x14ac:dyDescent="0.25">
      <c r="I44" t="e">
        <v>#NUM!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14</xdr:col>
                    <xdr:colOff>19050</xdr:colOff>
                    <xdr:row>4</xdr:row>
                    <xdr:rowOff>28575</xdr:rowOff>
                  </from>
                  <to>
                    <xdr:col>15</xdr:col>
                    <xdr:colOff>28575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pinner 3">
              <controlPr defaultSize="0" autoPict="0">
                <anchor moveWithCells="1" sizeWithCells="1">
                  <from>
                    <xdr:col>14</xdr:col>
                    <xdr:colOff>19050</xdr:colOff>
                    <xdr:row>3</xdr:row>
                    <xdr:rowOff>0</xdr:rowOff>
                  </from>
                  <to>
                    <xdr:col>15</xdr:col>
                    <xdr:colOff>28575</xdr:colOff>
                    <xdr:row>3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3"/>
  <sheetViews>
    <sheetView workbookViewId="0">
      <selection activeCell="F11" sqref="F11"/>
    </sheetView>
  </sheetViews>
  <sheetFormatPr defaultRowHeight="15" x14ac:dyDescent="0.25"/>
  <cols>
    <col min="1" max="1" width="9.140625" customWidth="1"/>
    <col min="2" max="2" width="12" customWidth="1"/>
    <col min="3" max="6" width="9.140625" customWidth="1"/>
  </cols>
  <sheetData>
    <row r="1" spans="1:11" x14ac:dyDescent="0.25">
      <c r="K1" t="s">
        <v>22</v>
      </c>
    </row>
    <row r="3" spans="1:11" x14ac:dyDescent="0.25">
      <c r="B3" t="str">
        <f>"R="&amp;C4&amp;"; H="&amp;C5&amp;"; T="&amp;C6&amp;"; d="&amp;C7</f>
        <v>R=3; H=3; T=26; d=2</v>
      </c>
      <c r="E3" t="str">
        <f>"R="&amp;H4&amp;"; H="&amp;H5&amp;"; T="&amp;H6&amp;"; d="&amp;H7</f>
        <v>R=2.6; H=2; T=28; d=3</v>
      </c>
    </row>
    <row r="4" spans="1:11" x14ac:dyDescent="0.25">
      <c r="B4" t="s">
        <v>16</v>
      </c>
      <c r="C4">
        <v>3</v>
      </c>
      <c r="G4" t="s">
        <v>16</v>
      </c>
      <c r="H4">
        <f>I4/10</f>
        <v>2.6</v>
      </c>
      <c r="I4">
        <v>26</v>
      </c>
    </row>
    <row r="5" spans="1:11" x14ac:dyDescent="0.25">
      <c r="B5" t="s">
        <v>17</v>
      </c>
      <c r="C5">
        <v>3</v>
      </c>
      <c r="G5" t="s">
        <v>17</v>
      </c>
      <c r="H5">
        <f>I5/10</f>
        <v>2</v>
      </c>
      <c r="I5">
        <v>20</v>
      </c>
    </row>
    <row r="6" spans="1:11" x14ac:dyDescent="0.25">
      <c r="B6" t="s">
        <v>2</v>
      </c>
      <c r="C6">
        <v>26</v>
      </c>
      <c r="G6" t="s">
        <v>2</v>
      </c>
      <c r="H6">
        <f>I6/10</f>
        <v>28</v>
      </c>
      <c r="I6">
        <v>280</v>
      </c>
    </row>
    <row r="7" spans="1:11" x14ac:dyDescent="0.25">
      <c r="B7" t="s">
        <v>18</v>
      </c>
      <c r="C7">
        <v>2</v>
      </c>
      <c r="G7" t="s">
        <v>18</v>
      </c>
      <c r="H7">
        <f>I7</f>
        <v>3</v>
      </c>
      <c r="I7">
        <v>3</v>
      </c>
    </row>
    <row r="8" spans="1:11" x14ac:dyDescent="0.25">
      <c r="B8" t="s">
        <v>19</v>
      </c>
      <c r="C8" s="1">
        <v>5</v>
      </c>
      <c r="D8" s="1"/>
      <c r="E8" s="1"/>
      <c r="G8" t="s">
        <v>19</v>
      </c>
      <c r="H8" s="1">
        <v>3</v>
      </c>
    </row>
    <row r="10" spans="1:11" x14ac:dyDescent="0.25">
      <c r="B10" t="s">
        <v>1</v>
      </c>
      <c r="C10" t="s">
        <v>20</v>
      </c>
      <c r="E10" t="s">
        <v>1</v>
      </c>
      <c r="F10" t="s">
        <v>20</v>
      </c>
    </row>
    <row r="11" spans="1:11" x14ac:dyDescent="0.25">
      <c r="A11">
        <v>0</v>
      </c>
      <c r="B11">
        <f>IF(A11&lt;=$C$7,0,$C$4*$C$5/($C$6*SQRT(PI()))*(($C$6/(A11-$C$7))^1.5)*EXP(-($C$5^2)*((($C$6^2+(A11-$C$7)^2)/($C$6*(A11-$C$7)))-2)))</f>
        <v>0</v>
      </c>
      <c r="C11">
        <f>B11*$C$8/$B$73</f>
        <v>0</v>
      </c>
      <c r="E11">
        <f>IF(A11&lt;=$H$7,0,$H$4*$H$5/($H$6*SQRT(PI()))*(($H$6/(A11-$H$7))^1.5)*EXP(-($H$5^2)*((($H$6^2+(A11-$H$7)^2)/($H$6*(A11-$H$7)))-2)))</f>
        <v>0</v>
      </c>
      <c r="F11">
        <f>E11*3/$H$8</f>
        <v>0</v>
      </c>
    </row>
    <row r="12" spans="1:11" x14ac:dyDescent="0.25">
      <c r="A12">
        <v>1</v>
      </c>
      <c r="B12">
        <f t="shared" ref="B12:B71" si="0">IF(A12&lt;=$C$7,0,$C$4*$C$5/($C$6*SQRT(PI()))*(($C$6/(A12-$C$7))^1.5)*EXP(-($C$5^2)*((($C$6^2+(A12-$C$7)^2)/($C$6*(A12-$C$7)))-2)))</f>
        <v>0</v>
      </c>
      <c r="C12">
        <f>B12*$C$8/$B$73</f>
        <v>0</v>
      </c>
      <c r="E12">
        <f t="shared" ref="E12:E42" si="1">IF(A12&lt;=$H$7,0,$H$4*$H$5/($H$6*SQRT(PI()))*(($H$6/(A12-$H$7))^1.5)*EXP(-($H$5^2)*((($H$6^2+(A12-$H$7)^2)/($H$6*(A12-$H$7)))-2)))</f>
        <v>0</v>
      </c>
      <c r="F12">
        <f t="shared" ref="F12:F42" si="2">E12*3/$H$8</f>
        <v>0</v>
      </c>
    </row>
    <row r="13" spans="1:11" x14ac:dyDescent="0.25">
      <c r="A13">
        <v>2</v>
      </c>
      <c r="B13">
        <f t="shared" si="0"/>
        <v>0</v>
      </c>
      <c r="C13">
        <f t="shared" ref="C13:C71" si="3">B13*$C$8/$B$73</f>
        <v>0</v>
      </c>
      <c r="E13">
        <f t="shared" si="1"/>
        <v>0</v>
      </c>
      <c r="F13">
        <f t="shared" si="2"/>
        <v>0</v>
      </c>
    </row>
    <row r="14" spans="1:11" x14ac:dyDescent="0.25">
      <c r="A14">
        <v>3</v>
      </c>
      <c r="B14">
        <f t="shared" si="0"/>
        <v>2.8524198543208955E-93</v>
      </c>
      <c r="C14">
        <f t="shared" si="3"/>
        <v>4.75460452021862E-93</v>
      </c>
      <c r="E14">
        <f t="shared" si="1"/>
        <v>0</v>
      </c>
      <c r="F14">
        <f t="shared" si="2"/>
        <v>0</v>
      </c>
    </row>
    <row r="15" spans="1:11" x14ac:dyDescent="0.25">
      <c r="A15">
        <v>4</v>
      </c>
      <c r="B15">
        <f t="shared" si="0"/>
        <v>4.6322302103208975E-43</v>
      </c>
      <c r="C15">
        <f t="shared" si="3"/>
        <v>7.7213116657149922E-43</v>
      </c>
      <c r="E15">
        <f t="shared" si="1"/>
        <v>9.1693644801052303E-45</v>
      </c>
      <c r="F15">
        <f t="shared" si="2"/>
        <v>9.1693644801052303E-45</v>
      </c>
    </row>
    <row r="16" spans="1:11" x14ac:dyDescent="0.25">
      <c r="A16">
        <v>5</v>
      </c>
      <c r="B16">
        <f t="shared" si="0"/>
        <v>1.5445619610646867E-26</v>
      </c>
      <c r="C16">
        <f t="shared" si="3"/>
        <v>2.5745793595958205E-26</v>
      </c>
      <c r="E16">
        <f t="shared" si="1"/>
        <v>5.8781837848579192E-21</v>
      </c>
      <c r="F16">
        <f t="shared" si="2"/>
        <v>5.8781837848579192E-21</v>
      </c>
    </row>
    <row r="17" spans="1:6" x14ac:dyDescent="0.25">
      <c r="A17">
        <v>6</v>
      </c>
      <c r="B17">
        <f t="shared" si="0"/>
        <v>2.0883674806607472E-18</v>
      </c>
      <c r="C17">
        <f t="shared" si="3"/>
        <v>3.4810308336572501E-18</v>
      </c>
      <c r="E17">
        <f t="shared" si="1"/>
        <v>3.5472723348356942E-13</v>
      </c>
      <c r="F17">
        <f t="shared" si="2"/>
        <v>3.5472723348356942E-13</v>
      </c>
    </row>
    <row r="18" spans="1:6" x14ac:dyDescent="0.25">
      <c r="A18">
        <v>7</v>
      </c>
      <c r="B18">
        <f t="shared" si="0"/>
        <v>1.2745434205208839E-13</v>
      </c>
      <c r="C18">
        <f t="shared" si="3"/>
        <v>2.1244943654573775E-13</v>
      </c>
      <c r="E18">
        <f t="shared" si="1"/>
        <v>2.2587050483045755E-9</v>
      </c>
      <c r="F18">
        <f t="shared" si="2"/>
        <v>2.2587050483045755E-9</v>
      </c>
    </row>
    <row r="19" spans="1:6" x14ac:dyDescent="0.25">
      <c r="A19">
        <v>8</v>
      </c>
      <c r="B19">
        <f t="shared" si="0"/>
        <v>1.6739674921233288E-10</v>
      </c>
      <c r="C19">
        <f t="shared" si="3"/>
        <v>2.7902811687038611E-10</v>
      </c>
      <c r="E19">
        <f t="shared" si="1"/>
        <v>3.7887987099298993E-7</v>
      </c>
      <c r="F19">
        <f t="shared" si="2"/>
        <v>3.7887987099298993E-7</v>
      </c>
    </row>
    <row r="20" spans="1:6" x14ac:dyDescent="0.25">
      <c r="A20">
        <v>9</v>
      </c>
      <c r="B20">
        <f t="shared" si="0"/>
        <v>2.4696466213944887E-8</v>
      </c>
      <c r="C20">
        <f t="shared" si="3"/>
        <v>4.1165724504538137E-8</v>
      </c>
      <c r="E20">
        <f t="shared" si="1"/>
        <v>1.0448493110521897E-5</v>
      </c>
      <c r="F20">
        <f t="shared" si="2"/>
        <v>1.0448493110521897E-5</v>
      </c>
    </row>
    <row r="21" spans="1:6" x14ac:dyDescent="0.25">
      <c r="A21">
        <v>10</v>
      </c>
      <c r="B21">
        <f t="shared" si="0"/>
        <v>9.3335036787021696E-7</v>
      </c>
      <c r="C21">
        <f t="shared" si="3"/>
        <v>1.5557709259740014E-6</v>
      </c>
      <c r="E21">
        <f t="shared" si="1"/>
        <v>1.0344512430329839E-4</v>
      </c>
      <c r="F21">
        <f t="shared" si="2"/>
        <v>1.0344512430329838E-4</v>
      </c>
    </row>
    <row r="22" spans="1:6" x14ac:dyDescent="0.25">
      <c r="A22">
        <v>11</v>
      </c>
      <c r="B22">
        <f t="shared" si="0"/>
        <v>1.4270535827280892E-5</v>
      </c>
      <c r="C22">
        <f t="shared" si="3"/>
        <v>2.3787085217328709E-5</v>
      </c>
      <c r="E22">
        <f t="shared" si="1"/>
        <v>5.4233670762616885E-4</v>
      </c>
      <c r="F22">
        <f t="shared" si="2"/>
        <v>5.4233670762616885E-4</v>
      </c>
    </row>
    <row r="23" spans="1:6" x14ac:dyDescent="0.25">
      <c r="A23">
        <v>12</v>
      </c>
      <c r="B23">
        <f t="shared" si="0"/>
        <v>1.1604782148767053E-4</v>
      </c>
      <c r="C23">
        <f t="shared" si="3"/>
        <v>1.9343628385245736E-4</v>
      </c>
      <c r="E23">
        <f t="shared" si="1"/>
        <v>1.8666691147948263E-3</v>
      </c>
      <c r="F23">
        <f t="shared" si="2"/>
        <v>1.8666691147948263E-3</v>
      </c>
    </row>
    <row r="24" spans="1:6" x14ac:dyDescent="0.25">
      <c r="A24">
        <v>13</v>
      </c>
      <c r="B24">
        <f t="shared" si="0"/>
        <v>5.9714261548272094E-4</v>
      </c>
      <c r="C24">
        <f t="shared" si="3"/>
        <v>9.9535731897549347E-4</v>
      </c>
      <c r="E24">
        <f t="shared" si="1"/>
        <v>4.7956159109570915E-3</v>
      </c>
      <c r="F24">
        <f t="shared" si="2"/>
        <v>4.7956159109570915E-3</v>
      </c>
    </row>
    <row r="25" spans="1:6" x14ac:dyDescent="0.25">
      <c r="A25">
        <v>14</v>
      </c>
      <c r="B25">
        <f t="shared" si="0"/>
        <v>2.1824695437406474E-3</v>
      </c>
      <c r="C25">
        <f t="shared" si="3"/>
        <v>3.6378864570690123E-3</v>
      </c>
      <c r="E25">
        <f t="shared" si="1"/>
        <v>9.9747964274113539E-3</v>
      </c>
      <c r="F25">
        <f t="shared" si="2"/>
        <v>9.9747964274113539E-3</v>
      </c>
    </row>
    <row r="26" spans="1:6" x14ac:dyDescent="0.25">
      <c r="A26">
        <v>15</v>
      </c>
      <c r="B26">
        <f t="shared" si="0"/>
        <v>6.1364054934526244E-3</v>
      </c>
      <c r="C26">
        <f t="shared" si="3"/>
        <v>1.0228571804696853E-2</v>
      </c>
      <c r="E26">
        <f t="shared" si="1"/>
        <v>1.7728476603591749E-2</v>
      </c>
      <c r="F26">
        <f t="shared" si="2"/>
        <v>1.7728476603591749E-2</v>
      </c>
    </row>
    <row r="27" spans="1:6" x14ac:dyDescent="0.25">
      <c r="A27">
        <v>16</v>
      </c>
      <c r="B27">
        <f t="shared" si="0"/>
        <v>1.4050214007888695E-2</v>
      </c>
      <c r="C27">
        <f t="shared" si="3"/>
        <v>2.3419838047597338E-2</v>
      </c>
      <c r="E27">
        <f t="shared" si="1"/>
        <v>2.7943921771108188E-2</v>
      </c>
      <c r="F27">
        <f t="shared" si="2"/>
        <v>2.7943921771108188E-2</v>
      </c>
    </row>
    <row r="28" spans="1:6" x14ac:dyDescent="0.25">
      <c r="A28">
        <v>17</v>
      </c>
      <c r="B28">
        <f t="shared" si="0"/>
        <v>2.7310744288418908E-2</v>
      </c>
      <c r="C28">
        <f t="shared" si="3"/>
        <v>4.5523378351033997E-2</v>
      </c>
      <c r="E28">
        <f t="shared" si="1"/>
        <v>4.0107575124082556E-2</v>
      </c>
      <c r="F28">
        <f t="shared" si="2"/>
        <v>4.0107575124082556E-2</v>
      </c>
    </row>
    <row r="29" spans="1:6" x14ac:dyDescent="0.25">
      <c r="A29">
        <v>18</v>
      </c>
      <c r="B29">
        <f t="shared" si="0"/>
        <v>4.64937809474439E-2</v>
      </c>
      <c r="C29">
        <f t="shared" si="3"/>
        <v>7.7498949083497026E-2</v>
      </c>
      <c r="E29">
        <f t="shared" si="1"/>
        <v>5.3439603280382428E-2</v>
      </c>
      <c r="F29">
        <f t="shared" si="2"/>
        <v>5.3439603280382421E-2</v>
      </c>
    </row>
    <row r="30" spans="1:6" x14ac:dyDescent="0.25">
      <c r="A30">
        <v>19</v>
      </c>
      <c r="B30">
        <f t="shared" si="0"/>
        <v>7.0988784469965885E-2</v>
      </c>
      <c r="C30">
        <f t="shared" si="3"/>
        <v>0.11832886207633091</v>
      </c>
      <c r="E30">
        <f t="shared" si="1"/>
        <v>6.7057727148480198E-2</v>
      </c>
      <c r="F30">
        <f t="shared" si="2"/>
        <v>6.7057727148480198E-2</v>
      </c>
    </row>
    <row r="31" spans="1:6" x14ac:dyDescent="0.25">
      <c r="A31">
        <v>20</v>
      </c>
      <c r="B31">
        <f t="shared" si="0"/>
        <v>9.902143232056293E-2</v>
      </c>
      <c r="C31">
        <f t="shared" si="3"/>
        <v>0.16505555765105295</v>
      </c>
      <c r="E31">
        <f t="shared" si="1"/>
        <v>8.0119917249014364E-2</v>
      </c>
      <c r="F31">
        <f t="shared" si="2"/>
        <v>8.0119917249014364E-2</v>
      </c>
    </row>
    <row r="32" spans="1:6" x14ac:dyDescent="0.25">
      <c r="A32">
        <v>21</v>
      </c>
      <c r="B32">
        <f t="shared" si="0"/>
        <v>0.12803352747857971</v>
      </c>
      <c r="C32">
        <f t="shared" si="3"/>
        <v>0.2134148616190028</v>
      </c>
      <c r="E32">
        <f t="shared" si="1"/>
        <v>9.1922220142708219E-2</v>
      </c>
      <c r="F32">
        <f t="shared" si="2"/>
        <v>9.1922220142708219E-2</v>
      </c>
    </row>
    <row r="33" spans="1:6" x14ac:dyDescent="0.25">
      <c r="A33">
        <v>22</v>
      </c>
      <c r="B33">
        <f t="shared" si="0"/>
        <v>0.15524241283579568</v>
      </c>
      <c r="C33">
        <f t="shared" si="3"/>
        <v>0.25876845467914122</v>
      </c>
      <c r="E33">
        <f t="shared" si="1"/>
        <v>0.1019487454692647</v>
      </c>
      <c r="F33">
        <f t="shared" si="2"/>
        <v>0.1019487454692647</v>
      </c>
    </row>
    <row r="34" spans="1:6" x14ac:dyDescent="0.25">
      <c r="A34">
        <v>23</v>
      </c>
      <c r="B34">
        <f t="shared" si="0"/>
        <v>0.17817952576366625</v>
      </c>
      <c r="C34">
        <f t="shared" si="3"/>
        <v>0.29700157125292226</v>
      </c>
      <c r="E34">
        <f t="shared" si="1"/>
        <v>0.10988231717733388</v>
      </c>
      <c r="F34">
        <f t="shared" si="2"/>
        <v>0.10988231717733388</v>
      </c>
    </row>
    <row r="35" spans="1:6" x14ac:dyDescent="0.25">
      <c r="A35">
        <v>24</v>
      </c>
      <c r="B35">
        <f t="shared" si="0"/>
        <v>0.19506859201163623</v>
      </c>
      <c r="C35">
        <f t="shared" si="3"/>
        <v>0.32515339841231772</v>
      </c>
      <c r="E35">
        <f t="shared" si="1"/>
        <v>0.11558824067669278</v>
      </c>
      <c r="F35">
        <f t="shared" si="2"/>
        <v>0.11558824067669278</v>
      </c>
    </row>
    <row r="36" spans="1:6" x14ac:dyDescent="0.25">
      <c r="A36">
        <v>25</v>
      </c>
      <c r="B36">
        <f t="shared" si="0"/>
        <v>0.20499187690382847</v>
      </c>
      <c r="C36">
        <f t="shared" si="3"/>
        <v>0.34169419451299105</v>
      </c>
      <c r="E36">
        <f t="shared" si="1"/>
        <v>0.11908306834782836</v>
      </c>
      <c r="F36">
        <f t="shared" si="2"/>
        <v>0.11908306834782838</v>
      </c>
    </row>
    <row r="37" spans="1:6" x14ac:dyDescent="0.25">
      <c r="A37">
        <v>26</v>
      </c>
      <c r="B37">
        <f t="shared" si="0"/>
        <v>0.20786526994759844</v>
      </c>
      <c r="C37">
        <f t="shared" si="3"/>
        <v>0.34648375855054964</v>
      </c>
      <c r="E37">
        <f t="shared" si="1"/>
        <v>0.12049766675727845</v>
      </c>
      <c r="F37">
        <f t="shared" si="2"/>
        <v>0.12049766675727845</v>
      </c>
    </row>
    <row r="38" spans="1:6" x14ac:dyDescent="0.25">
      <c r="A38">
        <v>27</v>
      </c>
      <c r="B38">
        <f t="shared" si="0"/>
        <v>0.20428238794021583</v>
      </c>
      <c r="C38">
        <f t="shared" si="3"/>
        <v>0.34051157077394795</v>
      </c>
      <c r="E38">
        <f t="shared" si="1"/>
        <v>0.12004088294549216</v>
      </c>
      <c r="F38">
        <f t="shared" si="2"/>
        <v>0.12004088294549216</v>
      </c>
    </row>
    <row r="39" spans="1:6" x14ac:dyDescent="0.25">
      <c r="A39">
        <v>28</v>
      </c>
      <c r="B39">
        <f t="shared" si="0"/>
        <v>0.19529639430499257</v>
      </c>
      <c r="C39">
        <f t="shared" si="3"/>
        <v>0.32553311453723094</v>
      </c>
      <c r="E39">
        <f t="shared" si="1"/>
        <v>0.1179674699419766</v>
      </c>
      <c r="F39">
        <f t="shared" si="2"/>
        <v>0.1179674699419766</v>
      </c>
    </row>
    <row r="40" spans="1:6" x14ac:dyDescent="0.25">
      <c r="A40">
        <v>29</v>
      </c>
      <c r="B40">
        <f t="shared" si="0"/>
        <v>0.18219679071219375</v>
      </c>
      <c r="C40">
        <f t="shared" si="3"/>
        <v>0.30369781761870562</v>
      </c>
      <c r="E40">
        <f t="shared" si="1"/>
        <v>0.11455194494064834</v>
      </c>
      <c r="F40">
        <f t="shared" si="2"/>
        <v>0.11455194494064834</v>
      </c>
    </row>
    <row r="41" spans="1:6" x14ac:dyDescent="0.25">
      <c r="A41">
        <v>30</v>
      </c>
      <c r="B41">
        <f t="shared" si="0"/>
        <v>0.16631870672420668</v>
      </c>
      <c r="C41">
        <f t="shared" si="3"/>
        <v>0.2772311634242558</v>
      </c>
      <c r="E41">
        <f t="shared" si="1"/>
        <v>0.11006872158836052</v>
      </c>
      <c r="F41">
        <f t="shared" si="2"/>
        <v>0.11006872158836052</v>
      </c>
    </row>
    <row r="42" spans="1:6" x14ac:dyDescent="0.25">
      <c r="A42">
        <v>31</v>
      </c>
      <c r="B42">
        <f t="shared" si="0"/>
        <v>0.14890259714118539</v>
      </c>
      <c r="C42">
        <f t="shared" si="3"/>
        <v>0.24820082512303451</v>
      </c>
      <c r="E42">
        <f t="shared" si="1"/>
        <v>0.10477806551601189</v>
      </c>
      <c r="F42">
        <f t="shared" si="2"/>
        <v>0.10477806551601189</v>
      </c>
    </row>
    <row r="43" spans="1:6" x14ac:dyDescent="0.25">
      <c r="A43">
        <v>32</v>
      </c>
      <c r="B43">
        <f t="shared" si="0"/>
        <v>0.13100712686825289</v>
      </c>
      <c r="C43">
        <f t="shared" si="3"/>
        <v>0.21837145630755905</v>
      </c>
      <c r="E43">
        <f t="shared" ref="E43:E71" si="4">IF(A43&lt;=$H$7,0,$H$4*$H$5/($H$6*SQRT(PI()))*(($H$6/(A43-$H$7))^1.5)*EXP(-($H$5^2)*((($H$6^2+(A43-$H$7)^2)/($H$6*(A43-$H$7)))-2)))</f>
        <v>9.8917024602876991E-2</v>
      </c>
      <c r="F43">
        <f t="shared" ref="F43:F71" si="5">E43*3/$H$8</f>
        <v>9.8917024602876991E-2</v>
      </c>
    </row>
    <row r="44" spans="1:6" x14ac:dyDescent="0.25">
      <c r="A44">
        <v>33</v>
      </c>
      <c r="B44">
        <f t="shared" si="0"/>
        <v>0.11346858881987078</v>
      </c>
      <c r="C44">
        <f t="shared" si="3"/>
        <v>0.18913704603778583</v>
      </c>
      <c r="E44">
        <f t="shared" si="4"/>
        <v>9.2694350350019092E-2</v>
      </c>
      <c r="F44">
        <f t="shared" si="5"/>
        <v>9.2694350350019092E-2</v>
      </c>
    </row>
    <row r="45" spans="1:6" x14ac:dyDescent="0.25">
      <c r="A45">
        <v>34</v>
      </c>
      <c r="B45">
        <f t="shared" si="0"/>
        <v>9.6895807458808714E-2</v>
      </c>
      <c r="C45">
        <f t="shared" si="3"/>
        <v>0.16151242371841112</v>
      </c>
      <c r="E45">
        <f t="shared" si="4"/>
        <v>8.6288450168427108E-2</v>
      </c>
      <c r="F45">
        <f t="shared" si="5"/>
        <v>8.6288450168427108E-2</v>
      </c>
    </row>
    <row r="46" spans="1:6" x14ac:dyDescent="0.25">
      <c r="A46">
        <v>35</v>
      </c>
      <c r="B46">
        <f t="shared" si="0"/>
        <v>8.168871182950907E-2</v>
      </c>
      <c r="C46">
        <f t="shared" si="3"/>
        <v>0.13616421787524327</v>
      </c>
      <c r="E46">
        <f t="shared" si="4"/>
        <v>7.9847518016567198E-2</v>
      </c>
      <c r="F46">
        <f t="shared" si="5"/>
        <v>7.9847518016567198E-2</v>
      </c>
    </row>
    <row r="47" spans="1:6" x14ac:dyDescent="0.25">
      <c r="A47">
        <v>36</v>
      </c>
      <c r="B47">
        <f t="shared" si="0"/>
        <v>6.8070142784670329E-2</v>
      </c>
      <c r="C47">
        <f t="shared" si="3"/>
        <v>0.11346387457149931</v>
      </c>
      <c r="E47">
        <f t="shared" si="4"/>
        <v>7.3491133501364464E-2</v>
      </c>
      <c r="F47">
        <f t="shared" si="5"/>
        <v>7.3491133501364464E-2</v>
      </c>
    </row>
    <row r="48" spans="1:6" x14ac:dyDescent="0.25">
      <c r="A48">
        <v>37</v>
      </c>
      <c r="B48">
        <f t="shared" si="0"/>
        <v>5.6122802356904498E-2</v>
      </c>
      <c r="C48">
        <f t="shared" si="3"/>
        <v>9.354924709602544E-2</v>
      </c>
      <c r="E48">
        <f t="shared" si="4"/>
        <v>6.7312767277593943E-2</v>
      </c>
      <c r="F48">
        <f t="shared" si="5"/>
        <v>6.7312767277593943E-2</v>
      </c>
    </row>
    <row r="49" spans="1:6" x14ac:dyDescent="0.25">
      <c r="A49">
        <v>38</v>
      </c>
      <c r="B49">
        <f t="shared" si="0"/>
        <v>4.5825757010323952E-2</v>
      </c>
      <c r="C49">
        <f t="shared" si="3"/>
        <v>7.6385442028694642E-2</v>
      </c>
      <c r="E49">
        <f t="shared" si="4"/>
        <v>6.1382766784682276E-2</v>
      </c>
      <c r="F49">
        <f t="shared" si="5"/>
        <v>6.1382766784682276E-2</v>
      </c>
    </row>
    <row r="50" spans="1:6" x14ac:dyDescent="0.25">
      <c r="A50">
        <v>39</v>
      </c>
      <c r="B50">
        <f t="shared" si="0"/>
        <v>3.7087117845117805E-2</v>
      </c>
      <c r="C50">
        <f t="shared" si="3"/>
        <v>6.1819292794909927E-2</v>
      </c>
      <c r="E50">
        <f t="shared" si="4"/>
        <v>5.5751513339781837E-2</v>
      </c>
      <c r="F50">
        <f t="shared" si="5"/>
        <v>5.5751513339781837E-2</v>
      </c>
    </row>
    <row r="51" spans="1:6" x14ac:dyDescent="0.25">
      <c r="A51">
        <v>40</v>
      </c>
      <c r="B51">
        <f t="shared" si="0"/>
        <v>2.9771246707337551E-2</v>
      </c>
      <c r="C51">
        <f t="shared" si="3"/>
        <v>4.9624708632155831E-2</v>
      </c>
      <c r="E51">
        <f t="shared" si="4"/>
        <v>5.0452537104751699E-2</v>
      </c>
      <c r="F51">
        <f t="shared" si="5"/>
        <v>5.0452537104751699E-2</v>
      </c>
    </row>
    <row r="52" spans="1:6" x14ac:dyDescent="0.25">
      <c r="A52">
        <v>41</v>
      </c>
      <c r="B52">
        <f t="shared" si="0"/>
        <v>2.3720050739041453E-2</v>
      </c>
      <c r="C52">
        <f t="shared" si="3"/>
        <v>3.95381697728759E-2</v>
      </c>
      <c r="E52">
        <f t="shared" si="4"/>
        <v>4.5505451297595839E-2</v>
      </c>
      <c r="F52">
        <f t="shared" si="5"/>
        <v>4.5505451297595839E-2</v>
      </c>
    </row>
    <row r="53" spans="1:6" x14ac:dyDescent="0.25">
      <c r="A53">
        <v>42</v>
      </c>
      <c r="B53">
        <f t="shared" si="0"/>
        <v>1.8768691860698891E-2</v>
      </c>
      <c r="C53">
        <f t="shared" si="3"/>
        <v>3.1284913062251521E-2</v>
      </c>
      <c r="E53">
        <f t="shared" si="4"/>
        <v>4.0918623606564716E-2</v>
      </c>
      <c r="F53">
        <f t="shared" si="5"/>
        <v>4.0918623606564716E-2</v>
      </c>
    </row>
    <row r="54" spans="1:6" x14ac:dyDescent="0.25">
      <c r="A54">
        <v>43</v>
      </c>
      <c r="B54">
        <f t="shared" si="0"/>
        <v>1.4756450612845477E-2</v>
      </c>
      <c r="C54">
        <f t="shared" si="3"/>
        <v>2.4597040537330674E-2</v>
      </c>
      <c r="E54">
        <f t="shared" si="4"/>
        <v>3.6691544054405868E-2</v>
      </c>
      <c r="F54">
        <f t="shared" si="5"/>
        <v>3.6691544054405868E-2</v>
      </c>
    </row>
    <row r="55" spans="1:6" x14ac:dyDescent="0.25">
      <c r="A55">
        <v>44</v>
      </c>
      <c r="B55">
        <f t="shared" si="0"/>
        <v>1.1533647640482961E-2</v>
      </c>
      <c r="C55">
        <f t="shared" si="3"/>
        <v>1.9225056620952783E-2</v>
      </c>
      <c r="E55">
        <f t="shared" si="4"/>
        <v>3.2816877548652292E-2</v>
      </c>
      <c r="F55">
        <f t="shared" si="5"/>
        <v>3.2816877548652292E-2</v>
      </c>
    </row>
    <row r="56" spans="1:6" x14ac:dyDescent="0.25">
      <c r="A56">
        <v>45</v>
      </c>
      <c r="B56">
        <f t="shared" si="0"/>
        <v>8.965529417486448E-3</v>
      </c>
      <c r="C56">
        <f t="shared" si="3"/>
        <v>1.4944345107527254E-2</v>
      </c>
      <c r="E56">
        <f t="shared" si="4"/>
        <v>2.9282208777580386E-2</v>
      </c>
      <c r="F56">
        <f t="shared" si="5"/>
        <v>2.9282208777580383E-2</v>
      </c>
    </row>
    <row r="57" spans="1:6" x14ac:dyDescent="0.25">
      <c r="A57">
        <v>46</v>
      </c>
      <c r="B57">
        <f t="shared" si="0"/>
        <v>6.9339364523523985E-3</v>
      </c>
      <c r="C57">
        <f t="shared" si="3"/>
        <v>1.1557949840141059E-2</v>
      </c>
      <c r="E57">
        <f t="shared" si="4"/>
        <v>2.6071499318353567E-2</v>
      </c>
      <c r="F57">
        <f t="shared" si="5"/>
        <v>2.6071499318353567E-2</v>
      </c>
    </row>
    <row r="58" spans="1:6" x14ac:dyDescent="0.25">
      <c r="A58">
        <v>47</v>
      </c>
      <c r="B58">
        <f t="shared" si="0"/>
        <v>5.3374412465703666E-3</v>
      </c>
      <c r="C58">
        <f t="shared" si="3"/>
        <v>8.8968046688157106E-3</v>
      </c>
      <c r="E58">
        <f t="shared" si="4"/>
        <v>2.3166283742983872E-2</v>
      </c>
      <c r="F58">
        <f t="shared" si="5"/>
        <v>2.3166283742983868E-2</v>
      </c>
    </row>
    <row r="59" spans="1:6" x14ac:dyDescent="0.25">
      <c r="A59">
        <v>48</v>
      </c>
      <c r="B59">
        <f t="shared" si="0"/>
        <v>4.090501762527632E-3</v>
      </c>
      <c r="C59">
        <f t="shared" si="3"/>
        <v>6.8183223940945616E-3</v>
      </c>
      <c r="E59">
        <f t="shared" si="4"/>
        <v>2.0546634672096543E-2</v>
      </c>
      <c r="F59">
        <f t="shared" si="5"/>
        <v>2.0546634672096543E-2</v>
      </c>
    </row>
    <row r="60" spans="1:6" x14ac:dyDescent="0.25">
      <c r="A60">
        <v>49</v>
      </c>
      <c r="B60">
        <f t="shared" si="0"/>
        <v>3.1220430347562631E-3</v>
      </c>
      <c r="C60">
        <f t="shared" si="3"/>
        <v>5.2040305016399025E-3</v>
      </c>
      <c r="E60">
        <f t="shared" si="4"/>
        <v>1.8191927320674268E-2</v>
      </c>
      <c r="F60">
        <f t="shared" si="5"/>
        <v>1.8191927320674268E-2</v>
      </c>
    </row>
    <row r="61" spans="1:6" x14ac:dyDescent="0.25">
      <c r="A61">
        <v>50</v>
      </c>
      <c r="B61">
        <f t="shared" si="0"/>
        <v>2.3737644028040731E-3</v>
      </c>
      <c r="C61">
        <f t="shared" si="3"/>
        <v>3.9567495445698847E-3</v>
      </c>
      <c r="E61">
        <f t="shared" si="4"/>
        <v>1.6081432996490983E-2</v>
      </c>
      <c r="F61">
        <f t="shared" si="5"/>
        <v>1.6081432996490983E-2</v>
      </c>
    </row>
    <row r="62" spans="1:6" x14ac:dyDescent="0.25">
      <c r="A62">
        <v>51</v>
      </c>
      <c r="B62">
        <f t="shared" si="0"/>
        <v>1.7983760614791119E-3</v>
      </c>
      <c r="C62">
        <f t="shared" si="3"/>
        <v>2.9976537072580658E-3</v>
      </c>
      <c r="E62">
        <f t="shared" si="4"/>
        <v>1.4194768906847594E-2</v>
      </c>
      <c r="F62">
        <f t="shared" si="5"/>
        <v>1.4194768906847594E-2</v>
      </c>
    </row>
    <row r="63" spans="1:6" x14ac:dyDescent="0.25">
      <c r="A63">
        <v>52</v>
      </c>
      <c r="B63">
        <f t="shared" si="0"/>
        <v>1.3578958962249955E-3</v>
      </c>
      <c r="C63">
        <f t="shared" si="3"/>
        <v>2.2634318564280168E-3</v>
      </c>
      <c r="E63">
        <f t="shared" si="4"/>
        <v>1.2512228972311171E-2</v>
      </c>
      <c r="F63">
        <f t="shared" si="5"/>
        <v>1.2512228972311171E-2</v>
      </c>
    </row>
    <row r="64" spans="1:6" x14ac:dyDescent="0.25">
      <c r="A64">
        <v>53</v>
      </c>
      <c r="B64">
        <f t="shared" si="0"/>
        <v>1.0220835964499708E-3</v>
      </c>
      <c r="C64">
        <f t="shared" si="3"/>
        <v>1.7036774163385951E-3</v>
      </c>
      <c r="E64">
        <f t="shared" si="4"/>
        <v>1.1015017464062306E-2</v>
      </c>
      <c r="F64">
        <f t="shared" si="5"/>
        <v>1.1015017464062306E-2</v>
      </c>
    </row>
    <row r="65" spans="1:6" x14ac:dyDescent="0.25">
      <c r="A65">
        <v>54</v>
      </c>
      <c r="B65">
        <f t="shared" si="0"/>
        <v>7.6705068668157816E-4</v>
      </c>
      <c r="C65">
        <f t="shared" si="3"/>
        <v>1.2785714755871069E-3</v>
      </c>
      <c r="E65">
        <f t="shared" si="4"/>
        <v>9.6854043930282314E-3</v>
      </c>
      <c r="F65">
        <f t="shared" si="5"/>
        <v>9.6854043930282314E-3</v>
      </c>
    </row>
    <row r="66" spans="1:6" x14ac:dyDescent="0.25">
      <c r="A66">
        <v>55</v>
      </c>
      <c r="B66">
        <f t="shared" si="0"/>
        <v>5.7405913018977522E-4</v>
      </c>
      <c r="C66">
        <f t="shared" si="3"/>
        <v>9.5688021913691804E-4</v>
      </c>
      <c r="E66">
        <f t="shared" si="4"/>
        <v>8.5068188236625333E-3</v>
      </c>
      <c r="F66">
        <f t="shared" si="5"/>
        <v>8.5068188236625333E-3</v>
      </c>
    </row>
    <row r="67" spans="1:6" x14ac:dyDescent="0.25">
      <c r="A67">
        <v>56</v>
      </c>
      <c r="B67">
        <f t="shared" si="0"/>
        <v>4.2850455406275072E-4</v>
      </c>
      <c r="C67">
        <f t="shared" si="3"/>
        <v>7.142600997517162E-4</v>
      </c>
      <c r="E67">
        <f t="shared" si="4"/>
        <v>7.4638937451990198E-3</v>
      </c>
      <c r="F67">
        <f t="shared" si="5"/>
        <v>7.4638937451990198E-3</v>
      </c>
    </row>
    <row r="68" spans="1:6" x14ac:dyDescent="0.25">
      <c r="A68">
        <v>57</v>
      </c>
      <c r="B68">
        <f t="shared" si="0"/>
        <v>3.19070375252645E-4</v>
      </c>
      <c r="C68">
        <f t="shared" si="3"/>
        <v>5.3184787861647299E-4</v>
      </c>
      <c r="E68">
        <f t="shared" si="4"/>
        <v>6.5424738503605528E-3</v>
      </c>
      <c r="F68">
        <f t="shared" si="5"/>
        <v>6.5424738503605528E-3</v>
      </c>
    </row>
    <row r="69" spans="1:6" x14ac:dyDescent="0.25">
      <c r="A69">
        <v>58</v>
      </c>
      <c r="B69">
        <f t="shared" si="0"/>
        <v>2.3703412357430509E-4</v>
      </c>
      <c r="C69">
        <f t="shared" si="3"/>
        <v>3.9510435803664917E-4</v>
      </c>
      <c r="E69">
        <f t="shared" si="4"/>
        <v>5.7295955602217116E-3</v>
      </c>
      <c r="F69">
        <f t="shared" si="5"/>
        <v>5.7295955602217107E-3</v>
      </c>
    </row>
    <row r="70" spans="1:6" x14ac:dyDescent="0.25">
      <c r="A70">
        <v>59</v>
      </c>
      <c r="B70">
        <f t="shared" si="0"/>
        <v>1.7570547766952526E-4</v>
      </c>
      <c r="C70">
        <f t="shared" si="3"/>
        <v>2.9287766213280375E-4</v>
      </c>
      <c r="E70">
        <f t="shared" si="4"/>
        <v>5.0134468905103195E-3</v>
      </c>
      <c r="F70">
        <f t="shared" si="5"/>
        <v>5.0134468905103195E-3</v>
      </c>
    </row>
    <row r="71" spans="1:6" x14ac:dyDescent="0.25">
      <c r="A71">
        <v>60</v>
      </c>
      <c r="B71">
        <f t="shared" si="0"/>
        <v>1.2997577800062153E-4</v>
      </c>
      <c r="C71">
        <f t="shared" si="3"/>
        <v>2.166523349164587E-4</v>
      </c>
      <c r="E71">
        <f t="shared" si="4"/>
        <v>4.3833132641387263E-3</v>
      </c>
      <c r="F71">
        <f t="shared" si="5"/>
        <v>4.3833132641387263E-3</v>
      </c>
    </row>
    <row r="73" spans="1:6" x14ac:dyDescent="0.25">
      <c r="B73">
        <f>SUM(B11:B71)</f>
        <v>2.9996394465524752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Spinner 2">
              <controlPr defaultSize="0" autoPict="0">
                <anchor moveWithCells="1" sizeWithCells="1">
                  <from>
                    <xdr:col>8</xdr:col>
                    <xdr:colOff>28575</xdr:colOff>
                    <xdr:row>3</xdr:row>
                    <xdr:rowOff>38100</xdr:rowOff>
                  </from>
                  <to>
                    <xdr:col>8</xdr:col>
                    <xdr:colOff>571500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Spinner 3">
              <controlPr defaultSize="0" autoPict="0">
                <anchor moveWithCells="1" sizeWithCells="1">
                  <from>
                    <xdr:col>8</xdr:col>
                    <xdr:colOff>28575</xdr:colOff>
                    <xdr:row>4</xdr:row>
                    <xdr:rowOff>38100</xdr:rowOff>
                  </from>
                  <to>
                    <xdr:col>8</xdr:col>
                    <xdr:colOff>571500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Spinner 4">
              <controlPr defaultSize="0" autoPict="0">
                <anchor moveWithCells="1" sizeWithCells="1">
                  <from>
                    <xdr:col>8</xdr:col>
                    <xdr:colOff>28575</xdr:colOff>
                    <xdr:row>5</xdr:row>
                    <xdr:rowOff>38100</xdr:rowOff>
                  </from>
                  <to>
                    <xdr:col>8</xdr:col>
                    <xdr:colOff>571500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Spinner 5">
              <controlPr defaultSize="0" autoPict="0">
                <anchor moveWithCells="1" sizeWithCells="1">
                  <from>
                    <xdr:col>8</xdr:col>
                    <xdr:colOff>28575</xdr:colOff>
                    <xdr:row>6</xdr:row>
                    <xdr:rowOff>38100</xdr:rowOff>
                  </from>
                  <to>
                    <xdr:col>8</xdr:col>
                    <xdr:colOff>571500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"/>
  <sheetViews>
    <sheetView workbookViewId="0">
      <selection activeCell="B6" sqref="B6"/>
    </sheetView>
  </sheetViews>
  <sheetFormatPr defaultRowHeight="15" x14ac:dyDescent="0.25"/>
  <cols>
    <col min="1" max="1" width="9.140625" customWidth="1"/>
    <col min="2" max="10" width="12.42578125" customWidth="1"/>
    <col min="11" max="13" width="9.140625" customWidth="1"/>
    <col min="14" max="14" width="12.28515625" customWidth="1"/>
    <col min="15" max="18" width="12.42578125" customWidth="1"/>
    <col min="19" max="28" width="9.140625" customWidth="1"/>
  </cols>
  <sheetData>
    <row r="1" spans="1:33" ht="15" customHeight="1" x14ac:dyDescent="0.25">
      <c r="AC1" t="s">
        <v>3</v>
      </c>
      <c r="AD1">
        <f>(AE1-6)/20</f>
        <v>0</v>
      </c>
      <c r="AE1">
        <v>6</v>
      </c>
    </row>
    <row r="2" spans="1:33" x14ac:dyDescent="0.25">
      <c r="AC2" t="s">
        <v>23</v>
      </c>
      <c r="AD2">
        <f>AE2/100</f>
        <v>1</v>
      </c>
      <c r="AE2">
        <v>100</v>
      </c>
    </row>
    <row r="3" spans="1:33" ht="14.25" customHeight="1" x14ac:dyDescent="0.25">
      <c r="AC3" t="s">
        <v>2</v>
      </c>
      <c r="AD3">
        <f>AE3/10</f>
        <v>3</v>
      </c>
      <c r="AE3">
        <v>30</v>
      </c>
    </row>
    <row r="4" spans="1:33" x14ac:dyDescent="0.25">
      <c r="T4" t="s">
        <v>31</v>
      </c>
      <c r="V4" s="7">
        <v>0.25</v>
      </c>
      <c r="X4" s="7">
        <v>0.75</v>
      </c>
      <c r="Z4" t="s">
        <v>33</v>
      </c>
      <c r="AB4" t="s">
        <v>35</v>
      </c>
    </row>
    <row r="5" spans="1:33" ht="15" customHeight="1" x14ac:dyDescent="0.25">
      <c r="B5" t="s">
        <v>1</v>
      </c>
      <c r="C5" t="s">
        <v>50</v>
      </c>
      <c r="D5" t="s">
        <v>54</v>
      </c>
      <c r="E5" t="s">
        <v>52</v>
      </c>
      <c r="F5" t="s">
        <v>53</v>
      </c>
      <c r="G5" t="s">
        <v>51</v>
      </c>
      <c r="I5" t="s">
        <v>55</v>
      </c>
      <c r="N5" t="s">
        <v>24</v>
      </c>
      <c r="O5" t="s">
        <v>25</v>
      </c>
      <c r="P5" t="s">
        <v>1</v>
      </c>
      <c r="Q5" t="s">
        <v>26</v>
      </c>
      <c r="R5" t="s">
        <v>21</v>
      </c>
      <c r="S5" t="s">
        <v>30</v>
      </c>
      <c r="T5" s="6" t="s">
        <v>32</v>
      </c>
      <c r="U5" s="6"/>
      <c r="V5" s="19" t="s">
        <v>32</v>
      </c>
      <c r="W5" s="19"/>
      <c r="X5" s="19" t="s">
        <v>32</v>
      </c>
      <c r="Y5" s="19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>
        <v>10</v>
      </c>
      <c r="B6" s="5">
        <v>1.3435349876977699E-10</v>
      </c>
      <c r="C6" s="5">
        <f>B6/3</f>
        <v>4.4784499589925663E-11</v>
      </c>
      <c r="H6" s="5">
        <f>(G7-G6)*$AD$3</f>
        <v>1.3435349876977748E-10</v>
      </c>
      <c r="I6" s="5">
        <v>0</v>
      </c>
      <c r="J6" s="5"/>
      <c r="K6">
        <f>L6/$L$51</f>
        <v>4.4784499589925825E-11</v>
      </c>
      <c r="L6" s="5">
        <f>SUM(P$6:P6)</f>
        <v>1.3435349876977748E-10</v>
      </c>
      <c r="M6" s="5"/>
      <c r="N6" s="5">
        <v>-100000</v>
      </c>
      <c r="O6" s="5"/>
      <c r="P6" s="5">
        <f>(O7-O6)*3</f>
        <v>1.3435349876977748E-10</v>
      </c>
      <c r="Q6" s="5"/>
      <c r="R6" s="5">
        <f>(Q7-Q6)*$AD$3</f>
        <v>1.3435349876977748E-10</v>
      </c>
      <c r="S6">
        <v>10</v>
      </c>
      <c r="Z6">
        <f>IF(P6&gt;0.2*MAX($P$6:$P$49),1,0)</f>
        <v>0</v>
      </c>
      <c r="AA6">
        <f>IF(R6&gt;0.2*MAX($R$6:$R$49),1,0)</f>
        <v>0</v>
      </c>
      <c r="AB6">
        <f>IF(AND(P6&gt;AVERAGE($P$6:$P$49)-_xlfn.STDEV.P($P$6:$P$49),P6&lt;AVERAGE($P$6:$P$49)+_xlfn.STDEV.P($P$6:$P$49)),1,0)</f>
        <v>0</v>
      </c>
    </row>
    <row r="7" spans="1:33" x14ac:dyDescent="0.25">
      <c r="A7">
        <v>11</v>
      </c>
      <c r="B7" s="5">
        <v>5.4191162140723668E-7</v>
      </c>
      <c r="C7" s="5">
        <f t="shared" ref="C7:C49" si="0">B7/3</f>
        <v>1.8063720713574557E-7</v>
      </c>
      <c r="D7" s="5">
        <f>C6</f>
        <v>4.4784499589925663E-11</v>
      </c>
      <c r="E7" s="5">
        <f>-LN(-LN(D7))</f>
        <v>-3.1709100000000001</v>
      </c>
      <c r="F7" s="5">
        <f t="shared" ref="F7:F50" si="1">$AD$1+$AD$2*E7</f>
        <v>-3.1709100000000001</v>
      </c>
      <c r="G7" s="5">
        <f>EXP(-EXP(-F7))</f>
        <v>4.4784499589925825E-11</v>
      </c>
      <c r="H7" s="5">
        <f t="shared" ref="H7:H50" si="2">(G8-G7)*$AD$3</f>
        <v>5.4191162140723668E-7</v>
      </c>
      <c r="I7" s="5"/>
      <c r="J7" s="5"/>
      <c r="K7">
        <f t="shared" ref="K7:K51" si="3">L7/$L$51</f>
        <v>1.8068199163533548E-7</v>
      </c>
      <c r="L7" s="5">
        <f>SUM(P$6:P7)</f>
        <v>5.4204597490600642E-7</v>
      </c>
      <c r="M7" s="5"/>
      <c r="N7" s="5">
        <v>-3.1709100000000001</v>
      </c>
      <c r="O7" s="5">
        <f t="shared" ref="O7:O50" si="4">EXP(-EXP(-($N7)))</f>
        <v>4.4784499589925825E-11</v>
      </c>
      <c r="P7" s="5">
        <f>(O8-O7)*3</f>
        <v>5.4191162140723668E-7</v>
      </c>
      <c r="Q7" s="5">
        <f t="shared" ref="Q7:Q50" si="5">EXP(-EXP(-($AD$1+$AD$2*$N7)))</f>
        <v>4.4784499589925825E-11</v>
      </c>
      <c r="R7" s="5">
        <f>(Q8-Q7)*$AD$3</f>
        <v>5.4191162140723668E-7</v>
      </c>
      <c r="S7">
        <v>11</v>
      </c>
      <c r="T7" t="str">
        <f t="shared" ref="T7:T22" si="6">IF(AND(O7&lt;0.5,O8&gt;0.5),$A7+(0.5-O7)/(O8-O7),"")</f>
        <v/>
      </c>
      <c r="U7" t="str">
        <f t="shared" ref="U7:U22" si="7">IF(AND(Q7&lt;0.5,Q8&gt;0.5),$A7+(0.5-Q7)/(Q8-Q7),"")</f>
        <v/>
      </c>
      <c r="V7" t="str">
        <f>IF(AND(O7&lt;0.25,O8&gt;0.25),$A7+(0.25-O7)/(O8-O7),"")</f>
        <v/>
      </c>
      <c r="W7" t="str">
        <f>IF(AND(Q7&lt;0.25,Q8&gt;0.25),$A7+(0.25-Q7)/(Q8-Q7),"")</f>
        <v/>
      </c>
      <c r="X7" t="str">
        <f>IF(AND(O7&lt;0.75,O8&gt;0.75),$A7+(0.75-O7)/(O8-O7),"")</f>
        <v/>
      </c>
      <c r="Y7" t="str">
        <f>IF(AND(Q7&lt;0.75,Q8&gt;0.75),$A7+(0.75-Q7)/(Q8-Q7),"")</f>
        <v/>
      </c>
      <c r="Z7">
        <f t="shared" ref="Z7:Z51" si="8">IF(P7&gt;0.2*MAX($P$6:$P$49),1,0)</f>
        <v>0</v>
      </c>
      <c r="AA7">
        <f t="shared" ref="AA7:AA51" si="9">IF(R7&gt;0.2*MAX($R$6:$R$49),1,0)</f>
        <v>0</v>
      </c>
      <c r="AB7">
        <f t="shared" ref="AB7:AB51" si="10">IF(AND(P7&gt;AVERAGE($P$6:$P$49)-_xlfn.STDEV.P($P$6:$P$49),P7&lt;AVERAGE($P$6:$P$49)+_xlfn.STDEV.P($P$6:$P$49)),1,0)</f>
        <v>0</v>
      </c>
      <c r="AD7" s="5"/>
      <c r="AE7" s="5"/>
    </row>
    <row r="8" spans="1:33" x14ac:dyDescent="0.25">
      <c r="A8">
        <v>12</v>
      </c>
      <c r="B8" s="5">
        <v>6.8335990931917267E-5</v>
      </c>
      <c r="C8" s="5">
        <f t="shared" si="0"/>
        <v>2.2778663643972422E-5</v>
      </c>
      <c r="D8" s="5">
        <f>D7+C7</f>
        <v>1.8068199163533548E-7</v>
      </c>
      <c r="E8" s="5">
        <f t="shared" ref="E8:E50" si="11">-LN(-LN(D8))</f>
        <v>-2.74255</v>
      </c>
      <c r="F8" s="5">
        <f t="shared" si="1"/>
        <v>-2.74255</v>
      </c>
      <c r="G8" s="5">
        <f t="shared" ref="G8:G50" si="12">EXP(-EXP(-F8))</f>
        <v>1.8068199163533548E-7</v>
      </c>
      <c r="H8" s="5">
        <f t="shared" si="2"/>
        <v>6.8335990931917267E-5</v>
      </c>
      <c r="I8" s="5"/>
      <c r="J8" s="5"/>
      <c r="K8">
        <f t="shared" si="3"/>
        <v>2.2959345635607759E-5</v>
      </c>
      <c r="L8" s="5">
        <f>SUM(P$6:P8)</f>
        <v>6.8878036906823274E-5</v>
      </c>
      <c r="M8" s="5"/>
      <c r="N8" s="5">
        <v>-2.74255</v>
      </c>
      <c r="O8" s="5">
        <f t="shared" si="4"/>
        <v>1.8068199163533548E-7</v>
      </c>
      <c r="P8" s="5">
        <f>(O9-O8)*3</f>
        <v>6.8335990931917267E-5</v>
      </c>
      <c r="Q8" s="5">
        <f t="shared" si="5"/>
        <v>1.8068199163533548E-7</v>
      </c>
      <c r="R8" s="5">
        <f>(Q9-Q8)*$AD$3</f>
        <v>6.8335990931917267E-5</v>
      </c>
      <c r="S8">
        <v>12</v>
      </c>
      <c r="T8" t="str">
        <f t="shared" si="6"/>
        <v/>
      </c>
      <c r="U8" t="str">
        <f t="shared" si="7"/>
        <v/>
      </c>
      <c r="V8" t="str">
        <f t="shared" ref="V8:V51" si="13">IF(AND(O8&lt;0.25,O9&gt;0.25),$A8+(0.25-O8)/(O9-O8),"")</f>
        <v/>
      </c>
      <c r="W8" t="str">
        <f t="shared" ref="W8:W51" si="14">IF(AND(Q8&lt;0.25,Q9&gt;0.25),$A8+(0.25-Q8)/(Q9-Q8),"")</f>
        <v/>
      </c>
      <c r="X8" t="str">
        <f t="shared" ref="X8:X51" si="15">IF(AND(O8&lt;0.75,O9&gt;0.75),$A8+(0.75-O8)/(O9-O8),"")</f>
        <v/>
      </c>
      <c r="Y8" t="str">
        <f t="shared" ref="Y8:Y51" si="16">IF(AND(Q8&lt;0.75,Q9&gt;0.75),$A8+(0.75-Q8)/(Q9-Q8),"")</f>
        <v/>
      </c>
      <c r="Z8">
        <f t="shared" si="8"/>
        <v>0</v>
      </c>
      <c r="AA8">
        <f t="shared" si="9"/>
        <v>0</v>
      </c>
      <c r="AB8">
        <f t="shared" si="10"/>
        <v>0</v>
      </c>
      <c r="AE8" s="5"/>
    </row>
    <row r="9" spans="1:33" x14ac:dyDescent="0.25">
      <c r="A9">
        <v>13</v>
      </c>
      <c r="B9" s="5">
        <v>1.2941113784893361E-3</v>
      </c>
      <c r="C9" s="5">
        <f t="shared" si="0"/>
        <v>4.3137045949644538E-4</v>
      </c>
      <c r="D9" s="5">
        <f t="shared" ref="D9:D50" si="17">D8+C8</f>
        <v>2.2959345635607759E-5</v>
      </c>
      <c r="E9" s="5">
        <f t="shared" si="11"/>
        <v>-2.3685399999999999</v>
      </c>
      <c r="F9" s="5">
        <f t="shared" si="1"/>
        <v>-2.3685399999999999</v>
      </c>
      <c r="G9" s="5">
        <f t="shared" si="12"/>
        <v>2.2959345635607759E-5</v>
      </c>
      <c r="H9" s="5">
        <f t="shared" si="2"/>
        <v>1.2941113784893361E-3</v>
      </c>
      <c r="I9" s="5"/>
      <c r="J9" s="5"/>
      <c r="K9">
        <f t="shared" si="3"/>
        <v>4.5432980513205316E-4</v>
      </c>
      <c r="L9" s="5">
        <f>SUM(P$6:P9)</f>
        <v>1.3629894153961595E-3</v>
      </c>
      <c r="M9" s="5"/>
      <c r="N9" s="5">
        <v>-2.3685399999999999</v>
      </c>
      <c r="O9" s="5">
        <f t="shared" si="4"/>
        <v>2.2959345635607759E-5</v>
      </c>
      <c r="P9" s="5">
        <f t="shared" ref="P9:P49" si="18">(O10-O9)*3</f>
        <v>1.2941113784893361E-3</v>
      </c>
      <c r="Q9" s="5">
        <f t="shared" si="5"/>
        <v>2.2959345635607759E-5</v>
      </c>
      <c r="R9" s="5">
        <f t="shared" ref="R9:R49" si="19">(Q10-Q9)*$AD$3</f>
        <v>1.2941113784893361E-3</v>
      </c>
      <c r="S9">
        <v>13</v>
      </c>
      <c r="T9" t="str">
        <f t="shared" si="6"/>
        <v/>
      </c>
      <c r="U9" t="str">
        <f t="shared" si="7"/>
        <v/>
      </c>
      <c r="V9" t="str">
        <f t="shared" si="13"/>
        <v/>
      </c>
      <c r="W9" t="str">
        <f t="shared" si="14"/>
        <v/>
      </c>
      <c r="X9" t="str">
        <f t="shared" si="15"/>
        <v/>
      </c>
      <c r="Y9" t="str">
        <f t="shared" si="16"/>
        <v/>
      </c>
      <c r="Z9">
        <f t="shared" si="8"/>
        <v>0</v>
      </c>
      <c r="AA9">
        <f t="shared" si="9"/>
        <v>0</v>
      </c>
      <c r="AB9">
        <f t="shared" si="10"/>
        <v>0</v>
      </c>
    </row>
    <row r="10" spans="1:33" x14ac:dyDescent="0.25">
      <c r="A10">
        <v>14</v>
      </c>
      <c r="B10" s="5">
        <v>8.027219373752871E-3</v>
      </c>
      <c r="C10" s="5">
        <f t="shared" si="0"/>
        <v>2.675739791250957E-3</v>
      </c>
      <c r="D10" s="5">
        <f t="shared" si="17"/>
        <v>4.5432980513205316E-4</v>
      </c>
      <c r="E10" s="5">
        <f t="shared" si="11"/>
        <v>-2.0407899999999999</v>
      </c>
      <c r="F10" s="5">
        <f t="shared" si="1"/>
        <v>-2.0407899999999999</v>
      </c>
      <c r="G10" s="5">
        <f t="shared" si="12"/>
        <v>4.5432980513205316E-4</v>
      </c>
      <c r="H10" s="5">
        <f t="shared" si="2"/>
        <v>8.027219373752871E-3</v>
      </c>
      <c r="I10" s="5"/>
      <c r="J10" s="5"/>
      <c r="K10">
        <f t="shared" si="3"/>
        <v>3.1300695963830103E-3</v>
      </c>
      <c r="L10" s="5">
        <f>SUM(P$6:P10)</f>
        <v>9.3902087891490314E-3</v>
      </c>
      <c r="M10" s="5"/>
      <c r="N10" s="5">
        <v>-2.0407899999999999</v>
      </c>
      <c r="O10" s="5">
        <f t="shared" si="4"/>
        <v>4.5432980513205316E-4</v>
      </c>
      <c r="P10" s="5">
        <f t="shared" si="18"/>
        <v>8.027219373752871E-3</v>
      </c>
      <c r="Q10" s="5">
        <f t="shared" si="5"/>
        <v>4.5432980513205316E-4</v>
      </c>
      <c r="R10" s="5">
        <f t="shared" si="19"/>
        <v>8.027219373752871E-3</v>
      </c>
      <c r="S10">
        <v>14</v>
      </c>
      <c r="T10" t="str">
        <f t="shared" si="6"/>
        <v/>
      </c>
      <c r="U10" t="str">
        <f t="shared" si="7"/>
        <v/>
      </c>
      <c r="V10" t="str">
        <f t="shared" si="13"/>
        <v/>
      </c>
      <c r="W10" t="str">
        <f t="shared" si="14"/>
        <v/>
      </c>
      <c r="X10" t="str">
        <f t="shared" si="15"/>
        <v/>
      </c>
      <c r="Y10" t="str">
        <f t="shared" si="16"/>
        <v/>
      </c>
      <c r="Z10">
        <f t="shared" si="8"/>
        <v>0</v>
      </c>
      <c r="AA10">
        <f t="shared" si="9"/>
        <v>0</v>
      </c>
      <c r="AB10">
        <f t="shared" si="10"/>
        <v>0</v>
      </c>
    </row>
    <row r="11" spans="1:33" ht="15" customHeight="1" x14ac:dyDescent="0.25">
      <c r="A11">
        <v>15</v>
      </c>
      <c r="B11" s="5">
        <v>2.5652367630270706E-2</v>
      </c>
      <c r="C11" s="5">
        <f t="shared" si="0"/>
        <v>8.5507892100902348E-3</v>
      </c>
      <c r="D11" s="5">
        <f t="shared" si="17"/>
        <v>3.1300695963830103E-3</v>
      </c>
      <c r="E11" s="5">
        <f t="shared" si="11"/>
        <v>-1.7521</v>
      </c>
      <c r="F11" s="5">
        <f t="shared" si="1"/>
        <v>-1.7521</v>
      </c>
      <c r="G11" s="5">
        <f t="shared" si="12"/>
        <v>3.1300695963830103E-3</v>
      </c>
      <c r="H11" s="5">
        <f t="shared" si="2"/>
        <v>2.5652367630270706E-2</v>
      </c>
      <c r="I11" s="5"/>
      <c r="J11" s="5"/>
      <c r="K11">
        <f t="shared" si="3"/>
        <v>1.1680858806473246E-2</v>
      </c>
      <c r="L11" s="5">
        <f>SUM(P$6:P11)</f>
        <v>3.5042576419419741E-2</v>
      </c>
      <c r="M11" s="5"/>
      <c r="N11" s="5">
        <v>-1.7521</v>
      </c>
      <c r="O11" s="5">
        <f t="shared" si="4"/>
        <v>3.1300695963830103E-3</v>
      </c>
      <c r="P11" s="5">
        <f t="shared" si="18"/>
        <v>2.5652367630270706E-2</v>
      </c>
      <c r="Q11" s="5">
        <f t="shared" si="5"/>
        <v>3.1300695963830103E-3</v>
      </c>
      <c r="R11" s="5">
        <f t="shared" si="19"/>
        <v>2.5652367630270706E-2</v>
      </c>
      <c r="S11">
        <v>15</v>
      </c>
      <c r="T11" t="str">
        <f t="shared" si="6"/>
        <v/>
      </c>
      <c r="U11" t="str">
        <f t="shared" si="7"/>
        <v/>
      </c>
      <c r="V11" t="str">
        <f t="shared" si="13"/>
        <v/>
      </c>
      <c r="W11" t="str">
        <f t="shared" si="14"/>
        <v/>
      </c>
      <c r="X11" t="str">
        <f t="shared" si="15"/>
        <v/>
      </c>
      <c r="Y11" t="str">
        <f t="shared" si="16"/>
        <v/>
      </c>
      <c r="Z11">
        <f t="shared" si="8"/>
        <v>0</v>
      </c>
      <c r="AA11">
        <f t="shared" si="9"/>
        <v>0</v>
      </c>
      <c r="AB11">
        <f t="shared" si="10"/>
        <v>1</v>
      </c>
    </row>
    <row r="12" spans="1:33" ht="15" customHeight="1" x14ac:dyDescent="0.25">
      <c r="A12">
        <v>16</v>
      </c>
      <c r="B12" s="5">
        <v>5.6234059602161546E-2</v>
      </c>
      <c r="C12" s="5">
        <f t="shared" si="0"/>
        <v>1.874468653405385E-2</v>
      </c>
      <c r="D12" s="5">
        <f t="shared" si="17"/>
        <v>1.1680858806473245E-2</v>
      </c>
      <c r="E12" s="5">
        <f t="shared" si="11"/>
        <v>-1.4928600000000001</v>
      </c>
      <c r="F12" s="5">
        <f t="shared" si="1"/>
        <v>-1.4928600000000001</v>
      </c>
      <c r="G12" s="5">
        <f t="shared" si="12"/>
        <v>1.1680858806473245E-2</v>
      </c>
      <c r="H12" s="5">
        <f t="shared" si="2"/>
        <v>5.6234059602161546E-2</v>
      </c>
      <c r="I12" s="5"/>
      <c r="J12" s="5"/>
      <c r="K12">
        <f t="shared" si="3"/>
        <v>3.0425545340527094E-2</v>
      </c>
      <c r="L12" s="5">
        <f>SUM(P$6:P12)</f>
        <v>9.1276636021581287E-2</v>
      </c>
      <c r="M12" s="5"/>
      <c r="N12" s="5">
        <v>-1.4928600000000001</v>
      </c>
      <c r="O12" s="5">
        <f t="shared" si="4"/>
        <v>1.1680858806473245E-2</v>
      </c>
      <c r="P12" s="5">
        <f t="shared" si="18"/>
        <v>5.6234059602161546E-2</v>
      </c>
      <c r="Q12" s="5">
        <f t="shared" si="5"/>
        <v>1.1680858806473245E-2</v>
      </c>
      <c r="R12" s="5">
        <f t="shared" si="19"/>
        <v>5.6234059602161546E-2</v>
      </c>
      <c r="S12">
        <v>16</v>
      </c>
      <c r="T12" t="str">
        <f t="shared" si="6"/>
        <v/>
      </c>
      <c r="U12" t="str">
        <f t="shared" si="7"/>
        <v/>
      </c>
      <c r="V12" t="str">
        <f t="shared" si="13"/>
        <v/>
      </c>
      <c r="W12" t="str">
        <f t="shared" si="14"/>
        <v/>
      </c>
      <c r="X12" t="str">
        <f t="shared" si="15"/>
        <v/>
      </c>
      <c r="Y12" t="str">
        <f t="shared" si="16"/>
        <v/>
      </c>
      <c r="Z12">
        <f t="shared" si="8"/>
        <v>1</v>
      </c>
      <c r="AA12">
        <f t="shared" si="9"/>
        <v>1</v>
      </c>
      <c r="AB12">
        <f t="shared" si="10"/>
        <v>1</v>
      </c>
    </row>
    <row r="13" spans="1:33" ht="15" customHeight="1" x14ac:dyDescent="0.25">
      <c r="A13">
        <v>17</v>
      </c>
      <c r="B13" s="5">
        <v>8.3510015322307465E-2</v>
      </c>
      <c r="C13" s="5">
        <f t="shared" si="0"/>
        <v>2.7836671774102487E-2</v>
      </c>
      <c r="D13" s="5">
        <f t="shared" si="17"/>
        <v>3.0425545340527094E-2</v>
      </c>
      <c r="E13" s="5">
        <f t="shared" si="11"/>
        <v>-1.25061</v>
      </c>
      <c r="F13" s="5">
        <f t="shared" si="1"/>
        <v>-1.25061</v>
      </c>
      <c r="G13" s="5">
        <f t="shared" si="12"/>
        <v>3.0425545340527094E-2</v>
      </c>
      <c r="H13" s="5">
        <f t="shared" si="2"/>
        <v>8.3510015322307465E-2</v>
      </c>
      <c r="I13" s="5"/>
      <c r="J13" s="5"/>
      <c r="K13">
        <f t="shared" si="3"/>
        <v>5.8262217114629589E-2</v>
      </c>
      <c r="L13" s="5">
        <f>SUM(P$6:P13)</f>
        <v>0.17478665134388877</v>
      </c>
      <c r="M13" s="5"/>
      <c r="N13" s="5">
        <v>-1.25061</v>
      </c>
      <c r="O13" s="5">
        <f t="shared" si="4"/>
        <v>3.0425545340527094E-2</v>
      </c>
      <c r="P13" s="5">
        <f t="shared" si="18"/>
        <v>8.3510015322307465E-2</v>
      </c>
      <c r="Q13" s="5">
        <f t="shared" si="5"/>
        <v>3.0425545340527094E-2</v>
      </c>
      <c r="R13" s="5">
        <f t="shared" si="19"/>
        <v>8.3510015322307465E-2</v>
      </c>
      <c r="S13">
        <v>17</v>
      </c>
      <c r="T13" t="str">
        <f t="shared" si="6"/>
        <v/>
      </c>
      <c r="U13" t="str">
        <f t="shared" si="7"/>
        <v/>
      </c>
      <c r="V13" t="str">
        <f t="shared" si="13"/>
        <v/>
      </c>
      <c r="W13" t="str">
        <f t="shared" si="14"/>
        <v/>
      </c>
      <c r="X13" t="str">
        <f t="shared" si="15"/>
        <v/>
      </c>
      <c r="Y13" t="str">
        <f t="shared" si="16"/>
        <v/>
      </c>
      <c r="Z13">
        <f t="shared" si="8"/>
        <v>1</v>
      </c>
      <c r="AA13">
        <f t="shared" si="9"/>
        <v>1</v>
      </c>
      <c r="AB13">
        <f t="shared" si="10"/>
        <v>1</v>
      </c>
    </row>
    <row r="14" spans="1:33" ht="15" customHeight="1" x14ac:dyDescent="0.25">
      <c r="A14">
        <v>18</v>
      </c>
      <c r="B14" s="5">
        <v>0.10806748676794131</v>
      </c>
      <c r="C14" s="5">
        <f t="shared" si="0"/>
        <v>3.6022495589313773E-2</v>
      </c>
      <c r="D14" s="5">
        <f t="shared" si="17"/>
        <v>5.8262217114629582E-2</v>
      </c>
      <c r="E14" s="5">
        <f t="shared" si="11"/>
        <v>-1.0447900000000001</v>
      </c>
      <c r="F14" s="5">
        <f t="shared" si="1"/>
        <v>-1.0447900000000001</v>
      </c>
      <c r="G14" s="5">
        <f t="shared" si="12"/>
        <v>5.8262217114629582E-2</v>
      </c>
      <c r="H14" s="5">
        <f t="shared" si="2"/>
        <v>0.10806748676794131</v>
      </c>
      <c r="I14" s="5"/>
      <c r="J14" s="5"/>
      <c r="K14">
        <f t="shared" si="3"/>
        <v>9.4284712703943355E-2</v>
      </c>
      <c r="L14" s="5">
        <f>SUM(P$6:P14)</f>
        <v>0.28285413811183008</v>
      </c>
      <c r="M14" s="5"/>
      <c r="N14" s="5">
        <v>-1.0447900000000001</v>
      </c>
      <c r="O14" s="5">
        <f t="shared" si="4"/>
        <v>5.8262217114629582E-2</v>
      </c>
      <c r="P14" s="5">
        <f t="shared" si="18"/>
        <v>0.10806748676794131</v>
      </c>
      <c r="Q14" s="5">
        <f t="shared" si="5"/>
        <v>5.8262217114629582E-2</v>
      </c>
      <c r="R14" s="5">
        <f t="shared" si="19"/>
        <v>0.10806748676794131</v>
      </c>
      <c r="S14">
        <v>18</v>
      </c>
      <c r="T14" t="str">
        <f t="shared" si="6"/>
        <v/>
      </c>
      <c r="U14" t="str">
        <f t="shared" si="7"/>
        <v/>
      </c>
      <c r="V14" t="str">
        <f t="shared" si="13"/>
        <v/>
      </c>
      <c r="W14" t="str">
        <f t="shared" si="14"/>
        <v/>
      </c>
      <c r="X14" t="str">
        <f t="shared" si="15"/>
        <v/>
      </c>
      <c r="Y14" t="str">
        <f t="shared" si="16"/>
        <v/>
      </c>
      <c r="Z14">
        <f t="shared" si="8"/>
        <v>1</v>
      </c>
      <c r="AA14">
        <f t="shared" si="9"/>
        <v>1</v>
      </c>
      <c r="AB14">
        <f t="shared" si="10"/>
        <v>1</v>
      </c>
    </row>
    <row r="15" spans="1:33" ht="15" customHeight="1" x14ac:dyDescent="0.25">
      <c r="A15">
        <v>19</v>
      </c>
      <c r="B15" s="5">
        <v>0.12465302829228724</v>
      </c>
      <c r="C15" s="5">
        <f t="shared" si="0"/>
        <v>4.1551009430762412E-2</v>
      </c>
      <c r="D15" s="5">
        <f t="shared" si="17"/>
        <v>9.4284712703943355E-2</v>
      </c>
      <c r="E15" s="5">
        <f t="shared" si="11"/>
        <v>-0.85927000000000009</v>
      </c>
      <c r="F15" s="5">
        <f t="shared" si="1"/>
        <v>-0.85927000000000009</v>
      </c>
      <c r="G15" s="5">
        <f t="shared" si="12"/>
        <v>9.4284712703943355E-2</v>
      </c>
      <c r="H15" s="5">
        <f t="shared" si="2"/>
        <v>0.12465302829228724</v>
      </c>
      <c r="I15" s="5"/>
      <c r="J15" s="5"/>
      <c r="K15">
        <f t="shared" si="3"/>
        <v>0.13583572213470577</v>
      </c>
      <c r="L15" s="5">
        <f>SUM(P$6:P15)</f>
        <v>0.40750716640411733</v>
      </c>
      <c r="M15" s="5"/>
      <c r="N15" s="5">
        <v>-0.85926999999999998</v>
      </c>
      <c r="O15" s="5">
        <f t="shared" si="4"/>
        <v>9.4284712703943355E-2</v>
      </c>
      <c r="P15" s="5">
        <f t="shared" si="18"/>
        <v>0.12465302829228724</v>
      </c>
      <c r="Q15" s="5">
        <f t="shared" si="5"/>
        <v>9.4284712703943355E-2</v>
      </c>
      <c r="R15" s="5">
        <f t="shared" si="19"/>
        <v>0.12465302829228724</v>
      </c>
      <c r="S15">
        <v>19</v>
      </c>
      <c r="T15" t="str">
        <f t="shared" si="6"/>
        <v/>
      </c>
      <c r="U15" t="str">
        <f t="shared" si="7"/>
        <v/>
      </c>
      <c r="V15" t="str">
        <f t="shared" si="13"/>
        <v/>
      </c>
      <c r="W15" t="str">
        <f t="shared" si="14"/>
        <v/>
      </c>
      <c r="X15" t="str">
        <f t="shared" si="15"/>
        <v/>
      </c>
      <c r="Y15" t="str">
        <f t="shared" si="16"/>
        <v/>
      </c>
      <c r="Z15">
        <f t="shared" si="8"/>
        <v>1</v>
      </c>
      <c r="AA15">
        <f t="shared" si="9"/>
        <v>1</v>
      </c>
      <c r="AB15">
        <f t="shared" si="10"/>
        <v>0</v>
      </c>
    </row>
    <row r="16" spans="1:33" x14ac:dyDescent="0.25">
      <c r="A16">
        <v>20</v>
      </c>
      <c r="B16" s="5">
        <v>0.13810300383021135</v>
      </c>
      <c r="C16" s="5">
        <f t="shared" si="0"/>
        <v>4.6034334610070449E-2</v>
      </c>
      <c r="D16" s="5">
        <f t="shared" si="17"/>
        <v>0.13583572213470577</v>
      </c>
      <c r="E16" s="5">
        <f t="shared" si="11"/>
        <v>-0.69130000000000003</v>
      </c>
      <c r="F16" s="5">
        <f t="shared" si="1"/>
        <v>-0.69130000000000003</v>
      </c>
      <c r="G16" s="5">
        <f t="shared" si="12"/>
        <v>0.13583572213470577</v>
      </c>
      <c r="H16" s="5">
        <f t="shared" si="2"/>
        <v>0.13810300383021135</v>
      </c>
      <c r="I16" s="5"/>
      <c r="J16" s="5"/>
      <c r="K16">
        <f t="shared" si="3"/>
        <v>0.18187005674477622</v>
      </c>
      <c r="L16" s="5">
        <f>SUM(P$6:P16)</f>
        <v>0.54561017023432867</v>
      </c>
      <c r="M16" s="5"/>
      <c r="N16" s="5">
        <v>-0.69130000000000003</v>
      </c>
      <c r="O16" s="5">
        <f t="shared" si="4"/>
        <v>0.13583572213470577</v>
      </c>
      <c r="P16" s="5">
        <f t="shared" si="18"/>
        <v>0.13810300383021135</v>
      </c>
      <c r="Q16" s="5">
        <f t="shared" si="5"/>
        <v>0.13583572213470577</v>
      </c>
      <c r="R16" s="5">
        <f t="shared" si="19"/>
        <v>0.13810300383021135</v>
      </c>
      <c r="S16">
        <v>20</v>
      </c>
      <c r="T16" t="str">
        <f t="shared" si="6"/>
        <v/>
      </c>
      <c r="U16" t="str">
        <f t="shared" si="7"/>
        <v/>
      </c>
      <c r="V16" t="str">
        <f t="shared" si="13"/>
        <v/>
      </c>
      <c r="W16" t="str">
        <f t="shared" si="14"/>
        <v/>
      </c>
      <c r="X16" t="str">
        <f t="shared" si="15"/>
        <v/>
      </c>
      <c r="Y16" t="str">
        <f t="shared" si="16"/>
        <v/>
      </c>
      <c r="Z16">
        <f t="shared" si="8"/>
        <v>1</v>
      </c>
      <c r="AA16">
        <f t="shared" si="9"/>
        <v>1</v>
      </c>
      <c r="AB16">
        <f t="shared" si="10"/>
        <v>0</v>
      </c>
    </row>
    <row r="17" spans="1:40" x14ac:dyDescent="0.25">
      <c r="A17">
        <v>21</v>
      </c>
      <c r="B17" s="5">
        <v>0.14418899920622993</v>
      </c>
      <c r="C17" s="5">
        <f t="shared" si="0"/>
        <v>4.8062999735409978E-2</v>
      </c>
      <c r="D17" s="5">
        <f t="shared" si="17"/>
        <v>0.18187005674477622</v>
      </c>
      <c r="E17" s="5">
        <f t="shared" si="11"/>
        <v>-0.53325</v>
      </c>
      <c r="F17" s="5">
        <f t="shared" si="1"/>
        <v>-0.53325</v>
      </c>
      <c r="G17" s="5">
        <f t="shared" si="12"/>
        <v>0.18187005674477622</v>
      </c>
      <c r="H17" s="5">
        <f t="shared" si="2"/>
        <v>0.14418899920622993</v>
      </c>
      <c r="I17" s="5"/>
      <c r="J17" s="5"/>
      <c r="K17">
        <f t="shared" si="3"/>
        <v>0.22993305648018622</v>
      </c>
      <c r="L17" s="5">
        <f>SUM(P$6:P17)</f>
        <v>0.68979916944055863</v>
      </c>
      <c r="M17" s="5"/>
      <c r="N17" s="5">
        <v>-0.53325</v>
      </c>
      <c r="O17" s="5">
        <f t="shared" si="4"/>
        <v>0.18187005674477622</v>
      </c>
      <c r="P17" s="5">
        <f t="shared" si="18"/>
        <v>0.14418899920622993</v>
      </c>
      <c r="Q17" s="5">
        <f t="shared" si="5"/>
        <v>0.18187005674477622</v>
      </c>
      <c r="R17" s="5">
        <f t="shared" si="19"/>
        <v>0.14418899920622993</v>
      </c>
      <c r="S17">
        <v>21</v>
      </c>
      <c r="T17" t="str">
        <f t="shared" si="6"/>
        <v/>
      </c>
      <c r="U17" t="str">
        <f t="shared" si="7"/>
        <v/>
      </c>
      <c r="V17" t="str">
        <f t="shared" si="13"/>
        <v/>
      </c>
      <c r="W17" t="str">
        <f t="shared" si="14"/>
        <v/>
      </c>
      <c r="X17" t="str">
        <f t="shared" si="15"/>
        <v/>
      </c>
      <c r="Y17" t="str">
        <f t="shared" si="16"/>
        <v/>
      </c>
      <c r="Z17">
        <f t="shared" si="8"/>
        <v>1</v>
      </c>
      <c r="AA17">
        <f t="shared" si="9"/>
        <v>1</v>
      </c>
      <c r="AB17">
        <f t="shared" si="10"/>
        <v>0</v>
      </c>
      <c r="AH17" s="18" t="s">
        <v>27</v>
      </c>
      <c r="AI17" s="18"/>
      <c r="AJ17" s="18"/>
      <c r="AK17" s="18"/>
      <c r="AL17" s="18"/>
      <c r="AM17" s="18"/>
      <c r="AN17" s="18"/>
    </row>
    <row r="18" spans="1:40" x14ac:dyDescent="0.25">
      <c r="A18">
        <v>22</v>
      </c>
      <c r="B18" s="5">
        <v>0.14712179948892828</v>
      </c>
      <c r="C18" s="5">
        <f t="shared" si="0"/>
        <v>4.9040599829642761E-2</v>
      </c>
      <c r="D18" s="5">
        <f t="shared" si="17"/>
        <v>0.22993305648018619</v>
      </c>
      <c r="E18" s="5">
        <f t="shared" si="11"/>
        <v>-0.38524000000000003</v>
      </c>
      <c r="F18" s="5">
        <f t="shared" si="1"/>
        <v>-0.38524000000000003</v>
      </c>
      <c r="G18" s="5">
        <f t="shared" si="12"/>
        <v>0.22993305648018619</v>
      </c>
      <c r="H18" s="5">
        <f t="shared" si="2"/>
        <v>0.14712179948892828</v>
      </c>
      <c r="I18" s="5"/>
      <c r="J18" s="5"/>
      <c r="K18">
        <f t="shared" si="3"/>
        <v>0.27897365630982901</v>
      </c>
      <c r="L18" s="5">
        <f>SUM(P$6:P18)</f>
        <v>0.83692096892948697</v>
      </c>
      <c r="M18" s="5"/>
      <c r="N18" s="5">
        <v>-0.38524000000000003</v>
      </c>
      <c r="O18" s="5">
        <f t="shared" si="4"/>
        <v>0.22993305648018619</v>
      </c>
      <c r="P18" s="5">
        <f t="shared" si="18"/>
        <v>0.14712179948892828</v>
      </c>
      <c r="Q18" s="5">
        <f t="shared" si="5"/>
        <v>0.22993305648018619</v>
      </c>
      <c r="R18" s="5">
        <f t="shared" si="19"/>
        <v>0.14712179948892828</v>
      </c>
      <c r="S18">
        <v>22</v>
      </c>
      <c r="T18" t="str">
        <f t="shared" si="6"/>
        <v/>
      </c>
      <c r="U18" t="str">
        <f t="shared" si="7"/>
        <v/>
      </c>
      <c r="V18">
        <f t="shared" si="13"/>
        <v>22.409190417521856</v>
      </c>
      <c r="W18">
        <f t="shared" si="14"/>
        <v>22.409190417521856</v>
      </c>
      <c r="X18" t="str">
        <f t="shared" si="15"/>
        <v/>
      </c>
      <c r="Y18" t="str">
        <f t="shared" si="16"/>
        <v/>
      </c>
      <c r="Z18">
        <f t="shared" si="8"/>
        <v>1</v>
      </c>
      <c r="AA18">
        <f t="shared" si="9"/>
        <v>1</v>
      </c>
      <c r="AB18">
        <f t="shared" si="10"/>
        <v>0</v>
      </c>
      <c r="AH18" s="8"/>
      <c r="AI18" s="8"/>
      <c r="AJ18" s="8" t="s">
        <v>36</v>
      </c>
      <c r="AK18" s="8"/>
      <c r="AL18" s="8"/>
      <c r="AM18" s="8" t="str">
        <f>"a="&amp;AD1&amp;"; b="&amp;AD2&amp;"; TFR="&amp;AD3</f>
        <v>a=0; b=1; TFR=3</v>
      </c>
      <c r="AN18" s="8"/>
    </row>
    <row r="19" spans="1:40" x14ac:dyDescent="0.25">
      <c r="A19">
        <v>23</v>
      </c>
      <c r="B19" s="5">
        <v>0.14794857952431278</v>
      </c>
      <c r="C19" s="5">
        <f t="shared" si="0"/>
        <v>4.9316193174770928E-2</v>
      </c>
      <c r="D19" s="5">
        <f t="shared" si="17"/>
        <v>0.27897365630982895</v>
      </c>
      <c r="E19" s="5">
        <f t="shared" si="11"/>
        <v>-0.24422999999999992</v>
      </c>
      <c r="F19" s="5">
        <f t="shared" si="1"/>
        <v>-0.24422999999999992</v>
      </c>
      <c r="G19" s="5">
        <f t="shared" si="12"/>
        <v>0.27897365630982895</v>
      </c>
      <c r="H19" s="5">
        <f t="shared" si="2"/>
        <v>0.14794857952431278</v>
      </c>
      <c r="I19" s="5"/>
      <c r="J19" s="5"/>
      <c r="K19">
        <f t="shared" si="3"/>
        <v>0.32828984948459988</v>
      </c>
      <c r="L19" s="5">
        <f>SUM(P$6:P19)</f>
        <v>0.9848695484537997</v>
      </c>
      <c r="M19" s="5"/>
      <c r="N19" s="5">
        <v>-0.24423</v>
      </c>
      <c r="O19" s="5">
        <f t="shared" si="4"/>
        <v>0.27897365630982895</v>
      </c>
      <c r="P19" s="5">
        <f t="shared" si="18"/>
        <v>0.14794857952431278</v>
      </c>
      <c r="Q19" s="5">
        <f t="shared" si="5"/>
        <v>0.27897365630982895</v>
      </c>
      <c r="R19" s="5">
        <f t="shared" si="19"/>
        <v>0.14794857952431278</v>
      </c>
      <c r="S19">
        <v>23</v>
      </c>
      <c r="T19" t="str">
        <f t="shared" si="6"/>
        <v/>
      </c>
      <c r="U19" t="str">
        <f t="shared" si="7"/>
        <v/>
      </c>
      <c r="V19" t="str">
        <f t="shared" si="13"/>
        <v/>
      </c>
      <c r="W19" t="str">
        <f t="shared" si="14"/>
        <v/>
      </c>
      <c r="X19" t="str">
        <f t="shared" si="15"/>
        <v/>
      </c>
      <c r="Y19" t="str">
        <f t="shared" si="16"/>
        <v/>
      </c>
      <c r="Z19">
        <f t="shared" si="8"/>
        <v>1</v>
      </c>
      <c r="AA19">
        <f t="shared" si="9"/>
        <v>1</v>
      </c>
      <c r="AB19">
        <f t="shared" si="10"/>
        <v>0</v>
      </c>
      <c r="AH19" t="s">
        <v>31</v>
      </c>
      <c r="AJ19" s="1">
        <f>MAX(T6:T51)</f>
        <v>27.566340209862989</v>
      </c>
      <c r="AK19" s="1"/>
      <c r="AL19" s="1"/>
      <c r="AM19" s="1">
        <f>MAX(U6:U51)</f>
        <v>27.566340209862989</v>
      </c>
    </row>
    <row r="20" spans="1:40" x14ac:dyDescent="0.25">
      <c r="A20">
        <v>24</v>
      </c>
      <c r="B20" s="5">
        <v>0.14706298126481937</v>
      </c>
      <c r="C20" s="5">
        <f t="shared" si="0"/>
        <v>4.902099375493979E-2</v>
      </c>
      <c r="D20" s="5">
        <f t="shared" si="17"/>
        <v>0.32828984948459988</v>
      </c>
      <c r="E20" s="5">
        <f t="shared" si="11"/>
        <v>-0.10783000000000005</v>
      </c>
      <c r="F20" s="5">
        <f t="shared" si="1"/>
        <v>-0.10783000000000005</v>
      </c>
      <c r="G20" s="5">
        <f t="shared" si="12"/>
        <v>0.32828984948459988</v>
      </c>
      <c r="H20" s="5">
        <f t="shared" si="2"/>
        <v>0.14706298126481937</v>
      </c>
      <c r="I20" s="5"/>
      <c r="J20" s="5"/>
      <c r="K20">
        <f t="shared" si="3"/>
        <v>0.37731084323953973</v>
      </c>
      <c r="L20" s="5">
        <f>SUM(P$6:P20)</f>
        <v>1.1319325297186191</v>
      </c>
      <c r="M20" s="5"/>
      <c r="N20" s="5">
        <v>-0.10783</v>
      </c>
      <c r="O20" s="5">
        <f t="shared" si="4"/>
        <v>0.32828984948459988</v>
      </c>
      <c r="P20" s="5">
        <f t="shared" si="18"/>
        <v>0.14706298126481937</v>
      </c>
      <c r="Q20" s="5">
        <f t="shared" si="5"/>
        <v>0.32828984948459988</v>
      </c>
      <c r="R20" s="5">
        <f t="shared" si="19"/>
        <v>0.14706298126481937</v>
      </c>
      <c r="S20">
        <v>24</v>
      </c>
      <c r="T20" t="str">
        <f t="shared" si="6"/>
        <v/>
      </c>
      <c r="U20" t="str">
        <f t="shared" si="7"/>
        <v/>
      </c>
      <c r="V20" t="str">
        <f t="shared" si="13"/>
        <v/>
      </c>
      <c r="W20" t="str">
        <f t="shared" si="14"/>
        <v/>
      </c>
      <c r="X20" t="str">
        <f t="shared" si="15"/>
        <v/>
      </c>
      <c r="Y20" t="str">
        <f t="shared" si="16"/>
        <v/>
      </c>
      <c r="Z20">
        <f t="shared" si="8"/>
        <v>1</v>
      </c>
      <c r="AA20">
        <f t="shared" si="9"/>
        <v>1</v>
      </c>
      <c r="AB20">
        <f t="shared" si="10"/>
        <v>0</v>
      </c>
      <c r="AH20" t="s">
        <v>28</v>
      </c>
      <c r="AJ20" s="1">
        <f>SUMPRODUCT($A$6:$A$51,P6:P51)/SUM(P6:P51)</f>
        <v>27.782746257823487</v>
      </c>
      <c r="AK20" s="1"/>
      <c r="AL20" s="1"/>
      <c r="AM20" s="1">
        <f>SUMPRODUCT($A$6:$A$51,R6:R51)/SUM(R6:R51)</f>
        <v>27.782746257823487</v>
      </c>
    </row>
    <row r="21" spans="1:40" x14ac:dyDescent="0.25">
      <c r="A21">
        <v>25</v>
      </c>
      <c r="B21" s="5">
        <v>0.14596340854598344</v>
      </c>
      <c r="C21" s="5">
        <f t="shared" si="0"/>
        <v>4.8654469515327814E-2</v>
      </c>
      <c r="D21" s="5">
        <f t="shared" si="17"/>
        <v>0.37731084323953967</v>
      </c>
      <c r="E21" s="5">
        <f t="shared" si="11"/>
        <v>2.5640000000000027E-2</v>
      </c>
      <c r="F21" s="5">
        <f t="shared" si="1"/>
        <v>2.5640000000000027E-2</v>
      </c>
      <c r="G21" s="5">
        <f t="shared" si="12"/>
        <v>0.37731084323953967</v>
      </c>
      <c r="H21" s="5">
        <f t="shared" si="2"/>
        <v>0.14596340854598344</v>
      </c>
      <c r="I21" s="5"/>
      <c r="J21" s="5"/>
      <c r="K21">
        <f t="shared" si="3"/>
        <v>0.42596531275486749</v>
      </c>
      <c r="L21" s="5">
        <f>SUM(P$6:P21)</f>
        <v>1.2778959382646025</v>
      </c>
      <c r="M21" s="5"/>
      <c r="N21" s="5">
        <v>2.564E-2</v>
      </c>
      <c r="O21" s="5">
        <f t="shared" si="4"/>
        <v>0.37731084323953967</v>
      </c>
      <c r="P21" s="5">
        <f t="shared" si="18"/>
        <v>0.14596340854598344</v>
      </c>
      <c r="Q21" s="5">
        <f t="shared" si="5"/>
        <v>0.37731084323953967</v>
      </c>
      <c r="R21" s="5">
        <f t="shared" si="19"/>
        <v>0.14596340854598344</v>
      </c>
      <c r="S21">
        <v>25</v>
      </c>
      <c r="T21" t="str">
        <f t="shared" si="6"/>
        <v/>
      </c>
      <c r="U21" t="str">
        <f t="shared" si="7"/>
        <v/>
      </c>
      <c r="V21" t="str">
        <f t="shared" si="13"/>
        <v/>
      </c>
      <c r="W21" t="str">
        <f t="shared" si="14"/>
        <v/>
      </c>
      <c r="X21" t="str">
        <f t="shared" si="15"/>
        <v/>
      </c>
      <c r="Y21" t="str">
        <f t="shared" si="16"/>
        <v/>
      </c>
      <c r="Z21">
        <f t="shared" si="8"/>
        <v>1</v>
      </c>
      <c r="AA21">
        <f t="shared" si="9"/>
        <v>1</v>
      </c>
      <c r="AB21">
        <f t="shared" si="10"/>
        <v>0</v>
      </c>
      <c r="AH21" t="s">
        <v>12</v>
      </c>
      <c r="AJ21" s="2">
        <f>VLOOKUP(MAX(P6:P51),$P$6:$S$51,4,FALSE)</f>
        <v>23</v>
      </c>
      <c r="AL21" s="2"/>
      <c r="AM21" s="2">
        <f>VLOOKUP(MAX(R6:R51),$R$6:$S$51,2,FALSE)</f>
        <v>23</v>
      </c>
    </row>
    <row r="22" spans="1:40" x14ac:dyDescent="0.25">
      <c r="A22">
        <v>26</v>
      </c>
      <c r="B22" s="5">
        <v>0.14322771024812664</v>
      </c>
      <c r="C22" s="5">
        <f t="shared" si="0"/>
        <v>4.7742570082708879E-2</v>
      </c>
      <c r="D22" s="5">
        <f t="shared" si="17"/>
        <v>0.42596531275486749</v>
      </c>
      <c r="E22" s="5">
        <f t="shared" si="11"/>
        <v>0.15852999999999998</v>
      </c>
      <c r="F22" s="5">
        <f t="shared" si="1"/>
        <v>0.15852999999999998</v>
      </c>
      <c r="G22" s="5">
        <f t="shared" si="12"/>
        <v>0.42596531275486749</v>
      </c>
      <c r="H22" s="5">
        <f t="shared" si="2"/>
        <v>0.14322771024812664</v>
      </c>
      <c r="I22" s="5"/>
      <c r="J22" s="5"/>
      <c r="K22">
        <f t="shared" si="3"/>
        <v>0.47370788283757631</v>
      </c>
      <c r="L22" s="5">
        <f>SUM(P$6:P22)</f>
        <v>1.421123648512729</v>
      </c>
      <c r="M22" s="5"/>
      <c r="N22" s="5">
        <v>0.15853</v>
      </c>
      <c r="O22" s="5">
        <f t="shared" si="4"/>
        <v>0.42596531275486749</v>
      </c>
      <c r="P22" s="5">
        <f t="shared" si="18"/>
        <v>0.14322771024812664</v>
      </c>
      <c r="Q22" s="5">
        <f t="shared" si="5"/>
        <v>0.42596531275486749</v>
      </c>
      <c r="R22" s="5">
        <f t="shared" si="19"/>
        <v>0.14322771024812664</v>
      </c>
      <c r="S22">
        <v>26</v>
      </c>
      <c r="T22" t="str">
        <f t="shared" si="6"/>
        <v/>
      </c>
      <c r="U22" t="str">
        <f t="shared" si="7"/>
        <v/>
      </c>
      <c r="V22" t="str">
        <f t="shared" si="13"/>
        <v/>
      </c>
      <c r="W22" t="str">
        <f t="shared" si="14"/>
        <v/>
      </c>
      <c r="X22" t="str">
        <f t="shared" si="15"/>
        <v/>
      </c>
      <c r="Y22" t="str">
        <f t="shared" si="16"/>
        <v/>
      </c>
      <c r="Z22">
        <f t="shared" si="8"/>
        <v>1</v>
      </c>
      <c r="AA22">
        <f t="shared" si="9"/>
        <v>1</v>
      </c>
      <c r="AB22">
        <f t="shared" si="10"/>
        <v>0</v>
      </c>
      <c r="AH22" t="s">
        <v>29</v>
      </c>
      <c r="AJ22" s="2">
        <f>MAX(X6:X51)-MAX(V6:V51)</f>
        <v>11.231959072185425</v>
      </c>
      <c r="AL22" s="2"/>
      <c r="AM22" s="2">
        <f>MAX(Y6:Y51)-MAX(W6:W51)</f>
        <v>11.231959072185425</v>
      </c>
    </row>
    <row r="23" spans="1:40" x14ac:dyDescent="0.25">
      <c r="A23">
        <v>27</v>
      </c>
      <c r="B23" s="5">
        <v>0.13927379711631749</v>
      </c>
      <c r="C23" s="5">
        <f t="shared" si="0"/>
        <v>4.6424599038772496E-2</v>
      </c>
      <c r="D23" s="5">
        <f t="shared" si="17"/>
        <v>0.47370788283757637</v>
      </c>
      <c r="E23" s="5">
        <f t="shared" si="11"/>
        <v>0.29146999999999995</v>
      </c>
      <c r="F23" s="5">
        <f t="shared" si="1"/>
        <v>0.29146999999999995</v>
      </c>
      <c r="G23" s="5">
        <f t="shared" si="12"/>
        <v>0.47370788283757637</v>
      </c>
      <c r="H23" s="5">
        <f t="shared" si="2"/>
        <v>0.13927379711631749</v>
      </c>
      <c r="I23" s="5"/>
      <c r="J23" s="5"/>
      <c r="K23">
        <f t="shared" si="3"/>
        <v>0.52013248187634886</v>
      </c>
      <c r="L23" s="5">
        <f>SUM(P$6:P23)</f>
        <v>1.5603974456290466</v>
      </c>
      <c r="M23" s="5"/>
      <c r="N23" s="5">
        <v>0.29147000000000001</v>
      </c>
      <c r="O23" s="5">
        <f t="shared" si="4"/>
        <v>0.47370788283757637</v>
      </c>
      <c r="P23" s="5">
        <f t="shared" si="18"/>
        <v>0.13927379711631749</v>
      </c>
      <c r="Q23" s="5">
        <f t="shared" si="5"/>
        <v>0.47370788283757637</v>
      </c>
      <c r="R23" s="5">
        <f t="shared" si="19"/>
        <v>0.13927379711631749</v>
      </c>
      <c r="S23">
        <v>27</v>
      </c>
      <c r="T23">
        <f>IF(AND(O23&lt;0.5,O24&gt;0.5),$A23+(0.5-O23)/(O24-O23),"")</f>
        <v>27.566340209862989</v>
      </c>
      <c r="U23">
        <f>IF(AND(Q23&lt;0.5,Q24&gt;0.5),$A23+(0.5-Q23)/(Q24-Q23),"")</f>
        <v>27.566340209862989</v>
      </c>
      <c r="V23" t="str">
        <f t="shared" si="13"/>
        <v/>
      </c>
      <c r="W23" t="str">
        <f t="shared" si="14"/>
        <v/>
      </c>
      <c r="X23" t="str">
        <f t="shared" si="15"/>
        <v/>
      </c>
      <c r="Y23" t="str">
        <f t="shared" si="16"/>
        <v/>
      </c>
      <c r="Z23">
        <f t="shared" si="8"/>
        <v>1</v>
      </c>
      <c r="AA23">
        <f t="shared" si="9"/>
        <v>1</v>
      </c>
      <c r="AB23">
        <f t="shared" si="10"/>
        <v>0</v>
      </c>
      <c r="AH23" t="s">
        <v>34</v>
      </c>
      <c r="AJ23" s="2">
        <f>SUM(Z6:Z51)</f>
        <v>27</v>
      </c>
      <c r="AL23" s="2"/>
      <c r="AM23" s="2">
        <f>SUM(AA6:AA51)</f>
        <v>27</v>
      </c>
    </row>
    <row r="24" spans="1:40" x14ac:dyDescent="0.25">
      <c r="A24">
        <v>28</v>
      </c>
      <c r="B24" s="5">
        <v>0.13510623724358672</v>
      </c>
      <c r="C24" s="5">
        <f t="shared" si="0"/>
        <v>4.5035412414528908E-2</v>
      </c>
      <c r="D24" s="5">
        <f t="shared" si="17"/>
        <v>0.52013248187634886</v>
      </c>
      <c r="E24" s="5">
        <f t="shared" si="11"/>
        <v>0.42515000000000019</v>
      </c>
      <c r="F24" s="5">
        <f t="shared" si="1"/>
        <v>0.42515000000000019</v>
      </c>
      <c r="G24" s="5">
        <f t="shared" si="12"/>
        <v>0.52013248187634886</v>
      </c>
      <c r="H24" s="5">
        <f t="shared" si="2"/>
        <v>0.13510623724358672</v>
      </c>
      <c r="I24" s="5"/>
      <c r="J24" s="5"/>
      <c r="K24">
        <f t="shared" si="3"/>
        <v>0.56516789429087777</v>
      </c>
      <c r="L24" s="5">
        <f>SUM(P$6:P24)</f>
        <v>1.6955036828726333</v>
      </c>
      <c r="M24" s="5"/>
      <c r="N24" s="5">
        <v>0.42514999999999997</v>
      </c>
      <c r="O24" s="5">
        <f t="shared" si="4"/>
        <v>0.52013248187634886</v>
      </c>
      <c r="P24" s="5">
        <f t="shared" si="18"/>
        <v>0.13510623724358672</v>
      </c>
      <c r="Q24" s="5">
        <f t="shared" si="5"/>
        <v>0.52013248187634886</v>
      </c>
      <c r="R24" s="5">
        <f t="shared" si="19"/>
        <v>0.13510623724358672</v>
      </c>
      <c r="S24">
        <v>28</v>
      </c>
      <c r="T24" t="str">
        <f t="shared" ref="T24:T51" si="20">IF(AND(O24&lt;0.5,O25&gt;0.5),$A24+(0.5-O24)/(O25-O24),"")</f>
        <v/>
      </c>
      <c r="U24" t="str">
        <f t="shared" ref="U24:U51" si="21">IF(AND(Q24&lt;0.5,Q25&gt;0.5),$A24+(0.5-Q24)/(Q25-Q24),"")</f>
        <v/>
      </c>
      <c r="V24" t="str">
        <f t="shared" si="13"/>
        <v/>
      </c>
      <c r="W24" t="str">
        <f t="shared" si="14"/>
        <v/>
      </c>
      <c r="X24" t="str">
        <f t="shared" si="15"/>
        <v/>
      </c>
      <c r="Y24" t="str">
        <f t="shared" si="16"/>
        <v/>
      </c>
      <c r="Z24">
        <f t="shared" si="8"/>
        <v>1</v>
      </c>
      <c r="AA24">
        <f t="shared" si="9"/>
        <v>1</v>
      </c>
      <c r="AB24">
        <f t="shared" si="10"/>
        <v>0</v>
      </c>
    </row>
    <row r="25" spans="1:40" x14ac:dyDescent="0.25">
      <c r="A25">
        <v>29</v>
      </c>
      <c r="B25" s="5">
        <v>0.13031227054058592</v>
      </c>
      <c r="C25" s="5">
        <f t="shared" si="0"/>
        <v>4.3437423513528639E-2</v>
      </c>
      <c r="D25" s="5">
        <f t="shared" si="17"/>
        <v>0.56516789429087777</v>
      </c>
      <c r="E25" s="5">
        <f t="shared" si="11"/>
        <v>0.56101000000000023</v>
      </c>
      <c r="F25" s="5">
        <f t="shared" si="1"/>
        <v>0.56101000000000023</v>
      </c>
      <c r="G25" s="5">
        <f t="shared" si="12"/>
        <v>0.56516789429087777</v>
      </c>
      <c r="H25" s="5">
        <f t="shared" si="2"/>
        <v>0.13031227054058592</v>
      </c>
      <c r="I25" s="5"/>
      <c r="J25" s="5"/>
      <c r="K25">
        <f t="shared" si="3"/>
        <v>0.60860531780440641</v>
      </c>
      <c r="L25" s="5">
        <f>SUM(P$6:P25)</f>
        <v>1.8258159534132192</v>
      </c>
      <c r="M25" s="5"/>
      <c r="N25" s="5">
        <v>0.56101000000000001</v>
      </c>
      <c r="O25" s="5">
        <f t="shared" si="4"/>
        <v>0.56516789429087777</v>
      </c>
      <c r="P25" s="5">
        <f t="shared" si="18"/>
        <v>0.13031227054058592</v>
      </c>
      <c r="Q25" s="5">
        <f t="shared" si="5"/>
        <v>0.56516789429087777</v>
      </c>
      <c r="R25" s="5">
        <f t="shared" si="19"/>
        <v>0.13031227054058592</v>
      </c>
      <c r="S25">
        <v>29</v>
      </c>
      <c r="T25" t="str">
        <f t="shared" si="20"/>
        <v/>
      </c>
      <c r="U25" t="str">
        <f t="shared" si="21"/>
        <v/>
      </c>
      <c r="V25" t="str">
        <f t="shared" si="13"/>
        <v/>
      </c>
      <c r="W25" t="str">
        <f t="shared" si="14"/>
        <v/>
      </c>
      <c r="X25" t="str">
        <f t="shared" si="15"/>
        <v/>
      </c>
      <c r="Y25" t="str">
        <f t="shared" si="16"/>
        <v/>
      </c>
      <c r="Z25">
        <f t="shared" si="8"/>
        <v>1</v>
      </c>
      <c r="AA25">
        <f t="shared" si="9"/>
        <v>1</v>
      </c>
      <c r="AB25">
        <f t="shared" si="10"/>
        <v>0</v>
      </c>
    </row>
    <row r="26" spans="1:40" x14ac:dyDescent="0.25">
      <c r="A26">
        <v>30</v>
      </c>
      <c r="B26" s="5">
        <v>0.12466195215314746</v>
      </c>
      <c r="C26" s="5">
        <f t="shared" si="0"/>
        <v>4.1553984051049153E-2</v>
      </c>
      <c r="D26" s="5">
        <f t="shared" si="17"/>
        <v>0.60860531780440641</v>
      </c>
      <c r="E26" s="5">
        <f t="shared" si="11"/>
        <v>0.7</v>
      </c>
      <c r="F26" s="5">
        <f t="shared" si="1"/>
        <v>0.7</v>
      </c>
      <c r="G26" s="5">
        <f t="shared" si="12"/>
        <v>0.60860531780440641</v>
      </c>
      <c r="H26" s="5">
        <f t="shared" si="2"/>
        <v>0.12466195215314746</v>
      </c>
      <c r="I26" s="5"/>
      <c r="J26" s="5"/>
      <c r="K26">
        <f t="shared" si="3"/>
        <v>0.65015930185545556</v>
      </c>
      <c r="L26" s="5">
        <f>SUM(P$6:P26)</f>
        <v>1.9504779055663666</v>
      </c>
      <c r="M26" s="5"/>
      <c r="N26" s="5">
        <v>0.7</v>
      </c>
      <c r="O26" s="5">
        <f t="shared" si="4"/>
        <v>0.60860531780440641</v>
      </c>
      <c r="P26" s="5">
        <f t="shared" si="18"/>
        <v>0.12466195215314746</v>
      </c>
      <c r="Q26" s="5">
        <f t="shared" si="5"/>
        <v>0.60860531780440641</v>
      </c>
      <c r="R26" s="5">
        <f t="shared" si="19"/>
        <v>0.12466195215314746</v>
      </c>
      <c r="S26">
        <v>30</v>
      </c>
      <c r="T26" t="str">
        <f t="shared" si="20"/>
        <v/>
      </c>
      <c r="U26" t="str">
        <f t="shared" si="21"/>
        <v/>
      </c>
      <c r="V26" t="str">
        <f t="shared" si="13"/>
        <v/>
      </c>
      <c r="W26" t="str">
        <f t="shared" si="14"/>
        <v/>
      </c>
      <c r="X26" t="str">
        <f t="shared" si="15"/>
        <v/>
      </c>
      <c r="Y26" t="str">
        <f t="shared" si="16"/>
        <v/>
      </c>
      <c r="Z26">
        <f t="shared" si="8"/>
        <v>1</v>
      </c>
      <c r="AA26">
        <f t="shared" si="9"/>
        <v>1</v>
      </c>
      <c r="AB26">
        <f t="shared" si="10"/>
        <v>0</v>
      </c>
    </row>
    <row r="27" spans="1:40" x14ac:dyDescent="0.25">
      <c r="A27">
        <v>31</v>
      </c>
      <c r="B27" s="5">
        <v>0.11856805980294338</v>
      </c>
      <c r="C27" s="5">
        <f t="shared" si="0"/>
        <v>3.9522686600981127E-2</v>
      </c>
      <c r="D27" s="5">
        <f t="shared" si="17"/>
        <v>0.65015930185545556</v>
      </c>
      <c r="E27" s="5">
        <f t="shared" si="11"/>
        <v>0.84272000000000014</v>
      </c>
      <c r="F27" s="5">
        <f t="shared" si="1"/>
        <v>0.84272000000000014</v>
      </c>
      <c r="G27" s="5">
        <f t="shared" si="12"/>
        <v>0.65015930185545556</v>
      </c>
      <c r="H27" s="5">
        <f t="shared" si="2"/>
        <v>0.11856805980294338</v>
      </c>
      <c r="I27" s="5"/>
      <c r="J27" s="5"/>
      <c r="K27">
        <f t="shared" si="3"/>
        <v>0.68968198845643658</v>
      </c>
      <c r="L27" s="5">
        <f>SUM(P$6:P27)</f>
        <v>2.0690459653693098</v>
      </c>
      <c r="M27" s="5"/>
      <c r="N27" s="5">
        <v>0.84272000000000002</v>
      </c>
      <c r="O27" s="5">
        <f t="shared" si="4"/>
        <v>0.65015930185545556</v>
      </c>
      <c r="P27" s="5">
        <f t="shared" si="18"/>
        <v>0.11856805980294338</v>
      </c>
      <c r="Q27" s="5">
        <f t="shared" si="5"/>
        <v>0.65015930185545556</v>
      </c>
      <c r="R27" s="5">
        <f t="shared" si="19"/>
        <v>0.11856805980294338</v>
      </c>
      <c r="S27">
        <v>31</v>
      </c>
      <c r="T27" t="str">
        <f t="shared" si="20"/>
        <v/>
      </c>
      <c r="U27" t="str">
        <f t="shared" si="21"/>
        <v/>
      </c>
      <c r="V27" t="str">
        <f t="shared" si="13"/>
        <v/>
      </c>
      <c r="W27" t="str">
        <f t="shared" si="14"/>
        <v/>
      </c>
      <c r="X27" t="str">
        <f t="shared" si="15"/>
        <v/>
      </c>
      <c r="Y27" t="str">
        <f t="shared" si="16"/>
        <v/>
      </c>
      <c r="Z27">
        <f t="shared" si="8"/>
        <v>1</v>
      </c>
      <c r="AA27">
        <f t="shared" si="9"/>
        <v>1</v>
      </c>
      <c r="AB27">
        <f t="shared" si="10"/>
        <v>1</v>
      </c>
    </row>
    <row r="28" spans="1:40" x14ac:dyDescent="0.25">
      <c r="A28">
        <v>32</v>
      </c>
      <c r="B28" s="5">
        <v>0.11262762653311509</v>
      </c>
      <c r="C28" s="5">
        <f t="shared" si="0"/>
        <v>3.7542542177705029E-2</v>
      </c>
      <c r="D28" s="5">
        <f t="shared" si="17"/>
        <v>0.68968198845643669</v>
      </c>
      <c r="E28" s="5">
        <f t="shared" si="11"/>
        <v>0.99013999999999991</v>
      </c>
      <c r="F28" s="5">
        <f t="shared" si="1"/>
        <v>0.99013999999999991</v>
      </c>
      <c r="G28" s="5">
        <f t="shared" si="12"/>
        <v>0.68968198845643669</v>
      </c>
      <c r="H28" s="5">
        <f t="shared" si="2"/>
        <v>0.11262762653311509</v>
      </c>
      <c r="I28" s="5"/>
      <c r="J28" s="5"/>
      <c r="K28">
        <f t="shared" si="3"/>
        <v>0.72722453063414161</v>
      </c>
      <c r="L28" s="5">
        <f>SUM(P$6:P28)</f>
        <v>2.1816735919024248</v>
      </c>
      <c r="M28" s="5"/>
      <c r="N28" s="5">
        <v>0.99014000000000002</v>
      </c>
      <c r="O28" s="5">
        <f t="shared" si="4"/>
        <v>0.68968198845643669</v>
      </c>
      <c r="P28" s="5">
        <f t="shared" si="18"/>
        <v>0.11262762653311509</v>
      </c>
      <c r="Q28" s="5">
        <f t="shared" si="5"/>
        <v>0.68968198845643669</v>
      </c>
      <c r="R28" s="5">
        <f t="shared" si="19"/>
        <v>0.11262762653311509</v>
      </c>
      <c r="S28">
        <v>32</v>
      </c>
      <c r="T28" t="str">
        <f t="shared" si="20"/>
        <v/>
      </c>
      <c r="U28" t="str">
        <f t="shared" si="21"/>
        <v/>
      </c>
      <c r="V28" t="str">
        <f t="shared" si="13"/>
        <v/>
      </c>
      <c r="W28" t="str">
        <f t="shared" si="14"/>
        <v/>
      </c>
      <c r="X28" t="str">
        <f t="shared" si="15"/>
        <v/>
      </c>
      <c r="Y28" t="str">
        <f t="shared" si="16"/>
        <v/>
      </c>
      <c r="Z28">
        <f t="shared" si="8"/>
        <v>1</v>
      </c>
      <c r="AA28">
        <f t="shared" si="9"/>
        <v>1</v>
      </c>
      <c r="AB28">
        <f t="shared" si="10"/>
        <v>1</v>
      </c>
    </row>
    <row r="29" spans="1:40" x14ac:dyDescent="0.25">
      <c r="A29">
        <v>33</v>
      </c>
      <c r="B29" s="5">
        <v>0.10656860715707539</v>
      </c>
      <c r="C29" s="5">
        <f t="shared" si="0"/>
        <v>3.5522869052358463E-2</v>
      </c>
      <c r="D29" s="5">
        <f t="shared" si="17"/>
        <v>0.72722453063414172</v>
      </c>
      <c r="E29" s="5">
        <f t="shared" si="11"/>
        <v>1.1440699999999999</v>
      </c>
      <c r="F29" s="5">
        <f t="shared" si="1"/>
        <v>1.1440699999999999</v>
      </c>
      <c r="G29" s="5">
        <f t="shared" si="12"/>
        <v>0.72722453063414172</v>
      </c>
      <c r="H29" s="5">
        <f t="shared" si="2"/>
        <v>0.10656860715707539</v>
      </c>
      <c r="I29" s="5"/>
      <c r="J29" s="5"/>
      <c r="K29">
        <f t="shared" si="3"/>
        <v>0.76274739968650007</v>
      </c>
      <c r="L29" s="5">
        <f>SUM(P$6:P29)</f>
        <v>2.2882421990595003</v>
      </c>
      <c r="M29" s="5"/>
      <c r="N29" s="5">
        <v>1.1440699999999999</v>
      </c>
      <c r="O29" s="5">
        <f t="shared" si="4"/>
        <v>0.72722453063414172</v>
      </c>
      <c r="P29" s="5">
        <f t="shared" si="18"/>
        <v>0.10656860715707539</v>
      </c>
      <c r="Q29" s="5">
        <f t="shared" si="5"/>
        <v>0.72722453063414172</v>
      </c>
      <c r="R29" s="5">
        <f t="shared" si="19"/>
        <v>0.10656860715707539</v>
      </c>
      <c r="S29">
        <v>33</v>
      </c>
      <c r="T29" t="str">
        <f t="shared" si="20"/>
        <v/>
      </c>
      <c r="U29" t="str">
        <f t="shared" si="21"/>
        <v/>
      </c>
      <c r="V29" t="str">
        <f t="shared" si="13"/>
        <v/>
      </c>
      <c r="W29" t="str">
        <f t="shared" si="14"/>
        <v/>
      </c>
      <c r="X29">
        <f t="shared" si="15"/>
        <v>33.641149489707281</v>
      </c>
      <c r="Y29">
        <f t="shared" si="16"/>
        <v>33.641149489707281</v>
      </c>
      <c r="Z29">
        <f t="shared" si="8"/>
        <v>1</v>
      </c>
      <c r="AA29">
        <f t="shared" si="9"/>
        <v>1</v>
      </c>
      <c r="AB29">
        <f t="shared" si="10"/>
        <v>1</v>
      </c>
    </row>
    <row r="30" spans="1:40" x14ac:dyDescent="0.25">
      <c r="A30">
        <v>34</v>
      </c>
      <c r="B30" s="5">
        <v>0.10029956096751858</v>
      </c>
      <c r="C30" s="5">
        <f t="shared" si="0"/>
        <v>3.3433186989172858E-2</v>
      </c>
      <c r="D30" s="5">
        <f t="shared" si="17"/>
        <v>0.76274739968650018</v>
      </c>
      <c r="E30" s="5">
        <f t="shared" si="11"/>
        <v>1.3062700000000003</v>
      </c>
      <c r="F30" s="5">
        <f t="shared" si="1"/>
        <v>1.3062700000000003</v>
      </c>
      <c r="G30" s="5">
        <f t="shared" si="12"/>
        <v>0.76274739968650018</v>
      </c>
      <c r="H30" s="5">
        <f t="shared" si="2"/>
        <v>0.10029956096751858</v>
      </c>
      <c r="I30" s="5"/>
      <c r="J30" s="5"/>
      <c r="K30">
        <f t="shared" si="3"/>
        <v>0.79618058667567304</v>
      </c>
      <c r="L30" s="5">
        <f>SUM(P$6:P30)</f>
        <v>2.3885417600270191</v>
      </c>
      <c r="M30" s="5"/>
      <c r="N30" s="5">
        <v>1.30627</v>
      </c>
      <c r="O30" s="5">
        <f t="shared" si="4"/>
        <v>0.76274739968650018</v>
      </c>
      <c r="P30" s="5">
        <f t="shared" si="18"/>
        <v>0.10029956096751858</v>
      </c>
      <c r="Q30" s="5">
        <f t="shared" si="5"/>
        <v>0.76274739968650018</v>
      </c>
      <c r="R30" s="5">
        <f t="shared" si="19"/>
        <v>0.10029956096751858</v>
      </c>
      <c r="S30">
        <v>34</v>
      </c>
      <c r="T30" t="str">
        <f t="shared" si="20"/>
        <v/>
      </c>
      <c r="U30" t="str">
        <f t="shared" si="21"/>
        <v/>
      </c>
      <c r="V30" t="str">
        <f t="shared" si="13"/>
        <v/>
      </c>
      <c r="W30" t="str">
        <f t="shared" si="14"/>
        <v/>
      </c>
      <c r="X30" t="str">
        <f t="shared" si="15"/>
        <v/>
      </c>
      <c r="Y30" t="str">
        <f t="shared" si="16"/>
        <v/>
      </c>
      <c r="Z30">
        <f t="shared" si="8"/>
        <v>1</v>
      </c>
      <c r="AA30">
        <f t="shared" si="9"/>
        <v>1</v>
      </c>
      <c r="AB30">
        <f t="shared" si="10"/>
        <v>1</v>
      </c>
    </row>
    <row r="31" spans="1:40" x14ac:dyDescent="0.25">
      <c r="A31">
        <v>35</v>
      </c>
      <c r="B31" s="5">
        <v>9.3996621826954341E-2</v>
      </c>
      <c r="C31" s="5">
        <f t="shared" si="0"/>
        <v>3.1332207275651447E-2</v>
      </c>
      <c r="D31" s="5">
        <f t="shared" si="17"/>
        <v>0.79618058667567304</v>
      </c>
      <c r="E31" s="5">
        <f t="shared" si="11"/>
        <v>1.47872</v>
      </c>
      <c r="F31" s="5">
        <f t="shared" si="1"/>
        <v>1.47872</v>
      </c>
      <c r="G31" s="5">
        <f t="shared" si="12"/>
        <v>0.79618058667567304</v>
      </c>
      <c r="H31" s="5">
        <f t="shared" si="2"/>
        <v>9.3996621826954341E-2</v>
      </c>
      <c r="I31" s="5"/>
      <c r="J31" s="5"/>
      <c r="K31">
        <f t="shared" si="3"/>
        <v>0.82751279395132438</v>
      </c>
      <c r="L31" s="5">
        <f>SUM(P$6:P31)</f>
        <v>2.4825383818539732</v>
      </c>
      <c r="M31" s="5"/>
      <c r="N31" s="5">
        <v>1.47872</v>
      </c>
      <c r="O31" s="5">
        <f t="shared" si="4"/>
        <v>0.79618058667567304</v>
      </c>
      <c r="P31" s="5">
        <f t="shared" si="18"/>
        <v>9.3996621826954341E-2</v>
      </c>
      <c r="Q31" s="5">
        <f t="shared" si="5"/>
        <v>0.79618058667567304</v>
      </c>
      <c r="R31" s="5">
        <f t="shared" si="19"/>
        <v>9.3996621826954341E-2</v>
      </c>
      <c r="S31">
        <v>35</v>
      </c>
      <c r="T31" t="str">
        <f t="shared" si="20"/>
        <v/>
      </c>
      <c r="U31" t="str">
        <f t="shared" si="21"/>
        <v/>
      </c>
      <c r="V31" t="str">
        <f t="shared" si="13"/>
        <v/>
      </c>
      <c r="W31" t="str">
        <f t="shared" si="14"/>
        <v/>
      </c>
      <c r="X31" t="str">
        <f t="shared" si="15"/>
        <v/>
      </c>
      <c r="Y31" t="str">
        <f t="shared" si="16"/>
        <v/>
      </c>
      <c r="Z31">
        <f t="shared" si="8"/>
        <v>1</v>
      </c>
      <c r="AA31">
        <f t="shared" si="9"/>
        <v>1</v>
      </c>
      <c r="AB31">
        <f t="shared" si="10"/>
        <v>1</v>
      </c>
    </row>
    <row r="32" spans="1:40" x14ac:dyDescent="0.25">
      <c r="A32">
        <v>36</v>
      </c>
      <c r="B32" s="5">
        <v>8.7359735990932164E-2</v>
      </c>
      <c r="C32" s="5">
        <f t="shared" si="0"/>
        <v>2.9119911996977388E-2</v>
      </c>
      <c r="D32" s="5">
        <f t="shared" si="17"/>
        <v>0.82751279395132449</v>
      </c>
      <c r="E32" s="5">
        <f t="shared" si="11"/>
        <v>1.6642600000000001</v>
      </c>
      <c r="F32" s="5">
        <f t="shared" si="1"/>
        <v>1.6642600000000001</v>
      </c>
      <c r="G32" s="5">
        <f t="shared" si="12"/>
        <v>0.82751279395132449</v>
      </c>
      <c r="H32" s="5">
        <f t="shared" si="2"/>
        <v>8.7359735990932164E-2</v>
      </c>
      <c r="I32" s="5"/>
      <c r="J32" s="5"/>
      <c r="K32">
        <f t="shared" si="3"/>
        <v>0.85663270594830188</v>
      </c>
      <c r="L32" s="5">
        <f>SUM(P$6:P32)</f>
        <v>2.5698981178449056</v>
      </c>
      <c r="M32" s="5"/>
      <c r="N32" s="5">
        <v>1.6642600000000001</v>
      </c>
      <c r="O32" s="5">
        <f t="shared" si="4"/>
        <v>0.82751279395132449</v>
      </c>
      <c r="P32" s="5">
        <f t="shared" si="18"/>
        <v>8.7359735990932164E-2</v>
      </c>
      <c r="Q32" s="5">
        <f t="shared" si="5"/>
        <v>0.82751279395132449</v>
      </c>
      <c r="R32" s="5">
        <f t="shared" si="19"/>
        <v>8.7359735990932164E-2</v>
      </c>
      <c r="S32">
        <v>36</v>
      </c>
      <c r="T32" t="str">
        <f t="shared" si="20"/>
        <v/>
      </c>
      <c r="U32" t="str">
        <f t="shared" si="21"/>
        <v/>
      </c>
      <c r="V32" t="str">
        <f t="shared" si="13"/>
        <v/>
      </c>
      <c r="W32" t="str">
        <f t="shared" si="14"/>
        <v/>
      </c>
      <c r="X32" t="str">
        <f t="shared" si="15"/>
        <v/>
      </c>
      <c r="Y32" t="str">
        <f t="shared" si="16"/>
        <v/>
      </c>
      <c r="Z32">
        <f t="shared" si="8"/>
        <v>1</v>
      </c>
      <c r="AA32">
        <f t="shared" si="9"/>
        <v>1</v>
      </c>
      <c r="AB32">
        <f t="shared" si="10"/>
        <v>1</v>
      </c>
    </row>
    <row r="33" spans="1:28" x14ac:dyDescent="0.25">
      <c r="A33">
        <v>37</v>
      </c>
      <c r="B33" s="5">
        <v>8.0722942608245307E-2</v>
      </c>
      <c r="C33" s="5">
        <f t="shared" si="0"/>
        <v>2.6907647536081769E-2</v>
      </c>
      <c r="D33" s="5">
        <f t="shared" si="17"/>
        <v>0.85663270594830188</v>
      </c>
      <c r="E33" s="5">
        <f t="shared" si="11"/>
        <v>1.8659700000000004</v>
      </c>
      <c r="F33" s="5">
        <f t="shared" si="1"/>
        <v>1.8659700000000004</v>
      </c>
      <c r="G33" s="5">
        <f t="shared" si="12"/>
        <v>0.85663270594830188</v>
      </c>
      <c r="H33" s="5">
        <f t="shared" si="2"/>
        <v>8.0722942608245307E-2</v>
      </c>
      <c r="I33" s="5"/>
      <c r="J33" s="5"/>
      <c r="K33">
        <f t="shared" si="3"/>
        <v>0.88354035348438364</v>
      </c>
      <c r="L33" s="5">
        <f>SUM(P$6:P33)</f>
        <v>2.650621060453151</v>
      </c>
      <c r="M33" s="5"/>
      <c r="N33" s="5">
        <v>1.8659699999999999</v>
      </c>
      <c r="O33" s="5">
        <f t="shared" si="4"/>
        <v>0.85663270594830188</v>
      </c>
      <c r="P33" s="5">
        <f t="shared" si="18"/>
        <v>8.0722942608245307E-2</v>
      </c>
      <c r="Q33" s="5">
        <f t="shared" si="5"/>
        <v>0.85663270594830188</v>
      </c>
      <c r="R33" s="5">
        <f t="shared" si="19"/>
        <v>8.0722942608245307E-2</v>
      </c>
      <c r="S33">
        <v>37</v>
      </c>
      <c r="T33" t="str">
        <f t="shared" si="20"/>
        <v/>
      </c>
      <c r="U33" t="str">
        <f t="shared" si="21"/>
        <v/>
      </c>
      <c r="V33" t="str">
        <f t="shared" si="13"/>
        <v/>
      </c>
      <c r="W33" t="str">
        <f t="shared" si="14"/>
        <v/>
      </c>
      <c r="X33" t="str">
        <f t="shared" si="15"/>
        <v/>
      </c>
      <c r="Y33" t="str">
        <f t="shared" si="16"/>
        <v/>
      </c>
      <c r="Z33">
        <f t="shared" si="8"/>
        <v>1</v>
      </c>
      <c r="AA33">
        <f t="shared" si="9"/>
        <v>1</v>
      </c>
      <c r="AB33">
        <f t="shared" si="10"/>
        <v>1</v>
      </c>
    </row>
    <row r="34" spans="1:28" x14ac:dyDescent="0.25">
      <c r="A34">
        <v>38</v>
      </c>
      <c r="B34" s="5">
        <v>7.3857195064786496E-2</v>
      </c>
      <c r="C34" s="5">
        <f t="shared" si="0"/>
        <v>2.4619065021595499E-2</v>
      </c>
      <c r="D34" s="5">
        <f t="shared" si="17"/>
        <v>0.88354035348438364</v>
      </c>
      <c r="E34" s="5">
        <f t="shared" si="11"/>
        <v>2.08894</v>
      </c>
      <c r="F34" s="5">
        <f t="shared" si="1"/>
        <v>2.08894</v>
      </c>
      <c r="G34" s="5">
        <f t="shared" si="12"/>
        <v>0.88354035348438364</v>
      </c>
      <c r="H34" s="5">
        <f t="shared" si="2"/>
        <v>7.3857195064786496E-2</v>
      </c>
      <c r="I34" s="5"/>
      <c r="J34" s="5"/>
      <c r="K34">
        <f t="shared" si="3"/>
        <v>0.90815941850597914</v>
      </c>
      <c r="L34" s="5">
        <f>SUM(P$6:P34)</f>
        <v>2.7244782555179374</v>
      </c>
      <c r="M34" s="5"/>
      <c r="N34" s="5">
        <v>2.08894</v>
      </c>
      <c r="O34" s="5">
        <f t="shared" si="4"/>
        <v>0.88354035348438364</v>
      </c>
      <c r="P34" s="5">
        <f t="shared" si="18"/>
        <v>7.3857195064786496E-2</v>
      </c>
      <c r="Q34" s="5">
        <f t="shared" si="5"/>
        <v>0.88354035348438364</v>
      </c>
      <c r="R34" s="5">
        <f t="shared" si="19"/>
        <v>7.3857195064786496E-2</v>
      </c>
      <c r="S34">
        <v>38</v>
      </c>
      <c r="T34" t="str">
        <f t="shared" si="20"/>
        <v/>
      </c>
      <c r="U34" t="str">
        <f t="shared" si="21"/>
        <v/>
      </c>
      <c r="V34" t="str">
        <f t="shared" si="13"/>
        <v/>
      </c>
      <c r="W34" t="str">
        <f t="shared" si="14"/>
        <v/>
      </c>
      <c r="X34" t="str">
        <f t="shared" si="15"/>
        <v/>
      </c>
      <c r="Y34" t="str">
        <f t="shared" si="16"/>
        <v/>
      </c>
      <c r="Z34">
        <f t="shared" si="8"/>
        <v>1</v>
      </c>
      <c r="AA34">
        <f t="shared" si="9"/>
        <v>1</v>
      </c>
      <c r="AB34">
        <f t="shared" si="10"/>
        <v>1</v>
      </c>
    </row>
    <row r="35" spans="1:28" x14ac:dyDescent="0.25">
      <c r="A35">
        <v>39</v>
      </c>
      <c r="B35" s="5">
        <v>6.6093157832901483E-2</v>
      </c>
      <c r="C35" s="5">
        <f t="shared" si="0"/>
        <v>2.2031052610967161E-2</v>
      </c>
      <c r="D35" s="5">
        <f t="shared" si="17"/>
        <v>0.90815941850597914</v>
      </c>
      <c r="E35" s="5">
        <f>-LN(-LN(D35))</f>
        <v>2.3399200000000002</v>
      </c>
      <c r="F35" s="5">
        <f t="shared" si="1"/>
        <v>2.3399200000000002</v>
      </c>
      <c r="G35" s="5">
        <f t="shared" si="12"/>
        <v>0.90815941850597914</v>
      </c>
      <c r="H35" s="5">
        <f t="shared" si="2"/>
        <v>6.6093157832901483E-2</v>
      </c>
      <c r="I35" s="5"/>
      <c r="J35" s="5"/>
      <c r="K35">
        <f t="shared" si="3"/>
        <v>0.9301904711169463</v>
      </c>
      <c r="L35" s="5">
        <f>SUM(P$6:P35)</f>
        <v>2.7905714133508388</v>
      </c>
      <c r="M35" s="5"/>
      <c r="N35" s="5">
        <v>2.3399200000000002</v>
      </c>
      <c r="O35" s="5">
        <f t="shared" si="4"/>
        <v>0.90815941850597914</v>
      </c>
      <c r="P35" s="5">
        <f t="shared" si="18"/>
        <v>6.6093157832901483E-2</v>
      </c>
      <c r="Q35" s="5">
        <f t="shared" si="5"/>
        <v>0.90815941850597914</v>
      </c>
      <c r="R35" s="5">
        <f t="shared" si="19"/>
        <v>6.6093157832901483E-2</v>
      </c>
      <c r="S35">
        <v>39</v>
      </c>
      <c r="T35" t="str">
        <f t="shared" si="20"/>
        <v/>
      </c>
      <c r="U35" t="str">
        <f t="shared" si="21"/>
        <v/>
      </c>
      <c r="V35" t="str">
        <f t="shared" si="13"/>
        <v/>
      </c>
      <c r="W35" t="str">
        <f t="shared" si="14"/>
        <v/>
      </c>
      <c r="X35" t="str">
        <f t="shared" si="15"/>
        <v/>
      </c>
      <c r="Y35" t="str">
        <f t="shared" si="16"/>
        <v/>
      </c>
      <c r="Z35">
        <f t="shared" si="8"/>
        <v>1</v>
      </c>
      <c r="AA35">
        <f t="shared" si="9"/>
        <v>1</v>
      </c>
      <c r="AB35">
        <f t="shared" si="10"/>
        <v>1</v>
      </c>
    </row>
    <row r="36" spans="1:28" x14ac:dyDescent="0.25">
      <c r="A36">
        <v>40</v>
      </c>
      <c r="B36" s="5">
        <v>5.7191171722197565E-2</v>
      </c>
      <c r="C36" s="5">
        <f t="shared" si="0"/>
        <v>1.9063723907399188E-2</v>
      </c>
      <c r="D36" s="5">
        <f t="shared" si="17"/>
        <v>0.9301904711169463</v>
      </c>
      <c r="E36" s="5">
        <f t="shared" si="11"/>
        <v>2.6260200000000005</v>
      </c>
      <c r="F36" s="5">
        <f t="shared" si="1"/>
        <v>2.6260200000000005</v>
      </c>
      <c r="G36" s="5">
        <f t="shared" si="12"/>
        <v>0.9301904711169463</v>
      </c>
      <c r="H36" s="5">
        <f t="shared" si="2"/>
        <v>5.7191171722197565E-2</v>
      </c>
      <c r="I36" s="5"/>
      <c r="J36" s="5"/>
      <c r="K36">
        <f t="shared" si="3"/>
        <v>0.94925419502434549</v>
      </c>
      <c r="L36" s="5">
        <f>SUM(P$6:P36)</f>
        <v>2.8477625850730366</v>
      </c>
      <c r="M36" s="5"/>
      <c r="N36" s="5">
        <v>2.62602</v>
      </c>
      <c r="O36" s="5">
        <f t="shared" si="4"/>
        <v>0.9301904711169463</v>
      </c>
      <c r="P36" s="5">
        <f t="shared" si="18"/>
        <v>5.7191171722197565E-2</v>
      </c>
      <c r="Q36" s="5">
        <f t="shared" si="5"/>
        <v>0.9301904711169463</v>
      </c>
      <c r="R36" s="5">
        <f t="shared" si="19"/>
        <v>5.7191171722197565E-2</v>
      </c>
      <c r="S36">
        <v>40</v>
      </c>
      <c r="T36" t="str">
        <f t="shared" si="20"/>
        <v/>
      </c>
      <c r="U36" t="str">
        <f t="shared" si="21"/>
        <v/>
      </c>
      <c r="V36" t="str">
        <f t="shared" si="13"/>
        <v/>
      </c>
      <c r="W36" t="str">
        <f t="shared" si="14"/>
        <v/>
      </c>
      <c r="X36" t="str">
        <f t="shared" si="15"/>
        <v/>
      </c>
      <c r="Y36" t="str">
        <f t="shared" si="16"/>
        <v/>
      </c>
      <c r="Z36">
        <f t="shared" si="8"/>
        <v>1</v>
      </c>
      <c r="AA36">
        <f t="shared" si="9"/>
        <v>1</v>
      </c>
      <c r="AB36">
        <f t="shared" si="10"/>
        <v>1</v>
      </c>
    </row>
    <row r="37" spans="1:28" x14ac:dyDescent="0.25">
      <c r="A37">
        <v>41</v>
      </c>
      <c r="B37" s="5">
        <v>4.6625437405151127E-2</v>
      </c>
      <c r="C37" s="5">
        <f t="shared" si="0"/>
        <v>1.5541812468383709E-2</v>
      </c>
      <c r="D37" s="5">
        <f t="shared" si="17"/>
        <v>0.94925419502434549</v>
      </c>
      <c r="E37" s="5">
        <f t="shared" si="11"/>
        <v>2.9550000000000001</v>
      </c>
      <c r="F37" s="5">
        <f t="shared" si="1"/>
        <v>2.9550000000000001</v>
      </c>
      <c r="G37" s="5">
        <f t="shared" si="12"/>
        <v>0.94925419502434549</v>
      </c>
      <c r="H37" s="5">
        <f t="shared" si="2"/>
        <v>4.6625437405151127E-2</v>
      </c>
      <c r="I37" s="5"/>
      <c r="J37" s="5"/>
      <c r="K37">
        <f t="shared" si="3"/>
        <v>0.9647960074927292</v>
      </c>
      <c r="L37" s="5">
        <f>SUM(P$6:P37)</f>
        <v>2.8943880224781875</v>
      </c>
      <c r="M37" s="5"/>
      <c r="N37" s="5">
        <v>2.9550000000000001</v>
      </c>
      <c r="O37" s="5">
        <f t="shared" si="4"/>
        <v>0.94925419502434549</v>
      </c>
      <c r="P37" s="5">
        <f t="shared" si="18"/>
        <v>4.6625437405151127E-2</v>
      </c>
      <c r="Q37" s="5">
        <f t="shared" si="5"/>
        <v>0.94925419502434549</v>
      </c>
      <c r="R37" s="5">
        <f t="shared" si="19"/>
        <v>4.6625437405151127E-2</v>
      </c>
      <c r="S37">
        <v>41</v>
      </c>
      <c r="T37" t="str">
        <f t="shared" si="20"/>
        <v/>
      </c>
      <c r="U37" t="str">
        <f t="shared" si="21"/>
        <v/>
      </c>
      <c r="V37" t="str">
        <f t="shared" si="13"/>
        <v/>
      </c>
      <c r="W37" t="str">
        <f t="shared" si="14"/>
        <v/>
      </c>
      <c r="X37" t="str">
        <f t="shared" si="15"/>
        <v/>
      </c>
      <c r="Y37" t="str">
        <f t="shared" si="16"/>
        <v/>
      </c>
      <c r="Z37">
        <f t="shared" si="8"/>
        <v>1</v>
      </c>
      <c r="AA37">
        <f t="shared" si="9"/>
        <v>1</v>
      </c>
      <c r="AB37">
        <f t="shared" si="10"/>
        <v>1</v>
      </c>
    </row>
    <row r="38" spans="1:28" x14ac:dyDescent="0.25">
      <c r="A38">
        <v>42</v>
      </c>
      <c r="B38" s="5">
        <v>3.6556760545894074E-2</v>
      </c>
      <c r="C38" s="5">
        <f t="shared" si="0"/>
        <v>1.2185586848631358E-2</v>
      </c>
      <c r="D38" s="5">
        <f t="shared" si="17"/>
        <v>0.9647960074927292</v>
      </c>
      <c r="E38" s="5">
        <f t="shared" si="11"/>
        <v>3.3287300000000015</v>
      </c>
      <c r="F38" s="5">
        <f t="shared" si="1"/>
        <v>3.3287300000000015</v>
      </c>
      <c r="G38" s="5">
        <f t="shared" si="12"/>
        <v>0.9647960074927292</v>
      </c>
      <c r="H38" s="5">
        <f t="shared" si="2"/>
        <v>3.6556760545894074E-2</v>
      </c>
      <c r="I38" s="5"/>
      <c r="J38" s="5"/>
      <c r="K38">
        <f t="shared" si="3"/>
        <v>0.97698159434136045</v>
      </c>
      <c r="L38" s="5">
        <f>SUM(P$6:P38)</f>
        <v>2.9309447830240813</v>
      </c>
      <c r="M38" s="5"/>
      <c r="N38" s="5">
        <v>3.3287300000000002</v>
      </c>
      <c r="O38" s="5">
        <f t="shared" si="4"/>
        <v>0.9647960074927292</v>
      </c>
      <c r="P38" s="5">
        <f t="shared" si="18"/>
        <v>3.6556760545894074E-2</v>
      </c>
      <c r="Q38" s="5">
        <f t="shared" si="5"/>
        <v>0.9647960074927292</v>
      </c>
      <c r="R38" s="5">
        <f t="shared" si="19"/>
        <v>3.6556760545894074E-2</v>
      </c>
      <c r="S38">
        <v>42</v>
      </c>
      <c r="T38" t="str">
        <f t="shared" si="20"/>
        <v/>
      </c>
      <c r="U38" t="str">
        <f t="shared" si="21"/>
        <v/>
      </c>
      <c r="V38" t="str">
        <f t="shared" si="13"/>
        <v/>
      </c>
      <c r="W38" t="str">
        <f t="shared" si="14"/>
        <v/>
      </c>
      <c r="X38" t="str">
        <f t="shared" si="15"/>
        <v/>
      </c>
      <c r="Y38" t="str">
        <f t="shared" si="16"/>
        <v/>
      </c>
      <c r="Z38">
        <f t="shared" si="8"/>
        <v>1</v>
      </c>
      <c r="AA38">
        <f t="shared" si="9"/>
        <v>1</v>
      </c>
      <c r="AB38">
        <f t="shared" si="10"/>
        <v>1</v>
      </c>
    </row>
    <row r="39" spans="1:28" x14ac:dyDescent="0.25">
      <c r="A39">
        <v>43</v>
      </c>
      <c r="B39" s="5">
        <v>2.6776266185235875E-2</v>
      </c>
      <c r="C39" s="5">
        <f t="shared" si="0"/>
        <v>8.9254220617452917E-3</v>
      </c>
      <c r="D39" s="5">
        <f t="shared" si="17"/>
        <v>0.97698159434136056</v>
      </c>
      <c r="E39" s="5">
        <f t="shared" si="11"/>
        <v>3.7598399999999992</v>
      </c>
      <c r="F39" s="5">
        <f t="shared" si="1"/>
        <v>3.7598399999999992</v>
      </c>
      <c r="G39" s="5">
        <f t="shared" si="12"/>
        <v>0.97698159434136056</v>
      </c>
      <c r="H39" s="5">
        <f t="shared" si="2"/>
        <v>2.6776266185235875E-2</v>
      </c>
      <c r="I39" s="5"/>
      <c r="J39" s="5"/>
      <c r="K39">
        <f t="shared" si="3"/>
        <v>0.98590701640310574</v>
      </c>
      <c r="L39" s="5">
        <f>SUM(P$6:P39)</f>
        <v>2.9577210492093173</v>
      </c>
      <c r="M39" s="5"/>
      <c r="N39" s="5">
        <v>3.7598400000000001</v>
      </c>
      <c r="O39" s="5">
        <f t="shared" si="4"/>
        <v>0.97698159434136056</v>
      </c>
      <c r="P39" s="5">
        <f t="shared" si="18"/>
        <v>2.6776266185235875E-2</v>
      </c>
      <c r="Q39" s="5">
        <f t="shared" si="5"/>
        <v>0.97698159434136056</v>
      </c>
      <c r="R39" s="5">
        <f t="shared" si="19"/>
        <v>2.6776266185235875E-2</v>
      </c>
      <c r="S39">
        <v>43</v>
      </c>
      <c r="T39" t="str">
        <f t="shared" si="20"/>
        <v/>
      </c>
      <c r="U39" t="str">
        <f t="shared" si="21"/>
        <v/>
      </c>
      <c r="V39" t="str">
        <f t="shared" si="13"/>
        <v/>
      </c>
      <c r="W39" t="str">
        <f t="shared" si="14"/>
        <v/>
      </c>
      <c r="X39" t="str">
        <f t="shared" si="15"/>
        <v/>
      </c>
      <c r="Y39" t="str">
        <f t="shared" si="16"/>
        <v/>
      </c>
      <c r="Z39">
        <f t="shared" si="8"/>
        <v>0</v>
      </c>
      <c r="AA39">
        <f t="shared" si="9"/>
        <v>0</v>
      </c>
      <c r="AB39">
        <f t="shared" si="10"/>
        <v>1</v>
      </c>
    </row>
    <row r="40" spans="1:28" x14ac:dyDescent="0.25">
      <c r="A40">
        <v>44</v>
      </c>
      <c r="B40" s="5">
        <v>1.7927408565766023E-2</v>
      </c>
      <c r="C40" s="5">
        <f t="shared" si="0"/>
        <v>5.9758028552553411E-3</v>
      </c>
      <c r="D40" s="5">
        <f t="shared" si="17"/>
        <v>0.98590701640310585</v>
      </c>
      <c r="E40" s="5">
        <f t="shared" si="11"/>
        <v>4.2549900000000012</v>
      </c>
      <c r="F40" s="5">
        <f t="shared" si="1"/>
        <v>4.2549900000000012</v>
      </c>
      <c r="G40" s="5">
        <f t="shared" si="12"/>
        <v>0.98590701640310585</v>
      </c>
      <c r="H40" s="5">
        <f t="shared" si="2"/>
        <v>1.7927408565766023E-2</v>
      </c>
      <c r="I40" s="5"/>
      <c r="J40" s="5"/>
      <c r="K40">
        <f t="shared" si="3"/>
        <v>0.99188281925836108</v>
      </c>
      <c r="L40" s="5">
        <f>SUM(P$6:P40)</f>
        <v>2.9756484577750832</v>
      </c>
      <c r="M40" s="5"/>
      <c r="N40" s="5">
        <v>4.2549900000000003</v>
      </c>
      <c r="O40" s="5">
        <f t="shared" si="4"/>
        <v>0.98590701640310585</v>
      </c>
      <c r="P40" s="5">
        <f t="shared" si="18"/>
        <v>1.7927408565766023E-2</v>
      </c>
      <c r="Q40" s="5">
        <f t="shared" si="5"/>
        <v>0.98590701640310585</v>
      </c>
      <c r="R40" s="5">
        <f t="shared" si="19"/>
        <v>1.7927408565766023E-2</v>
      </c>
      <c r="S40">
        <v>44</v>
      </c>
      <c r="T40" t="str">
        <f t="shared" si="20"/>
        <v/>
      </c>
      <c r="U40" t="str">
        <f t="shared" si="21"/>
        <v/>
      </c>
      <c r="V40" t="str">
        <f t="shared" si="13"/>
        <v/>
      </c>
      <c r="W40" t="str">
        <f t="shared" si="14"/>
        <v/>
      </c>
      <c r="X40" t="str">
        <f t="shared" si="15"/>
        <v/>
      </c>
      <c r="Y40" t="str">
        <f t="shared" si="16"/>
        <v/>
      </c>
      <c r="Z40">
        <f t="shared" si="8"/>
        <v>0</v>
      </c>
      <c r="AA40">
        <f t="shared" si="9"/>
        <v>0</v>
      </c>
      <c r="AB40">
        <f t="shared" si="10"/>
        <v>1</v>
      </c>
    </row>
    <row r="41" spans="1:28" x14ac:dyDescent="0.25">
      <c r="A41">
        <v>45</v>
      </c>
      <c r="B41" s="5">
        <v>1.1008040313650325E-2</v>
      </c>
      <c r="C41" s="5">
        <f t="shared" si="0"/>
        <v>3.6693467712167749E-3</v>
      </c>
      <c r="D41" s="5">
        <f t="shared" si="17"/>
        <v>0.99188281925836119</v>
      </c>
      <c r="E41" s="5">
        <f t="shared" si="11"/>
        <v>4.8097000000000021</v>
      </c>
      <c r="F41" s="5">
        <f t="shared" si="1"/>
        <v>4.8097000000000021</v>
      </c>
      <c r="G41" s="5">
        <f t="shared" si="12"/>
        <v>0.99188281925836119</v>
      </c>
      <c r="H41" s="5">
        <f t="shared" si="2"/>
        <v>1.1008040313650325E-2</v>
      </c>
      <c r="I41" s="5"/>
      <c r="J41" s="5"/>
      <c r="K41">
        <f t="shared" si="3"/>
        <v>0.99555216602957797</v>
      </c>
      <c r="L41" s="5">
        <f>SUM(P$6:P41)</f>
        <v>2.9866564980887338</v>
      </c>
      <c r="M41" s="5"/>
      <c r="N41" s="5">
        <v>4.8097000000000003</v>
      </c>
      <c r="O41" s="5">
        <f t="shared" si="4"/>
        <v>0.99188281925836119</v>
      </c>
      <c r="P41" s="5">
        <f t="shared" si="18"/>
        <v>1.1008040313650325E-2</v>
      </c>
      <c r="Q41" s="5">
        <f t="shared" si="5"/>
        <v>0.99188281925836119</v>
      </c>
      <c r="R41" s="5">
        <f t="shared" si="19"/>
        <v>1.1008040313650325E-2</v>
      </c>
      <c r="S41">
        <v>45</v>
      </c>
      <c r="T41" t="str">
        <f t="shared" si="20"/>
        <v/>
      </c>
      <c r="U41" t="str">
        <f t="shared" si="21"/>
        <v/>
      </c>
      <c r="V41" t="str">
        <f t="shared" si="13"/>
        <v/>
      </c>
      <c r="W41" t="str">
        <f t="shared" si="14"/>
        <v/>
      </c>
      <c r="X41" t="str">
        <f t="shared" si="15"/>
        <v/>
      </c>
      <c r="Y41" t="str">
        <f t="shared" si="16"/>
        <v/>
      </c>
      <c r="Z41">
        <f t="shared" si="8"/>
        <v>0</v>
      </c>
      <c r="AA41">
        <f t="shared" si="9"/>
        <v>0</v>
      </c>
      <c r="AB41">
        <f t="shared" si="10"/>
        <v>0</v>
      </c>
    </row>
    <row r="42" spans="1:28" x14ac:dyDescent="0.25">
      <c r="A42">
        <v>46</v>
      </c>
      <c r="B42" s="5">
        <v>6.8119929756641495E-3</v>
      </c>
      <c r="C42" s="5">
        <f t="shared" si="0"/>
        <v>2.2706643252213832E-3</v>
      </c>
      <c r="D42" s="5">
        <f t="shared" si="17"/>
        <v>0.99555216602957797</v>
      </c>
      <c r="E42" s="5">
        <f t="shared" si="11"/>
        <v>5.4131099999999952</v>
      </c>
      <c r="F42" s="5">
        <f t="shared" si="1"/>
        <v>5.4131099999999952</v>
      </c>
      <c r="G42" s="5">
        <f t="shared" si="12"/>
        <v>0.99555216602957797</v>
      </c>
      <c r="H42" s="5">
        <f t="shared" si="2"/>
        <v>6.8119929756641495E-3</v>
      </c>
      <c r="I42" s="5"/>
      <c r="J42" s="5"/>
      <c r="K42">
        <f t="shared" si="3"/>
        <v>0.99782283035479935</v>
      </c>
      <c r="L42" s="5">
        <f>SUM(P$6:P42)</f>
        <v>2.9934684910643981</v>
      </c>
      <c r="M42" s="5"/>
      <c r="N42" s="5">
        <v>5.4131099999999996</v>
      </c>
      <c r="O42" s="5">
        <f t="shared" si="4"/>
        <v>0.99555216602957797</v>
      </c>
      <c r="P42" s="5">
        <f t="shared" si="18"/>
        <v>6.8119929756641495E-3</v>
      </c>
      <c r="Q42" s="5">
        <f t="shared" si="5"/>
        <v>0.99555216602957797</v>
      </c>
      <c r="R42" s="5">
        <f t="shared" si="19"/>
        <v>6.8119929756641495E-3</v>
      </c>
      <c r="S42">
        <v>46</v>
      </c>
      <c r="T42" t="str">
        <f t="shared" si="20"/>
        <v/>
      </c>
      <c r="U42" t="str">
        <f t="shared" si="21"/>
        <v/>
      </c>
      <c r="V42" t="str">
        <f t="shared" si="13"/>
        <v/>
      </c>
      <c r="W42" t="str">
        <f t="shared" si="14"/>
        <v/>
      </c>
      <c r="X42" t="str">
        <f t="shared" si="15"/>
        <v/>
      </c>
      <c r="Y42" t="str">
        <f t="shared" si="16"/>
        <v/>
      </c>
      <c r="Z42">
        <f t="shared" si="8"/>
        <v>0</v>
      </c>
      <c r="AA42">
        <f t="shared" si="9"/>
        <v>0</v>
      </c>
      <c r="AB42">
        <f t="shared" si="10"/>
        <v>0</v>
      </c>
    </row>
    <row r="43" spans="1:28" x14ac:dyDescent="0.25">
      <c r="A43">
        <v>47</v>
      </c>
      <c r="B43" s="5">
        <v>3.9824542606874402E-3</v>
      </c>
      <c r="C43" s="5">
        <f t="shared" si="0"/>
        <v>1.3274847535624801E-3</v>
      </c>
      <c r="D43" s="5">
        <f t="shared" si="17"/>
        <v>0.99782283035479935</v>
      </c>
      <c r="E43" s="5">
        <f t="shared" si="11"/>
        <v>6.1286399999999768</v>
      </c>
      <c r="F43" s="5">
        <f t="shared" si="1"/>
        <v>6.1286399999999768</v>
      </c>
      <c r="G43" s="5">
        <f t="shared" si="12"/>
        <v>0.99782283035479935</v>
      </c>
      <c r="H43" s="5">
        <f t="shared" si="2"/>
        <v>3.9824542606874402E-3</v>
      </c>
      <c r="I43" s="5"/>
      <c r="J43" s="5"/>
      <c r="K43">
        <f t="shared" si="3"/>
        <v>0.99915031510836183</v>
      </c>
      <c r="L43" s="5">
        <f>SUM(P$6:P43)</f>
        <v>2.9974509453250855</v>
      </c>
      <c r="M43" s="5"/>
      <c r="N43" s="5">
        <v>6.1286399999999999</v>
      </c>
      <c r="O43" s="5">
        <f t="shared" si="4"/>
        <v>0.99782283035479935</v>
      </c>
      <c r="P43" s="5">
        <f t="shared" si="18"/>
        <v>3.9824542606874402E-3</v>
      </c>
      <c r="Q43" s="5">
        <f t="shared" si="5"/>
        <v>0.99782283035479935</v>
      </c>
      <c r="R43" s="5">
        <f t="shared" si="19"/>
        <v>3.9824542606874402E-3</v>
      </c>
      <c r="S43">
        <v>47</v>
      </c>
      <c r="T43" t="str">
        <f t="shared" si="20"/>
        <v/>
      </c>
      <c r="U43" t="str">
        <f t="shared" si="21"/>
        <v/>
      </c>
      <c r="V43" t="str">
        <f t="shared" si="13"/>
        <v/>
      </c>
      <c r="W43" t="str">
        <f t="shared" si="14"/>
        <v/>
      </c>
      <c r="X43" t="str">
        <f t="shared" si="15"/>
        <v/>
      </c>
      <c r="Y43" t="str">
        <f t="shared" si="16"/>
        <v/>
      </c>
      <c r="Z43">
        <f t="shared" si="8"/>
        <v>0</v>
      </c>
      <c r="AA43">
        <f t="shared" si="9"/>
        <v>0</v>
      </c>
      <c r="AB43">
        <f t="shared" si="10"/>
        <v>0</v>
      </c>
    </row>
    <row r="44" spans="1:28" x14ac:dyDescent="0.25">
      <c r="A44">
        <v>48</v>
      </c>
      <c r="B44" s="5">
        <v>2.0228737362728566E-3</v>
      </c>
      <c r="C44" s="5">
        <f t="shared" si="0"/>
        <v>6.7429124542428553E-4</v>
      </c>
      <c r="D44" s="5">
        <f t="shared" si="17"/>
        <v>0.99915031510836183</v>
      </c>
      <c r="E44" s="5">
        <f t="shared" si="11"/>
        <v>7.0702199999999742</v>
      </c>
      <c r="F44" s="5">
        <f t="shared" si="1"/>
        <v>7.0702199999999742</v>
      </c>
      <c r="G44" s="5">
        <f t="shared" si="12"/>
        <v>0.99915031510836183</v>
      </c>
      <c r="H44" s="5">
        <f t="shared" si="2"/>
        <v>2.0228737362728566E-3</v>
      </c>
      <c r="I44" s="5"/>
      <c r="J44" s="5"/>
      <c r="K44">
        <f t="shared" si="3"/>
        <v>0.99982460635378612</v>
      </c>
      <c r="L44" s="5">
        <f>SUM(P$6:P44)</f>
        <v>2.9994738190613583</v>
      </c>
      <c r="M44" s="5"/>
      <c r="N44" s="5">
        <v>7.0702199999999999</v>
      </c>
      <c r="O44" s="5">
        <f t="shared" si="4"/>
        <v>0.99915031510836183</v>
      </c>
      <c r="P44" s="5">
        <f t="shared" si="18"/>
        <v>2.0228737362728566E-3</v>
      </c>
      <c r="Q44" s="5">
        <f t="shared" si="5"/>
        <v>0.99915031510836183</v>
      </c>
      <c r="R44" s="5">
        <f t="shared" si="19"/>
        <v>2.0228737362728566E-3</v>
      </c>
      <c r="S44">
        <v>48</v>
      </c>
      <c r="T44" t="str">
        <f t="shared" si="20"/>
        <v/>
      </c>
      <c r="U44" t="str">
        <f t="shared" si="21"/>
        <v/>
      </c>
      <c r="V44" t="str">
        <f t="shared" si="13"/>
        <v/>
      </c>
      <c r="W44" t="str">
        <f t="shared" si="14"/>
        <v/>
      </c>
      <c r="X44" t="str">
        <f t="shared" si="15"/>
        <v/>
      </c>
      <c r="Y44" t="str">
        <f t="shared" si="16"/>
        <v/>
      </c>
      <c r="Z44">
        <f t="shared" si="8"/>
        <v>0</v>
      </c>
      <c r="AA44">
        <f t="shared" si="9"/>
        <v>0</v>
      </c>
      <c r="AB44">
        <f t="shared" si="10"/>
        <v>0</v>
      </c>
    </row>
    <row r="45" spans="1:28" x14ac:dyDescent="0.25">
      <c r="A45">
        <v>49</v>
      </c>
      <c r="B45" s="5">
        <v>5.2526323182044976E-4</v>
      </c>
      <c r="C45" s="5">
        <f t="shared" si="0"/>
        <v>1.7508774394014992E-4</v>
      </c>
      <c r="D45" s="5">
        <f t="shared" si="17"/>
        <v>0.99982460635378612</v>
      </c>
      <c r="E45" s="5">
        <f t="shared" si="11"/>
        <v>8.6483899999998535</v>
      </c>
      <c r="F45" s="5">
        <f t="shared" si="1"/>
        <v>8.6483899999998535</v>
      </c>
      <c r="G45" s="5">
        <f t="shared" si="12"/>
        <v>0.99982460635378612</v>
      </c>
      <c r="H45" s="5">
        <f t="shared" si="2"/>
        <v>5.2526323182044976E-4</v>
      </c>
      <c r="I45" s="5"/>
      <c r="J45" s="5"/>
      <c r="K45">
        <f t="shared" si="3"/>
        <v>0.99999969409772627</v>
      </c>
      <c r="L45" s="5">
        <f>SUM(P$6:P45)</f>
        <v>2.9999990822931788</v>
      </c>
      <c r="M45" s="5"/>
      <c r="N45" s="5">
        <v>8.6483899999999991</v>
      </c>
      <c r="O45" s="5">
        <f t="shared" si="4"/>
        <v>0.99982460635378612</v>
      </c>
      <c r="P45" s="5">
        <f t="shared" si="18"/>
        <v>5.2526323182044976E-4</v>
      </c>
      <c r="Q45" s="5">
        <f t="shared" si="5"/>
        <v>0.99982460635378612</v>
      </c>
      <c r="R45" s="5">
        <f t="shared" si="19"/>
        <v>5.2526323182044976E-4</v>
      </c>
      <c r="S45">
        <v>49</v>
      </c>
      <c r="T45" t="str">
        <f t="shared" si="20"/>
        <v/>
      </c>
      <c r="U45" t="str">
        <f t="shared" si="21"/>
        <v/>
      </c>
      <c r="V45" t="str">
        <f t="shared" si="13"/>
        <v/>
      </c>
      <c r="W45" t="str">
        <f t="shared" si="14"/>
        <v/>
      </c>
      <c r="X45" t="str">
        <f t="shared" si="15"/>
        <v/>
      </c>
      <c r="Y45" t="str">
        <f t="shared" si="16"/>
        <v/>
      </c>
      <c r="Z45">
        <f t="shared" si="8"/>
        <v>0</v>
      </c>
      <c r="AA45">
        <f t="shared" si="9"/>
        <v>0</v>
      </c>
      <c r="AB45">
        <f t="shared" si="10"/>
        <v>0</v>
      </c>
    </row>
    <row r="46" spans="1:28" x14ac:dyDescent="0.25">
      <c r="A46">
        <v>50</v>
      </c>
      <c r="B46" s="5">
        <v>9.1770682120184688E-7</v>
      </c>
      <c r="C46" s="5">
        <f t="shared" si="0"/>
        <v>3.0590227373394896E-7</v>
      </c>
      <c r="D46" s="5">
        <f t="shared" si="17"/>
        <v>0.99999969409772627</v>
      </c>
      <c r="E46" s="5">
        <f t="shared" si="11"/>
        <v>14.999999999933857</v>
      </c>
      <c r="F46" s="5">
        <f t="shared" si="1"/>
        <v>14.999999999933857</v>
      </c>
      <c r="G46" s="5">
        <f t="shared" si="12"/>
        <v>0.99999969409772627</v>
      </c>
      <c r="H46" s="5" t="e">
        <f t="shared" si="2"/>
        <v>#NUM!</v>
      </c>
      <c r="I46" s="5"/>
      <c r="J46" s="5"/>
      <c r="K46">
        <f t="shared" si="3"/>
        <v>1</v>
      </c>
      <c r="L46" s="5">
        <f>SUM(P$6:P46)</f>
        <v>3</v>
      </c>
      <c r="M46" s="5"/>
      <c r="N46" s="5">
        <v>15</v>
      </c>
      <c r="O46" s="5">
        <f t="shared" si="4"/>
        <v>0.99999969409772627</v>
      </c>
      <c r="P46" s="5">
        <f t="shared" si="18"/>
        <v>9.1770682120184688E-7</v>
      </c>
      <c r="Q46" s="5">
        <f t="shared" si="5"/>
        <v>0.99999969409772627</v>
      </c>
      <c r="R46" s="5">
        <f t="shared" si="19"/>
        <v>9.1770682120184688E-7</v>
      </c>
      <c r="S46">
        <v>50</v>
      </c>
      <c r="T46" t="str">
        <f t="shared" si="20"/>
        <v/>
      </c>
      <c r="U46" t="str">
        <f t="shared" si="21"/>
        <v/>
      </c>
      <c r="V46" t="str">
        <f t="shared" si="13"/>
        <v/>
      </c>
      <c r="W46" t="str">
        <f t="shared" si="14"/>
        <v/>
      </c>
      <c r="X46" t="str">
        <f t="shared" si="15"/>
        <v/>
      </c>
      <c r="Y46" t="str">
        <f t="shared" si="16"/>
        <v/>
      </c>
      <c r="Z46">
        <f t="shared" si="8"/>
        <v>0</v>
      </c>
      <c r="AA46">
        <f t="shared" si="9"/>
        <v>0</v>
      </c>
      <c r="AB46">
        <f t="shared" si="10"/>
        <v>0</v>
      </c>
    </row>
    <row r="47" spans="1:28" x14ac:dyDescent="0.25">
      <c r="A47">
        <v>51</v>
      </c>
      <c r="B47" s="5">
        <v>0</v>
      </c>
      <c r="C47" s="5">
        <f t="shared" si="0"/>
        <v>0</v>
      </c>
      <c r="D47" s="5">
        <f t="shared" si="17"/>
        <v>1</v>
      </c>
      <c r="E47" s="5" t="e">
        <f t="shared" si="11"/>
        <v>#NUM!</v>
      </c>
      <c r="F47" s="5" t="e">
        <f t="shared" si="1"/>
        <v>#NUM!</v>
      </c>
      <c r="G47" s="5" t="e">
        <f t="shared" si="12"/>
        <v>#NUM!</v>
      </c>
      <c r="H47" s="5" t="e">
        <f t="shared" si="2"/>
        <v>#NUM!</v>
      </c>
      <c r="I47" s="5"/>
      <c r="J47" s="5"/>
      <c r="K47">
        <f t="shared" si="3"/>
        <v>1</v>
      </c>
      <c r="L47" s="5">
        <f>SUM(P$6:P47)</f>
        <v>3</v>
      </c>
      <c r="M47" s="5"/>
      <c r="N47" s="5">
        <v>99999</v>
      </c>
      <c r="O47" s="5">
        <f t="shared" si="4"/>
        <v>1</v>
      </c>
      <c r="P47" s="5">
        <f t="shared" si="18"/>
        <v>0</v>
      </c>
      <c r="Q47" s="5">
        <f t="shared" si="5"/>
        <v>1</v>
      </c>
      <c r="R47" s="5">
        <f t="shared" si="19"/>
        <v>0</v>
      </c>
      <c r="S47">
        <v>51</v>
      </c>
      <c r="T47" t="str">
        <f t="shared" si="20"/>
        <v/>
      </c>
      <c r="U47" t="str">
        <f t="shared" si="21"/>
        <v/>
      </c>
      <c r="V47" t="str">
        <f t="shared" si="13"/>
        <v/>
      </c>
      <c r="W47" t="str">
        <f t="shared" si="14"/>
        <v/>
      </c>
      <c r="X47" t="str">
        <f t="shared" si="15"/>
        <v/>
      </c>
      <c r="Y47" t="str">
        <f t="shared" si="16"/>
        <v/>
      </c>
      <c r="Z47">
        <f t="shared" si="8"/>
        <v>0</v>
      </c>
      <c r="AA47">
        <f t="shared" si="9"/>
        <v>0</v>
      </c>
      <c r="AB47">
        <f t="shared" si="10"/>
        <v>0</v>
      </c>
    </row>
    <row r="48" spans="1:28" x14ac:dyDescent="0.25">
      <c r="A48">
        <v>52</v>
      </c>
      <c r="B48" s="5">
        <v>0</v>
      </c>
      <c r="C48" s="5">
        <f t="shared" si="0"/>
        <v>0</v>
      </c>
      <c r="D48" s="5">
        <f t="shared" si="17"/>
        <v>1</v>
      </c>
      <c r="E48" s="5" t="e">
        <f t="shared" si="11"/>
        <v>#NUM!</v>
      </c>
      <c r="F48" s="5" t="e">
        <f t="shared" si="1"/>
        <v>#NUM!</v>
      </c>
      <c r="G48" s="5" t="e">
        <f t="shared" si="12"/>
        <v>#NUM!</v>
      </c>
      <c r="H48" s="5" t="e">
        <f t="shared" si="2"/>
        <v>#NUM!</v>
      </c>
      <c r="I48" s="5"/>
      <c r="J48" s="5"/>
      <c r="K48">
        <f t="shared" si="3"/>
        <v>1</v>
      </c>
      <c r="L48" s="5">
        <f>SUM(P$6:P48)</f>
        <v>3</v>
      </c>
      <c r="M48" s="5"/>
      <c r="N48" s="5">
        <v>99999</v>
      </c>
      <c r="O48" s="5">
        <f t="shared" si="4"/>
        <v>1</v>
      </c>
      <c r="P48" s="5">
        <f t="shared" si="18"/>
        <v>0</v>
      </c>
      <c r="Q48" s="5">
        <f t="shared" si="5"/>
        <v>1</v>
      </c>
      <c r="R48" s="5">
        <f t="shared" si="19"/>
        <v>0</v>
      </c>
      <c r="S48">
        <v>52</v>
      </c>
      <c r="T48" t="str">
        <f t="shared" si="20"/>
        <v/>
      </c>
      <c r="U48" t="str">
        <f t="shared" si="21"/>
        <v/>
      </c>
      <c r="V48" t="str">
        <f t="shared" si="13"/>
        <v/>
      </c>
      <c r="W48" t="str">
        <f t="shared" si="14"/>
        <v/>
      </c>
      <c r="X48" t="str">
        <f t="shared" si="15"/>
        <v/>
      </c>
      <c r="Y48" t="str">
        <f t="shared" si="16"/>
        <v/>
      </c>
      <c r="Z48">
        <f t="shared" si="8"/>
        <v>0</v>
      </c>
      <c r="AA48">
        <f t="shared" si="9"/>
        <v>0</v>
      </c>
      <c r="AB48">
        <f t="shared" si="10"/>
        <v>0</v>
      </c>
    </row>
    <row r="49" spans="1:36" x14ac:dyDescent="0.25">
      <c r="A49">
        <v>53</v>
      </c>
      <c r="B49" s="5">
        <v>0</v>
      </c>
      <c r="C49" s="5">
        <f t="shared" si="0"/>
        <v>0</v>
      </c>
      <c r="D49" s="5">
        <f t="shared" si="17"/>
        <v>1</v>
      </c>
      <c r="E49" s="5" t="e">
        <f t="shared" si="11"/>
        <v>#NUM!</v>
      </c>
      <c r="F49" s="5" t="e">
        <f t="shared" si="1"/>
        <v>#NUM!</v>
      </c>
      <c r="G49" s="5" t="e">
        <f t="shared" si="12"/>
        <v>#NUM!</v>
      </c>
      <c r="H49" s="5" t="e">
        <f t="shared" si="2"/>
        <v>#NUM!</v>
      </c>
      <c r="I49" s="5"/>
      <c r="J49" s="5"/>
      <c r="K49">
        <f t="shared" si="3"/>
        <v>1</v>
      </c>
      <c r="L49" s="5">
        <f>SUM(P$6:P49)</f>
        <v>3</v>
      </c>
      <c r="M49" s="5"/>
      <c r="N49" s="5">
        <v>99999</v>
      </c>
      <c r="O49" s="5">
        <f t="shared" si="4"/>
        <v>1</v>
      </c>
      <c r="P49" s="5">
        <f t="shared" si="18"/>
        <v>0</v>
      </c>
      <c r="Q49" s="5">
        <f t="shared" si="5"/>
        <v>1</v>
      </c>
      <c r="R49" s="5">
        <f t="shared" si="19"/>
        <v>0</v>
      </c>
      <c r="S49">
        <v>53</v>
      </c>
      <c r="T49" t="str">
        <f t="shared" si="20"/>
        <v/>
      </c>
      <c r="U49" t="str">
        <f t="shared" si="21"/>
        <v/>
      </c>
      <c r="V49" t="str">
        <f t="shared" si="13"/>
        <v/>
      </c>
      <c r="W49" t="str">
        <f t="shared" si="14"/>
        <v/>
      </c>
      <c r="X49" t="str">
        <f t="shared" si="15"/>
        <v/>
      </c>
      <c r="Y49" t="str">
        <f t="shared" si="16"/>
        <v/>
      </c>
      <c r="Z49">
        <f t="shared" si="8"/>
        <v>0</v>
      </c>
      <c r="AA49">
        <f t="shared" si="9"/>
        <v>0</v>
      </c>
      <c r="AB49">
        <f t="shared" si="10"/>
        <v>0</v>
      </c>
    </row>
    <row r="50" spans="1:36" x14ac:dyDescent="0.25">
      <c r="A50">
        <v>54</v>
      </c>
      <c r="B50" s="5">
        <v>0</v>
      </c>
      <c r="C50" s="5"/>
      <c r="D50" s="5">
        <f t="shared" si="17"/>
        <v>1</v>
      </c>
      <c r="E50" s="5" t="e">
        <f t="shared" si="11"/>
        <v>#NUM!</v>
      </c>
      <c r="F50" s="5" t="e">
        <f t="shared" si="1"/>
        <v>#NUM!</v>
      </c>
      <c r="G50" s="5" t="e">
        <f t="shared" si="12"/>
        <v>#NUM!</v>
      </c>
      <c r="H50" s="5" t="e">
        <f t="shared" si="2"/>
        <v>#NUM!</v>
      </c>
      <c r="I50" s="5"/>
      <c r="J50" s="5"/>
      <c r="K50">
        <f t="shared" si="3"/>
        <v>1</v>
      </c>
      <c r="L50" s="5">
        <f>SUM(P$6:P50)</f>
        <v>3</v>
      </c>
      <c r="M50" s="5"/>
      <c r="N50" s="5">
        <v>99999</v>
      </c>
      <c r="O50" s="5">
        <f t="shared" si="4"/>
        <v>1</v>
      </c>
      <c r="P50" s="5"/>
      <c r="Q50" s="5">
        <f t="shared" si="5"/>
        <v>1</v>
      </c>
      <c r="R50" s="5"/>
      <c r="S50">
        <v>54</v>
      </c>
      <c r="T50" t="str">
        <f t="shared" si="20"/>
        <v/>
      </c>
      <c r="U50" t="str">
        <f t="shared" si="21"/>
        <v/>
      </c>
      <c r="V50" t="str">
        <f t="shared" si="13"/>
        <v/>
      </c>
      <c r="W50" t="str">
        <f t="shared" si="14"/>
        <v/>
      </c>
      <c r="X50" t="str">
        <f t="shared" si="15"/>
        <v/>
      </c>
      <c r="Y50" t="str">
        <f t="shared" si="16"/>
        <v/>
      </c>
      <c r="Z50">
        <f t="shared" si="8"/>
        <v>0</v>
      </c>
      <c r="AA50">
        <f t="shared" si="9"/>
        <v>0</v>
      </c>
      <c r="AB50">
        <f t="shared" si="10"/>
        <v>0</v>
      </c>
    </row>
    <row r="51" spans="1:36" x14ac:dyDescent="0.25">
      <c r="A51">
        <v>55</v>
      </c>
      <c r="B51" s="5">
        <v>0</v>
      </c>
      <c r="K51">
        <f t="shared" si="3"/>
        <v>1</v>
      </c>
      <c r="L51" s="5">
        <f>SUM(P$6:P51)</f>
        <v>3</v>
      </c>
      <c r="M51" s="5"/>
      <c r="S51">
        <v>55</v>
      </c>
      <c r="T51" t="str">
        <f t="shared" si="20"/>
        <v/>
      </c>
      <c r="U51" t="str">
        <f t="shared" si="21"/>
        <v/>
      </c>
      <c r="V51" t="str">
        <f t="shared" si="13"/>
        <v/>
      </c>
      <c r="W51" t="str">
        <f t="shared" si="14"/>
        <v/>
      </c>
      <c r="X51" t="str">
        <f t="shared" si="15"/>
        <v/>
      </c>
      <c r="Y51" t="str">
        <f t="shared" si="16"/>
        <v/>
      </c>
      <c r="Z51">
        <f t="shared" si="8"/>
        <v>0</v>
      </c>
      <c r="AA51">
        <f t="shared" si="9"/>
        <v>0</v>
      </c>
      <c r="AB51">
        <f t="shared" si="10"/>
        <v>0</v>
      </c>
    </row>
    <row r="52" spans="1:36" x14ac:dyDescent="0.25">
      <c r="U52" t="str">
        <f>IF(AND(Q52&lt;0.5,AL19&gt;0.5),$A52+(0.5-Q52)/(AL19-Q52),"")</f>
        <v/>
      </c>
    </row>
    <row r="53" spans="1:36" x14ac:dyDescent="0.25">
      <c r="AH53" s="5"/>
      <c r="AJ53" s="5"/>
    </row>
  </sheetData>
  <mergeCells count="3">
    <mergeCell ref="AH17:AN17"/>
    <mergeCell ref="V5:W5"/>
    <mergeCell ref="X5:Y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pinner 1">
              <controlPr defaultSize="0" autoPict="0">
                <anchor moveWithCells="1" sizeWithCells="1">
                  <from>
                    <xdr:col>30</xdr:col>
                    <xdr:colOff>9525</xdr:colOff>
                    <xdr:row>0</xdr:row>
                    <xdr:rowOff>0</xdr:rowOff>
                  </from>
                  <to>
                    <xdr:col>31</xdr:col>
                    <xdr:colOff>19050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Spinner 2">
              <controlPr defaultSize="0" autoPict="0">
                <anchor moveWithCells="1" sizeWithCells="1">
                  <from>
                    <xdr:col>30</xdr:col>
                    <xdr:colOff>9525</xdr:colOff>
                    <xdr:row>1</xdr:row>
                    <xdr:rowOff>0</xdr:rowOff>
                  </from>
                  <to>
                    <xdr:col>31</xdr:col>
                    <xdr:colOff>19050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Spinner 3">
              <controlPr defaultSize="0" autoPict="0">
                <anchor moveWithCells="1" sizeWithCells="1">
                  <from>
                    <xdr:col>30</xdr:col>
                    <xdr:colOff>9525</xdr:colOff>
                    <xdr:row>2</xdr:row>
                    <xdr:rowOff>9525</xdr:rowOff>
                  </from>
                  <to>
                    <xdr:col>31</xdr:col>
                    <xdr:colOff>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:A8"/>
    </sheetView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 t="s">
        <v>43</v>
      </c>
      <c r="B2">
        <v>1.26E-2</v>
      </c>
      <c r="C2">
        <v>1.8599999999999998E-2</v>
      </c>
      <c r="D2">
        <v>1.0200000000000001E-2</v>
      </c>
    </row>
    <row r="3" spans="1:4" x14ac:dyDescent="0.25">
      <c r="A3" t="s">
        <v>44</v>
      </c>
      <c r="B3">
        <v>5.0599999999999999E-2</v>
      </c>
      <c r="C3">
        <v>5.0099999999999999E-2</v>
      </c>
      <c r="D3">
        <v>5.0900000000000001E-2</v>
      </c>
    </row>
    <row r="4" spans="1:4" x14ac:dyDescent="0.25">
      <c r="A4" t="s">
        <v>45</v>
      </c>
      <c r="B4">
        <v>5.5199999999999999E-2</v>
      </c>
      <c r="C4">
        <v>5.0900000000000001E-2</v>
      </c>
      <c r="D4">
        <v>5.7099999999999998E-2</v>
      </c>
    </row>
    <row r="5" spans="1:4" x14ac:dyDescent="0.25">
      <c r="A5" t="s">
        <v>46</v>
      </c>
      <c r="B5">
        <v>4.2200000000000001E-2</v>
      </c>
      <c r="C5">
        <v>3.9199999999999999E-2</v>
      </c>
      <c r="D5">
        <v>4.3400000000000001E-2</v>
      </c>
    </row>
    <row r="6" spans="1:4" x14ac:dyDescent="0.25">
      <c r="A6" t="s">
        <v>47</v>
      </c>
      <c r="B6">
        <v>2.6800000000000001E-2</v>
      </c>
      <c r="C6">
        <v>2.7400000000000001E-2</v>
      </c>
      <c r="D6">
        <v>2.64E-2</v>
      </c>
    </row>
    <row r="7" spans="1:4" x14ac:dyDescent="0.25">
      <c r="A7" t="s">
        <v>48</v>
      </c>
      <c r="B7">
        <v>1.26E-2</v>
      </c>
      <c r="C7">
        <v>1.38E-2</v>
      </c>
      <c r="D7">
        <v>1.2E-2</v>
      </c>
    </row>
    <row r="8" spans="1:4" x14ac:dyDescent="0.25">
      <c r="A8" t="s">
        <v>49</v>
      </c>
      <c r="B8">
        <f t="shared" ref="B8" si="0">C8+D8</f>
        <v>0</v>
      </c>
      <c r="C8">
        <v>0</v>
      </c>
      <c r="D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38" sqref="E38"/>
    </sheetView>
  </sheetViews>
  <sheetFormatPr defaultRowHeight="15" x14ac:dyDescent="0.25"/>
  <sheetData>
    <row r="1" spans="1:7" x14ac:dyDescent="0.25">
      <c r="A1" t="s">
        <v>39</v>
      </c>
      <c r="B1" t="s">
        <v>100</v>
      </c>
      <c r="C1" t="s">
        <v>98</v>
      </c>
      <c r="D1" t="s">
        <v>99</v>
      </c>
      <c r="E1" t="s">
        <v>95</v>
      </c>
    </row>
    <row r="2" spans="1:7" x14ac:dyDescent="0.25">
      <c r="A2" t="s">
        <v>56</v>
      </c>
      <c r="B2" t="s">
        <v>97</v>
      </c>
      <c r="C2" t="s">
        <v>97</v>
      </c>
      <c r="D2">
        <v>-3.18852</v>
      </c>
      <c r="E2">
        <v>11</v>
      </c>
      <c r="F2" s="5"/>
      <c r="G2" s="5">
        <f>(F3-F2)</f>
        <v>3.4458599636955865E-7</v>
      </c>
    </row>
    <row r="3" spans="1:7" x14ac:dyDescent="0.25">
      <c r="A3" t="s">
        <v>57</v>
      </c>
      <c r="B3">
        <v>0.49270000000000003</v>
      </c>
      <c r="C3">
        <v>0.48843999999999999</v>
      </c>
      <c r="D3">
        <v>-2.7000799999999998</v>
      </c>
      <c r="E3">
        <v>12</v>
      </c>
      <c r="F3" s="5">
        <f>EXP(-EXP(-D3))</f>
        <v>3.4458599636955865E-7</v>
      </c>
      <c r="G3" s="5">
        <f t="shared" ref="G3:G41" si="0">(F4-F3)</f>
        <v>2.1556021451466574E-5</v>
      </c>
    </row>
    <row r="4" spans="1:7" x14ac:dyDescent="0.25">
      <c r="A4" t="s">
        <v>58</v>
      </c>
      <c r="B4">
        <v>0.32998</v>
      </c>
      <c r="C4">
        <v>0.32712999999999998</v>
      </c>
      <c r="D4">
        <v>-2.3729499999999999</v>
      </c>
      <c r="E4">
        <v>13</v>
      </c>
      <c r="F4" s="5">
        <f t="shared" ref="F4:F41" si="1">EXP(-EXP(-D4))</f>
        <v>2.1900607447836132E-5</v>
      </c>
      <c r="G4" s="5">
        <f t="shared" si="0"/>
        <v>3.3231195088248816E-4</v>
      </c>
    </row>
    <row r="5" spans="1:7" x14ac:dyDescent="0.25">
      <c r="A5" t="s">
        <v>59</v>
      </c>
      <c r="B5">
        <v>0.30295</v>
      </c>
      <c r="C5">
        <v>0.30032999999999999</v>
      </c>
      <c r="D5">
        <v>-2.0726200000000001</v>
      </c>
      <c r="E5">
        <v>14</v>
      </c>
      <c r="F5" s="5">
        <f t="shared" si="1"/>
        <v>3.5421255833032426E-4</v>
      </c>
      <c r="G5" s="5">
        <f t="shared" si="0"/>
        <v>2.4159599401920159E-3</v>
      </c>
    </row>
    <row r="6" spans="1:7" x14ac:dyDescent="0.25">
      <c r="A6" t="s">
        <v>60</v>
      </c>
      <c r="B6">
        <v>0.30216999999999999</v>
      </c>
      <c r="C6">
        <v>0.29955999999999999</v>
      </c>
      <c r="D6">
        <v>-1.7730600000000001</v>
      </c>
      <c r="E6">
        <v>15</v>
      </c>
      <c r="F6" s="5">
        <f t="shared" si="1"/>
        <v>2.7701724985223402E-3</v>
      </c>
      <c r="G6" s="5">
        <f t="shared" si="0"/>
        <v>8.9106863079509054E-3</v>
      </c>
    </row>
    <row r="7" spans="1:7" x14ac:dyDescent="0.25">
      <c r="A7" t="s">
        <v>61</v>
      </c>
      <c r="B7">
        <v>0.28610999999999998</v>
      </c>
      <c r="C7">
        <v>0.2802</v>
      </c>
      <c r="D7">
        <v>-1.4928600000000001</v>
      </c>
      <c r="E7">
        <v>16</v>
      </c>
      <c r="F7" s="5">
        <f t="shared" si="1"/>
        <v>1.1680858806473245E-2</v>
      </c>
      <c r="G7" s="5">
        <f t="shared" si="0"/>
        <v>1.874468653405385E-2</v>
      </c>
    </row>
    <row r="8" spans="1:7" x14ac:dyDescent="0.25">
      <c r="A8" t="s">
        <v>62</v>
      </c>
      <c r="B8">
        <v>0.24782999999999999</v>
      </c>
      <c r="C8">
        <v>0.24224999999999999</v>
      </c>
      <c r="D8">
        <v>-1.25061</v>
      </c>
      <c r="E8">
        <v>17</v>
      </c>
      <c r="F8" s="5">
        <f t="shared" si="1"/>
        <v>3.0425545340527094E-2</v>
      </c>
      <c r="G8" s="5">
        <f t="shared" si="0"/>
        <v>2.7836671774102487E-2</v>
      </c>
    </row>
    <row r="9" spans="1:7" x14ac:dyDescent="0.25">
      <c r="A9" t="s">
        <v>63</v>
      </c>
      <c r="B9">
        <v>0.21107999999999999</v>
      </c>
      <c r="C9">
        <v>0.20582</v>
      </c>
      <c r="D9">
        <v>-1.0447900000000001</v>
      </c>
      <c r="E9">
        <v>18</v>
      </c>
      <c r="F9" s="5">
        <f t="shared" si="1"/>
        <v>5.8262217114629582E-2</v>
      </c>
      <c r="G9" s="5">
        <f t="shared" si="0"/>
        <v>3.6022495589313773E-2</v>
      </c>
    </row>
    <row r="10" spans="1:7" x14ac:dyDescent="0.25">
      <c r="A10" t="s">
        <v>64</v>
      </c>
      <c r="B10">
        <v>0.19061</v>
      </c>
      <c r="C10">
        <v>0.18551999999999999</v>
      </c>
      <c r="D10">
        <v>-0.85926999999999998</v>
      </c>
      <c r="E10">
        <v>19</v>
      </c>
      <c r="F10" s="5">
        <f t="shared" si="1"/>
        <v>9.4284712703943355E-2</v>
      </c>
      <c r="G10" s="5">
        <f t="shared" si="0"/>
        <v>4.1551009430762412E-2</v>
      </c>
    </row>
    <row r="11" spans="1:7" x14ac:dyDescent="0.25">
      <c r="A11" t="s">
        <v>65</v>
      </c>
      <c r="B11">
        <v>0.1729</v>
      </c>
      <c r="C11">
        <v>0.16797000000000001</v>
      </c>
      <c r="D11">
        <v>-0.69130000000000003</v>
      </c>
      <c r="E11">
        <v>20</v>
      </c>
      <c r="F11" s="5">
        <f t="shared" si="1"/>
        <v>0.13583572213470577</v>
      </c>
      <c r="G11" s="5">
        <f t="shared" si="0"/>
        <v>4.6034334610070449E-2</v>
      </c>
    </row>
    <row r="12" spans="1:7" x14ac:dyDescent="0.25">
      <c r="A12" t="s">
        <v>66</v>
      </c>
      <c r="B12">
        <v>0.15944</v>
      </c>
      <c r="C12">
        <v>0.15805</v>
      </c>
      <c r="D12">
        <v>-0.53325</v>
      </c>
      <c r="E12">
        <v>21</v>
      </c>
      <c r="F12" s="5">
        <f t="shared" si="1"/>
        <v>0.18187005674477622</v>
      </c>
      <c r="G12" s="5">
        <f t="shared" si="0"/>
        <v>4.8062999735409978E-2</v>
      </c>
    </row>
    <row r="13" spans="1:7" x14ac:dyDescent="0.25">
      <c r="A13" t="s">
        <v>67</v>
      </c>
      <c r="B13">
        <v>0.14931</v>
      </c>
      <c r="C13">
        <v>0.14801</v>
      </c>
      <c r="D13">
        <v>-0.38524000000000003</v>
      </c>
      <c r="E13">
        <v>22</v>
      </c>
      <c r="F13" s="5">
        <f t="shared" si="1"/>
        <v>0.22993305648018619</v>
      </c>
      <c r="G13" s="5">
        <f t="shared" si="0"/>
        <v>4.9040599829642761E-2</v>
      </c>
    </row>
    <row r="14" spans="1:7" x14ac:dyDescent="0.25">
      <c r="A14" t="s">
        <v>68</v>
      </c>
      <c r="B14">
        <v>0.14224000000000001</v>
      </c>
      <c r="C14">
        <v>0.14101</v>
      </c>
      <c r="D14">
        <v>-0.24423</v>
      </c>
      <c r="E14">
        <v>23</v>
      </c>
      <c r="F14" s="5">
        <f t="shared" si="1"/>
        <v>0.27897365630982895</v>
      </c>
      <c r="G14" s="5">
        <f t="shared" si="0"/>
        <v>4.9316193174770928E-2</v>
      </c>
    </row>
    <row r="15" spans="1:7" x14ac:dyDescent="0.25">
      <c r="A15" t="s">
        <v>69</v>
      </c>
      <c r="B15">
        <v>0.13758999999999999</v>
      </c>
      <c r="C15">
        <v>0.13639999999999999</v>
      </c>
      <c r="D15">
        <v>-0.10783</v>
      </c>
      <c r="E15">
        <v>24</v>
      </c>
      <c r="F15" s="5">
        <f t="shared" si="1"/>
        <v>0.32828984948459988</v>
      </c>
      <c r="G15" s="5">
        <f t="shared" si="0"/>
        <v>4.902099375493979E-2</v>
      </c>
    </row>
    <row r="16" spans="1:7" x14ac:dyDescent="0.25">
      <c r="A16" t="s">
        <v>70</v>
      </c>
      <c r="B16">
        <v>0.13463</v>
      </c>
      <c r="C16">
        <v>0.13347000000000001</v>
      </c>
      <c r="D16">
        <v>2.564E-2</v>
      </c>
      <c r="E16">
        <v>25</v>
      </c>
      <c r="F16" s="5">
        <f t="shared" si="1"/>
        <v>0.37731084323953967</v>
      </c>
      <c r="G16" s="5">
        <f t="shared" si="0"/>
        <v>4.8654469515327814E-2</v>
      </c>
    </row>
    <row r="17" spans="1:7" x14ac:dyDescent="0.25">
      <c r="A17" t="s">
        <v>71</v>
      </c>
      <c r="B17">
        <v>0.13289000000000001</v>
      </c>
      <c r="C17">
        <v>0.13289000000000001</v>
      </c>
      <c r="D17">
        <v>0.15853</v>
      </c>
      <c r="E17">
        <v>26</v>
      </c>
      <c r="F17" s="5">
        <f t="shared" si="1"/>
        <v>0.42596531275486749</v>
      </c>
      <c r="G17" s="5">
        <f t="shared" si="0"/>
        <v>4.7742570082708879E-2</v>
      </c>
    </row>
    <row r="18" spans="1:7" x14ac:dyDescent="0.25">
      <c r="A18" t="s">
        <v>72</v>
      </c>
      <c r="B18">
        <v>0.13294</v>
      </c>
      <c r="C18">
        <v>0.13294</v>
      </c>
      <c r="D18">
        <v>0.29147000000000001</v>
      </c>
      <c r="E18">
        <v>27</v>
      </c>
      <c r="F18" s="5">
        <f t="shared" si="1"/>
        <v>0.47370788283757637</v>
      </c>
      <c r="G18" s="5">
        <f t="shared" si="0"/>
        <v>4.6424599038772496E-2</v>
      </c>
    </row>
    <row r="19" spans="1:7" x14ac:dyDescent="0.25">
      <c r="A19" t="s">
        <v>73</v>
      </c>
      <c r="B19">
        <v>0.13367999999999999</v>
      </c>
      <c r="C19">
        <v>0.13367999999999999</v>
      </c>
      <c r="D19">
        <v>0.42514999999999997</v>
      </c>
      <c r="E19">
        <v>28</v>
      </c>
      <c r="F19" s="5">
        <f t="shared" si="1"/>
        <v>0.52013248187634886</v>
      </c>
      <c r="G19" s="5">
        <f t="shared" si="0"/>
        <v>4.5035412414528908E-2</v>
      </c>
    </row>
    <row r="20" spans="1:7" x14ac:dyDescent="0.25">
      <c r="A20" t="s">
        <v>74</v>
      </c>
      <c r="B20">
        <v>0.13586000000000001</v>
      </c>
      <c r="C20">
        <v>0.13586000000000001</v>
      </c>
      <c r="D20">
        <v>0.56101000000000001</v>
      </c>
      <c r="E20">
        <v>29</v>
      </c>
      <c r="F20" s="5">
        <f t="shared" si="1"/>
        <v>0.56516789429087777</v>
      </c>
      <c r="G20" s="5">
        <f t="shared" si="0"/>
        <v>4.3437423513528639E-2</v>
      </c>
    </row>
    <row r="21" spans="1:7" x14ac:dyDescent="0.25">
      <c r="A21" t="s">
        <v>75</v>
      </c>
      <c r="B21">
        <v>0.13899</v>
      </c>
      <c r="C21">
        <v>0.13899</v>
      </c>
      <c r="D21">
        <v>0.7</v>
      </c>
      <c r="E21">
        <v>30</v>
      </c>
      <c r="F21" s="5">
        <f t="shared" si="1"/>
        <v>0.60860531780440641</v>
      </c>
      <c r="G21" s="5">
        <f t="shared" si="0"/>
        <v>4.1553984051049153E-2</v>
      </c>
    </row>
    <row r="22" spans="1:7" x14ac:dyDescent="0.25">
      <c r="A22" t="s">
        <v>76</v>
      </c>
      <c r="B22">
        <v>0.14272000000000001</v>
      </c>
      <c r="C22">
        <v>0.14272000000000001</v>
      </c>
      <c r="D22">
        <v>0.84272000000000002</v>
      </c>
      <c r="E22">
        <v>31</v>
      </c>
      <c r="F22" s="5">
        <f t="shared" si="1"/>
        <v>0.65015930185545556</v>
      </c>
      <c r="G22" s="5">
        <f t="shared" si="0"/>
        <v>3.9522686600981127E-2</v>
      </c>
    </row>
    <row r="23" spans="1:7" x14ac:dyDescent="0.25">
      <c r="A23" t="s">
        <v>77</v>
      </c>
      <c r="B23">
        <v>0.14742</v>
      </c>
      <c r="C23">
        <v>0.14742</v>
      </c>
      <c r="D23">
        <v>0.99014000000000002</v>
      </c>
      <c r="E23">
        <v>32</v>
      </c>
      <c r="F23" s="5">
        <f t="shared" si="1"/>
        <v>0.68968198845643669</v>
      </c>
      <c r="G23" s="5">
        <f t="shared" si="0"/>
        <v>3.7542542177705029E-2</v>
      </c>
    </row>
    <row r="24" spans="1:7" x14ac:dyDescent="0.25">
      <c r="A24" t="s">
        <v>78</v>
      </c>
      <c r="B24">
        <v>0.15393000000000001</v>
      </c>
      <c r="C24">
        <v>0.15393000000000001</v>
      </c>
      <c r="D24">
        <v>1.1440699999999999</v>
      </c>
      <c r="E24">
        <v>33</v>
      </c>
      <c r="F24" s="5">
        <f t="shared" si="1"/>
        <v>0.72722453063414172</v>
      </c>
      <c r="G24" s="5">
        <f t="shared" si="0"/>
        <v>3.5522869052358463E-2</v>
      </c>
    </row>
    <row r="25" spans="1:7" x14ac:dyDescent="0.25">
      <c r="A25" t="s">
        <v>79</v>
      </c>
      <c r="B25">
        <v>0.16220000000000001</v>
      </c>
      <c r="C25">
        <v>0.16220000000000001</v>
      </c>
      <c r="D25">
        <v>1.30627</v>
      </c>
      <c r="E25">
        <v>34</v>
      </c>
      <c r="F25" s="5">
        <f t="shared" si="1"/>
        <v>0.76274739968650018</v>
      </c>
      <c r="G25" s="5">
        <f t="shared" si="0"/>
        <v>3.3433186989172858E-2</v>
      </c>
    </row>
    <row r="26" spans="1:7" x14ac:dyDescent="0.25">
      <c r="A26" t="s">
        <v>80</v>
      </c>
      <c r="B26">
        <v>0.17244999999999999</v>
      </c>
      <c r="C26">
        <v>0.17244999999999999</v>
      </c>
      <c r="D26">
        <v>1.47872</v>
      </c>
      <c r="E26">
        <v>35</v>
      </c>
      <c r="F26" s="5">
        <f t="shared" si="1"/>
        <v>0.79618058667567304</v>
      </c>
      <c r="G26" s="5">
        <f t="shared" si="0"/>
        <v>3.1332207275651447E-2</v>
      </c>
    </row>
    <row r="27" spans="1:7" x14ac:dyDescent="0.25">
      <c r="A27" t="s">
        <v>81</v>
      </c>
      <c r="B27">
        <v>0.18554000000000001</v>
      </c>
      <c r="C27">
        <v>0.18554000000000001</v>
      </c>
      <c r="D27">
        <v>1.6642600000000001</v>
      </c>
      <c r="E27">
        <v>36</v>
      </c>
      <c r="F27" s="5">
        <f t="shared" si="1"/>
        <v>0.82751279395132449</v>
      </c>
      <c r="G27" s="5">
        <f t="shared" si="0"/>
        <v>2.9119911996977388E-2</v>
      </c>
    </row>
    <row r="28" spans="1:7" x14ac:dyDescent="0.25">
      <c r="A28" t="s">
        <v>82</v>
      </c>
      <c r="B28">
        <v>0.20171</v>
      </c>
      <c r="C28">
        <v>0.20171</v>
      </c>
      <c r="D28">
        <v>1.8659699999999999</v>
      </c>
      <c r="E28">
        <v>37</v>
      </c>
      <c r="F28" s="5">
        <f t="shared" si="1"/>
        <v>0.85663270594830188</v>
      </c>
      <c r="G28" s="5">
        <f t="shared" si="0"/>
        <v>2.6907647536081769E-2</v>
      </c>
    </row>
    <row r="29" spans="1:7" x14ac:dyDescent="0.25">
      <c r="A29" t="s">
        <v>83</v>
      </c>
      <c r="B29">
        <v>0.22297</v>
      </c>
      <c r="C29">
        <v>0.22297</v>
      </c>
      <c r="D29">
        <v>2.08894</v>
      </c>
      <c r="E29">
        <v>38</v>
      </c>
      <c r="F29" s="5">
        <f t="shared" si="1"/>
        <v>0.88354035348438364</v>
      </c>
      <c r="G29" s="5">
        <f t="shared" si="0"/>
        <v>2.4619065021595499E-2</v>
      </c>
    </row>
    <row r="30" spans="1:7" x14ac:dyDescent="0.25">
      <c r="A30" t="s">
        <v>84</v>
      </c>
      <c r="B30">
        <v>0.25098999999999999</v>
      </c>
      <c r="C30">
        <v>0.25098999999999999</v>
      </c>
      <c r="D30">
        <v>2.3399200000000002</v>
      </c>
      <c r="E30">
        <v>39</v>
      </c>
      <c r="F30" s="5">
        <f t="shared" si="1"/>
        <v>0.90815941850597914</v>
      </c>
      <c r="G30" s="5">
        <f t="shared" si="0"/>
        <v>2.2031052610967161E-2</v>
      </c>
    </row>
    <row r="31" spans="1:7" x14ac:dyDescent="0.25">
      <c r="A31" t="s">
        <v>85</v>
      </c>
      <c r="B31">
        <v>0.28610000000000002</v>
      </c>
      <c r="C31">
        <v>0.28610000000000002</v>
      </c>
      <c r="D31">
        <v>2.62602</v>
      </c>
      <c r="E31">
        <v>40</v>
      </c>
      <c r="F31" s="5">
        <f t="shared" si="1"/>
        <v>0.9301904711169463</v>
      </c>
      <c r="G31" s="5">
        <f t="shared" si="0"/>
        <v>1.9063723907399188E-2</v>
      </c>
    </row>
    <row r="32" spans="1:7" x14ac:dyDescent="0.25">
      <c r="A32" t="s">
        <v>86</v>
      </c>
      <c r="B32">
        <v>0.32162000000000002</v>
      </c>
      <c r="C32">
        <v>0.32897999999999999</v>
      </c>
      <c r="D32">
        <v>2.9550000000000001</v>
      </c>
      <c r="E32">
        <v>41</v>
      </c>
      <c r="F32" s="5">
        <f t="shared" si="1"/>
        <v>0.94925419502434549</v>
      </c>
      <c r="G32" s="5">
        <f t="shared" si="0"/>
        <v>1.5541812468383709E-2</v>
      </c>
    </row>
    <row r="33" spans="1:7" x14ac:dyDescent="0.25">
      <c r="A33" t="s">
        <v>87</v>
      </c>
      <c r="B33">
        <v>0.36536999999999997</v>
      </c>
      <c r="C33">
        <v>0.37373000000000001</v>
      </c>
      <c r="D33">
        <v>3.3287300000000002</v>
      </c>
      <c r="E33">
        <v>42</v>
      </c>
      <c r="F33" s="5">
        <f t="shared" si="1"/>
        <v>0.9647960074927292</v>
      </c>
      <c r="G33" s="5">
        <f t="shared" si="0"/>
        <v>1.2185586848631358E-2</v>
      </c>
    </row>
    <row r="34" spans="1:7" x14ac:dyDescent="0.25">
      <c r="A34" t="s">
        <v>88</v>
      </c>
      <c r="B34">
        <v>0.42148000000000002</v>
      </c>
      <c r="C34">
        <v>0.43110999999999999</v>
      </c>
      <c r="D34">
        <v>3.7598400000000001</v>
      </c>
      <c r="E34">
        <v>43</v>
      </c>
      <c r="F34" s="5">
        <f t="shared" si="1"/>
        <v>0.97698159434136056</v>
      </c>
      <c r="G34" s="5">
        <f t="shared" si="0"/>
        <v>8.9254220617452917E-3</v>
      </c>
    </row>
    <row r="35" spans="1:7" x14ac:dyDescent="0.25">
      <c r="A35" t="s">
        <v>89</v>
      </c>
      <c r="B35">
        <v>0.48408000000000001</v>
      </c>
      <c r="C35">
        <v>0.49514999999999998</v>
      </c>
      <c r="D35">
        <v>4.2549900000000003</v>
      </c>
      <c r="E35">
        <v>44</v>
      </c>
      <c r="F35" s="5">
        <f t="shared" si="1"/>
        <v>0.98590701640310585</v>
      </c>
      <c r="G35" s="5">
        <f t="shared" si="0"/>
        <v>5.9758028552553411E-3</v>
      </c>
    </row>
    <row r="36" spans="1:7" x14ac:dyDescent="0.25">
      <c r="A36" t="s">
        <v>90</v>
      </c>
      <c r="B36">
        <v>0.54232000000000002</v>
      </c>
      <c r="C36">
        <v>0.55471000000000004</v>
      </c>
      <c r="D36">
        <v>4.8097000000000003</v>
      </c>
      <c r="E36">
        <v>45</v>
      </c>
      <c r="F36" s="5">
        <f t="shared" si="1"/>
        <v>0.99188281925836119</v>
      </c>
      <c r="G36" s="5">
        <f t="shared" si="0"/>
        <v>3.6693467712167749E-3</v>
      </c>
    </row>
    <row r="37" spans="1:7" x14ac:dyDescent="0.25">
      <c r="A37" t="s">
        <v>91</v>
      </c>
      <c r="B37">
        <v>0.58992</v>
      </c>
      <c r="C37">
        <v>0.60341</v>
      </c>
      <c r="D37">
        <v>5.4131099999999996</v>
      </c>
      <c r="E37">
        <v>46</v>
      </c>
      <c r="F37" s="5">
        <f t="shared" si="1"/>
        <v>0.99555216602957797</v>
      </c>
      <c r="G37" s="5">
        <f t="shared" si="0"/>
        <v>2.2706643252213832E-3</v>
      </c>
    </row>
    <row r="38" spans="1:7" x14ac:dyDescent="0.25">
      <c r="A38" t="s">
        <v>92</v>
      </c>
      <c r="B38">
        <v>0.69952999999999999</v>
      </c>
      <c r="C38">
        <v>0.71553</v>
      </c>
      <c r="D38">
        <v>6.1286399999999999</v>
      </c>
      <c r="E38">
        <v>47</v>
      </c>
      <c r="F38" s="5">
        <f t="shared" si="1"/>
        <v>0.99782283035479935</v>
      </c>
      <c r="G38" s="5">
        <f t="shared" si="0"/>
        <v>1.3274847535624801E-3</v>
      </c>
    </row>
    <row r="39" spans="1:7" x14ac:dyDescent="0.25">
      <c r="A39" t="s">
        <v>93</v>
      </c>
      <c r="B39">
        <v>0.92052999999999996</v>
      </c>
      <c r="C39">
        <v>0.94157999999999997</v>
      </c>
      <c r="D39">
        <v>7.0702199999999999</v>
      </c>
      <c r="E39">
        <v>48</v>
      </c>
      <c r="F39" s="5">
        <f t="shared" si="1"/>
        <v>0.99915031510836183</v>
      </c>
      <c r="G39" s="5">
        <f t="shared" si="0"/>
        <v>6.7429124542428553E-4</v>
      </c>
    </row>
    <row r="40" spans="1:7" x14ac:dyDescent="0.25">
      <c r="A40" t="s">
        <v>94</v>
      </c>
      <c r="B40">
        <v>1.54288</v>
      </c>
      <c r="C40">
        <v>1.5781700000000001</v>
      </c>
      <c r="D40">
        <v>8.6483899999999991</v>
      </c>
      <c r="E40">
        <v>49</v>
      </c>
      <c r="F40" s="5">
        <f t="shared" si="1"/>
        <v>0.99982460635378612</v>
      </c>
      <c r="G40" s="5" t="e">
        <f t="shared" si="0"/>
        <v>#VALUE!</v>
      </c>
    </row>
    <row r="41" spans="1:7" x14ac:dyDescent="0.25">
      <c r="A41" t="s">
        <v>96</v>
      </c>
      <c r="B41" t="s">
        <v>97</v>
      </c>
      <c r="C41" t="s">
        <v>97</v>
      </c>
      <c r="D41" t="s">
        <v>97</v>
      </c>
      <c r="E41">
        <v>50</v>
      </c>
      <c r="F41" s="5" t="e">
        <f t="shared" si="1"/>
        <v>#VALUE!</v>
      </c>
      <c r="G41" s="5" t="e">
        <f t="shared" si="0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workbookViewId="0">
      <selection activeCell="P5" sqref="P5"/>
    </sheetView>
  </sheetViews>
  <sheetFormatPr defaultRowHeight="15" x14ac:dyDescent="0.25"/>
  <sheetData>
    <row r="1" spans="1:21" ht="15" customHeight="1" x14ac:dyDescent="0.25">
      <c r="A1" s="16" t="s">
        <v>101</v>
      </c>
      <c r="B1" s="20" t="s">
        <v>102</v>
      </c>
      <c r="C1" s="20"/>
      <c r="D1" s="16"/>
      <c r="E1" s="16" t="s">
        <v>103</v>
      </c>
      <c r="F1" s="16"/>
      <c r="G1" s="16"/>
      <c r="H1" s="16"/>
      <c r="L1" t="s">
        <v>3</v>
      </c>
      <c r="M1">
        <v>0</v>
      </c>
    </row>
    <row r="2" spans="1:21" ht="16.5" x14ac:dyDescent="0.3">
      <c r="A2" s="20"/>
      <c r="B2" s="20">
        <v>100000</v>
      </c>
      <c r="C2" s="20" t="s">
        <v>104</v>
      </c>
      <c r="D2" s="16" t="s">
        <v>105</v>
      </c>
      <c r="E2" s="20">
        <v>100000</v>
      </c>
      <c r="F2" s="20" t="s">
        <v>104</v>
      </c>
      <c r="G2" s="16" t="s">
        <v>105</v>
      </c>
      <c r="H2" s="16"/>
      <c r="I2" s="9"/>
      <c r="L2" t="s">
        <v>23</v>
      </c>
      <c r="M2">
        <v>1</v>
      </c>
    </row>
    <row r="3" spans="1:21" ht="16.5" x14ac:dyDescent="0.3">
      <c r="A3" s="20"/>
      <c r="B3" s="20"/>
      <c r="C3" s="20"/>
      <c r="D3" s="16"/>
      <c r="E3" s="20"/>
      <c r="F3" s="20"/>
      <c r="G3" s="16"/>
      <c r="H3" s="16"/>
      <c r="I3" s="17"/>
    </row>
    <row r="4" spans="1:21" x14ac:dyDescent="0.25">
      <c r="A4" s="20"/>
      <c r="B4" s="20"/>
      <c r="C4" s="20"/>
      <c r="D4" s="16" t="s">
        <v>106</v>
      </c>
      <c r="E4" s="20"/>
      <c r="F4" s="20"/>
      <c r="G4" s="16" t="s">
        <v>106</v>
      </c>
      <c r="H4" s="16"/>
      <c r="I4" s="12"/>
      <c r="M4" t="s">
        <v>108</v>
      </c>
      <c r="N4" t="s">
        <v>18</v>
      </c>
      <c r="O4" t="s">
        <v>107</v>
      </c>
      <c r="P4" t="s">
        <v>109</v>
      </c>
      <c r="Q4" t="s">
        <v>110</v>
      </c>
      <c r="R4" t="s">
        <v>2</v>
      </c>
      <c r="S4" t="s">
        <v>111</v>
      </c>
      <c r="U4" t="s">
        <v>108</v>
      </c>
    </row>
    <row r="5" spans="1:21" x14ac:dyDescent="0.25">
      <c r="A5" s="16">
        <v>0</v>
      </c>
      <c r="B5" s="16">
        <v>100000</v>
      </c>
      <c r="C5" s="16"/>
      <c r="D5" s="16"/>
      <c r="E5" s="16">
        <v>100000</v>
      </c>
      <c r="F5" s="16"/>
      <c r="G5" s="16"/>
      <c r="H5" s="16"/>
      <c r="I5" s="11"/>
      <c r="M5">
        <v>100000</v>
      </c>
      <c r="N5">
        <f>M5-M6</f>
        <v>1629.1999999999971</v>
      </c>
      <c r="O5">
        <f>N5/M5</f>
        <v>1.629199999999997E-2</v>
      </c>
      <c r="P5">
        <f>1-O5</f>
        <v>0.98370800000000003</v>
      </c>
      <c r="Q5">
        <f>5*(M5-N5)+2.5*N5</f>
        <v>495927</v>
      </c>
      <c r="R5">
        <f>SUM(Q5:Q$22)</f>
        <v>7340739</v>
      </c>
      <c r="S5">
        <f>R5/M5</f>
        <v>73.407390000000007</v>
      </c>
      <c r="U5">
        <f>Q5/5+N5/2</f>
        <v>100000</v>
      </c>
    </row>
    <row r="6" spans="1:21" x14ac:dyDescent="0.25">
      <c r="A6" s="15">
        <v>5</v>
      </c>
      <c r="B6" s="15">
        <v>61196</v>
      </c>
      <c r="C6" s="15">
        <v>0.61199999999999999</v>
      </c>
      <c r="D6" s="15">
        <v>-0.2278</v>
      </c>
      <c r="E6" s="15">
        <v>98370.799999999988</v>
      </c>
      <c r="F6" s="15">
        <v>0.85880000000000001</v>
      </c>
      <c r="G6" s="15">
        <v>-0.90269999999999995</v>
      </c>
      <c r="H6" s="15"/>
      <c r="I6" s="11">
        <f>E6/$E$5</f>
        <v>0.98370799999999992</v>
      </c>
      <c r="J6">
        <f>0.5*LN((1-I6)/I6)</f>
        <v>-2.050327457630106</v>
      </c>
      <c r="K6">
        <f t="shared" ref="K6:K22" si="0">M$1+M$2*J6</f>
        <v>-2.050327457630106</v>
      </c>
      <c r="L6">
        <f>1/(EXP(2*K6)+1)</f>
        <v>0.98370800000000003</v>
      </c>
      <c r="M6">
        <f>M$5*L6</f>
        <v>98370.8</v>
      </c>
      <c r="N6">
        <f t="shared" ref="N6:N22" si="1">M6-M7</f>
        <v>149.99999999998545</v>
      </c>
      <c r="O6">
        <f t="shared" ref="O6:O20" si="2">N6/M6</f>
        <v>1.5248427378854847E-3</v>
      </c>
      <c r="P6">
        <f t="shared" ref="P6:P22" si="3">1-O6</f>
        <v>0.99847515726211455</v>
      </c>
      <c r="Q6">
        <f t="shared" ref="Q6:Q20" si="4">5*(M6-N6)+2.5*N6</f>
        <v>491479.00000000006</v>
      </c>
      <c r="R6">
        <f>SUM(Q6:Q$22)</f>
        <v>6844812</v>
      </c>
      <c r="S6">
        <f t="shared" ref="S6:S21" si="5">R6/M6</f>
        <v>69.581745802616226</v>
      </c>
      <c r="U6">
        <f t="shared" ref="U6:U22" si="6">Q6/5+N6/2</f>
        <v>98370.800000000017</v>
      </c>
    </row>
    <row r="7" spans="1:21" x14ac:dyDescent="0.25">
      <c r="A7" s="15">
        <v>10</v>
      </c>
      <c r="B7" s="15">
        <v>58141</v>
      </c>
      <c r="C7" s="15">
        <v>0.58140000000000003</v>
      </c>
      <c r="D7" s="15">
        <v>-0.1643</v>
      </c>
      <c r="E7" s="15">
        <v>98220.800000000017</v>
      </c>
      <c r="F7" s="15">
        <v>0.84899999999999998</v>
      </c>
      <c r="G7" s="15">
        <v>-0.86339999999999995</v>
      </c>
      <c r="H7" s="15"/>
      <c r="I7" s="11">
        <f t="shared" ref="I7:I21" si="7">E7/$E$5</f>
        <v>0.98220800000000019</v>
      </c>
      <c r="J7">
        <f t="shared" ref="J7:J21" si="8">0.5*LN((1-I7)/I7)</f>
        <v>-2.0055270902422344</v>
      </c>
      <c r="K7">
        <f t="shared" si="0"/>
        <v>-2.0055270902422344</v>
      </c>
      <c r="L7">
        <f t="shared" ref="L7:L22" si="9">1/(EXP(2*K7)+1)</f>
        <v>0.98220800000000019</v>
      </c>
      <c r="M7">
        <f t="shared" ref="M7:M22" si="10">M$5*L7</f>
        <v>98220.800000000017</v>
      </c>
      <c r="N7">
        <f t="shared" si="1"/>
        <v>150.40000000002328</v>
      </c>
      <c r="O7">
        <f t="shared" si="2"/>
        <v>1.5312438913145001E-3</v>
      </c>
      <c r="P7">
        <f t="shared" si="3"/>
        <v>0.99846875610868546</v>
      </c>
      <c r="Q7">
        <f t="shared" si="4"/>
        <v>490728.00000000006</v>
      </c>
      <c r="R7">
        <f>SUM(Q7:Q$22)</f>
        <v>6353333</v>
      </c>
      <c r="S7">
        <f t="shared" si="5"/>
        <v>64.68419112855932</v>
      </c>
      <c r="U7">
        <f t="shared" si="6"/>
        <v>98220.800000000017</v>
      </c>
    </row>
    <row r="8" spans="1:21" x14ac:dyDescent="0.25">
      <c r="A8" s="15">
        <v>15</v>
      </c>
      <c r="B8" s="15">
        <v>55864</v>
      </c>
      <c r="C8" s="15">
        <v>0.55859999999999999</v>
      </c>
      <c r="D8" s="15">
        <v>-0.1178</v>
      </c>
      <c r="E8" s="15">
        <v>98070.399999999994</v>
      </c>
      <c r="F8" s="15">
        <v>0.8448</v>
      </c>
      <c r="G8" s="15">
        <v>-0.84719999999999995</v>
      </c>
      <c r="H8" s="15"/>
      <c r="I8" s="11">
        <f t="shared" si="7"/>
        <v>0.98070399999999991</v>
      </c>
      <c r="J8">
        <f t="shared" si="8"/>
        <v>-1.9641864302822296</v>
      </c>
      <c r="K8">
        <f t="shared" si="0"/>
        <v>-1.9641864302822296</v>
      </c>
      <c r="L8">
        <f t="shared" si="9"/>
        <v>0.98070399999999991</v>
      </c>
      <c r="M8">
        <f t="shared" si="10"/>
        <v>98070.399999999994</v>
      </c>
      <c r="N8">
        <f t="shared" si="1"/>
        <v>479.59999999997672</v>
      </c>
      <c r="O8">
        <f t="shared" si="2"/>
        <v>4.8903644728682328E-3</v>
      </c>
      <c r="P8">
        <f t="shared" si="3"/>
        <v>0.99510963552713172</v>
      </c>
      <c r="Q8">
        <f t="shared" si="4"/>
        <v>489153.00000000006</v>
      </c>
      <c r="R8">
        <f>SUM(Q8:Q$22)</f>
        <v>5862605</v>
      </c>
      <c r="S8">
        <f t="shared" si="5"/>
        <v>59.779556318726144</v>
      </c>
      <c r="U8">
        <f t="shared" si="6"/>
        <v>98070.399999999994</v>
      </c>
    </row>
    <row r="9" spans="1:21" x14ac:dyDescent="0.25">
      <c r="A9" s="15">
        <v>20</v>
      </c>
      <c r="B9" s="15">
        <v>53002</v>
      </c>
      <c r="C9" s="15">
        <v>0.53</v>
      </c>
      <c r="D9" s="15">
        <v>-6.0100000000000001E-2</v>
      </c>
      <c r="E9" s="15">
        <v>97590.800000000017</v>
      </c>
      <c r="F9" s="15">
        <v>0.83899999999999997</v>
      </c>
      <c r="G9" s="15">
        <v>-0.82540000000000002</v>
      </c>
      <c r="H9" s="15"/>
      <c r="I9" s="11">
        <f t="shared" si="7"/>
        <v>0.97590800000000022</v>
      </c>
      <c r="J9">
        <f t="shared" si="8"/>
        <v>-1.8507442422467879</v>
      </c>
      <c r="K9">
        <f t="shared" si="0"/>
        <v>-1.8507442422467879</v>
      </c>
      <c r="L9">
        <f t="shared" si="9"/>
        <v>0.97590800000000022</v>
      </c>
      <c r="M9">
        <f t="shared" si="10"/>
        <v>97590.800000000017</v>
      </c>
      <c r="N9">
        <f t="shared" si="1"/>
        <v>644.80000000004657</v>
      </c>
      <c r="O9">
        <f t="shared" si="2"/>
        <v>6.6071801850179157E-3</v>
      </c>
      <c r="P9">
        <f t="shared" si="3"/>
        <v>0.99339281981498206</v>
      </c>
      <c r="Q9">
        <f t="shared" si="4"/>
        <v>486342</v>
      </c>
      <c r="R9">
        <f>SUM(Q9:Q$22)</f>
        <v>5373452</v>
      </c>
      <c r="S9">
        <f t="shared" si="5"/>
        <v>55.061050836759193</v>
      </c>
      <c r="U9">
        <f t="shared" si="6"/>
        <v>97590.800000000017</v>
      </c>
    </row>
    <row r="10" spans="1:21" x14ac:dyDescent="0.25">
      <c r="A10" s="15">
        <v>25</v>
      </c>
      <c r="B10" s="15">
        <v>49614</v>
      </c>
      <c r="C10" s="15">
        <v>0.49609999999999999</v>
      </c>
      <c r="D10" s="15">
        <v>7.7000000000000002E-3</v>
      </c>
      <c r="E10" s="15">
        <v>96945.999999999971</v>
      </c>
      <c r="F10" s="15">
        <v>0.83199999999999996</v>
      </c>
      <c r="G10" s="15">
        <v>-0.80010000000000003</v>
      </c>
      <c r="H10" s="15"/>
      <c r="I10" s="11">
        <f t="shared" si="7"/>
        <v>0.96945999999999966</v>
      </c>
      <c r="J10">
        <f t="shared" si="8"/>
        <v>-1.7288509578302247</v>
      </c>
      <c r="K10">
        <f t="shared" si="0"/>
        <v>-1.7288509578302247</v>
      </c>
      <c r="L10">
        <f t="shared" si="9"/>
        <v>0.96945999999999966</v>
      </c>
      <c r="M10">
        <f t="shared" si="10"/>
        <v>96945.999999999971</v>
      </c>
      <c r="N10">
        <f t="shared" si="1"/>
        <v>637.59999999994761</v>
      </c>
      <c r="O10">
        <f t="shared" si="2"/>
        <v>6.5768572194824732E-3</v>
      </c>
      <c r="P10">
        <f t="shared" si="3"/>
        <v>0.99342314278051758</v>
      </c>
      <c r="Q10">
        <f t="shared" si="4"/>
        <v>483136</v>
      </c>
      <c r="R10">
        <f>SUM(Q10:Q$22)</f>
        <v>4887110</v>
      </c>
      <c r="S10">
        <f t="shared" si="5"/>
        <v>50.410640975388375</v>
      </c>
      <c r="U10">
        <f t="shared" si="6"/>
        <v>96945.999999999971</v>
      </c>
    </row>
    <row r="11" spans="1:21" x14ac:dyDescent="0.25">
      <c r="A11" s="15">
        <v>30</v>
      </c>
      <c r="B11" s="15">
        <v>46072</v>
      </c>
      <c r="C11" s="15">
        <v>0.4607</v>
      </c>
      <c r="D11" s="15">
        <v>7.8700000000000006E-2</v>
      </c>
      <c r="E11" s="15">
        <v>96308.400000000023</v>
      </c>
      <c r="F11" s="15">
        <v>0.82420000000000004</v>
      </c>
      <c r="G11" s="15">
        <v>-0.77270000000000005</v>
      </c>
      <c r="H11" s="15"/>
      <c r="I11" s="11">
        <f t="shared" si="7"/>
        <v>0.96308400000000027</v>
      </c>
      <c r="J11">
        <f t="shared" si="8"/>
        <v>-1.6307477870025218</v>
      </c>
      <c r="K11">
        <f t="shared" si="0"/>
        <v>-1.6307477870025218</v>
      </c>
      <c r="L11">
        <f t="shared" si="9"/>
        <v>0.96308400000000027</v>
      </c>
      <c r="M11">
        <f t="shared" si="10"/>
        <v>96308.400000000023</v>
      </c>
      <c r="N11">
        <f t="shared" si="1"/>
        <v>668.80000000006112</v>
      </c>
      <c r="O11">
        <f t="shared" si="2"/>
        <v>6.9443579168593905E-3</v>
      </c>
      <c r="P11">
        <f t="shared" si="3"/>
        <v>0.99305564208314057</v>
      </c>
      <c r="Q11">
        <f t="shared" si="4"/>
        <v>479870</v>
      </c>
      <c r="R11">
        <f>SUM(Q11:Q$22)</f>
        <v>4403974</v>
      </c>
      <c r="S11">
        <f t="shared" si="5"/>
        <v>45.727828517554016</v>
      </c>
      <c r="U11">
        <f t="shared" si="6"/>
        <v>96308.400000000023</v>
      </c>
    </row>
    <row r="12" spans="1:21" x14ac:dyDescent="0.25">
      <c r="A12" s="15">
        <v>35</v>
      </c>
      <c r="B12" s="15">
        <v>42361</v>
      </c>
      <c r="C12" s="15">
        <v>0.42359999999999998</v>
      </c>
      <c r="D12" s="15">
        <v>0.154</v>
      </c>
      <c r="E12" s="15">
        <v>95639.599999999977</v>
      </c>
      <c r="F12" s="15">
        <v>0.81469999999999998</v>
      </c>
      <c r="G12" s="15">
        <v>-0.74050000000000005</v>
      </c>
      <c r="H12" s="15"/>
      <c r="I12" s="11">
        <f t="shared" si="7"/>
        <v>0.9563959999999998</v>
      </c>
      <c r="J12">
        <f t="shared" si="8"/>
        <v>-1.5440115819794129</v>
      </c>
      <c r="K12">
        <f t="shared" si="0"/>
        <v>-1.5440115819794129</v>
      </c>
      <c r="L12">
        <f t="shared" si="9"/>
        <v>0.95639599999999969</v>
      </c>
      <c r="M12">
        <f t="shared" si="10"/>
        <v>95639.599999999962</v>
      </c>
      <c r="N12">
        <f t="shared" si="1"/>
        <v>872.7999999999447</v>
      </c>
      <c r="O12">
        <f t="shared" si="2"/>
        <v>9.1259269173014634E-3</v>
      </c>
      <c r="P12">
        <f t="shared" si="3"/>
        <v>0.99087407308269859</v>
      </c>
      <c r="Q12">
        <f t="shared" si="4"/>
        <v>476016</v>
      </c>
      <c r="R12">
        <f>SUM(Q12:Q$22)</f>
        <v>3924104</v>
      </c>
      <c r="S12">
        <f t="shared" si="5"/>
        <v>41.030117231774305</v>
      </c>
      <c r="U12">
        <f t="shared" si="6"/>
        <v>95639.599999999977</v>
      </c>
    </row>
    <row r="13" spans="1:21" x14ac:dyDescent="0.25">
      <c r="A13" s="15">
        <v>40</v>
      </c>
      <c r="B13" s="15">
        <v>38624</v>
      </c>
      <c r="C13" s="15">
        <v>0.38619999999999999</v>
      </c>
      <c r="D13" s="15">
        <v>0.2316</v>
      </c>
      <c r="E13" s="15">
        <v>94766.800000000017</v>
      </c>
      <c r="F13" s="15">
        <v>0.80289999999999995</v>
      </c>
      <c r="G13" s="15">
        <v>-0.70240000000000002</v>
      </c>
      <c r="H13" s="15"/>
      <c r="I13" s="11">
        <f t="shared" si="7"/>
        <v>0.94766800000000018</v>
      </c>
      <c r="J13">
        <f t="shared" si="8"/>
        <v>-1.4481980956488743</v>
      </c>
      <c r="K13">
        <f t="shared" si="0"/>
        <v>-1.4481980956488743</v>
      </c>
      <c r="L13">
        <f t="shared" si="9"/>
        <v>0.94766800000000018</v>
      </c>
      <c r="M13">
        <f t="shared" si="10"/>
        <v>94766.800000000017</v>
      </c>
      <c r="N13">
        <f t="shared" si="1"/>
        <v>1323.2000000000407</v>
      </c>
      <c r="O13">
        <f t="shared" si="2"/>
        <v>1.3962695796418583E-2</v>
      </c>
      <c r="P13">
        <f t="shared" si="3"/>
        <v>0.98603730420358138</v>
      </c>
      <c r="Q13">
        <f t="shared" si="4"/>
        <v>470526</v>
      </c>
      <c r="R13">
        <f>SUM(Q13:Q$22)</f>
        <v>3448088</v>
      </c>
      <c r="S13">
        <f t="shared" si="5"/>
        <v>36.384978705622636</v>
      </c>
      <c r="U13">
        <f t="shared" si="6"/>
        <v>94766.800000000017</v>
      </c>
    </row>
    <row r="14" spans="1:21" x14ac:dyDescent="0.25">
      <c r="A14" s="15">
        <v>45</v>
      </c>
      <c r="B14" s="15">
        <v>34968</v>
      </c>
      <c r="C14" s="15">
        <v>0.34970000000000001</v>
      </c>
      <c r="D14" s="15">
        <v>0.31019999999999998</v>
      </c>
      <c r="E14" s="15">
        <v>93443.599999999977</v>
      </c>
      <c r="F14" s="15">
        <v>0.78739999999999999</v>
      </c>
      <c r="G14" s="15">
        <v>-0.65480000000000005</v>
      </c>
      <c r="H14" s="15"/>
      <c r="I14" s="11">
        <f t="shared" si="7"/>
        <v>0.93443599999999982</v>
      </c>
      <c r="J14">
        <f t="shared" si="8"/>
        <v>-1.3284581869509726</v>
      </c>
      <c r="K14">
        <f t="shared" si="0"/>
        <v>-1.3284581869509726</v>
      </c>
      <c r="L14">
        <f t="shared" si="9"/>
        <v>0.93443599999999982</v>
      </c>
      <c r="M14">
        <f t="shared" si="10"/>
        <v>93443.599999999977</v>
      </c>
      <c r="N14">
        <f t="shared" si="1"/>
        <v>2078.3999999999651</v>
      </c>
      <c r="O14">
        <f t="shared" si="2"/>
        <v>2.2242293747243957E-2</v>
      </c>
      <c r="P14">
        <f t="shared" si="3"/>
        <v>0.97775770625275604</v>
      </c>
      <c r="Q14">
        <f t="shared" si="4"/>
        <v>462022</v>
      </c>
      <c r="R14">
        <f>SUM(Q14:Q$22)</f>
        <v>2977562</v>
      </c>
      <c r="S14">
        <f t="shared" si="5"/>
        <v>31.864804010119482</v>
      </c>
      <c r="U14">
        <f t="shared" si="6"/>
        <v>93443.599999999977</v>
      </c>
    </row>
    <row r="15" spans="1:21" x14ac:dyDescent="0.25">
      <c r="A15" s="15">
        <v>50</v>
      </c>
      <c r="B15" s="15">
        <v>31396</v>
      </c>
      <c r="C15" s="15">
        <v>0.314</v>
      </c>
      <c r="D15" s="15">
        <v>0.39079999999999998</v>
      </c>
      <c r="E15" s="15">
        <v>91365.200000000012</v>
      </c>
      <c r="F15" s="15">
        <v>0.7661</v>
      </c>
      <c r="G15" s="15">
        <v>-0.59319999999999995</v>
      </c>
      <c r="H15" s="15"/>
      <c r="I15" s="11">
        <f t="shared" si="7"/>
        <v>0.91365200000000013</v>
      </c>
      <c r="J15">
        <f t="shared" si="8"/>
        <v>-1.1795320560988163</v>
      </c>
      <c r="K15">
        <f t="shared" si="0"/>
        <v>-1.1795320560988163</v>
      </c>
      <c r="L15">
        <f t="shared" si="9"/>
        <v>0.91365200000000013</v>
      </c>
      <c r="M15">
        <f t="shared" si="10"/>
        <v>91365.200000000012</v>
      </c>
      <c r="N15">
        <f t="shared" si="1"/>
        <v>3192.0000000000291</v>
      </c>
      <c r="O15">
        <f t="shared" si="2"/>
        <v>3.4936715510938833E-2</v>
      </c>
      <c r="P15">
        <f t="shared" si="3"/>
        <v>0.9650632844890612</v>
      </c>
      <c r="Q15">
        <f t="shared" si="4"/>
        <v>448845.99999999994</v>
      </c>
      <c r="R15">
        <f>SUM(Q15:Q$22)</f>
        <v>2515540</v>
      </c>
      <c r="S15">
        <f t="shared" si="5"/>
        <v>27.532802423679911</v>
      </c>
      <c r="U15">
        <f t="shared" si="6"/>
        <v>91365.2</v>
      </c>
    </row>
    <row r="16" spans="1:21" x14ac:dyDescent="0.25">
      <c r="A16" s="15">
        <v>55</v>
      </c>
      <c r="B16" s="15">
        <v>27280</v>
      </c>
      <c r="C16" s="15">
        <v>0.27279999999999999</v>
      </c>
      <c r="D16" s="15">
        <v>0.49020000000000002</v>
      </c>
      <c r="E16" s="15">
        <v>88173.199999999983</v>
      </c>
      <c r="F16" s="15">
        <v>0.7329</v>
      </c>
      <c r="G16" s="15">
        <v>-0.50480000000000003</v>
      </c>
      <c r="H16" s="15"/>
      <c r="I16" s="11">
        <f t="shared" si="7"/>
        <v>0.88173199999999985</v>
      </c>
      <c r="J16">
        <f t="shared" si="8"/>
        <v>-1.0044674596486687</v>
      </c>
      <c r="K16">
        <f t="shared" si="0"/>
        <v>-1.0044674596486687</v>
      </c>
      <c r="L16">
        <f t="shared" si="9"/>
        <v>0.88173199999999985</v>
      </c>
      <c r="M16">
        <f t="shared" si="10"/>
        <v>88173.199999999983</v>
      </c>
      <c r="N16">
        <f t="shared" si="1"/>
        <v>4656.7999999999447</v>
      </c>
      <c r="O16">
        <f t="shared" si="2"/>
        <v>5.2814233803468009E-2</v>
      </c>
      <c r="P16">
        <f t="shared" si="3"/>
        <v>0.94718576619653194</v>
      </c>
      <c r="Q16">
        <f t="shared" si="4"/>
        <v>429224.00000000006</v>
      </c>
      <c r="R16">
        <f>SUM(Q16:Q$22)</f>
        <v>2066694</v>
      </c>
      <c r="S16">
        <f t="shared" si="5"/>
        <v>23.439026824477285</v>
      </c>
      <c r="U16">
        <f t="shared" si="6"/>
        <v>88173.199999999983</v>
      </c>
    </row>
    <row r="17" spans="1:23" x14ac:dyDescent="0.25">
      <c r="A17" s="15">
        <v>60</v>
      </c>
      <c r="B17" s="15">
        <v>22764</v>
      </c>
      <c r="C17" s="15">
        <v>0.2276</v>
      </c>
      <c r="D17" s="15">
        <v>0.6109</v>
      </c>
      <c r="E17" s="15">
        <v>83516.400000000023</v>
      </c>
      <c r="F17" s="15">
        <v>0.68220000000000003</v>
      </c>
      <c r="G17" s="15">
        <v>-0.38190000000000002</v>
      </c>
      <c r="H17" s="15"/>
      <c r="I17" s="11">
        <f t="shared" si="7"/>
        <v>0.83516400000000024</v>
      </c>
      <c r="J17">
        <f t="shared" si="8"/>
        <v>-0.81133853626489583</v>
      </c>
      <c r="K17">
        <f t="shared" si="0"/>
        <v>-0.81133853626489583</v>
      </c>
      <c r="L17">
        <f t="shared" si="9"/>
        <v>0.83516400000000035</v>
      </c>
      <c r="M17">
        <f t="shared" si="10"/>
        <v>83516.400000000038</v>
      </c>
      <c r="N17">
        <f t="shared" si="1"/>
        <v>6606.4000000000669</v>
      </c>
      <c r="O17">
        <f t="shared" si="2"/>
        <v>7.910302647144829E-2</v>
      </c>
      <c r="P17">
        <f t="shared" si="3"/>
        <v>0.92089697352855171</v>
      </c>
      <c r="Q17">
        <f t="shared" si="4"/>
        <v>401066.00000000006</v>
      </c>
      <c r="R17">
        <f>SUM(Q17:Q$22)</f>
        <v>1637469.9999999998</v>
      </c>
      <c r="S17">
        <f t="shared" si="5"/>
        <v>19.606568290778807</v>
      </c>
      <c r="U17">
        <f t="shared" si="6"/>
        <v>83516.400000000052</v>
      </c>
    </row>
    <row r="18" spans="1:23" x14ac:dyDescent="0.25">
      <c r="A18" s="15">
        <v>65</v>
      </c>
      <c r="B18" s="15">
        <v>17384</v>
      </c>
      <c r="C18" s="15">
        <v>0.17380000000000001</v>
      </c>
      <c r="D18" s="15">
        <v>0.77929999999999999</v>
      </c>
      <c r="E18" s="15">
        <v>76909.999999999971</v>
      </c>
      <c r="F18" s="15">
        <v>0.60629999999999995</v>
      </c>
      <c r="G18" s="15">
        <v>-0.21579999999999999</v>
      </c>
      <c r="H18" s="15"/>
      <c r="I18" s="11">
        <f t="shared" si="7"/>
        <v>0.76909999999999967</v>
      </c>
      <c r="J18">
        <f t="shared" si="8"/>
        <v>-0.60161814185127838</v>
      </c>
      <c r="K18">
        <f t="shared" si="0"/>
        <v>-0.60161814185127838</v>
      </c>
      <c r="L18">
        <f t="shared" si="9"/>
        <v>0.76909999999999967</v>
      </c>
      <c r="M18">
        <f t="shared" si="10"/>
        <v>76909.999999999971</v>
      </c>
      <c r="N18">
        <f t="shared" si="1"/>
        <v>8920.7999999999302</v>
      </c>
      <c r="O18">
        <f t="shared" si="2"/>
        <v>0.11599011832011355</v>
      </c>
      <c r="P18">
        <f t="shared" si="3"/>
        <v>0.88400988167988648</v>
      </c>
      <c r="Q18">
        <f t="shared" si="4"/>
        <v>362248.00000000006</v>
      </c>
      <c r="R18">
        <f>SUM(Q18:Q$22)</f>
        <v>1236403.9999999998</v>
      </c>
      <c r="S18">
        <f t="shared" si="5"/>
        <v>16.075984917435967</v>
      </c>
      <c r="U18">
        <f t="shared" si="6"/>
        <v>76909.999999999971</v>
      </c>
    </row>
    <row r="19" spans="1:23" x14ac:dyDescent="0.25">
      <c r="A19" s="15">
        <v>70</v>
      </c>
      <c r="B19" s="15">
        <v>12025</v>
      </c>
      <c r="C19" s="15">
        <v>0.1202</v>
      </c>
      <c r="D19" s="15">
        <v>0.99509999999999998</v>
      </c>
      <c r="E19" s="15">
        <v>67989.200000000041</v>
      </c>
      <c r="F19" s="15">
        <v>0.50380000000000003</v>
      </c>
      <c r="G19" s="15">
        <v>-7.7000000000000002E-3</v>
      </c>
      <c r="H19" s="15"/>
      <c r="I19" s="11">
        <f t="shared" si="7"/>
        <v>0.67989200000000038</v>
      </c>
      <c r="J19">
        <f t="shared" si="8"/>
        <v>-0.37663776158674578</v>
      </c>
      <c r="K19">
        <f t="shared" si="0"/>
        <v>-0.37663776158674578</v>
      </c>
      <c r="L19">
        <f t="shared" si="9"/>
        <v>0.67989200000000038</v>
      </c>
      <c r="M19">
        <f t="shared" si="10"/>
        <v>67989.200000000041</v>
      </c>
      <c r="N19">
        <f t="shared" si="1"/>
        <v>11463.200000000084</v>
      </c>
      <c r="O19">
        <f t="shared" si="2"/>
        <v>0.16860324875127339</v>
      </c>
      <c r="P19">
        <f t="shared" si="3"/>
        <v>0.83139675124872658</v>
      </c>
      <c r="Q19">
        <f t="shared" si="4"/>
        <v>311288</v>
      </c>
      <c r="R19">
        <f>SUM(Q19:Q$22)</f>
        <v>874155.99999999977</v>
      </c>
      <c r="S19">
        <f t="shared" si="5"/>
        <v>12.857277332282175</v>
      </c>
      <c r="U19">
        <f t="shared" si="6"/>
        <v>67989.200000000041</v>
      </c>
    </row>
    <row r="20" spans="1:23" x14ac:dyDescent="0.25">
      <c r="A20" s="15">
        <v>75</v>
      </c>
      <c r="B20" s="15">
        <v>6931</v>
      </c>
      <c r="C20" s="15">
        <v>6.93E-2</v>
      </c>
      <c r="D20" s="15">
        <v>1.2987</v>
      </c>
      <c r="E20" s="15">
        <v>56525.999999999956</v>
      </c>
      <c r="F20" s="15">
        <v>0.37619999999999998</v>
      </c>
      <c r="G20" s="15">
        <v>0.25290000000000001</v>
      </c>
      <c r="H20" s="15"/>
      <c r="I20" s="11">
        <f t="shared" si="7"/>
        <v>0.56525999999999954</v>
      </c>
      <c r="J20">
        <f t="shared" si="8"/>
        <v>-0.13126882552195515</v>
      </c>
      <c r="K20">
        <f t="shared" si="0"/>
        <v>-0.13126882552195515</v>
      </c>
      <c r="L20">
        <f t="shared" si="9"/>
        <v>0.56525999999999954</v>
      </c>
      <c r="M20">
        <f t="shared" si="10"/>
        <v>56525.999999999956</v>
      </c>
      <c r="N20">
        <f t="shared" si="1"/>
        <v>13663.999999999913</v>
      </c>
      <c r="O20">
        <f t="shared" si="2"/>
        <v>0.24172946962459618</v>
      </c>
      <c r="P20">
        <f t="shared" si="3"/>
        <v>0.75827053037540382</v>
      </c>
      <c r="Q20">
        <f t="shared" si="4"/>
        <v>248470</v>
      </c>
      <c r="R20">
        <f>SUM(Q20:Q$22)</f>
        <v>562867.99999999977</v>
      </c>
      <c r="S20">
        <f t="shared" si="5"/>
        <v>9.9576831900364464</v>
      </c>
      <c r="U20">
        <f t="shared" si="6"/>
        <v>56525.999999999956</v>
      </c>
    </row>
    <row r="21" spans="1:23" x14ac:dyDescent="0.25">
      <c r="A21" s="15">
        <v>80</v>
      </c>
      <c r="B21" s="15">
        <v>3073</v>
      </c>
      <c r="C21" s="15">
        <v>3.0700000000000002E-2</v>
      </c>
      <c r="D21" s="15">
        <v>1.7256</v>
      </c>
      <c r="E21" s="15">
        <v>42862.000000000044</v>
      </c>
      <c r="F21" s="15">
        <v>0.23960000000000001</v>
      </c>
      <c r="G21" s="15">
        <v>0.57740000000000002</v>
      </c>
      <c r="H21" s="15"/>
      <c r="I21" s="11">
        <f t="shared" si="7"/>
        <v>0.42862000000000045</v>
      </c>
      <c r="J21">
        <f t="shared" si="8"/>
        <v>0.14374187096373908</v>
      </c>
      <c r="K21">
        <f t="shared" si="0"/>
        <v>0.14374187096373908</v>
      </c>
      <c r="L21">
        <f t="shared" si="9"/>
        <v>0.42862000000000045</v>
      </c>
      <c r="M21">
        <f t="shared" si="10"/>
        <v>42862.000000000044</v>
      </c>
      <c r="N21">
        <f t="shared" si="1"/>
        <v>15229.600000000093</v>
      </c>
      <c r="O21">
        <f>N21/M21</f>
        <v>0.35531706406607433</v>
      </c>
      <c r="P21">
        <f t="shared" si="3"/>
        <v>0.64468293593392567</v>
      </c>
      <c r="Q21">
        <f>5*(M21-N21)+2.5*N21</f>
        <v>176236</v>
      </c>
      <c r="R21">
        <f>SUM(Q21:Q$22)</f>
        <v>314397.99999999977</v>
      </c>
      <c r="S21">
        <f t="shared" si="5"/>
        <v>7.3351220195044435</v>
      </c>
      <c r="U21">
        <f t="shared" si="6"/>
        <v>42862.000000000044</v>
      </c>
    </row>
    <row r="22" spans="1:23" x14ac:dyDescent="0.25">
      <c r="A22" s="15">
        <v>85</v>
      </c>
      <c r="B22" s="15">
        <v>937</v>
      </c>
      <c r="C22" s="15">
        <v>9.4000000000000004E-3</v>
      </c>
      <c r="D22" s="15">
        <v>2.3302</v>
      </c>
      <c r="E22" s="15">
        <v>27632.399999999951</v>
      </c>
      <c r="F22" s="15">
        <v>0.1235</v>
      </c>
      <c r="G22" s="15">
        <v>0.97989999999999999</v>
      </c>
      <c r="H22" s="15"/>
      <c r="I22" s="11">
        <f>E22/$E$5</f>
        <v>0.27632399999999951</v>
      </c>
      <c r="J22">
        <f>0.5*LN((1-I22)/I22)</f>
        <v>0.48138484407294552</v>
      </c>
      <c r="K22">
        <f t="shared" si="0"/>
        <v>0.48138484407294552</v>
      </c>
      <c r="L22">
        <f t="shared" si="9"/>
        <v>0.27632399999999951</v>
      </c>
      <c r="M22">
        <f t="shared" si="10"/>
        <v>27632.399999999951</v>
      </c>
      <c r="N22">
        <f t="shared" si="1"/>
        <v>27632.399999999951</v>
      </c>
      <c r="O22">
        <f>N22/M22</f>
        <v>1</v>
      </c>
      <c r="P22">
        <f t="shared" si="3"/>
        <v>0</v>
      </c>
      <c r="Q22">
        <f>5*(M22-N22)+5*N22</f>
        <v>138161.99999999977</v>
      </c>
      <c r="R22">
        <f>SUM(Q22:Q$22)</f>
        <v>138161.99999999977</v>
      </c>
      <c r="S22">
        <f>R22/M22</f>
        <v>5.0000000000000009</v>
      </c>
      <c r="U22">
        <f>Q22/5+N22/2</f>
        <v>41448.599999999933</v>
      </c>
      <c r="V22">
        <v>172927</v>
      </c>
      <c r="W22">
        <f>V22-Q22</f>
        <v>34765.000000000233</v>
      </c>
    </row>
    <row r="23" spans="1:23" x14ac:dyDescent="0.25">
      <c r="B23" s="10"/>
      <c r="C23" s="11"/>
      <c r="D23" s="11"/>
      <c r="E23" s="11"/>
      <c r="F23" s="11"/>
      <c r="G23" s="11"/>
      <c r="H23" s="11"/>
      <c r="I23" s="11"/>
    </row>
    <row r="24" spans="1:23" x14ac:dyDescent="0.25">
      <c r="B24" s="10"/>
      <c r="C24" s="11"/>
      <c r="D24" s="11"/>
      <c r="E24" s="11"/>
      <c r="F24" s="11"/>
      <c r="G24" s="11"/>
      <c r="H24" s="11"/>
      <c r="I24" s="11"/>
    </row>
    <row r="25" spans="1:23" x14ac:dyDescent="0.25">
      <c r="B25" s="10"/>
      <c r="C25" s="11"/>
      <c r="D25" s="11"/>
      <c r="E25" s="11"/>
      <c r="F25" s="11"/>
      <c r="G25" s="11"/>
      <c r="H25" s="11"/>
      <c r="I25" s="11"/>
    </row>
    <row r="26" spans="1:23" x14ac:dyDescent="0.25">
      <c r="B26" s="10"/>
      <c r="C26" s="11"/>
      <c r="D26" s="11"/>
      <c r="E26" s="11"/>
      <c r="F26" s="11"/>
      <c r="G26" s="11"/>
      <c r="H26" s="11"/>
      <c r="I26" s="11"/>
    </row>
    <row r="27" spans="1:23" x14ac:dyDescent="0.25">
      <c r="B27" s="10"/>
      <c r="C27" s="11"/>
      <c r="D27" s="11"/>
      <c r="E27" s="11"/>
      <c r="F27" s="11"/>
      <c r="G27" s="11"/>
      <c r="H27" s="11"/>
      <c r="I27" s="11"/>
    </row>
    <row r="28" spans="1:23" x14ac:dyDescent="0.25">
      <c r="B28" s="10"/>
      <c r="C28" s="11"/>
      <c r="D28" s="11"/>
      <c r="E28" s="11"/>
      <c r="F28" s="11"/>
      <c r="G28" s="11"/>
      <c r="H28" s="11"/>
      <c r="I28" s="11"/>
    </row>
    <row r="29" spans="1:23" x14ac:dyDescent="0.25">
      <c r="B29" s="10"/>
      <c r="C29" s="11"/>
      <c r="D29" s="11"/>
      <c r="E29" s="11"/>
      <c r="F29" s="11"/>
      <c r="G29" s="11"/>
      <c r="H29" s="11"/>
      <c r="I29" s="11"/>
    </row>
    <row r="30" spans="1:23" x14ac:dyDescent="0.25">
      <c r="B30" s="10"/>
      <c r="C30" s="11"/>
      <c r="D30" s="11"/>
      <c r="E30" s="11"/>
      <c r="F30" s="11"/>
      <c r="G30" s="11"/>
      <c r="H30" s="11"/>
      <c r="I30" s="11"/>
    </row>
    <row r="31" spans="1:23" x14ac:dyDescent="0.25">
      <c r="B31" s="10"/>
      <c r="C31" s="11"/>
      <c r="D31" s="11"/>
      <c r="E31" s="11"/>
      <c r="F31" s="11"/>
      <c r="G31" s="11"/>
      <c r="H31" s="11"/>
      <c r="I31" s="11"/>
    </row>
    <row r="32" spans="1:23" x14ac:dyDescent="0.25">
      <c r="B32" s="10"/>
      <c r="C32" s="11"/>
      <c r="D32" s="11"/>
      <c r="E32" s="11"/>
      <c r="F32" s="11"/>
      <c r="G32" s="11"/>
      <c r="H32" s="11"/>
      <c r="I32" s="11"/>
    </row>
    <row r="33" spans="2:9" x14ac:dyDescent="0.25">
      <c r="B33" s="10"/>
      <c r="C33" s="11"/>
      <c r="D33" s="11"/>
      <c r="E33" s="11"/>
      <c r="F33" s="11"/>
      <c r="G33" s="11"/>
      <c r="H33" s="11"/>
      <c r="I33" s="11"/>
    </row>
    <row r="34" spans="2:9" x14ac:dyDescent="0.25">
      <c r="B34" s="10"/>
      <c r="C34" s="11"/>
      <c r="D34" s="11"/>
      <c r="E34" s="11"/>
      <c r="F34" s="11"/>
      <c r="G34" s="11"/>
      <c r="H34" s="11"/>
      <c r="I34" s="11"/>
    </row>
    <row r="35" spans="2:9" x14ac:dyDescent="0.25">
      <c r="B35" s="10"/>
      <c r="C35" s="11"/>
      <c r="D35" s="11"/>
      <c r="E35" s="11"/>
      <c r="F35" s="11"/>
      <c r="G35" s="11"/>
      <c r="H35" s="11"/>
      <c r="I35" s="11"/>
    </row>
    <row r="36" spans="2:9" x14ac:dyDescent="0.25">
      <c r="B36" s="10"/>
      <c r="C36" s="11"/>
      <c r="D36" s="11"/>
      <c r="E36" s="11"/>
      <c r="F36" s="11"/>
      <c r="G36" s="11"/>
      <c r="H36" s="11"/>
      <c r="I36" s="11"/>
    </row>
    <row r="37" spans="2:9" x14ac:dyDescent="0.25">
      <c r="B37" s="10"/>
      <c r="C37" s="11"/>
      <c r="D37" s="11"/>
      <c r="E37" s="11"/>
      <c r="F37" s="11"/>
      <c r="G37" s="11"/>
      <c r="H37" s="11"/>
      <c r="I37" s="11"/>
    </row>
    <row r="38" spans="2:9" x14ac:dyDescent="0.25">
      <c r="B38" s="13"/>
      <c r="C38" s="14"/>
      <c r="D38" s="14"/>
      <c r="E38" s="14"/>
      <c r="F38" s="14"/>
      <c r="G38" s="14"/>
      <c r="H38" s="14"/>
      <c r="I38" s="14"/>
    </row>
  </sheetData>
  <mergeCells count="6">
    <mergeCell ref="F2:F4"/>
    <mergeCell ref="B1:C1"/>
    <mergeCell ref="A2:A4"/>
    <mergeCell ref="B2:B4"/>
    <mergeCell ref="C2:C4"/>
    <mergeCell ref="E2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Romaniuk</vt:lpstr>
      <vt:lpstr>Hadwiger</vt:lpstr>
      <vt:lpstr>Gompertz</vt:lpstr>
      <vt:lpstr>UN</vt:lpstr>
      <vt:lpstr>Booth</vt:lpstr>
      <vt:lpstr>Sheet1</vt:lpstr>
    </vt:vector>
  </TitlesOfParts>
  <Company>University of Cape Town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01404747</dc:creator>
  <cp:lastModifiedBy>Guy</cp:lastModifiedBy>
  <dcterms:created xsi:type="dcterms:W3CDTF">2012-11-23T10:26:25Z</dcterms:created>
  <dcterms:modified xsi:type="dcterms:W3CDTF">2017-02-01T18:57:50Z</dcterms:modified>
</cp:coreProperties>
</file>