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omments1.xml" ContentType="application/vnd.openxmlformats-officedocument.spreadsheetml.comments+xml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customProperty2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AGADURIA\INFORMES PAGADURIA\flujo de caja\FLUJO DE CAJA 2025\FLUJOCAJAMAYO2025\"/>
    </mc:Choice>
  </mc:AlternateContent>
  <bookViews>
    <workbookView xWindow="0" yWindow="0" windowWidth="19200" windowHeight="7005" tabRatio="901" firstSheet="6" activeTab="20"/>
  </bookViews>
  <sheets>
    <sheet name="May, 02" sheetId="1" r:id="rId1"/>
    <sheet name="May, 05" sheetId="2" r:id="rId2"/>
    <sheet name="May, 06" sheetId="3" r:id="rId3"/>
    <sheet name="May, 07" sheetId="4" r:id="rId4"/>
    <sheet name="May, 08" sheetId="5" r:id="rId5"/>
    <sheet name="May, 09" sheetId="6" r:id="rId6"/>
    <sheet name="May, 12" sheetId="7" r:id="rId7"/>
    <sheet name="May, 13" sheetId="8" r:id="rId8"/>
    <sheet name="May, 14" sheetId="9" r:id="rId9"/>
    <sheet name="May, 15" sheetId="10" r:id="rId10"/>
    <sheet name="May, 16" sheetId="11" r:id="rId11"/>
    <sheet name="May, 19" sheetId="12" r:id="rId12"/>
    <sheet name="May, 20" sheetId="13" r:id="rId13"/>
    <sheet name="May, 21" sheetId="14" r:id="rId14"/>
    <sheet name="May, 22" sheetId="15" r:id="rId15"/>
    <sheet name="May, 23" sheetId="16" r:id="rId16"/>
    <sheet name="May, 26" sheetId="17" r:id="rId17"/>
    <sheet name="May, 27" sheetId="18" r:id="rId18"/>
    <sheet name="May, 28" sheetId="19" r:id="rId19"/>
    <sheet name="May, 29" sheetId="20" r:id="rId20"/>
    <sheet name="May, 30" sheetId="21" r:id="rId21"/>
  </sheets>
  <externalReferences>
    <externalReference r:id="rId22"/>
    <externalReference r:id="rId23"/>
    <externalReference r:id="rId2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7" i="21" l="1"/>
  <c r="AL37" i="21" l="1"/>
  <c r="BU17" i="21" l="1"/>
  <c r="BU17" i="20"/>
  <c r="BS17" i="20"/>
  <c r="BU16" i="18"/>
  <c r="BS16" i="18"/>
  <c r="BU17" i="16"/>
  <c r="BU16" i="13"/>
  <c r="BU16" i="12"/>
  <c r="BU16" i="11"/>
  <c r="BU16" i="9"/>
  <c r="BU17" i="8"/>
  <c r="BS17" i="8"/>
  <c r="BU17" i="6"/>
  <c r="BU17" i="2"/>
  <c r="BS17" i="2"/>
  <c r="BT43" i="21"/>
  <c r="BU42" i="21"/>
  <c r="BS42" i="21"/>
  <c r="BR43" i="21"/>
  <c r="BX43" i="21"/>
  <c r="BV43" i="21"/>
  <c r="CJ9" i="12"/>
  <c r="CJ10" i="12"/>
  <c r="CJ9" i="11"/>
  <c r="CJ10" i="11"/>
  <c r="CJ9" i="10"/>
  <c r="CJ10" i="10"/>
  <c r="CJ9" i="9"/>
  <c r="CJ10" i="9"/>
  <c r="CJ9" i="8"/>
  <c r="CJ10" i="8"/>
  <c r="CJ9" i="7"/>
  <c r="CJ10" i="7"/>
  <c r="CJ9" i="6"/>
  <c r="CJ10" i="6"/>
  <c r="CJ9" i="5"/>
  <c r="CJ10" i="5"/>
  <c r="CJ9" i="4"/>
  <c r="CJ10" i="4"/>
  <c r="CJ9" i="3"/>
  <c r="CJ10" i="3"/>
  <c r="CJ9" i="2"/>
  <c r="CJ10" i="2"/>
  <c r="CJ9" i="1"/>
  <c r="CJ10" i="1"/>
  <c r="CF43" i="21"/>
  <c r="CS8" i="1"/>
  <c r="CU8" i="1"/>
  <c r="CH43" i="21"/>
  <c r="CK43" i="21"/>
  <c r="CL43" i="21"/>
  <c r="CM43" i="21"/>
  <c r="CP43" i="21"/>
  <c r="CT43" i="21"/>
  <c r="CV43" i="21"/>
  <c r="CA6" i="21"/>
  <c r="BZ6" i="21"/>
  <c r="BY6" i="21"/>
  <c r="CD43" i="21"/>
  <c r="CA11" i="21" l="1"/>
  <c r="BZ11" i="21"/>
  <c r="BY11" i="21"/>
  <c r="CR7" i="21"/>
  <c r="CQ7" i="21"/>
  <c r="CP7" i="21"/>
  <c r="CO7" i="21"/>
  <c r="CN7" i="21"/>
  <c r="CM7" i="21"/>
  <c r="CL7" i="21"/>
  <c r="CK7" i="21"/>
  <c r="CJ7" i="21"/>
  <c r="CI7" i="21"/>
  <c r="CH7" i="21"/>
  <c r="CG7" i="21"/>
  <c r="CF7" i="21"/>
  <c r="CE7" i="21"/>
  <c r="CD7" i="21"/>
  <c r="CC7" i="21"/>
  <c r="CB7" i="21"/>
  <c r="CA7" i="21"/>
  <c r="BZ7" i="21"/>
  <c r="BY7" i="21"/>
  <c r="BT7" i="21"/>
  <c r="BR7" i="21"/>
  <c r="AQ7" i="21"/>
  <c r="AP7" i="21"/>
  <c r="AO7" i="21"/>
  <c r="AN7" i="21"/>
  <c r="AM7" i="21"/>
  <c r="AL7" i="21"/>
  <c r="I7" i="21"/>
  <c r="CD6" i="21"/>
  <c r="CA11" i="20"/>
  <c r="BZ11" i="20"/>
  <c r="BY11" i="20"/>
  <c r="CR7" i="20"/>
  <c r="CQ7" i="20"/>
  <c r="CP7" i="20"/>
  <c r="CO7" i="20"/>
  <c r="CN7" i="20"/>
  <c r="CM7" i="20"/>
  <c r="CL7" i="20"/>
  <c r="CK7" i="20"/>
  <c r="CJ7" i="20"/>
  <c r="CI7" i="20"/>
  <c r="CH7" i="20"/>
  <c r="CG7" i="20"/>
  <c r="CF7" i="20"/>
  <c r="CE7" i="20"/>
  <c r="CD7" i="20"/>
  <c r="CC7" i="20"/>
  <c r="CB7" i="20"/>
  <c r="CA7" i="20"/>
  <c r="BZ7" i="20"/>
  <c r="BY7" i="20"/>
  <c r="BT7" i="20"/>
  <c r="BR7" i="20"/>
  <c r="AQ7" i="20"/>
  <c r="AP7" i="20"/>
  <c r="AO7" i="20"/>
  <c r="AN7" i="20"/>
  <c r="AM7" i="20"/>
  <c r="AL7" i="20"/>
  <c r="I7" i="20"/>
  <c r="CD6" i="20"/>
  <c r="CA11" i="19"/>
  <c r="BZ11" i="19"/>
  <c r="BY11" i="19"/>
  <c r="CR7" i="19"/>
  <c r="CQ7" i="19"/>
  <c r="CP7" i="19"/>
  <c r="CO7" i="19"/>
  <c r="CN7" i="19"/>
  <c r="CM7" i="19"/>
  <c r="CL7" i="19"/>
  <c r="CK7" i="19"/>
  <c r="CJ7" i="19"/>
  <c r="CI7" i="19"/>
  <c r="CH7" i="19"/>
  <c r="CG7" i="19"/>
  <c r="CF7" i="19"/>
  <c r="CE7" i="19"/>
  <c r="CD7" i="19"/>
  <c r="CC7" i="19"/>
  <c r="CB7" i="19"/>
  <c r="CA7" i="19"/>
  <c r="BZ7" i="19"/>
  <c r="BY7" i="19"/>
  <c r="BT7" i="19"/>
  <c r="BR7" i="19"/>
  <c r="AQ7" i="19"/>
  <c r="AP7" i="19"/>
  <c r="AO7" i="19"/>
  <c r="AN7" i="19"/>
  <c r="AM7" i="19"/>
  <c r="AL7" i="19"/>
  <c r="I7" i="19"/>
  <c r="CD6" i="19"/>
  <c r="CA11" i="18"/>
  <c r="BZ11" i="18"/>
  <c r="BY11" i="18"/>
  <c r="CR7" i="18"/>
  <c r="CQ7" i="18"/>
  <c r="CP7" i="18"/>
  <c r="CO7" i="18"/>
  <c r="CN7" i="18"/>
  <c r="CM7" i="18"/>
  <c r="CL7" i="18"/>
  <c r="CK7" i="18"/>
  <c r="CJ7" i="18"/>
  <c r="CI7" i="18"/>
  <c r="CH7" i="18"/>
  <c r="CG7" i="18"/>
  <c r="CF7" i="18"/>
  <c r="CE7" i="18"/>
  <c r="CD7" i="18"/>
  <c r="CC7" i="18"/>
  <c r="CB7" i="18"/>
  <c r="CA7" i="18"/>
  <c r="BZ7" i="18"/>
  <c r="BY7" i="18"/>
  <c r="BT7" i="18"/>
  <c r="BR7" i="18"/>
  <c r="AQ7" i="18"/>
  <c r="AP7" i="18"/>
  <c r="AO7" i="18"/>
  <c r="AN7" i="18"/>
  <c r="AM7" i="18"/>
  <c r="AL7" i="18"/>
  <c r="I7" i="18"/>
  <c r="CD6" i="18"/>
  <c r="CA11" i="17"/>
  <c r="BZ11" i="17"/>
  <c r="BY11" i="17"/>
  <c r="CR7" i="17"/>
  <c r="CQ7" i="17"/>
  <c r="CP7" i="17"/>
  <c r="CO7" i="17"/>
  <c r="CN7" i="17"/>
  <c r="CM7" i="17"/>
  <c r="CL7" i="17"/>
  <c r="CK7" i="17"/>
  <c r="CJ7" i="17"/>
  <c r="CI7" i="17"/>
  <c r="CH7" i="17"/>
  <c r="CG7" i="17"/>
  <c r="CF7" i="17"/>
  <c r="CE7" i="17"/>
  <c r="CD7" i="17"/>
  <c r="CC7" i="17"/>
  <c r="CB7" i="17"/>
  <c r="CA7" i="17"/>
  <c r="BZ7" i="17"/>
  <c r="BY7" i="17"/>
  <c r="BT7" i="17"/>
  <c r="BR7" i="17"/>
  <c r="AQ7" i="17"/>
  <c r="AP7" i="17"/>
  <c r="AO7" i="17"/>
  <c r="AN7" i="17"/>
  <c r="AM7" i="17"/>
  <c r="AL7" i="17"/>
  <c r="I7" i="17"/>
  <c r="CD6" i="17"/>
  <c r="CA11" i="16"/>
  <c r="BZ11" i="16"/>
  <c r="BY11" i="16"/>
  <c r="CW11" i="16" s="1"/>
  <c r="CR7" i="16"/>
  <c r="CQ7" i="16"/>
  <c r="CP7" i="16"/>
  <c r="CO7" i="16"/>
  <c r="CN7" i="16"/>
  <c r="CM7" i="16"/>
  <c r="CL7" i="16"/>
  <c r="CK7" i="16"/>
  <c r="CJ7" i="16"/>
  <c r="CI7" i="16"/>
  <c r="CH7" i="16"/>
  <c r="CG7" i="16"/>
  <c r="CF7" i="16"/>
  <c r="CE7" i="16"/>
  <c r="CD7" i="16"/>
  <c r="CC7" i="16"/>
  <c r="CB7" i="16"/>
  <c r="CA7" i="16"/>
  <c r="BZ7" i="16"/>
  <c r="BY7" i="16"/>
  <c r="BT7" i="16"/>
  <c r="BR7" i="16"/>
  <c r="AQ7" i="16"/>
  <c r="AP7" i="16"/>
  <c r="AO7" i="16"/>
  <c r="AN7" i="16"/>
  <c r="AM7" i="16"/>
  <c r="AL7" i="16"/>
  <c r="I7" i="16"/>
  <c r="CD6" i="16"/>
  <c r="CA11" i="15"/>
  <c r="BZ11" i="15"/>
  <c r="BY11" i="15"/>
  <c r="CR7" i="15"/>
  <c r="CQ7" i="15"/>
  <c r="CP7" i="15"/>
  <c r="CO7" i="15"/>
  <c r="CN7" i="15"/>
  <c r="CM7" i="15"/>
  <c r="CL7" i="15"/>
  <c r="CK7" i="15"/>
  <c r="CJ7" i="15"/>
  <c r="CI7" i="15"/>
  <c r="CH7" i="15"/>
  <c r="CG7" i="15"/>
  <c r="CF7" i="15"/>
  <c r="CE7" i="15"/>
  <c r="CD7" i="15"/>
  <c r="CC7" i="15"/>
  <c r="CB7" i="15"/>
  <c r="CA7" i="15"/>
  <c r="BZ7" i="15"/>
  <c r="BY7" i="15"/>
  <c r="BT7" i="15"/>
  <c r="BR7" i="15"/>
  <c r="AQ7" i="15"/>
  <c r="AP7" i="15"/>
  <c r="AO7" i="15"/>
  <c r="AN7" i="15"/>
  <c r="AM7" i="15"/>
  <c r="AL7" i="15"/>
  <c r="I7" i="15"/>
  <c r="CD6" i="15"/>
  <c r="CA11" i="14"/>
  <c r="CW11" i="14" s="1"/>
  <c r="BZ11" i="14"/>
  <c r="BY11" i="14"/>
  <c r="CR7" i="14"/>
  <c r="CQ7" i="14"/>
  <c r="CP7" i="14"/>
  <c r="CO7" i="14"/>
  <c r="CN7" i="14"/>
  <c r="CM7" i="14"/>
  <c r="CL7" i="14"/>
  <c r="CK7" i="14"/>
  <c r="CJ7" i="14"/>
  <c r="CI7" i="14"/>
  <c r="CH7" i="14"/>
  <c r="CG7" i="14"/>
  <c r="CF7" i="14"/>
  <c r="CE7" i="14"/>
  <c r="CD7" i="14"/>
  <c r="CC7" i="14"/>
  <c r="CB7" i="14"/>
  <c r="CA7" i="14"/>
  <c r="BZ7" i="14"/>
  <c r="BY7" i="14"/>
  <c r="BT7" i="14"/>
  <c r="BR7" i="14"/>
  <c r="AQ7" i="14"/>
  <c r="AP7" i="14"/>
  <c r="AO7" i="14"/>
  <c r="AN7" i="14"/>
  <c r="AM7" i="14"/>
  <c r="AL7" i="14"/>
  <c r="I7" i="14"/>
  <c r="CD6" i="14"/>
  <c r="CA11" i="13"/>
  <c r="BZ11" i="13"/>
  <c r="BY11" i="13"/>
  <c r="CR7" i="13"/>
  <c r="CQ7" i="13"/>
  <c r="CP7" i="13"/>
  <c r="CO7" i="13"/>
  <c r="CN7" i="13"/>
  <c r="CM7" i="13"/>
  <c r="CL7" i="13"/>
  <c r="CK7" i="13"/>
  <c r="CJ7" i="13"/>
  <c r="CI7" i="13"/>
  <c r="CH7" i="13"/>
  <c r="CG7" i="13"/>
  <c r="CF7" i="13"/>
  <c r="CE7" i="13"/>
  <c r="CD7" i="13"/>
  <c r="CC7" i="13"/>
  <c r="CB7" i="13"/>
  <c r="CA7" i="13"/>
  <c r="BZ7" i="13"/>
  <c r="BY7" i="13"/>
  <c r="BT7" i="13"/>
  <c r="BR7" i="13"/>
  <c r="AQ7" i="13"/>
  <c r="AP7" i="13"/>
  <c r="AO7" i="13"/>
  <c r="AN7" i="13"/>
  <c r="AM7" i="13"/>
  <c r="AL7" i="13"/>
  <c r="I7" i="13"/>
  <c r="CD6" i="13"/>
  <c r="CA11" i="12"/>
  <c r="BZ11" i="12"/>
  <c r="BY11" i="12"/>
  <c r="CR7" i="12"/>
  <c r="CQ7" i="12"/>
  <c r="CP7" i="12"/>
  <c r="CO7" i="12"/>
  <c r="CN7" i="12"/>
  <c r="CM7" i="12"/>
  <c r="CL7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T7" i="12"/>
  <c r="BR7" i="12"/>
  <c r="AQ7" i="12"/>
  <c r="AP7" i="12"/>
  <c r="AO7" i="12"/>
  <c r="AN7" i="12"/>
  <c r="AM7" i="12"/>
  <c r="AL7" i="12"/>
  <c r="I7" i="12"/>
  <c r="CD6" i="12"/>
  <c r="CA11" i="11"/>
  <c r="BZ11" i="11"/>
  <c r="BY11" i="11"/>
  <c r="CR7" i="11"/>
  <c r="CQ7" i="11"/>
  <c r="CP7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T7" i="11"/>
  <c r="BR7" i="11"/>
  <c r="AQ7" i="11"/>
  <c r="AP7" i="11"/>
  <c r="AO7" i="11"/>
  <c r="AN7" i="11"/>
  <c r="AM7" i="11"/>
  <c r="AL7" i="11"/>
  <c r="I7" i="11"/>
  <c r="CD6" i="11"/>
  <c r="CA11" i="10"/>
  <c r="BZ11" i="10"/>
  <c r="BY11" i="10"/>
  <c r="CR7" i="10"/>
  <c r="CQ7" i="10"/>
  <c r="CP7" i="10"/>
  <c r="CO7" i="10"/>
  <c r="CN7" i="10"/>
  <c r="CM7" i="10"/>
  <c r="CL7" i="10"/>
  <c r="CK7" i="10"/>
  <c r="CJ7" i="10"/>
  <c r="CI7" i="10"/>
  <c r="CH7" i="10"/>
  <c r="CG7" i="10"/>
  <c r="CF7" i="10"/>
  <c r="CE7" i="10"/>
  <c r="CD7" i="10"/>
  <c r="CC7" i="10"/>
  <c r="CB7" i="10"/>
  <c r="CA7" i="10"/>
  <c r="BZ7" i="10"/>
  <c r="BY7" i="10"/>
  <c r="BT7" i="10"/>
  <c r="BR7" i="10"/>
  <c r="AQ7" i="10"/>
  <c r="AP7" i="10"/>
  <c r="AO7" i="10"/>
  <c r="AN7" i="10"/>
  <c r="AM7" i="10"/>
  <c r="AL7" i="10"/>
  <c r="I7" i="10"/>
  <c r="CD6" i="10"/>
  <c r="CA11" i="9"/>
  <c r="BZ11" i="9"/>
  <c r="BY11" i="9"/>
  <c r="CR7" i="9"/>
  <c r="CQ7" i="9"/>
  <c r="CP7" i="9"/>
  <c r="CO7" i="9"/>
  <c r="CN7" i="9"/>
  <c r="CM7" i="9"/>
  <c r="CL7" i="9"/>
  <c r="CK7" i="9"/>
  <c r="CJ7" i="9"/>
  <c r="CI7" i="9"/>
  <c r="CH7" i="9"/>
  <c r="CG7" i="9"/>
  <c r="CF7" i="9"/>
  <c r="CE7" i="9"/>
  <c r="CD7" i="9"/>
  <c r="CC7" i="9"/>
  <c r="CB7" i="9"/>
  <c r="CA7" i="9"/>
  <c r="BZ7" i="9"/>
  <c r="BY7" i="9"/>
  <c r="BT7" i="9"/>
  <c r="BR7" i="9"/>
  <c r="AQ7" i="9"/>
  <c r="AP7" i="9"/>
  <c r="AO7" i="9"/>
  <c r="AN7" i="9"/>
  <c r="AM7" i="9"/>
  <c r="AL7" i="9"/>
  <c r="I7" i="9"/>
  <c r="CD6" i="9"/>
  <c r="CA11" i="8"/>
  <c r="BZ11" i="8"/>
  <c r="BY11" i="8"/>
  <c r="CW11" i="8" s="1"/>
  <c r="CR7" i="8"/>
  <c r="CQ7" i="8"/>
  <c r="CP7" i="8"/>
  <c r="CO7" i="8"/>
  <c r="CN7" i="8"/>
  <c r="CM7" i="8"/>
  <c r="CL7" i="8"/>
  <c r="CK7" i="8"/>
  <c r="CJ7" i="8"/>
  <c r="CI7" i="8"/>
  <c r="CH7" i="8"/>
  <c r="CG7" i="8"/>
  <c r="CF7" i="8"/>
  <c r="CE7" i="8"/>
  <c r="CD7" i="8"/>
  <c r="CC7" i="8"/>
  <c r="CB7" i="8"/>
  <c r="CA7" i="8"/>
  <c r="BZ7" i="8"/>
  <c r="BY7" i="8"/>
  <c r="BT7" i="8"/>
  <c r="BR7" i="8"/>
  <c r="AQ7" i="8"/>
  <c r="AP7" i="8"/>
  <c r="AO7" i="8"/>
  <c r="AN7" i="8"/>
  <c r="AM7" i="8"/>
  <c r="AL7" i="8"/>
  <c r="I7" i="8"/>
  <c r="CD6" i="8"/>
  <c r="CA11" i="7"/>
  <c r="BZ11" i="7"/>
  <c r="BY11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T7" i="7"/>
  <c r="BR7" i="7"/>
  <c r="AQ7" i="7"/>
  <c r="AP7" i="7"/>
  <c r="AO7" i="7"/>
  <c r="AN7" i="7"/>
  <c r="AM7" i="7"/>
  <c r="AL7" i="7"/>
  <c r="I7" i="7"/>
  <c r="CD6" i="7"/>
  <c r="CA11" i="6"/>
  <c r="CW11" i="6" s="1"/>
  <c r="BZ11" i="6"/>
  <c r="BY11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T7" i="6"/>
  <c r="BR7" i="6"/>
  <c r="AQ7" i="6"/>
  <c r="AP7" i="6"/>
  <c r="AO7" i="6"/>
  <c r="AN7" i="6"/>
  <c r="AM7" i="6"/>
  <c r="AL7" i="6"/>
  <c r="I7" i="6"/>
  <c r="CD6" i="6"/>
  <c r="CA11" i="5"/>
  <c r="BZ11" i="5"/>
  <c r="BY11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T7" i="5"/>
  <c r="BR7" i="5"/>
  <c r="AQ7" i="5"/>
  <c r="AP7" i="5"/>
  <c r="AO7" i="5"/>
  <c r="AN7" i="5"/>
  <c r="AM7" i="5"/>
  <c r="AL7" i="5"/>
  <c r="I7" i="5"/>
  <c r="CD6" i="5"/>
  <c r="CA11" i="4"/>
  <c r="BZ11" i="4"/>
  <c r="BY11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T7" i="4"/>
  <c r="BR7" i="4"/>
  <c r="AQ7" i="4"/>
  <c r="AP7" i="4"/>
  <c r="AO7" i="4"/>
  <c r="AN7" i="4"/>
  <c r="AM7" i="4"/>
  <c r="AL7" i="4"/>
  <c r="I7" i="4"/>
  <c r="CD6" i="4"/>
  <c r="CA11" i="3"/>
  <c r="BZ11" i="3"/>
  <c r="BY11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T7" i="3"/>
  <c r="BR7" i="3"/>
  <c r="AQ7" i="3"/>
  <c r="AP7" i="3"/>
  <c r="AO7" i="3"/>
  <c r="AN7" i="3"/>
  <c r="AM7" i="3"/>
  <c r="AL7" i="3"/>
  <c r="I7" i="3"/>
  <c r="CD6" i="3"/>
  <c r="CA11" i="2"/>
  <c r="BZ11" i="2"/>
  <c r="BY11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T7" i="2"/>
  <c r="BR7" i="2"/>
  <c r="AQ7" i="2"/>
  <c r="AP7" i="2"/>
  <c r="AO7" i="2"/>
  <c r="AN7" i="2"/>
  <c r="AM7" i="2"/>
  <c r="AL7" i="2"/>
  <c r="I7" i="2"/>
  <c r="CD6" i="2"/>
  <c r="CW39" i="21"/>
  <c r="CV37" i="21"/>
  <c r="CU37" i="21"/>
  <c r="CT37" i="21"/>
  <c r="CS37" i="21"/>
  <c r="CR37" i="21"/>
  <c r="CQ37" i="21"/>
  <c r="CP37" i="21"/>
  <c r="CO37" i="21"/>
  <c r="CN37" i="21"/>
  <c r="CM37" i="21"/>
  <c r="CL37" i="21"/>
  <c r="CK37" i="21"/>
  <c r="CH37" i="21"/>
  <c r="CD37" i="21"/>
  <c r="CC37" i="21"/>
  <c r="CB37" i="21"/>
  <c r="BX37" i="21"/>
  <c r="BW37" i="21"/>
  <c r="BV37" i="21"/>
  <c r="BU37" i="21"/>
  <c r="BT37" i="21"/>
  <c r="BS37" i="21"/>
  <c r="BR37" i="21"/>
  <c r="BQ37" i="21"/>
  <c r="BP37" i="21"/>
  <c r="BO37" i="21"/>
  <c r="BN37" i="21"/>
  <c r="BM37" i="21"/>
  <c r="BL37" i="21"/>
  <c r="BK37" i="21"/>
  <c r="BJ37" i="21"/>
  <c r="BI37" i="21"/>
  <c r="BH37" i="21"/>
  <c r="BG37" i="21"/>
  <c r="BF37" i="21"/>
  <c r="BE37" i="21"/>
  <c r="BD37" i="21"/>
  <c r="BC37" i="21"/>
  <c r="BB37" i="21"/>
  <c r="BA37" i="21"/>
  <c r="AZ37" i="21"/>
  <c r="AY37" i="21"/>
  <c r="AX37" i="21"/>
  <c r="AW37" i="21"/>
  <c r="AV37" i="21"/>
  <c r="AU37" i="21"/>
  <c r="AT37" i="21"/>
  <c r="AS37" i="21"/>
  <c r="AR37" i="21"/>
  <c r="AQ37" i="21"/>
  <c r="AP37" i="21"/>
  <c r="AO37" i="21"/>
  <c r="AN37" i="21"/>
  <c r="AK37" i="21"/>
  <c r="AJ37" i="21"/>
  <c r="AI37" i="21"/>
  <c r="AH37" i="21"/>
  <c r="AG37" i="21"/>
  <c r="AF37" i="21"/>
  <c r="AE37" i="21"/>
  <c r="AD37" i="21"/>
  <c r="AC37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CW36" i="21"/>
  <c r="CW35" i="21"/>
  <c r="CW34" i="21"/>
  <c r="CW33" i="21"/>
  <c r="CW32" i="21"/>
  <c r="CW31" i="21"/>
  <c r="CW30" i="21"/>
  <c r="CW29" i="21"/>
  <c r="CW28" i="21"/>
  <c r="CW27" i="21"/>
  <c r="CW26" i="21"/>
  <c r="CW25" i="21"/>
  <c r="CW24" i="21"/>
  <c r="CW23" i="21"/>
  <c r="CW22" i="21"/>
  <c r="CW21" i="21"/>
  <c r="CW20" i="21"/>
  <c r="CW19" i="21"/>
  <c r="CW18" i="21"/>
  <c r="CW17" i="21"/>
  <c r="CW16" i="21"/>
  <c r="CW15" i="21"/>
  <c r="CW14" i="21"/>
  <c r="CW13" i="21"/>
  <c r="CW12" i="21"/>
  <c r="CW11" i="21"/>
  <c r="BU5" i="21"/>
  <c r="CW39" i="20"/>
  <c r="CV37" i="20"/>
  <c r="CU37" i="20"/>
  <c r="CT37" i="20"/>
  <c r="CS37" i="20"/>
  <c r="CR37" i="20"/>
  <c r="CQ37" i="20"/>
  <c r="CP37" i="20"/>
  <c r="CO37" i="20"/>
  <c r="CN37" i="20"/>
  <c r="CM37" i="20"/>
  <c r="CL37" i="20"/>
  <c r="CK37" i="20"/>
  <c r="CH37" i="20"/>
  <c r="CD37" i="20"/>
  <c r="CC37" i="20"/>
  <c r="CB37" i="20"/>
  <c r="BX37" i="20"/>
  <c r="BW37" i="20"/>
  <c r="BV37" i="20"/>
  <c r="BU37" i="20"/>
  <c r="BT37" i="20"/>
  <c r="BS37" i="20"/>
  <c r="BR37" i="20"/>
  <c r="BQ37" i="20"/>
  <c r="BP37" i="20"/>
  <c r="BO37" i="20"/>
  <c r="BN37" i="20"/>
  <c r="BM37" i="20"/>
  <c r="BL37" i="20"/>
  <c r="BK37" i="20"/>
  <c r="BJ37" i="20"/>
  <c r="BI37" i="20"/>
  <c r="BH37" i="20"/>
  <c r="BG37" i="20"/>
  <c r="BF37" i="20"/>
  <c r="BE37" i="20"/>
  <c r="BD37" i="20"/>
  <c r="BC37" i="20"/>
  <c r="BB37" i="20"/>
  <c r="BA37" i="20"/>
  <c r="AZ37" i="20"/>
  <c r="AY37" i="20"/>
  <c r="AX37" i="20"/>
  <c r="AW37" i="20"/>
  <c r="AV37" i="20"/>
  <c r="AU37" i="20"/>
  <c r="AT37" i="20"/>
  <c r="AS37" i="20"/>
  <c r="AR37" i="20"/>
  <c r="AQ37" i="20"/>
  <c r="AP37" i="20"/>
  <c r="AO37" i="20"/>
  <c r="AN37" i="20"/>
  <c r="AM37" i="20"/>
  <c r="AL37" i="20"/>
  <c r="AK37" i="20"/>
  <c r="AJ37" i="20"/>
  <c r="AI37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CW36" i="20"/>
  <c r="CW35" i="20"/>
  <c r="CW34" i="20"/>
  <c r="CW33" i="20"/>
  <c r="CW32" i="20"/>
  <c r="CW31" i="20"/>
  <c r="CW30" i="20"/>
  <c r="CW29" i="20"/>
  <c r="CW28" i="20"/>
  <c r="CW27" i="20"/>
  <c r="CW26" i="20"/>
  <c r="CW25" i="20"/>
  <c r="CW24" i="20"/>
  <c r="CW23" i="20"/>
  <c r="CW22" i="20"/>
  <c r="CW21" i="20"/>
  <c r="CW20" i="20"/>
  <c r="CW19" i="20"/>
  <c r="CW18" i="20"/>
  <c r="CW17" i="20"/>
  <c r="CW16" i="20"/>
  <c r="CW15" i="20"/>
  <c r="CW14" i="20"/>
  <c r="CW13" i="20"/>
  <c r="CW12" i="20"/>
  <c r="CW11" i="20"/>
  <c r="BU5" i="20"/>
  <c r="CW39" i="19"/>
  <c r="CV37" i="19"/>
  <c r="CU37" i="19"/>
  <c r="CT37" i="19"/>
  <c r="CS37" i="19"/>
  <c r="CR37" i="19"/>
  <c r="CQ37" i="19"/>
  <c r="CP37" i="19"/>
  <c r="CO37" i="19"/>
  <c r="CN37" i="19"/>
  <c r="CM37" i="19"/>
  <c r="CL37" i="19"/>
  <c r="CK37" i="19"/>
  <c r="CH37" i="19"/>
  <c r="CD37" i="19"/>
  <c r="CC37" i="19"/>
  <c r="CB37" i="19"/>
  <c r="BX37" i="19"/>
  <c r="BW37" i="19"/>
  <c r="BV37" i="19"/>
  <c r="BU37" i="19"/>
  <c r="BT37" i="19"/>
  <c r="BS37" i="19"/>
  <c r="BR37" i="19"/>
  <c r="BQ37" i="19"/>
  <c r="BP37" i="19"/>
  <c r="BO37" i="19"/>
  <c r="BN37" i="19"/>
  <c r="BM37" i="19"/>
  <c r="BL37" i="19"/>
  <c r="BK37" i="19"/>
  <c r="BJ37" i="19"/>
  <c r="BI37" i="19"/>
  <c r="BH37" i="19"/>
  <c r="BG37" i="19"/>
  <c r="BF37" i="19"/>
  <c r="BE37" i="19"/>
  <c r="BD37" i="19"/>
  <c r="BC37" i="19"/>
  <c r="BB37" i="19"/>
  <c r="BA37" i="19"/>
  <c r="AZ37" i="19"/>
  <c r="AY37" i="19"/>
  <c r="AX37" i="19"/>
  <c r="AW37" i="19"/>
  <c r="AV37" i="19"/>
  <c r="AU37" i="19"/>
  <c r="AT37" i="19"/>
  <c r="AS37" i="19"/>
  <c r="AR37" i="19"/>
  <c r="AQ37" i="19"/>
  <c r="AP37" i="19"/>
  <c r="AO37" i="19"/>
  <c r="AN37" i="19"/>
  <c r="AM37" i="19"/>
  <c r="AL37" i="19"/>
  <c r="AK37" i="19"/>
  <c r="AJ37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CW36" i="19"/>
  <c r="CW35" i="19"/>
  <c r="CW34" i="19"/>
  <c r="CW33" i="19"/>
  <c r="CW32" i="19"/>
  <c r="CW31" i="19"/>
  <c r="CW30" i="19"/>
  <c r="CW29" i="19"/>
  <c r="CW28" i="19"/>
  <c r="CW27" i="19"/>
  <c r="CW26" i="19"/>
  <c r="CW25" i="19"/>
  <c r="CW24" i="19"/>
  <c r="CW23" i="19"/>
  <c r="CW22" i="19"/>
  <c r="CW21" i="19"/>
  <c r="CW20" i="19"/>
  <c r="CW19" i="19"/>
  <c r="CW18" i="19"/>
  <c r="CW17" i="19"/>
  <c r="CW16" i="19"/>
  <c r="CW15" i="19"/>
  <c r="CW14" i="19"/>
  <c r="CW13" i="19"/>
  <c r="CW12" i="19"/>
  <c r="CW11" i="19"/>
  <c r="BU5" i="19"/>
  <c r="CW39" i="18"/>
  <c r="CV37" i="18"/>
  <c r="CU37" i="18"/>
  <c r="CT37" i="18"/>
  <c r="CS37" i="18"/>
  <c r="CR37" i="18"/>
  <c r="CQ37" i="18"/>
  <c r="CP37" i="18"/>
  <c r="CO37" i="18"/>
  <c r="CN37" i="18"/>
  <c r="CM37" i="18"/>
  <c r="CL37" i="18"/>
  <c r="CK37" i="18"/>
  <c r="CH37" i="18"/>
  <c r="CD37" i="18"/>
  <c r="CC37" i="18"/>
  <c r="CB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BK37" i="18"/>
  <c r="BJ37" i="18"/>
  <c r="BI37" i="18"/>
  <c r="BH37" i="18"/>
  <c r="BG37" i="18"/>
  <c r="BF37" i="18"/>
  <c r="BE37" i="18"/>
  <c r="BD37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CW36" i="18"/>
  <c r="CW35" i="18"/>
  <c r="CW34" i="18"/>
  <c r="CW33" i="18"/>
  <c r="CW32" i="18"/>
  <c r="CW31" i="18"/>
  <c r="CW30" i="18"/>
  <c r="CW29" i="18"/>
  <c r="CW28" i="18"/>
  <c r="CW27" i="18"/>
  <c r="CW26" i="18"/>
  <c r="CW25" i="18"/>
  <c r="CW24" i="18"/>
  <c r="CW23" i="18"/>
  <c r="CW22" i="18"/>
  <c r="CW21" i="18"/>
  <c r="CW20" i="18"/>
  <c r="CW19" i="18"/>
  <c r="CW18" i="18"/>
  <c r="CW17" i="18"/>
  <c r="CW16" i="18"/>
  <c r="CW15" i="18"/>
  <c r="CW14" i="18"/>
  <c r="CW13" i="18"/>
  <c r="CW12" i="18"/>
  <c r="CW11" i="18"/>
  <c r="BU5" i="18"/>
  <c r="CW39" i="17"/>
  <c r="CV37" i="17"/>
  <c r="CU37" i="17"/>
  <c r="CT37" i="17"/>
  <c r="CS37" i="17"/>
  <c r="CR37" i="17"/>
  <c r="CQ37" i="17"/>
  <c r="CP37" i="17"/>
  <c r="CO37" i="17"/>
  <c r="CN37" i="17"/>
  <c r="CM37" i="17"/>
  <c r="CL37" i="17"/>
  <c r="CK37" i="17"/>
  <c r="CH37" i="17"/>
  <c r="CD37" i="17"/>
  <c r="CC37" i="17"/>
  <c r="CB37" i="17"/>
  <c r="BX37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BK37" i="17"/>
  <c r="BJ37" i="17"/>
  <c r="BI37" i="17"/>
  <c r="BH37" i="17"/>
  <c r="BG37" i="17"/>
  <c r="BF37" i="17"/>
  <c r="BE37" i="17"/>
  <c r="BD37" i="17"/>
  <c r="BC37" i="17"/>
  <c r="BB37" i="17"/>
  <c r="BA37" i="17"/>
  <c r="AZ37" i="17"/>
  <c r="AY37" i="17"/>
  <c r="AX37" i="17"/>
  <c r="AW37" i="17"/>
  <c r="AV37" i="17"/>
  <c r="AU37" i="17"/>
  <c r="AT37" i="17"/>
  <c r="AS37" i="17"/>
  <c r="AR37" i="17"/>
  <c r="AQ37" i="17"/>
  <c r="AP37" i="17"/>
  <c r="AO37" i="17"/>
  <c r="AN37" i="17"/>
  <c r="AM37" i="17"/>
  <c r="AL37" i="17"/>
  <c r="AK37" i="17"/>
  <c r="AJ37" i="17"/>
  <c r="AI37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CW36" i="17"/>
  <c r="CW35" i="17"/>
  <c r="CW34" i="17"/>
  <c r="CW33" i="17"/>
  <c r="CW32" i="17"/>
  <c r="CW31" i="17"/>
  <c r="CW30" i="17"/>
  <c r="CW29" i="17"/>
  <c r="CW28" i="17"/>
  <c r="CW27" i="17"/>
  <c r="CW26" i="17"/>
  <c r="CW25" i="17"/>
  <c r="CW24" i="17"/>
  <c r="CW23" i="17"/>
  <c r="CW22" i="17"/>
  <c r="CW21" i="17"/>
  <c r="CW20" i="17"/>
  <c r="CW19" i="17"/>
  <c r="CW18" i="17"/>
  <c r="CW17" i="17"/>
  <c r="CW16" i="17"/>
  <c r="CW15" i="17"/>
  <c r="CW14" i="17"/>
  <c r="CW13" i="17"/>
  <c r="CW12" i="17"/>
  <c r="CW11" i="17"/>
  <c r="BU5" i="17"/>
  <c r="CW39" i="16"/>
  <c r="CV37" i="16"/>
  <c r="CU37" i="16"/>
  <c r="CT37" i="16"/>
  <c r="CS37" i="16"/>
  <c r="CR37" i="16"/>
  <c r="CQ37" i="16"/>
  <c r="CP37" i="16"/>
  <c r="CO37" i="16"/>
  <c r="CN37" i="16"/>
  <c r="CM37" i="16"/>
  <c r="CL37" i="16"/>
  <c r="CK37" i="16"/>
  <c r="CH37" i="16"/>
  <c r="CD37" i="16"/>
  <c r="CC37" i="16"/>
  <c r="CB37" i="16"/>
  <c r="BX37" i="16"/>
  <c r="BW37" i="16"/>
  <c r="BV37" i="16"/>
  <c r="BU37" i="16"/>
  <c r="BT37" i="16"/>
  <c r="BS37" i="16"/>
  <c r="BR37" i="16"/>
  <c r="BQ37" i="16"/>
  <c r="BP37" i="16"/>
  <c r="BO37" i="16"/>
  <c r="BN37" i="16"/>
  <c r="BM37" i="16"/>
  <c r="BL37" i="16"/>
  <c r="BK37" i="16"/>
  <c r="BJ37" i="16"/>
  <c r="BI37" i="16"/>
  <c r="BH37" i="16"/>
  <c r="BG37" i="16"/>
  <c r="BF37" i="16"/>
  <c r="BE37" i="16"/>
  <c r="BD37" i="16"/>
  <c r="BC37" i="16"/>
  <c r="BB37" i="16"/>
  <c r="BA37" i="16"/>
  <c r="AZ37" i="16"/>
  <c r="AY37" i="16"/>
  <c r="AX37" i="16"/>
  <c r="AW37" i="16"/>
  <c r="AV37" i="16"/>
  <c r="AU37" i="16"/>
  <c r="AT37" i="16"/>
  <c r="AS37" i="16"/>
  <c r="AR37" i="16"/>
  <c r="AQ37" i="16"/>
  <c r="AP37" i="16"/>
  <c r="AO37" i="16"/>
  <c r="AN37" i="16"/>
  <c r="AM37" i="16"/>
  <c r="AL37" i="16"/>
  <c r="AK37" i="16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CW36" i="16"/>
  <c r="CW35" i="16"/>
  <c r="CW34" i="16"/>
  <c r="CW33" i="16"/>
  <c r="CW32" i="16"/>
  <c r="CW31" i="16"/>
  <c r="CW30" i="16"/>
  <c r="CW29" i="16"/>
  <c r="CW28" i="16"/>
  <c r="CW27" i="16"/>
  <c r="CW26" i="16"/>
  <c r="CW25" i="16"/>
  <c r="CW24" i="16"/>
  <c r="CW23" i="16"/>
  <c r="CW22" i="16"/>
  <c r="CW21" i="16"/>
  <c r="CW20" i="16"/>
  <c r="CW19" i="16"/>
  <c r="CW18" i="16"/>
  <c r="CW17" i="16"/>
  <c r="CW16" i="16"/>
  <c r="CW15" i="16"/>
  <c r="CW14" i="16"/>
  <c r="CW13" i="16"/>
  <c r="CW12" i="16"/>
  <c r="BU5" i="16"/>
  <c r="CW39" i="15"/>
  <c r="CV37" i="15"/>
  <c r="CU37" i="15"/>
  <c r="CT37" i="15"/>
  <c r="CS37" i="15"/>
  <c r="CR37" i="15"/>
  <c r="CQ37" i="15"/>
  <c r="CP37" i="15"/>
  <c r="CO37" i="15"/>
  <c r="CN37" i="15"/>
  <c r="CM37" i="15"/>
  <c r="CL37" i="15"/>
  <c r="CK37" i="15"/>
  <c r="CH37" i="15"/>
  <c r="CD37" i="15"/>
  <c r="CC37" i="15"/>
  <c r="CB37" i="15"/>
  <c r="BX37" i="15"/>
  <c r="BW37" i="15"/>
  <c r="BV37" i="15"/>
  <c r="BU37" i="15"/>
  <c r="BT37" i="15"/>
  <c r="BS37" i="15"/>
  <c r="BR37" i="15"/>
  <c r="BQ37" i="15"/>
  <c r="BP37" i="15"/>
  <c r="BO37" i="15"/>
  <c r="BN37" i="15"/>
  <c r="BM37" i="15"/>
  <c r="BL37" i="15"/>
  <c r="BK37" i="15"/>
  <c r="BJ37" i="15"/>
  <c r="BI37" i="15"/>
  <c r="BH37" i="15"/>
  <c r="BG37" i="15"/>
  <c r="BF37" i="15"/>
  <c r="BE37" i="15"/>
  <c r="BD37" i="15"/>
  <c r="BC37" i="15"/>
  <c r="BB37" i="15"/>
  <c r="BA37" i="15"/>
  <c r="AZ37" i="15"/>
  <c r="AY37" i="15"/>
  <c r="AX37" i="15"/>
  <c r="AW37" i="15"/>
  <c r="AV37" i="15"/>
  <c r="AU37" i="15"/>
  <c r="AT37" i="15"/>
  <c r="AS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CW36" i="15"/>
  <c r="CW35" i="15"/>
  <c r="CW34" i="15"/>
  <c r="CW33" i="15"/>
  <c r="CW32" i="15"/>
  <c r="CW31" i="15"/>
  <c r="CW30" i="15"/>
  <c r="CW29" i="15"/>
  <c r="CW28" i="15"/>
  <c r="CW27" i="15"/>
  <c r="CW26" i="15"/>
  <c r="CW25" i="15"/>
  <c r="CW24" i="15"/>
  <c r="CW23" i="15"/>
  <c r="CW22" i="15"/>
  <c r="CW21" i="15"/>
  <c r="CW20" i="15"/>
  <c r="CW19" i="15"/>
  <c r="CW18" i="15"/>
  <c r="CW17" i="15"/>
  <c r="CW16" i="15"/>
  <c r="CW15" i="15"/>
  <c r="CW14" i="15"/>
  <c r="CW13" i="15"/>
  <c r="CW12" i="15"/>
  <c r="CW11" i="15"/>
  <c r="BU5" i="15"/>
  <c r="CW39" i="14"/>
  <c r="CV37" i="14"/>
  <c r="CU37" i="14"/>
  <c r="CT37" i="14"/>
  <c r="CS37" i="14"/>
  <c r="CR37" i="14"/>
  <c r="CQ37" i="14"/>
  <c r="CP37" i="14"/>
  <c r="CO37" i="14"/>
  <c r="CN37" i="14"/>
  <c r="CM37" i="14"/>
  <c r="CL37" i="14"/>
  <c r="CK37" i="14"/>
  <c r="CH37" i="14"/>
  <c r="CD37" i="14"/>
  <c r="CC37" i="14"/>
  <c r="CB37" i="14"/>
  <c r="BX37" i="14"/>
  <c r="BW37" i="14"/>
  <c r="BV37" i="14"/>
  <c r="BU37" i="14"/>
  <c r="BT37" i="14"/>
  <c r="BS37" i="14"/>
  <c r="BR37" i="14"/>
  <c r="BQ37" i="14"/>
  <c r="BP37" i="14"/>
  <c r="BO37" i="14"/>
  <c r="BN37" i="14"/>
  <c r="BM37" i="14"/>
  <c r="BL37" i="14"/>
  <c r="BK37" i="14"/>
  <c r="BJ37" i="14"/>
  <c r="BI37" i="14"/>
  <c r="BH37" i="14"/>
  <c r="BG37" i="14"/>
  <c r="BF37" i="14"/>
  <c r="BE37" i="14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CW36" i="14"/>
  <c r="CW35" i="14"/>
  <c r="CW34" i="14"/>
  <c r="CW33" i="14"/>
  <c r="CW32" i="14"/>
  <c r="CW31" i="14"/>
  <c r="CW30" i="14"/>
  <c r="CW29" i="14"/>
  <c r="CW28" i="14"/>
  <c r="CW27" i="14"/>
  <c r="CW26" i="14"/>
  <c r="CW25" i="14"/>
  <c r="CW24" i="14"/>
  <c r="CW23" i="14"/>
  <c r="CW22" i="14"/>
  <c r="CW21" i="14"/>
  <c r="CW20" i="14"/>
  <c r="CW19" i="14"/>
  <c r="CW18" i="14"/>
  <c r="CW17" i="14"/>
  <c r="CW16" i="14"/>
  <c r="CW15" i="14"/>
  <c r="CW14" i="14"/>
  <c r="CW13" i="14"/>
  <c r="CW12" i="14"/>
  <c r="BU5" i="14"/>
  <c r="CW39" i="13"/>
  <c r="CV37" i="13"/>
  <c r="CU37" i="13"/>
  <c r="CT37" i="13"/>
  <c r="CS37" i="13"/>
  <c r="CR37" i="13"/>
  <c r="CQ37" i="13"/>
  <c r="CP37" i="13"/>
  <c r="CO37" i="13"/>
  <c r="CN37" i="13"/>
  <c r="CM37" i="13"/>
  <c r="CL37" i="13"/>
  <c r="CK37" i="13"/>
  <c r="CH37" i="13"/>
  <c r="CD37" i="13"/>
  <c r="CC37" i="13"/>
  <c r="CB37" i="13"/>
  <c r="BX37" i="13"/>
  <c r="BW37" i="13"/>
  <c r="BV37" i="13"/>
  <c r="BU37" i="13"/>
  <c r="BT37" i="13"/>
  <c r="BS37" i="13"/>
  <c r="BR37" i="13"/>
  <c r="BQ37" i="13"/>
  <c r="BP37" i="13"/>
  <c r="BO37" i="13"/>
  <c r="BN37" i="13"/>
  <c r="BM37" i="13"/>
  <c r="BL37" i="13"/>
  <c r="BK37" i="13"/>
  <c r="BJ37" i="13"/>
  <c r="BI37" i="13"/>
  <c r="BH37" i="13"/>
  <c r="BG37" i="13"/>
  <c r="BF37" i="13"/>
  <c r="BE37" i="13"/>
  <c r="BD37" i="13"/>
  <c r="BC37" i="13"/>
  <c r="BB37" i="13"/>
  <c r="BA37" i="13"/>
  <c r="AZ37" i="13"/>
  <c r="AY37" i="13"/>
  <c r="AX37" i="13"/>
  <c r="AW37" i="13"/>
  <c r="AV37" i="13"/>
  <c r="AU37" i="13"/>
  <c r="AT37" i="13"/>
  <c r="AS37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CW36" i="13"/>
  <c r="CW35" i="13"/>
  <c r="CW34" i="13"/>
  <c r="CW33" i="13"/>
  <c r="CW32" i="13"/>
  <c r="CW31" i="13"/>
  <c r="CW30" i="13"/>
  <c r="CW29" i="13"/>
  <c r="CW28" i="13"/>
  <c r="CW27" i="13"/>
  <c r="CW26" i="13"/>
  <c r="CW25" i="13"/>
  <c r="CW24" i="13"/>
  <c r="CW23" i="13"/>
  <c r="CW22" i="13"/>
  <c r="CW21" i="13"/>
  <c r="CW20" i="13"/>
  <c r="CW19" i="13"/>
  <c r="CW18" i="13"/>
  <c r="CW17" i="13"/>
  <c r="CW16" i="13"/>
  <c r="CW15" i="13"/>
  <c r="CW14" i="13"/>
  <c r="CW13" i="13"/>
  <c r="CW12" i="13"/>
  <c r="CW11" i="13"/>
  <c r="BU5" i="13"/>
  <c r="CW39" i="12"/>
  <c r="CV37" i="12"/>
  <c r="CU37" i="12"/>
  <c r="CT37" i="12"/>
  <c r="CS37" i="12"/>
  <c r="CR37" i="12"/>
  <c r="CQ37" i="12"/>
  <c r="CP37" i="12"/>
  <c r="CO37" i="12"/>
  <c r="CN37" i="12"/>
  <c r="CM37" i="12"/>
  <c r="CL37" i="12"/>
  <c r="CK37" i="12"/>
  <c r="CJ37" i="12"/>
  <c r="CH37" i="12"/>
  <c r="CD37" i="12"/>
  <c r="CC37" i="12"/>
  <c r="CB37" i="12"/>
  <c r="BX37" i="12"/>
  <c r="BW37" i="12"/>
  <c r="BV37" i="12"/>
  <c r="BU37" i="12"/>
  <c r="BT37" i="12"/>
  <c r="BS37" i="12"/>
  <c r="BR37" i="12"/>
  <c r="BQ37" i="12"/>
  <c r="BP37" i="12"/>
  <c r="BO37" i="12"/>
  <c r="BN37" i="12"/>
  <c r="BM37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CW36" i="12"/>
  <c r="CW35" i="12"/>
  <c r="CW34" i="12"/>
  <c r="CW33" i="12"/>
  <c r="CW32" i="12"/>
  <c r="CW31" i="12"/>
  <c r="CW30" i="12"/>
  <c r="CW29" i="12"/>
  <c r="CW28" i="12"/>
  <c r="CW27" i="12"/>
  <c r="CW26" i="12"/>
  <c r="CW25" i="12"/>
  <c r="CW24" i="12"/>
  <c r="CW23" i="12"/>
  <c r="CW22" i="12"/>
  <c r="CW21" i="12"/>
  <c r="CW20" i="12"/>
  <c r="CW19" i="12"/>
  <c r="CW18" i="12"/>
  <c r="CW17" i="12"/>
  <c r="CW16" i="12"/>
  <c r="CW15" i="12"/>
  <c r="CW14" i="12"/>
  <c r="CW13" i="12"/>
  <c r="CW12" i="12"/>
  <c r="CW11" i="12"/>
  <c r="BU5" i="12"/>
  <c r="CW39" i="11"/>
  <c r="CV37" i="11"/>
  <c r="CU37" i="11"/>
  <c r="CT37" i="11"/>
  <c r="CS37" i="11"/>
  <c r="CR37" i="11"/>
  <c r="CQ37" i="11"/>
  <c r="CP37" i="11"/>
  <c r="CO37" i="11"/>
  <c r="CN37" i="11"/>
  <c r="CM37" i="11"/>
  <c r="CL37" i="11"/>
  <c r="CK37" i="11"/>
  <c r="CJ37" i="11"/>
  <c r="CH37" i="11"/>
  <c r="CD37" i="11"/>
  <c r="CC37" i="11"/>
  <c r="CB37" i="11"/>
  <c r="BX37" i="11"/>
  <c r="BW37" i="11"/>
  <c r="BV37" i="11"/>
  <c r="BU37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CW36" i="11"/>
  <c r="CW35" i="11"/>
  <c r="CW34" i="11"/>
  <c r="CW33" i="11"/>
  <c r="CW32" i="11"/>
  <c r="CW31" i="11"/>
  <c r="CW30" i="11"/>
  <c r="CW29" i="11"/>
  <c r="CW28" i="11"/>
  <c r="CW27" i="11"/>
  <c r="CW26" i="11"/>
  <c r="CW25" i="11"/>
  <c r="CW24" i="11"/>
  <c r="CW23" i="11"/>
  <c r="CW22" i="11"/>
  <c r="CW21" i="11"/>
  <c r="CW20" i="11"/>
  <c r="CW19" i="11"/>
  <c r="CW18" i="11"/>
  <c r="CW17" i="11"/>
  <c r="CW16" i="11"/>
  <c r="CW15" i="11"/>
  <c r="CW14" i="11"/>
  <c r="CW13" i="11"/>
  <c r="CW12" i="11"/>
  <c r="CW11" i="11"/>
  <c r="BU5" i="11"/>
  <c r="CW39" i="10"/>
  <c r="CV37" i="10"/>
  <c r="CU37" i="10"/>
  <c r="CT37" i="10"/>
  <c r="CS37" i="10"/>
  <c r="CR37" i="10"/>
  <c r="CQ37" i="10"/>
  <c r="CP37" i="10"/>
  <c r="CO37" i="10"/>
  <c r="CN37" i="10"/>
  <c r="CM37" i="10"/>
  <c r="CL37" i="10"/>
  <c r="CK37" i="10"/>
  <c r="CJ37" i="10"/>
  <c r="CH37" i="10"/>
  <c r="CD37" i="10"/>
  <c r="CC37" i="10"/>
  <c r="CB37" i="10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CW36" i="10"/>
  <c r="CW35" i="10"/>
  <c r="CW34" i="10"/>
  <c r="CW33" i="10"/>
  <c r="CW32" i="10"/>
  <c r="CW31" i="10"/>
  <c r="CW30" i="10"/>
  <c r="CW29" i="10"/>
  <c r="CW28" i="10"/>
  <c r="CW27" i="10"/>
  <c r="CW26" i="10"/>
  <c r="CW25" i="10"/>
  <c r="CW24" i="10"/>
  <c r="CW23" i="10"/>
  <c r="CW22" i="10"/>
  <c r="CW21" i="10"/>
  <c r="CW20" i="10"/>
  <c r="CW19" i="10"/>
  <c r="CW18" i="10"/>
  <c r="CW17" i="10"/>
  <c r="CW16" i="10"/>
  <c r="CW15" i="10"/>
  <c r="CW14" i="10"/>
  <c r="CW13" i="10"/>
  <c r="CW12" i="10"/>
  <c r="CW11" i="10"/>
  <c r="BU5" i="10"/>
  <c r="CW39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H37" i="9"/>
  <c r="CD37" i="9"/>
  <c r="CC37" i="9"/>
  <c r="CB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CW36" i="9"/>
  <c r="CW35" i="9"/>
  <c r="CW34" i="9"/>
  <c r="CW33" i="9"/>
  <c r="CW32" i="9"/>
  <c r="CW31" i="9"/>
  <c r="CW30" i="9"/>
  <c r="CW29" i="9"/>
  <c r="CW28" i="9"/>
  <c r="CW27" i="9"/>
  <c r="CW26" i="9"/>
  <c r="CW25" i="9"/>
  <c r="CW24" i="9"/>
  <c r="CW23" i="9"/>
  <c r="CW22" i="9"/>
  <c r="CW21" i="9"/>
  <c r="CW20" i="9"/>
  <c r="CW19" i="9"/>
  <c r="CW18" i="9"/>
  <c r="CW17" i="9"/>
  <c r="CW16" i="9"/>
  <c r="CW15" i="9"/>
  <c r="CW14" i="9"/>
  <c r="CW13" i="9"/>
  <c r="CW12" i="9"/>
  <c r="CW11" i="9"/>
  <c r="BU5" i="9"/>
  <c r="CW39" i="8"/>
  <c r="CV37" i="8"/>
  <c r="CU37" i="8"/>
  <c r="CT37" i="8"/>
  <c r="CS37" i="8"/>
  <c r="CR37" i="8"/>
  <c r="CQ37" i="8"/>
  <c r="CP37" i="8"/>
  <c r="CO37" i="8"/>
  <c r="CN37" i="8"/>
  <c r="CM37" i="8"/>
  <c r="CL37" i="8"/>
  <c r="CK37" i="8"/>
  <c r="CJ37" i="8"/>
  <c r="CH37" i="8"/>
  <c r="CD37" i="8"/>
  <c r="CC37" i="8"/>
  <c r="CB37" i="8"/>
  <c r="BX37" i="8"/>
  <c r="BW37" i="8"/>
  <c r="BV37" i="8"/>
  <c r="BU37" i="8"/>
  <c r="BT37" i="8"/>
  <c r="BS37" i="8"/>
  <c r="BR37" i="8"/>
  <c r="BQ37" i="8"/>
  <c r="BP37" i="8"/>
  <c r="BO37" i="8"/>
  <c r="BN37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CW36" i="8"/>
  <c r="CW35" i="8"/>
  <c r="CW34" i="8"/>
  <c r="CW33" i="8"/>
  <c r="CW32" i="8"/>
  <c r="CW31" i="8"/>
  <c r="CW30" i="8"/>
  <c r="CW29" i="8"/>
  <c r="CW28" i="8"/>
  <c r="CW27" i="8"/>
  <c r="CW26" i="8"/>
  <c r="CW25" i="8"/>
  <c r="CW24" i="8"/>
  <c r="CW23" i="8"/>
  <c r="CW22" i="8"/>
  <c r="CW21" i="8"/>
  <c r="CW20" i="8"/>
  <c r="CW19" i="8"/>
  <c r="CW18" i="8"/>
  <c r="CW17" i="8"/>
  <c r="CW16" i="8"/>
  <c r="CW15" i="8"/>
  <c r="CW14" i="8"/>
  <c r="CW13" i="8"/>
  <c r="CW12" i="8"/>
  <c r="BU5" i="8"/>
  <c r="CW39" i="7"/>
  <c r="CV37" i="7"/>
  <c r="CU37" i="7"/>
  <c r="CT37" i="7"/>
  <c r="CS37" i="7"/>
  <c r="CR37" i="7"/>
  <c r="CQ37" i="7"/>
  <c r="CP37" i="7"/>
  <c r="CO37" i="7"/>
  <c r="CN37" i="7"/>
  <c r="CM37" i="7"/>
  <c r="CL37" i="7"/>
  <c r="CK37" i="7"/>
  <c r="CJ37" i="7"/>
  <c r="CH37" i="7"/>
  <c r="CD37" i="7"/>
  <c r="CC37" i="7"/>
  <c r="CB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CW36" i="7"/>
  <c r="CW35" i="7"/>
  <c r="CW34" i="7"/>
  <c r="CW33" i="7"/>
  <c r="CW32" i="7"/>
  <c r="CW31" i="7"/>
  <c r="CW30" i="7"/>
  <c r="CW29" i="7"/>
  <c r="CW28" i="7"/>
  <c r="CW27" i="7"/>
  <c r="CW26" i="7"/>
  <c r="CW25" i="7"/>
  <c r="CW24" i="7"/>
  <c r="CW23" i="7"/>
  <c r="CW22" i="7"/>
  <c r="CW21" i="7"/>
  <c r="CW20" i="7"/>
  <c r="CW19" i="7"/>
  <c r="CW18" i="7"/>
  <c r="CW17" i="7"/>
  <c r="CW16" i="7"/>
  <c r="CW15" i="7"/>
  <c r="CW14" i="7"/>
  <c r="CW13" i="7"/>
  <c r="CW12" i="7"/>
  <c r="CW11" i="7"/>
  <c r="BU5" i="7"/>
  <c r="CW39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H37" i="6"/>
  <c r="CD37" i="6"/>
  <c r="CC37" i="6"/>
  <c r="CB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CW36" i="6"/>
  <c r="CW35" i="6"/>
  <c r="CW34" i="6"/>
  <c r="CW33" i="6"/>
  <c r="CW32" i="6"/>
  <c r="CW31" i="6"/>
  <c r="CW30" i="6"/>
  <c r="CW29" i="6"/>
  <c r="CW28" i="6"/>
  <c r="CW27" i="6"/>
  <c r="CW26" i="6"/>
  <c r="CW25" i="6"/>
  <c r="CW24" i="6"/>
  <c r="CW23" i="6"/>
  <c r="CW22" i="6"/>
  <c r="CW21" i="6"/>
  <c r="CW20" i="6"/>
  <c r="CW19" i="6"/>
  <c r="CW18" i="6"/>
  <c r="CW17" i="6"/>
  <c r="CW16" i="6"/>
  <c r="CW15" i="6"/>
  <c r="CW14" i="6"/>
  <c r="CW13" i="6"/>
  <c r="CW12" i="6"/>
  <c r="BU5" i="6"/>
  <c r="CW39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H37" i="5"/>
  <c r="CD37" i="5"/>
  <c r="CC37" i="5"/>
  <c r="CB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CW36" i="5"/>
  <c r="CW35" i="5"/>
  <c r="CW34" i="5"/>
  <c r="CW33" i="5"/>
  <c r="CW32" i="5"/>
  <c r="CW31" i="5"/>
  <c r="CW30" i="5"/>
  <c r="CW29" i="5"/>
  <c r="CW28" i="5"/>
  <c r="CW27" i="5"/>
  <c r="CW26" i="5"/>
  <c r="CW25" i="5"/>
  <c r="CW24" i="5"/>
  <c r="CW23" i="5"/>
  <c r="CW22" i="5"/>
  <c r="CW21" i="5"/>
  <c r="CW20" i="5"/>
  <c r="CW19" i="5"/>
  <c r="CW18" i="5"/>
  <c r="CW17" i="5"/>
  <c r="CW16" i="5"/>
  <c r="CW15" i="5"/>
  <c r="CW14" i="5"/>
  <c r="CW13" i="5"/>
  <c r="CW12" i="5"/>
  <c r="CW11" i="5"/>
  <c r="BU5" i="5"/>
  <c r="CW39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H37" i="4"/>
  <c r="CD37" i="4"/>
  <c r="CC37" i="4"/>
  <c r="CB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CW36" i="4"/>
  <c r="CW35" i="4"/>
  <c r="CW34" i="4"/>
  <c r="CW33" i="4"/>
  <c r="CW32" i="4"/>
  <c r="CW31" i="4"/>
  <c r="CW30" i="4"/>
  <c r="CW29" i="4"/>
  <c r="CW28" i="4"/>
  <c r="CW27" i="4"/>
  <c r="CW26" i="4"/>
  <c r="CW25" i="4"/>
  <c r="CW24" i="4"/>
  <c r="CW23" i="4"/>
  <c r="CW22" i="4"/>
  <c r="CW21" i="4"/>
  <c r="CW20" i="4"/>
  <c r="CW19" i="4"/>
  <c r="CW18" i="4"/>
  <c r="CW17" i="4"/>
  <c r="CW16" i="4"/>
  <c r="CW15" i="4"/>
  <c r="CW14" i="4"/>
  <c r="CW13" i="4"/>
  <c r="CW12" i="4"/>
  <c r="CW11" i="4"/>
  <c r="BU5" i="4"/>
  <c r="CW39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H37" i="3"/>
  <c r="CD37" i="3"/>
  <c r="CC37" i="3"/>
  <c r="CB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CW36" i="3"/>
  <c r="CW35" i="3"/>
  <c r="CW34" i="3"/>
  <c r="CW33" i="3"/>
  <c r="CW32" i="3"/>
  <c r="CW31" i="3"/>
  <c r="CW30" i="3"/>
  <c r="CW29" i="3"/>
  <c r="CW28" i="3"/>
  <c r="CW27" i="3"/>
  <c r="CW26" i="3"/>
  <c r="CW25" i="3"/>
  <c r="CW24" i="3"/>
  <c r="CW23" i="3"/>
  <c r="CW22" i="3"/>
  <c r="CW21" i="3"/>
  <c r="CW20" i="3"/>
  <c r="CW19" i="3"/>
  <c r="CW18" i="3"/>
  <c r="CW17" i="3"/>
  <c r="CW16" i="3"/>
  <c r="CW15" i="3"/>
  <c r="CW14" i="3"/>
  <c r="CW13" i="3"/>
  <c r="CW12" i="3"/>
  <c r="CW11" i="3"/>
  <c r="BU5" i="3"/>
  <c r="CW39" i="2"/>
  <c r="BP38" i="2"/>
  <c r="BP40" i="2" s="1"/>
  <c r="BP8" i="3" s="1"/>
  <c r="BP7" i="3" s="1"/>
  <c r="BP6" i="3" s="1"/>
  <c r="L38" i="2"/>
  <c r="L40" i="2" s="1"/>
  <c r="L8" i="3" s="1"/>
  <c r="L38" i="3" s="1"/>
  <c r="L40" i="3" s="1"/>
  <c r="L8" i="4" s="1"/>
  <c r="L7" i="4" s="1"/>
  <c r="CV37" i="2"/>
  <c r="CU37" i="2"/>
  <c r="CT37" i="2"/>
  <c r="CS37" i="2"/>
  <c r="CR37" i="2"/>
  <c r="CQ37" i="2"/>
  <c r="CP37" i="2"/>
  <c r="CO37" i="2"/>
  <c r="CO38" i="2" s="1"/>
  <c r="CO40" i="2" s="1"/>
  <c r="CO8" i="3" s="1"/>
  <c r="CN37" i="2"/>
  <c r="CM37" i="2"/>
  <c r="CM38" i="2" s="1"/>
  <c r="CM40" i="2" s="1"/>
  <c r="CM8" i="3" s="1"/>
  <c r="CM6" i="3" s="1"/>
  <c r="CL37" i="2"/>
  <c r="CK37" i="2"/>
  <c r="CJ37" i="2"/>
  <c r="CH37" i="2"/>
  <c r="CD37" i="2"/>
  <c r="CC37" i="2"/>
  <c r="CB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CW36" i="2"/>
  <c r="CW35" i="2"/>
  <c r="CW34" i="2"/>
  <c r="CW33" i="2"/>
  <c r="CW32" i="2"/>
  <c r="CW31" i="2"/>
  <c r="CW30" i="2"/>
  <c r="CW29" i="2"/>
  <c r="CW28" i="2"/>
  <c r="CW27" i="2"/>
  <c r="CW26" i="2"/>
  <c r="CW25" i="2"/>
  <c r="CW24" i="2"/>
  <c r="CW23" i="2"/>
  <c r="CW22" i="2"/>
  <c r="CW21" i="2"/>
  <c r="CW20" i="2"/>
  <c r="CW19" i="2"/>
  <c r="CW18" i="2"/>
  <c r="CW17" i="2"/>
  <c r="CW16" i="2"/>
  <c r="CW15" i="2"/>
  <c r="CW14" i="2"/>
  <c r="CW13" i="2"/>
  <c r="CW12" i="2"/>
  <c r="CW11" i="2"/>
  <c r="BE7" i="2"/>
  <c r="BE6" i="2" s="1"/>
  <c r="AG7" i="2"/>
  <c r="H7" i="2"/>
  <c r="BG7" i="2"/>
  <c r="BG6" i="2" s="1"/>
  <c r="AQ6" i="2"/>
  <c r="AA7" i="2"/>
  <c r="L7" i="2"/>
  <c r="J7" i="2"/>
  <c r="CL6" i="2"/>
  <c r="AM6" i="2"/>
  <c r="BU5" i="2"/>
  <c r="CL7" i="1"/>
  <c r="CK7" i="1"/>
  <c r="CH40" i="1"/>
  <c r="CH8" i="2" s="1"/>
  <c r="CH38" i="2" s="1"/>
  <c r="CH40" i="2" s="1"/>
  <c r="CH8" i="3" s="1"/>
  <c r="H37" i="1"/>
  <c r="H38" i="1" s="1"/>
  <c r="H40" i="1" s="1"/>
  <c r="H8" i="2" s="1"/>
  <c r="I37" i="1"/>
  <c r="I38" i="1" s="1"/>
  <c r="I40" i="1" s="1"/>
  <c r="I8" i="2" s="1"/>
  <c r="I38" i="2" s="1"/>
  <c r="I40" i="2" s="1"/>
  <c r="I8" i="3" s="1"/>
  <c r="I38" i="3" s="1"/>
  <c r="I40" i="3" s="1"/>
  <c r="I8" i="4" s="1"/>
  <c r="I38" i="4" s="1"/>
  <c r="I40" i="4" s="1"/>
  <c r="I8" i="5" s="1"/>
  <c r="J37" i="1"/>
  <c r="K37" i="1"/>
  <c r="L37" i="1"/>
  <c r="M37" i="1"/>
  <c r="N37" i="1"/>
  <c r="O37" i="1"/>
  <c r="P37" i="1"/>
  <c r="P38" i="1" s="1"/>
  <c r="P40" i="1" s="1"/>
  <c r="P8" i="2" s="1"/>
  <c r="P7" i="2" s="1"/>
  <c r="Q37" i="1"/>
  <c r="Q38" i="1" s="1"/>
  <c r="Q40" i="1" s="1"/>
  <c r="Q8" i="2" s="1"/>
  <c r="Q38" i="2" s="1"/>
  <c r="Q40" i="2" s="1"/>
  <c r="Q8" i="3" s="1"/>
  <c r="Q38" i="3" s="1"/>
  <c r="Q40" i="3" s="1"/>
  <c r="Q8" i="4" s="1"/>
  <c r="R37" i="1"/>
  <c r="S37" i="1"/>
  <c r="T37" i="1"/>
  <c r="U37" i="1"/>
  <c r="V37" i="1"/>
  <c r="W37" i="1"/>
  <c r="X37" i="1"/>
  <c r="X38" i="1" s="1"/>
  <c r="X40" i="1" s="1"/>
  <c r="X8" i="2" s="1"/>
  <c r="Y37" i="1"/>
  <c r="Y38" i="1" s="1"/>
  <c r="Y40" i="1" s="1"/>
  <c r="Y8" i="2" s="1"/>
  <c r="Y38" i="2" s="1"/>
  <c r="Y40" i="2" s="1"/>
  <c r="Y8" i="3" s="1"/>
  <c r="Y38" i="3" s="1"/>
  <c r="Y40" i="3" s="1"/>
  <c r="Y8" i="4" s="1"/>
  <c r="Y38" i="4" s="1"/>
  <c r="Y40" i="4" s="1"/>
  <c r="Y8" i="5" s="1"/>
  <c r="Z37" i="1"/>
  <c r="AA37" i="1"/>
  <c r="AB37" i="1"/>
  <c r="AC37" i="1"/>
  <c r="AD37" i="1"/>
  <c r="AE37" i="1"/>
  <c r="AF37" i="1"/>
  <c r="AF38" i="1" s="1"/>
  <c r="AF40" i="1" s="1"/>
  <c r="AF8" i="2" s="1"/>
  <c r="AF7" i="2" s="1"/>
  <c r="AG37" i="1"/>
  <c r="AG38" i="1" s="1"/>
  <c r="AG40" i="1" s="1"/>
  <c r="AG8" i="2" s="1"/>
  <c r="AH37" i="1"/>
  <c r="AI37" i="1"/>
  <c r="AJ37" i="1"/>
  <c r="AK37" i="1"/>
  <c r="AL37" i="1"/>
  <c r="AM37" i="1"/>
  <c r="AN37" i="1"/>
  <c r="AN38" i="1" s="1"/>
  <c r="AN40" i="1" s="1"/>
  <c r="AN8" i="2" s="1"/>
  <c r="AO37" i="1"/>
  <c r="AO38" i="1" s="1"/>
  <c r="AO40" i="1" s="1"/>
  <c r="AO8" i="2" s="1"/>
  <c r="AO38" i="2" s="1"/>
  <c r="AO40" i="2" s="1"/>
  <c r="AO8" i="3" s="1"/>
  <c r="AO38" i="3" s="1"/>
  <c r="AO40" i="3" s="1"/>
  <c r="AO8" i="4" s="1"/>
  <c r="AP37" i="1"/>
  <c r="AQ37" i="1"/>
  <c r="AR37" i="1"/>
  <c r="AS37" i="1"/>
  <c r="AT37" i="1"/>
  <c r="AU37" i="1"/>
  <c r="AV37" i="1"/>
  <c r="AV38" i="1" s="1"/>
  <c r="AV40" i="1" s="1"/>
  <c r="AV8" i="2" s="1"/>
  <c r="AV7" i="2" s="1"/>
  <c r="AV6" i="2" s="1"/>
  <c r="AW37" i="1"/>
  <c r="AW38" i="1" s="1"/>
  <c r="AW40" i="1" s="1"/>
  <c r="AW8" i="2" s="1"/>
  <c r="AW7" i="2" s="1"/>
  <c r="AW6" i="2" s="1"/>
  <c r="AX37" i="1"/>
  <c r="AY37" i="1"/>
  <c r="AZ37" i="1"/>
  <c r="BA37" i="1"/>
  <c r="BB37" i="1"/>
  <c r="BC37" i="1"/>
  <c r="BD37" i="1"/>
  <c r="BD38" i="1" s="1"/>
  <c r="BD40" i="1" s="1"/>
  <c r="BD8" i="2" s="1"/>
  <c r="BD7" i="2" s="1"/>
  <c r="BD6" i="2" s="1"/>
  <c r="BE37" i="1"/>
  <c r="BE38" i="1" s="1"/>
  <c r="BE40" i="1" s="1"/>
  <c r="BE8" i="2" s="1"/>
  <c r="BF37" i="1"/>
  <c r="BG37" i="1"/>
  <c r="BH37" i="1"/>
  <c r="BI37" i="1"/>
  <c r="BJ37" i="1"/>
  <c r="BK37" i="1"/>
  <c r="BL37" i="1"/>
  <c r="BL38" i="1" s="1"/>
  <c r="BL40" i="1" s="1"/>
  <c r="BL8" i="2" s="1"/>
  <c r="BL7" i="2" s="1"/>
  <c r="BL6" i="2" s="1"/>
  <c r="BM37" i="1"/>
  <c r="BM38" i="1" s="1"/>
  <c r="BM40" i="1" s="1"/>
  <c r="BM8" i="2" s="1"/>
  <c r="BM7" i="2" s="1"/>
  <c r="BM6" i="2" s="1"/>
  <c r="BN37" i="1"/>
  <c r="BO37" i="1"/>
  <c r="BP37" i="1"/>
  <c r="BQ37" i="1"/>
  <c r="BR37" i="1"/>
  <c r="BS37" i="1"/>
  <c r="BT37" i="1"/>
  <c r="BT38" i="1" s="1"/>
  <c r="BT40" i="1" s="1"/>
  <c r="BT8" i="2" s="1"/>
  <c r="BU37" i="1"/>
  <c r="BU38" i="1" s="1"/>
  <c r="BU40" i="1" s="1"/>
  <c r="BU8" i="2" s="1"/>
  <c r="BU7" i="2" s="1"/>
  <c r="BV37" i="1"/>
  <c r="BV38" i="1" s="1"/>
  <c r="BV40" i="1" s="1"/>
  <c r="BV8" i="2" s="1"/>
  <c r="BV7" i="2" s="1"/>
  <c r="BV6" i="2" s="1"/>
  <c r="BW37" i="1"/>
  <c r="BW38" i="1" s="1"/>
  <c r="BW40" i="1" s="1"/>
  <c r="BW8" i="2" s="1"/>
  <c r="BW7" i="2" s="1"/>
  <c r="BW6" i="2" s="1"/>
  <c r="BX37" i="1"/>
  <c r="CB37" i="1"/>
  <c r="CB38" i="1" s="1"/>
  <c r="CB40" i="1" s="1"/>
  <c r="CB8" i="2" s="1"/>
  <c r="CB6" i="2" s="1"/>
  <c r="CC37" i="1"/>
  <c r="CC38" i="1" s="1"/>
  <c r="CC40" i="1" s="1"/>
  <c r="CC8" i="2" s="1"/>
  <c r="CC6" i="2" s="1"/>
  <c r="CD37" i="1"/>
  <c r="CH37" i="1"/>
  <c r="CJ37" i="1"/>
  <c r="CJ38" i="1" s="1"/>
  <c r="CJ40" i="1" s="1"/>
  <c r="CJ8" i="2" s="1"/>
  <c r="CJ6" i="2" s="1"/>
  <c r="CK37" i="1"/>
  <c r="CK38" i="1" s="1"/>
  <c r="CK40" i="1" s="1"/>
  <c r="CK8" i="2" s="1"/>
  <c r="CK6" i="2" s="1"/>
  <c r="CL37" i="1"/>
  <c r="CM37" i="1"/>
  <c r="CN37" i="1"/>
  <c r="CO37" i="1"/>
  <c r="CP37" i="1"/>
  <c r="CQ37" i="1"/>
  <c r="CQ38" i="1" s="1"/>
  <c r="CQ40" i="1" s="1"/>
  <c r="CQ8" i="2" s="1"/>
  <c r="CR37" i="1"/>
  <c r="CR38" i="1" s="1"/>
  <c r="CR40" i="1" s="1"/>
  <c r="CR8" i="2" s="1"/>
  <c r="CR6" i="2" s="1"/>
  <c r="CS37" i="1"/>
  <c r="CS38" i="1" s="1"/>
  <c r="CS40" i="1" s="1"/>
  <c r="CS8" i="2" s="1"/>
  <c r="CS6" i="2" s="1"/>
  <c r="CT37" i="1"/>
  <c r="CU37" i="1"/>
  <c r="CV37" i="1"/>
  <c r="J38" i="1"/>
  <c r="K38" i="1"/>
  <c r="K40" i="1" s="1"/>
  <c r="K8" i="2" s="1"/>
  <c r="K7" i="2" s="1"/>
  <c r="L38" i="1"/>
  <c r="L40" i="1" s="1"/>
  <c r="L8" i="2" s="1"/>
  <c r="M38" i="1"/>
  <c r="N38" i="1"/>
  <c r="O38" i="1"/>
  <c r="R38" i="1"/>
  <c r="S38" i="1"/>
  <c r="S40" i="1" s="1"/>
  <c r="S8" i="2" s="1"/>
  <c r="S7" i="2" s="1"/>
  <c r="T38" i="1"/>
  <c r="T40" i="1" s="1"/>
  <c r="T8" i="2" s="1"/>
  <c r="T38" i="2" s="1"/>
  <c r="T40" i="2" s="1"/>
  <c r="T8" i="3" s="1"/>
  <c r="T38" i="3" s="1"/>
  <c r="T40" i="3" s="1"/>
  <c r="T8" i="4" s="1"/>
  <c r="U38" i="1"/>
  <c r="V38" i="1"/>
  <c r="W38" i="1"/>
  <c r="Z38" i="1"/>
  <c r="AA38" i="1"/>
  <c r="AA40" i="1" s="1"/>
  <c r="AA8" i="2" s="1"/>
  <c r="AB38" i="1"/>
  <c r="AB40" i="1" s="1"/>
  <c r="AB8" i="2" s="1"/>
  <c r="AB7" i="2" s="1"/>
  <c r="AC38" i="1"/>
  <c r="AD38" i="1"/>
  <c r="AE38" i="1"/>
  <c r="AH38" i="1"/>
  <c r="AI38" i="1"/>
  <c r="AI40" i="1" s="1"/>
  <c r="AI8" i="2" s="1"/>
  <c r="AI7" i="2" s="1"/>
  <c r="AJ38" i="1"/>
  <c r="AJ40" i="1" s="1"/>
  <c r="AJ8" i="2" s="1"/>
  <c r="AJ38" i="2" s="1"/>
  <c r="AJ40" i="2" s="1"/>
  <c r="AJ8" i="3" s="1"/>
  <c r="AK38" i="1"/>
  <c r="AL38" i="1"/>
  <c r="AM38" i="1"/>
  <c r="AP38" i="1"/>
  <c r="AQ38" i="1"/>
  <c r="AQ40" i="1" s="1"/>
  <c r="AQ8" i="2" s="1"/>
  <c r="AR38" i="1"/>
  <c r="AR40" i="1" s="1"/>
  <c r="AR8" i="2" s="1"/>
  <c r="AR7" i="2" s="1"/>
  <c r="AR6" i="2" s="1"/>
  <c r="AS38" i="1"/>
  <c r="AT38" i="1"/>
  <c r="AU38" i="1"/>
  <c r="AX38" i="1"/>
  <c r="AY38" i="1"/>
  <c r="AY40" i="1" s="1"/>
  <c r="AY8" i="2" s="1"/>
  <c r="AY7" i="2" s="1"/>
  <c r="AY6" i="2" s="1"/>
  <c r="AZ38" i="1"/>
  <c r="AZ40" i="1" s="1"/>
  <c r="AZ8" i="2" s="1"/>
  <c r="AZ38" i="2" s="1"/>
  <c r="AZ40" i="2" s="1"/>
  <c r="AZ8" i="3" s="1"/>
  <c r="BA38" i="1"/>
  <c r="BB38" i="1"/>
  <c r="BC38" i="1"/>
  <c r="BF38" i="1"/>
  <c r="BG38" i="1"/>
  <c r="BG40" i="1" s="1"/>
  <c r="BG8" i="2" s="1"/>
  <c r="BH38" i="1"/>
  <c r="BH40" i="1" s="1"/>
  <c r="BH8" i="2" s="1"/>
  <c r="BH38" i="2" s="1"/>
  <c r="BH40" i="2" s="1"/>
  <c r="BH8" i="3" s="1"/>
  <c r="BI38" i="1"/>
  <c r="BJ38" i="1"/>
  <c r="BK38" i="1"/>
  <c r="BN38" i="1"/>
  <c r="BO38" i="1"/>
  <c r="BO40" i="1" s="1"/>
  <c r="BO8" i="2" s="1"/>
  <c r="BO7" i="2" s="1"/>
  <c r="BO6" i="2" s="1"/>
  <c r="BP38" i="1"/>
  <c r="BP40" i="1" s="1"/>
  <c r="BP8" i="2" s="1"/>
  <c r="BP7" i="2" s="1"/>
  <c r="BP6" i="2" s="1"/>
  <c r="BQ38" i="1"/>
  <c r="BR38" i="1"/>
  <c r="BS38" i="1"/>
  <c r="BX38" i="1"/>
  <c r="BX40" i="1" s="1"/>
  <c r="BX8" i="2" s="1"/>
  <c r="BX7" i="2" s="1"/>
  <c r="BX6" i="2" s="1"/>
  <c r="CD38" i="1"/>
  <c r="CH38" i="1"/>
  <c r="CL38" i="1"/>
  <c r="CM38" i="1"/>
  <c r="CM40" i="1" s="1"/>
  <c r="CM8" i="2" s="1"/>
  <c r="CM6" i="2" s="1"/>
  <c r="CN38" i="1"/>
  <c r="CN40" i="1" s="1"/>
  <c r="CN8" i="2" s="1"/>
  <c r="CN38" i="2" s="1"/>
  <c r="CN40" i="2" s="1"/>
  <c r="CN8" i="3" s="1"/>
  <c r="CN38" i="3" s="1"/>
  <c r="CN40" i="3" s="1"/>
  <c r="CN8" i="4" s="1"/>
  <c r="CN6" i="4" s="1"/>
  <c r="CO38" i="1"/>
  <c r="CP38" i="1"/>
  <c r="CT38" i="1"/>
  <c r="CU38" i="1"/>
  <c r="CU40" i="1" s="1"/>
  <c r="CU8" i="2" s="1"/>
  <c r="CU6" i="2" s="1"/>
  <c r="CV38" i="1"/>
  <c r="CV40" i="1" s="1"/>
  <c r="CV8" i="2" s="1"/>
  <c r="CV6" i="2" s="1"/>
  <c r="J40" i="1"/>
  <c r="J8" i="2" s="1"/>
  <c r="M40" i="1"/>
  <c r="M8" i="2" s="1"/>
  <c r="M7" i="2" s="1"/>
  <c r="N40" i="1"/>
  <c r="N8" i="2" s="1"/>
  <c r="N7" i="2" s="1"/>
  <c r="O40" i="1"/>
  <c r="O8" i="2" s="1"/>
  <c r="O7" i="2" s="1"/>
  <c r="R40" i="1"/>
  <c r="R8" i="2" s="1"/>
  <c r="R7" i="2" s="1"/>
  <c r="U40" i="1"/>
  <c r="U8" i="2" s="1"/>
  <c r="V40" i="1"/>
  <c r="V8" i="2" s="1"/>
  <c r="V38" i="2" s="1"/>
  <c r="V40" i="2" s="1"/>
  <c r="V8" i="3" s="1"/>
  <c r="V38" i="3" s="1"/>
  <c r="V40" i="3" s="1"/>
  <c r="V8" i="4" s="1"/>
  <c r="W40" i="1"/>
  <c r="W8" i="2" s="1"/>
  <c r="Z40" i="1"/>
  <c r="Z8" i="2" s="1"/>
  <c r="Z7" i="2" s="1"/>
  <c r="AC40" i="1"/>
  <c r="AC8" i="2" s="1"/>
  <c r="AC7" i="2" s="1"/>
  <c r="AD40" i="1"/>
  <c r="AD8" i="2" s="1"/>
  <c r="AD7" i="2" s="1"/>
  <c r="AE40" i="1"/>
  <c r="AE8" i="2" s="1"/>
  <c r="AE7" i="2" s="1"/>
  <c r="AH40" i="1"/>
  <c r="AH8" i="2" s="1"/>
  <c r="AH7" i="2" s="1"/>
  <c r="AK40" i="1"/>
  <c r="AK8" i="2" s="1"/>
  <c r="AK7" i="2" s="1"/>
  <c r="AL40" i="1"/>
  <c r="AL8" i="2" s="1"/>
  <c r="AL38" i="2" s="1"/>
  <c r="AL40" i="2" s="1"/>
  <c r="AL8" i="3" s="1"/>
  <c r="AL38" i="3" s="1"/>
  <c r="AL40" i="3" s="1"/>
  <c r="AL8" i="4" s="1"/>
  <c r="AM40" i="1"/>
  <c r="AM8" i="2" s="1"/>
  <c r="AP40" i="1"/>
  <c r="AP8" i="2" s="1"/>
  <c r="AP6" i="2" s="1"/>
  <c r="AS40" i="1"/>
  <c r="AS8" i="2" s="1"/>
  <c r="AS7" i="2" s="1"/>
  <c r="AS6" i="2" s="1"/>
  <c r="AT40" i="1"/>
  <c r="AT8" i="2" s="1"/>
  <c r="AT7" i="2" s="1"/>
  <c r="AT6" i="2" s="1"/>
  <c r="AU40" i="1"/>
  <c r="AU8" i="2" s="1"/>
  <c r="AU7" i="2" s="1"/>
  <c r="AU6" i="2" s="1"/>
  <c r="AX40" i="1"/>
  <c r="AX8" i="2" s="1"/>
  <c r="AX7" i="2" s="1"/>
  <c r="AX6" i="2" s="1"/>
  <c r="BA40" i="1"/>
  <c r="BA8" i="2" s="1"/>
  <c r="BA7" i="2" s="1"/>
  <c r="BA6" i="2" s="1"/>
  <c r="BB40" i="1"/>
  <c r="BB8" i="2" s="1"/>
  <c r="BB38" i="2" s="1"/>
  <c r="BB40" i="2" s="1"/>
  <c r="BB8" i="3" s="1"/>
  <c r="BB7" i="3" s="1"/>
  <c r="BB6" i="3" s="1"/>
  <c r="BC40" i="1"/>
  <c r="BC8" i="2" s="1"/>
  <c r="BC7" i="2" s="1"/>
  <c r="BC6" i="2" s="1"/>
  <c r="BF40" i="1"/>
  <c r="BF8" i="2" s="1"/>
  <c r="BF7" i="2" s="1"/>
  <c r="BF6" i="2" s="1"/>
  <c r="BI40" i="1"/>
  <c r="BI8" i="2" s="1"/>
  <c r="BI7" i="2" s="1"/>
  <c r="BI6" i="2" s="1"/>
  <c r="BJ40" i="1"/>
  <c r="BJ8" i="2" s="1"/>
  <c r="BJ38" i="2" s="1"/>
  <c r="BJ40" i="2" s="1"/>
  <c r="BJ8" i="3" s="1"/>
  <c r="BJ38" i="3" s="1"/>
  <c r="BJ40" i="3" s="1"/>
  <c r="BJ8" i="4" s="1"/>
  <c r="BJ7" i="4" s="1"/>
  <c r="BJ6" i="4" s="1"/>
  <c r="BK40" i="1"/>
  <c r="BK8" i="2" s="1"/>
  <c r="BK7" i="2" s="1"/>
  <c r="BK6" i="2" s="1"/>
  <c r="BN40" i="1"/>
  <c r="BN8" i="2" s="1"/>
  <c r="BN7" i="2" s="1"/>
  <c r="BN6" i="2" s="1"/>
  <c r="BQ40" i="1"/>
  <c r="BQ8" i="2" s="1"/>
  <c r="BQ7" i="2" s="1"/>
  <c r="BQ6" i="2" s="1"/>
  <c r="BR40" i="1"/>
  <c r="BR8" i="2" s="1"/>
  <c r="BR38" i="2" s="1"/>
  <c r="BR40" i="2" s="1"/>
  <c r="BR8" i="3" s="1"/>
  <c r="BR38" i="3" s="1"/>
  <c r="BR40" i="3" s="1"/>
  <c r="BR8" i="4" s="1"/>
  <c r="BS40" i="1"/>
  <c r="BS8" i="2" s="1"/>
  <c r="BS7" i="2" s="1"/>
  <c r="CD40" i="1"/>
  <c r="CD8" i="2" s="1"/>
  <c r="CL40" i="1"/>
  <c r="CL8" i="2" s="1"/>
  <c r="CO40" i="1"/>
  <c r="CO8" i="2" s="1"/>
  <c r="CP40" i="1"/>
  <c r="CP8" i="2" s="1"/>
  <c r="CT40" i="1"/>
  <c r="CT8" i="2" s="1"/>
  <c r="CT6" i="2" s="1"/>
  <c r="CU38" i="2" l="1"/>
  <c r="CU40" i="2" s="1"/>
  <c r="CU8" i="3" s="1"/>
  <c r="CU6" i="3" s="1"/>
  <c r="CQ6" i="2"/>
  <c r="AN6" i="2"/>
  <c r="BH7" i="3"/>
  <c r="BH6" i="3" s="1"/>
  <c r="BH38" i="3"/>
  <c r="BH40" i="3" s="1"/>
  <c r="BH8" i="4" s="1"/>
  <c r="BH7" i="4" s="1"/>
  <c r="BH6" i="4" s="1"/>
  <c r="AO38" i="4"/>
  <c r="AO40" i="4" s="1"/>
  <c r="AO8" i="5" s="1"/>
  <c r="AO6" i="5" s="1"/>
  <c r="AO6" i="4"/>
  <c r="Q7" i="4"/>
  <c r="Q38" i="4"/>
  <c r="Q40" i="4" s="1"/>
  <c r="Q8" i="5" s="1"/>
  <c r="Q7" i="5" s="1"/>
  <c r="AJ7" i="3"/>
  <c r="AJ38" i="3"/>
  <c r="AJ40" i="3" s="1"/>
  <c r="AJ8" i="4" s="1"/>
  <c r="AJ7" i="4" s="1"/>
  <c r="AZ38" i="3"/>
  <c r="AZ40" i="3" s="1"/>
  <c r="AZ8" i="4" s="1"/>
  <c r="AZ7" i="4" s="1"/>
  <c r="AZ6" i="4" s="1"/>
  <c r="AZ7" i="3"/>
  <c r="AZ6" i="3" s="1"/>
  <c r="O38" i="2"/>
  <c r="O40" i="2" s="1"/>
  <c r="O8" i="3" s="1"/>
  <c r="O7" i="3" s="1"/>
  <c r="W38" i="2"/>
  <c r="W40" i="2" s="1"/>
  <c r="W8" i="3" s="1"/>
  <c r="AE38" i="2"/>
  <c r="AE40" i="2" s="1"/>
  <c r="AE8" i="3" s="1"/>
  <c r="AE7" i="3" s="1"/>
  <c r="AM38" i="2"/>
  <c r="AM40" i="2" s="1"/>
  <c r="AM8" i="3" s="1"/>
  <c r="AM6" i="3" s="1"/>
  <c r="AU38" i="2"/>
  <c r="AU40" i="2" s="1"/>
  <c r="AU8" i="3" s="1"/>
  <c r="AU7" i="3" s="1"/>
  <c r="AU6" i="3" s="1"/>
  <c r="BC38" i="2"/>
  <c r="BC40" i="2" s="1"/>
  <c r="BC8" i="3" s="1"/>
  <c r="BC7" i="3" s="1"/>
  <c r="BC6" i="3" s="1"/>
  <c r="BK38" i="2"/>
  <c r="BK40" i="2" s="1"/>
  <c r="BK8" i="3" s="1"/>
  <c r="BK7" i="3" s="1"/>
  <c r="BK6" i="3" s="1"/>
  <c r="BS38" i="2"/>
  <c r="BS40" i="2" s="1"/>
  <c r="BS8" i="3" s="1"/>
  <c r="BS7" i="3" s="1"/>
  <c r="CD38" i="2"/>
  <c r="CD40" i="2" s="1"/>
  <c r="CD8" i="3" s="1"/>
  <c r="CD38" i="3" s="1"/>
  <c r="CD40" i="3" s="1"/>
  <c r="CD8" i="4" s="1"/>
  <c r="CD38" i="4" s="1"/>
  <c r="CD40" i="4" s="1"/>
  <c r="CD8" i="5" s="1"/>
  <c r="CD38" i="5" s="1"/>
  <c r="CD40" i="5" s="1"/>
  <c r="CD8" i="6" s="1"/>
  <c r="CD38" i="6" s="1"/>
  <c r="CD40" i="6" s="1"/>
  <c r="CD8" i="7" s="1"/>
  <c r="CD38" i="7" s="1"/>
  <c r="CD40" i="7" s="1"/>
  <c r="CD8" i="8" s="1"/>
  <c r="CD38" i="8" s="1"/>
  <c r="CD40" i="8" s="1"/>
  <c r="CD8" i="9" s="1"/>
  <c r="CD38" i="9" s="1"/>
  <c r="CD40" i="9" s="1"/>
  <c r="CD8" i="10" s="1"/>
  <c r="CD38" i="10" s="1"/>
  <c r="CD40" i="10" s="1"/>
  <c r="CD8" i="11" s="1"/>
  <c r="CD38" i="11" s="1"/>
  <c r="CD40" i="11" s="1"/>
  <c r="CD8" i="12" s="1"/>
  <c r="CD38" i="12" s="1"/>
  <c r="CD40" i="12" s="1"/>
  <c r="CD8" i="13" s="1"/>
  <c r="CD38" i="13" s="1"/>
  <c r="CD40" i="13" s="1"/>
  <c r="CD8" i="14" s="1"/>
  <c r="CD38" i="14" s="1"/>
  <c r="CD40" i="14" s="1"/>
  <c r="CD8" i="15" s="1"/>
  <c r="CD38" i="15" s="1"/>
  <c r="CD40" i="15" s="1"/>
  <c r="CD8" i="16" s="1"/>
  <c r="CD38" i="16" s="1"/>
  <c r="CD40" i="16" s="1"/>
  <c r="CD8" i="17" s="1"/>
  <c r="CD38" i="17" s="1"/>
  <c r="CD40" i="17" s="1"/>
  <c r="CD8" i="18" s="1"/>
  <c r="CD38" i="18" s="1"/>
  <c r="CD40" i="18" s="1"/>
  <c r="CD8" i="19" s="1"/>
  <c r="CD38" i="19" s="1"/>
  <c r="CD40" i="19" s="1"/>
  <c r="CD8" i="20" s="1"/>
  <c r="CD38" i="20" s="1"/>
  <c r="CD40" i="20" s="1"/>
  <c r="CD8" i="21" s="1"/>
  <c r="CD38" i="21" s="1"/>
  <c r="CD40" i="21" s="1"/>
  <c r="CM38" i="3"/>
  <c r="CM40" i="3" s="1"/>
  <c r="CM8" i="4" s="1"/>
  <c r="CM6" i="4" s="1"/>
  <c r="CU38" i="3"/>
  <c r="CU40" i="3" s="1"/>
  <c r="CU8" i="4" s="1"/>
  <c r="CU6" i="4" s="1"/>
  <c r="CN6" i="2"/>
  <c r="H38" i="2"/>
  <c r="H40" i="2" s="1"/>
  <c r="H8" i="3" s="1"/>
  <c r="P38" i="2"/>
  <c r="P40" i="2" s="1"/>
  <c r="P8" i="3" s="1"/>
  <c r="X38" i="2"/>
  <c r="X40" i="2" s="1"/>
  <c r="X8" i="3" s="1"/>
  <c r="X38" i="3" s="1"/>
  <c r="X40" i="3" s="1"/>
  <c r="X8" i="4" s="1"/>
  <c r="AF38" i="2"/>
  <c r="AF40" i="2" s="1"/>
  <c r="AF8" i="3" s="1"/>
  <c r="AN38" i="2"/>
  <c r="AN40" i="2" s="1"/>
  <c r="AN8" i="3" s="1"/>
  <c r="AV38" i="2"/>
  <c r="AV40" i="2" s="1"/>
  <c r="AV8" i="3" s="1"/>
  <c r="BD38" i="2"/>
  <c r="BD40" i="2" s="1"/>
  <c r="BD8" i="3" s="1"/>
  <c r="BL38" i="2"/>
  <c r="BL40" i="2" s="1"/>
  <c r="BL8" i="3" s="1"/>
  <c r="BT38" i="2"/>
  <c r="BT40" i="2" s="1"/>
  <c r="BT8" i="3" s="1"/>
  <c r="BT38" i="3" s="1"/>
  <c r="BT40" i="3" s="1"/>
  <c r="BT8" i="4" s="1"/>
  <c r="BT38" i="4" s="1"/>
  <c r="BT40" i="4" s="1"/>
  <c r="BT8" i="5" s="1"/>
  <c r="BT38" i="5" s="1"/>
  <c r="BT40" i="5" s="1"/>
  <c r="BT8" i="6" s="1"/>
  <c r="BT38" i="6" s="1"/>
  <c r="BT40" i="6" s="1"/>
  <c r="BT8" i="7" s="1"/>
  <c r="BT38" i="7" s="1"/>
  <c r="BT40" i="7" s="1"/>
  <c r="BT8" i="8" s="1"/>
  <c r="BT38" i="8" s="1"/>
  <c r="BT40" i="8" s="1"/>
  <c r="BT8" i="9" s="1"/>
  <c r="BT38" i="9" s="1"/>
  <c r="BT40" i="9" s="1"/>
  <c r="BT8" i="10" s="1"/>
  <c r="BT38" i="10" s="1"/>
  <c r="BT40" i="10" s="1"/>
  <c r="BT8" i="11" s="1"/>
  <c r="BT38" i="11" s="1"/>
  <c r="BT40" i="11" s="1"/>
  <c r="BT8" i="12" s="1"/>
  <c r="BT38" i="12" s="1"/>
  <c r="BT40" i="12" s="1"/>
  <c r="BT8" i="13" s="1"/>
  <c r="BT38" i="13" s="1"/>
  <c r="BT40" i="13" s="1"/>
  <c r="BT8" i="14" s="1"/>
  <c r="BT38" i="14" s="1"/>
  <c r="BT40" i="14" s="1"/>
  <c r="BT8" i="15" s="1"/>
  <c r="BT38" i="15" s="1"/>
  <c r="BT40" i="15" s="1"/>
  <c r="BT8" i="16" s="1"/>
  <c r="BT38" i="16" s="1"/>
  <c r="BT40" i="16" s="1"/>
  <c r="BT8" i="17" s="1"/>
  <c r="BT38" i="17" s="1"/>
  <c r="BT40" i="17" s="1"/>
  <c r="BT8" i="18" s="1"/>
  <c r="BT38" i="18" s="1"/>
  <c r="BT40" i="18" s="1"/>
  <c r="BT8" i="19" s="1"/>
  <c r="BT38" i="19" s="1"/>
  <c r="BT40" i="19" s="1"/>
  <c r="BT8" i="20" s="1"/>
  <c r="BT38" i="20" s="1"/>
  <c r="BT40" i="20" s="1"/>
  <c r="BT8" i="21" s="1"/>
  <c r="BT38" i="21" s="1"/>
  <c r="BT40" i="21" s="1"/>
  <c r="CQ38" i="2"/>
  <c r="CQ40" i="2" s="1"/>
  <c r="CQ8" i="3" s="1"/>
  <c r="CQ6" i="3" s="1"/>
  <c r="AB38" i="2"/>
  <c r="AB40" i="2" s="1"/>
  <c r="AB8" i="3" s="1"/>
  <c r="BX38" i="2"/>
  <c r="BX40" i="2" s="1"/>
  <c r="BX8" i="3" s="1"/>
  <c r="I38" i="5"/>
  <c r="I40" i="5" s="1"/>
  <c r="I8" i="6" s="1"/>
  <c r="Y38" i="5"/>
  <c r="Y40" i="5" s="1"/>
  <c r="Y8" i="6" s="1"/>
  <c r="Y38" i="6" s="1"/>
  <c r="Y40" i="6" s="1"/>
  <c r="Y8" i="7" s="1"/>
  <c r="Y38" i="7" s="1"/>
  <c r="Y40" i="7" s="1"/>
  <c r="Y8" i="8" s="1"/>
  <c r="Y38" i="8" s="1"/>
  <c r="Y40" i="8" s="1"/>
  <c r="Y8" i="9" s="1"/>
  <c r="Y38" i="9" s="1"/>
  <c r="Y40" i="9" s="1"/>
  <c r="Y8" i="10" s="1"/>
  <c r="Y38" i="10" s="1"/>
  <c r="Y40" i="10" s="1"/>
  <c r="Y8" i="11" s="1"/>
  <c r="Y38" i="11" s="1"/>
  <c r="Y40" i="11" s="1"/>
  <c r="Y8" i="12" s="1"/>
  <c r="Y38" i="12" s="1"/>
  <c r="Y40" i="12" s="1"/>
  <c r="Y8" i="13" s="1"/>
  <c r="Y38" i="13" s="1"/>
  <c r="Y40" i="13" s="1"/>
  <c r="Y8" i="14" s="1"/>
  <c r="Y38" i="14" s="1"/>
  <c r="Y40" i="14" s="1"/>
  <c r="Y8" i="15" s="1"/>
  <c r="Y38" i="15" s="1"/>
  <c r="Y40" i="15" s="1"/>
  <c r="Y8" i="16" s="1"/>
  <c r="Y38" i="16" s="1"/>
  <c r="Y40" i="16" s="1"/>
  <c r="Y8" i="17" s="1"/>
  <c r="Y38" i="17" s="1"/>
  <c r="Y40" i="17" s="1"/>
  <c r="Y8" i="18" s="1"/>
  <c r="Y38" i="18" s="1"/>
  <c r="Y40" i="18" s="1"/>
  <c r="Y8" i="19" s="1"/>
  <c r="Y38" i="19" s="1"/>
  <c r="Y40" i="19" s="1"/>
  <c r="Y8" i="20" s="1"/>
  <c r="Y38" i="20" s="1"/>
  <c r="Y40" i="20" s="1"/>
  <c r="Y8" i="21" s="1"/>
  <c r="Y38" i="21" s="1"/>
  <c r="Y40" i="21" s="1"/>
  <c r="AO38" i="5"/>
  <c r="AO40" i="5" s="1"/>
  <c r="AO8" i="6" s="1"/>
  <c r="AO6" i="6" s="1"/>
  <c r="AJ7" i="2"/>
  <c r="AZ7" i="2"/>
  <c r="AZ6" i="2" s="1"/>
  <c r="CJ38" i="2"/>
  <c r="CJ40" i="2" s="1"/>
  <c r="CJ8" i="3" s="1"/>
  <c r="CR38" i="2"/>
  <c r="CR40" i="2" s="1"/>
  <c r="CR8" i="3" s="1"/>
  <c r="CO38" i="3"/>
  <c r="CO40" i="3" s="1"/>
  <c r="CO8" i="4" s="1"/>
  <c r="BP38" i="3"/>
  <c r="BP40" i="3" s="1"/>
  <c r="BP8" i="4" s="1"/>
  <c r="BP7" i="4" s="1"/>
  <c r="BP6" i="4" s="1"/>
  <c r="L38" i="4"/>
  <c r="L40" i="4" s="1"/>
  <c r="L8" i="5" s="1"/>
  <c r="L7" i="5" s="1"/>
  <c r="T38" i="4"/>
  <c r="T40" i="4" s="1"/>
  <c r="T8" i="5" s="1"/>
  <c r="AZ38" i="4"/>
  <c r="AZ40" i="4" s="1"/>
  <c r="AZ8" i="5" s="1"/>
  <c r="AZ7" i="5" s="1"/>
  <c r="AZ6" i="5" s="1"/>
  <c r="BH38" i="4"/>
  <c r="BH40" i="4" s="1"/>
  <c r="BH8" i="5" s="1"/>
  <c r="BH7" i="5" s="1"/>
  <c r="BH6" i="5" s="1"/>
  <c r="J38" i="2"/>
  <c r="J40" i="2" s="1"/>
  <c r="J8" i="3" s="1"/>
  <c r="J7" i="3" s="1"/>
  <c r="R38" i="2"/>
  <c r="R40" i="2" s="1"/>
  <c r="R8" i="3" s="1"/>
  <c r="R7" i="3" s="1"/>
  <c r="Z38" i="2"/>
  <c r="Z40" i="2" s="1"/>
  <c r="Z8" i="3" s="1"/>
  <c r="Z7" i="3" s="1"/>
  <c r="AH38" i="2"/>
  <c r="AH40" i="2" s="1"/>
  <c r="AH8" i="3" s="1"/>
  <c r="AH7" i="3" s="1"/>
  <c r="AP38" i="2"/>
  <c r="AP40" i="2" s="1"/>
  <c r="AP8" i="3" s="1"/>
  <c r="AP6" i="3" s="1"/>
  <c r="AX38" i="2"/>
  <c r="AX40" i="2" s="1"/>
  <c r="AX8" i="3" s="1"/>
  <c r="AX7" i="3" s="1"/>
  <c r="AX6" i="3" s="1"/>
  <c r="BF38" i="2"/>
  <c r="BF40" i="2" s="1"/>
  <c r="BF8" i="3" s="1"/>
  <c r="BF7" i="3" s="1"/>
  <c r="BF6" i="3" s="1"/>
  <c r="BN38" i="2"/>
  <c r="BN40" i="2" s="1"/>
  <c r="BN8" i="3" s="1"/>
  <c r="BN7" i="3" s="1"/>
  <c r="BN6" i="3" s="1"/>
  <c r="BV38" i="2"/>
  <c r="BV40" i="2" s="1"/>
  <c r="BV8" i="3" s="1"/>
  <c r="BV7" i="3" s="1"/>
  <c r="BV6" i="3" s="1"/>
  <c r="CV38" i="2"/>
  <c r="CV40" i="2" s="1"/>
  <c r="CV8" i="3" s="1"/>
  <c r="L7" i="3"/>
  <c r="W38" i="3"/>
  <c r="W40" i="3" s="1"/>
  <c r="W8" i="4" s="1"/>
  <c r="W38" i="4" s="1"/>
  <c r="W40" i="4" s="1"/>
  <c r="W8" i="5" s="1"/>
  <c r="W38" i="5" s="1"/>
  <c r="W40" i="5" s="1"/>
  <c r="W8" i="6" s="1"/>
  <c r="AE38" i="3"/>
  <c r="AE40" i="3" s="1"/>
  <c r="AE8" i="4" s="1"/>
  <c r="AM38" i="3"/>
  <c r="AM40" i="3" s="1"/>
  <c r="AM8" i="4" s="1"/>
  <c r="AU38" i="3"/>
  <c r="AU40" i="3" s="1"/>
  <c r="AU8" i="4" s="1"/>
  <c r="BC38" i="3"/>
  <c r="BC40" i="3" s="1"/>
  <c r="BC8" i="4" s="1"/>
  <c r="BK38" i="3"/>
  <c r="BK40" i="3" s="1"/>
  <c r="BK8" i="4" s="1"/>
  <c r="CN38" i="4"/>
  <c r="CN40" i="4" s="1"/>
  <c r="CN8" i="5" s="1"/>
  <c r="CN38" i="5" s="1"/>
  <c r="CN40" i="5" s="1"/>
  <c r="CN8" i="6" s="1"/>
  <c r="K38" i="2"/>
  <c r="K40" i="2" s="1"/>
  <c r="K8" i="3" s="1"/>
  <c r="K7" i="3" s="1"/>
  <c r="S38" i="2"/>
  <c r="S40" i="2" s="1"/>
  <c r="S8" i="3" s="1"/>
  <c r="S7" i="3" s="1"/>
  <c r="AA38" i="2"/>
  <c r="AA40" i="2" s="1"/>
  <c r="AA8" i="3" s="1"/>
  <c r="AA7" i="3" s="1"/>
  <c r="AI38" i="2"/>
  <c r="AI40" i="2" s="1"/>
  <c r="AI8" i="3" s="1"/>
  <c r="AI7" i="3" s="1"/>
  <c r="AQ38" i="2"/>
  <c r="AQ40" i="2" s="1"/>
  <c r="AQ8" i="3" s="1"/>
  <c r="AQ6" i="3" s="1"/>
  <c r="AY38" i="2"/>
  <c r="AY40" i="2" s="1"/>
  <c r="AY8" i="3" s="1"/>
  <c r="AY7" i="3" s="1"/>
  <c r="AY6" i="3" s="1"/>
  <c r="BG38" i="2"/>
  <c r="BG40" i="2" s="1"/>
  <c r="BG8" i="3" s="1"/>
  <c r="BG7" i="3" s="1"/>
  <c r="BG6" i="3" s="1"/>
  <c r="BO38" i="2"/>
  <c r="BO40" i="2" s="1"/>
  <c r="BO8" i="3" s="1"/>
  <c r="BO7" i="3" s="1"/>
  <c r="BO6" i="3" s="1"/>
  <c r="BW38" i="2"/>
  <c r="BW40" i="2" s="1"/>
  <c r="BW8" i="3" s="1"/>
  <c r="BW7" i="3" s="1"/>
  <c r="BW6" i="3" s="1"/>
  <c r="CL38" i="2"/>
  <c r="CL40" i="2" s="1"/>
  <c r="CL8" i="3" s="1"/>
  <c r="CL6" i="3" s="1"/>
  <c r="CT38" i="2"/>
  <c r="CT40" i="2" s="1"/>
  <c r="CT8" i="3" s="1"/>
  <c r="CT6" i="3" s="1"/>
  <c r="AR38" i="2"/>
  <c r="AR40" i="2" s="1"/>
  <c r="AR8" i="3" s="1"/>
  <c r="CQ38" i="3"/>
  <c r="CQ40" i="3" s="1"/>
  <c r="CQ8" i="4" s="1"/>
  <c r="V38" i="4"/>
  <c r="V40" i="4" s="1"/>
  <c r="V8" i="5" s="1"/>
  <c r="V38" i="5" s="1"/>
  <c r="V40" i="5" s="1"/>
  <c r="V8" i="6" s="1"/>
  <c r="V38" i="6" s="1"/>
  <c r="V40" i="6" s="1"/>
  <c r="V8" i="7" s="1"/>
  <c r="V38" i="7" s="1"/>
  <c r="V40" i="7" s="1"/>
  <c r="V8" i="8" s="1"/>
  <c r="V38" i="8" s="1"/>
  <c r="V40" i="8" s="1"/>
  <c r="V8" i="9" s="1"/>
  <c r="V38" i="9" s="1"/>
  <c r="V40" i="9" s="1"/>
  <c r="V8" i="10" s="1"/>
  <c r="V38" i="10" s="1"/>
  <c r="V40" i="10" s="1"/>
  <c r="V8" i="11" s="1"/>
  <c r="V38" i="11" s="1"/>
  <c r="V40" i="11" s="1"/>
  <c r="V8" i="12" s="1"/>
  <c r="V38" i="12" s="1"/>
  <c r="V40" i="12" s="1"/>
  <c r="V8" i="13" s="1"/>
  <c r="V38" i="13" s="1"/>
  <c r="V40" i="13" s="1"/>
  <c r="V8" i="14" s="1"/>
  <c r="V38" i="14" s="1"/>
  <c r="V40" i="14" s="1"/>
  <c r="V8" i="15" s="1"/>
  <c r="V38" i="15" s="1"/>
  <c r="V40" i="15" s="1"/>
  <c r="V8" i="16" s="1"/>
  <c r="V38" i="16" s="1"/>
  <c r="V40" i="16" s="1"/>
  <c r="V8" i="17" s="1"/>
  <c r="V38" i="17" s="1"/>
  <c r="V40" i="17" s="1"/>
  <c r="V8" i="18" s="1"/>
  <c r="V38" i="18" s="1"/>
  <c r="V40" i="18" s="1"/>
  <c r="V8" i="19" s="1"/>
  <c r="V38" i="19" s="1"/>
  <c r="V40" i="19" s="1"/>
  <c r="V8" i="20" s="1"/>
  <c r="V38" i="20" s="1"/>
  <c r="V40" i="20" s="1"/>
  <c r="V8" i="21" s="1"/>
  <c r="V38" i="21" s="1"/>
  <c r="V40" i="21" s="1"/>
  <c r="AL38" i="4"/>
  <c r="AL40" i="4" s="1"/>
  <c r="AL8" i="5" s="1"/>
  <c r="AL6" i="5" s="1"/>
  <c r="BJ38" i="4"/>
  <c r="BJ40" i="4" s="1"/>
  <c r="BJ8" i="5" s="1"/>
  <c r="BJ7" i="5" s="1"/>
  <c r="BJ6" i="5" s="1"/>
  <c r="BR38" i="4"/>
  <c r="BR40" i="4" s="1"/>
  <c r="BR8" i="5" s="1"/>
  <c r="BR38" i="5" s="1"/>
  <c r="BR40" i="5" s="1"/>
  <c r="BR8" i="6" s="1"/>
  <c r="BR38" i="6" s="1"/>
  <c r="BR40" i="6" s="1"/>
  <c r="BR8" i="7" s="1"/>
  <c r="BR38" i="7" s="1"/>
  <c r="BR40" i="7" s="1"/>
  <c r="BR8" i="8" s="1"/>
  <c r="BR38" i="8" s="1"/>
  <c r="BR40" i="8" s="1"/>
  <c r="BR8" i="9" s="1"/>
  <c r="BR38" i="9" s="1"/>
  <c r="BR40" i="9" s="1"/>
  <c r="BR8" i="10" s="1"/>
  <c r="BR38" i="10" s="1"/>
  <c r="BR40" i="10" s="1"/>
  <c r="BR8" i="11" s="1"/>
  <c r="BR38" i="11" s="1"/>
  <c r="BR40" i="11" s="1"/>
  <c r="BR8" i="12" s="1"/>
  <c r="BR38" i="12" s="1"/>
  <c r="BR40" i="12" s="1"/>
  <c r="BR8" i="13" s="1"/>
  <c r="BR38" i="13" s="1"/>
  <c r="BR40" i="13" s="1"/>
  <c r="BR8" i="14" s="1"/>
  <c r="BR38" i="14" s="1"/>
  <c r="BR40" i="14" s="1"/>
  <c r="BR8" i="15" s="1"/>
  <c r="BR38" i="15" s="1"/>
  <c r="BR40" i="15" s="1"/>
  <c r="BR8" i="16" s="1"/>
  <c r="BR38" i="16" s="1"/>
  <c r="BR40" i="16" s="1"/>
  <c r="BR8" i="17" s="1"/>
  <c r="BR38" i="17" s="1"/>
  <c r="BR40" i="17" s="1"/>
  <c r="BR8" i="18" s="1"/>
  <c r="BR38" i="18" s="1"/>
  <c r="BR40" i="18" s="1"/>
  <c r="BR8" i="19" s="1"/>
  <c r="BR38" i="19" s="1"/>
  <c r="BR40" i="19" s="1"/>
  <c r="BR8" i="20" s="1"/>
  <c r="BR38" i="20" s="1"/>
  <c r="BR40" i="20" s="1"/>
  <c r="BR8" i="21" s="1"/>
  <c r="BR38" i="21" s="1"/>
  <c r="BR40" i="21" s="1"/>
  <c r="T38" i="5"/>
  <c r="T40" i="5" s="1"/>
  <c r="T8" i="6" s="1"/>
  <c r="T38" i="6" s="1"/>
  <c r="T40" i="6" s="1"/>
  <c r="T8" i="7" s="1"/>
  <c r="T38" i="7" s="1"/>
  <c r="T40" i="7" s="1"/>
  <c r="T8" i="8" s="1"/>
  <c r="T38" i="8" s="1"/>
  <c r="T40" i="8" s="1"/>
  <c r="T8" i="9" s="1"/>
  <c r="T38" i="9" s="1"/>
  <c r="T40" i="9" s="1"/>
  <c r="T8" i="10" s="1"/>
  <c r="T38" i="10" s="1"/>
  <c r="T40" i="10" s="1"/>
  <c r="T8" i="11" s="1"/>
  <c r="T38" i="11" s="1"/>
  <c r="T40" i="11" s="1"/>
  <c r="T8" i="12" s="1"/>
  <c r="T38" i="12" s="1"/>
  <c r="T40" i="12" s="1"/>
  <c r="T8" i="13" s="1"/>
  <c r="T38" i="13" s="1"/>
  <c r="T40" i="13" s="1"/>
  <c r="T8" i="14" s="1"/>
  <c r="T38" i="14" s="1"/>
  <c r="T40" i="14" s="1"/>
  <c r="T8" i="15" s="1"/>
  <c r="T38" i="15" s="1"/>
  <c r="T40" i="15" s="1"/>
  <c r="T8" i="16" s="1"/>
  <c r="T38" i="16" s="1"/>
  <c r="T40" i="16" s="1"/>
  <c r="T8" i="17" s="1"/>
  <c r="T38" i="17" s="1"/>
  <c r="T40" i="17" s="1"/>
  <c r="T8" i="18" s="1"/>
  <c r="T38" i="18" s="1"/>
  <c r="T40" i="18" s="1"/>
  <c r="T8" i="19" s="1"/>
  <c r="T38" i="19" s="1"/>
  <c r="T40" i="19" s="1"/>
  <c r="T8" i="20" s="1"/>
  <c r="T38" i="20" s="1"/>
  <c r="T40" i="20" s="1"/>
  <c r="T8" i="21" s="1"/>
  <c r="T38" i="21" s="1"/>
  <c r="T40" i="21" s="1"/>
  <c r="BH7" i="2"/>
  <c r="BH6" i="2" s="1"/>
  <c r="M38" i="2"/>
  <c r="M40" i="2" s="1"/>
  <c r="M8" i="3" s="1"/>
  <c r="M7" i="3" s="1"/>
  <c r="U38" i="2"/>
  <c r="U40" i="2" s="1"/>
  <c r="U8" i="3" s="1"/>
  <c r="U38" i="3" s="1"/>
  <c r="U40" i="3" s="1"/>
  <c r="U8" i="4" s="1"/>
  <c r="U38" i="4" s="1"/>
  <c r="U40" i="4" s="1"/>
  <c r="U8" i="5" s="1"/>
  <c r="U38" i="5" s="1"/>
  <c r="U40" i="5" s="1"/>
  <c r="U8" i="6" s="1"/>
  <c r="U38" i="6" s="1"/>
  <c r="U40" i="6" s="1"/>
  <c r="U8" i="7" s="1"/>
  <c r="U38" i="7" s="1"/>
  <c r="U40" i="7" s="1"/>
  <c r="U8" i="8" s="1"/>
  <c r="U38" i="8" s="1"/>
  <c r="U40" i="8" s="1"/>
  <c r="U8" i="9" s="1"/>
  <c r="U38" i="9" s="1"/>
  <c r="U40" i="9" s="1"/>
  <c r="U8" i="10" s="1"/>
  <c r="U38" i="10" s="1"/>
  <c r="U40" i="10" s="1"/>
  <c r="U8" i="11" s="1"/>
  <c r="U38" i="11" s="1"/>
  <c r="U40" i="11" s="1"/>
  <c r="U8" i="12" s="1"/>
  <c r="U38" i="12" s="1"/>
  <c r="U40" i="12" s="1"/>
  <c r="U8" i="13" s="1"/>
  <c r="U38" i="13" s="1"/>
  <c r="U40" i="13" s="1"/>
  <c r="U8" i="14" s="1"/>
  <c r="U38" i="14" s="1"/>
  <c r="U40" i="14" s="1"/>
  <c r="U8" i="15" s="1"/>
  <c r="U38" i="15" s="1"/>
  <c r="U40" i="15" s="1"/>
  <c r="U8" i="16" s="1"/>
  <c r="U38" i="16" s="1"/>
  <c r="U40" i="16" s="1"/>
  <c r="U8" i="17" s="1"/>
  <c r="U38" i="17" s="1"/>
  <c r="U40" i="17" s="1"/>
  <c r="U8" i="18" s="1"/>
  <c r="U38" i="18" s="1"/>
  <c r="U40" i="18" s="1"/>
  <c r="U8" i="19" s="1"/>
  <c r="U38" i="19" s="1"/>
  <c r="U40" i="19" s="1"/>
  <c r="U8" i="20" s="1"/>
  <c r="U38" i="20" s="1"/>
  <c r="U40" i="20" s="1"/>
  <c r="U8" i="21" s="1"/>
  <c r="U38" i="21" s="1"/>
  <c r="U40" i="21" s="1"/>
  <c r="AC38" i="2"/>
  <c r="AC40" i="2" s="1"/>
  <c r="AC8" i="3" s="1"/>
  <c r="AC7" i="3" s="1"/>
  <c r="AK38" i="2"/>
  <c r="AK40" i="2" s="1"/>
  <c r="AK8" i="3" s="1"/>
  <c r="AK7" i="3" s="1"/>
  <c r="AS38" i="2"/>
  <c r="AS40" i="2" s="1"/>
  <c r="AS8" i="3" s="1"/>
  <c r="AS7" i="3" s="1"/>
  <c r="AS6" i="3" s="1"/>
  <c r="BA38" i="2"/>
  <c r="BA40" i="2" s="1"/>
  <c r="BA8" i="3" s="1"/>
  <c r="BA7" i="3" s="1"/>
  <c r="BA6" i="3" s="1"/>
  <c r="BI38" i="2"/>
  <c r="BI40" i="2" s="1"/>
  <c r="BI8" i="3" s="1"/>
  <c r="BI7" i="3" s="1"/>
  <c r="BI6" i="3" s="1"/>
  <c r="BQ38" i="2"/>
  <c r="BQ40" i="2" s="1"/>
  <c r="BQ8" i="3" s="1"/>
  <c r="BQ7" i="3" s="1"/>
  <c r="BQ6" i="3" s="1"/>
  <c r="CB38" i="2"/>
  <c r="CB40" i="2" s="1"/>
  <c r="CB8" i="3" s="1"/>
  <c r="Z38" i="3"/>
  <c r="Z40" i="3" s="1"/>
  <c r="Z8" i="4" s="1"/>
  <c r="Z7" i="4" s="1"/>
  <c r="AH38" i="3"/>
  <c r="AH40" i="3" s="1"/>
  <c r="AH8" i="4" s="1"/>
  <c r="AH7" i="4" s="1"/>
  <c r="AP38" i="3"/>
  <c r="AP40" i="3" s="1"/>
  <c r="AP8" i="4" s="1"/>
  <c r="AP6" i="4" s="1"/>
  <c r="AX38" i="3"/>
  <c r="AX40" i="3" s="1"/>
  <c r="AX8" i="4" s="1"/>
  <c r="AX7" i="4" s="1"/>
  <c r="AX6" i="4" s="1"/>
  <c r="BF38" i="3"/>
  <c r="BF40" i="3" s="1"/>
  <c r="BF8" i="4" s="1"/>
  <c r="BF7" i="4" s="1"/>
  <c r="BF6" i="4" s="1"/>
  <c r="BN38" i="3"/>
  <c r="BN40" i="3" s="1"/>
  <c r="BN8" i="4" s="1"/>
  <c r="BN7" i="4" s="1"/>
  <c r="BN6" i="4" s="1"/>
  <c r="BB38" i="3"/>
  <c r="BB40" i="3" s="1"/>
  <c r="BB8" i="4" s="1"/>
  <c r="BB7" i="4" s="1"/>
  <c r="BB6" i="4" s="1"/>
  <c r="X38" i="4"/>
  <c r="X40" i="4" s="1"/>
  <c r="X8" i="5" s="1"/>
  <c r="X38" i="5" s="1"/>
  <c r="X40" i="5" s="1"/>
  <c r="X8" i="6" s="1"/>
  <c r="X38" i="6" s="1"/>
  <c r="X40" i="6" s="1"/>
  <c r="X8" i="7" s="1"/>
  <c r="X38" i="7" s="1"/>
  <c r="X40" i="7" s="1"/>
  <c r="X8" i="8" s="1"/>
  <c r="X38" i="8" s="1"/>
  <c r="X40" i="8" s="1"/>
  <c r="X8" i="9" s="1"/>
  <c r="X38" i="9" s="1"/>
  <c r="X40" i="9" s="1"/>
  <c r="X8" i="10" s="1"/>
  <c r="X38" i="10" s="1"/>
  <c r="X40" i="10" s="1"/>
  <c r="X8" i="11" s="1"/>
  <c r="X38" i="11" s="1"/>
  <c r="X40" i="11" s="1"/>
  <c r="X8" i="12" s="1"/>
  <c r="X38" i="12" s="1"/>
  <c r="X40" i="12" s="1"/>
  <c r="X8" i="13" s="1"/>
  <c r="X38" i="13" s="1"/>
  <c r="X40" i="13" s="1"/>
  <c r="X8" i="14" s="1"/>
  <c r="X38" i="14" s="1"/>
  <c r="X40" i="14" s="1"/>
  <c r="X8" i="15" s="1"/>
  <c r="X38" i="15" s="1"/>
  <c r="X40" i="15" s="1"/>
  <c r="X8" i="16" s="1"/>
  <c r="X38" i="16" s="1"/>
  <c r="X40" i="16" s="1"/>
  <c r="X8" i="17" s="1"/>
  <c r="X38" i="17" s="1"/>
  <c r="X40" i="17" s="1"/>
  <c r="X8" i="18" s="1"/>
  <c r="X38" i="18" s="1"/>
  <c r="X40" i="18" s="1"/>
  <c r="X8" i="19" s="1"/>
  <c r="X38" i="19" s="1"/>
  <c r="X40" i="19" s="1"/>
  <c r="X8" i="20" s="1"/>
  <c r="X38" i="20" s="1"/>
  <c r="X40" i="20" s="1"/>
  <c r="X8" i="21" s="1"/>
  <c r="X38" i="21" s="1"/>
  <c r="X40" i="21" s="1"/>
  <c r="W38" i="6"/>
  <c r="W40" i="6" s="1"/>
  <c r="W8" i="7" s="1"/>
  <c r="W38" i="7" s="1"/>
  <c r="W40" i="7" s="1"/>
  <c r="W8" i="8" s="1"/>
  <c r="W38" i="8" s="1"/>
  <c r="W40" i="8" s="1"/>
  <c r="W8" i="9" s="1"/>
  <c r="W38" i="9" s="1"/>
  <c r="W40" i="9" s="1"/>
  <c r="W8" i="10" s="1"/>
  <c r="W38" i="10" s="1"/>
  <c r="W40" i="10" s="1"/>
  <c r="W8" i="11" s="1"/>
  <c r="W38" i="11" s="1"/>
  <c r="W40" i="11" s="1"/>
  <c r="W8" i="12" s="1"/>
  <c r="W38" i="12" s="1"/>
  <c r="W40" i="12" s="1"/>
  <c r="W8" i="13" s="1"/>
  <c r="W38" i="13" s="1"/>
  <c r="W40" i="13" s="1"/>
  <c r="W8" i="14" s="1"/>
  <c r="W38" i="14" s="1"/>
  <c r="W40" i="14" s="1"/>
  <c r="W8" i="15" s="1"/>
  <c r="W38" i="15" s="1"/>
  <c r="W40" i="15" s="1"/>
  <c r="W8" i="16" s="1"/>
  <c r="W38" i="16" s="1"/>
  <c r="W40" i="16" s="1"/>
  <c r="W8" i="17" s="1"/>
  <c r="W38" i="17" s="1"/>
  <c r="W40" i="17" s="1"/>
  <c r="W8" i="18" s="1"/>
  <c r="W38" i="18" s="1"/>
  <c r="W40" i="18" s="1"/>
  <c r="W8" i="19" s="1"/>
  <c r="W38" i="19" s="1"/>
  <c r="W40" i="19" s="1"/>
  <c r="W8" i="20" s="1"/>
  <c r="W38" i="20" s="1"/>
  <c r="W40" i="20" s="1"/>
  <c r="W8" i="21" s="1"/>
  <c r="W38" i="21" s="1"/>
  <c r="W40" i="21" s="1"/>
  <c r="I38" i="6"/>
  <c r="I40" i="6" s="1"/>
  <c r="I8" i="7" s="1"/>
  <c r="I38" i="7" s="1"/>
  <c r="I40" i="7" s="1"/>
  <c r="I8" i="8" s="1"/>
  <c r="I38" i="8" s="1"/>
  <c r="I40" i="8" s="1"/>
  <c r="I8" i="9" s="1"/>
  <c r="I38" i="9" s="1"/>
  <c r="I40" i="9" s="1"/>
  <c r="I8" i="10" s="1"/>
  <c r="I38" i="10" s="1"/>
  <c r="I40" i="10" s="1"/>
  <c r="I8" i="11" s="1"/>
  <c r="I38" i="11" s="1"/>
  <c r="I40" i="11" s="1"/>
  <c r="I8" i="12" s="1"/>
  <c r="I38" i="12" s="1"/>
  <c r="I40" i="12" s="1"/>
  <c r="I8" i="13" s="1"/>
  <c r="I38" i="13" s="1"/>
  <c r="I40" i="13" s="1"/>
  <c r="I8" i="14" s="1"/>
  <c r="I38" i="14" s="1"/>
  <c r="I40" i="14" s="1"/>
  <c r="I8" i="15" s="1"/>
  <c r="I38" i="15" s="1"/>
  <c r="I40" i="15" s="1"/>
  <c r="I8" i="16" s="1"/>
  <c r="I38" i="16" s="1"/>
  <c r="I40" i="16" s="1"/>
  <c r="I8" i="17" s="1"/>
  <c r="I38" i="17" s="1"/>
  <c r="I40" i="17" s="1"/>
  <c r="I8" i="18" s="1"/>
  <c r="I38" i="18" s="1"/>
  <c r="I40" i="18" s="1"/>
  <c r="I8" i="19" s="1"/>
  <c r="I38" i="19" s="1"/>
  <c r="I40" i="19" s="1"/>
  <c r="I8" i="20" s="1"/>
  <c r="I38" i="20" s="1"/>
  <c r="I40" i="20" s="1"/>
  <c r="I8" i="21" s="1"/>
  <c r="I38" i="21" s="1"/>
  <c r="I40" i="21" s="1"/>
  <c r="AL6" i="4"/>
  <c r="AL6" i="2"/>
  <c r="CO6" i="2"/>
  <c r="CN6" i="3"/>
  <c r="AL6" i="3"/>
  <c r="CO6" i="3"/>
  <c r="CO6" i="4"/>
  <c r="CH6" i="3"/>
  <c r="CP6" i="2"/>
  <c r="CO38" i="4"/>
  <c r="CO40" i="4" s="1"/>
  <c r="CO8" i="5" s="1"/>
  <c r="BJ7" i="3"/>
  <c r="BJ6" i="3" s="1"/>
  <c r="CH38" i="3"/>
  <c r="CH40" i="3" s="1"/>
  <c r="CH8" i="4" s="1"/>
  <c r="CH6" i="4" s="1"/>
  <c r="BB7" i="2"/>
  <c r="BB6" i="2" s="1"/>
  <c r="CH6" i="2"/>
  <c r="N38" i="2"/>
  <c r="N40" i="2" s="1"/>
  <c r="N8" i="3" s="1"/>
  <c r="AT38" i="2"/>
  <c r="AT40" i="2" s="1"/>
  <c r="AT8" i="3" s="1"/>
  <c r="AT38" i="3" s="1"/>
  <c r="AT40" i="3" s="1"/>
  <c r="AT8" i="4" s="1"/>
  <c r="AT7" i="4" s="1"/>
  <c r="AT6" i="4" s="1"/>
  <c r="CP38" i="2"/>
  <c r="CP40" i="2" s="1"/>
  <c r="CP8" i="3" s="1"/>
  <c r="BJ7" i="2"/>
  <c r="BJ6" i="2" s="1"/>
  <c r="AD38" i="2"/>
  <c r="AD40" i="2" s="1"/>
  <c r="AD8" i="3" s="1"/>
  <c r="AD38" i="3" s="1"/>
  <c r="AD40" i="3" s="1"/>
  <c r="AD8" i="4" s="1"/>
  <c r="AD7" i="4" s="1"/>
  <c r="AO6" i="3"/>
  <c r="Q7" i="3"/>
  <c r="AW38" i="3"/>
  <c r="AW40" i="3" s="1"/>
  <c r="AW8" i="4" s="1"/>
  <c r="BE38" i="3"/>
  <c r="BE40" i="3" s="1"/>
  <c r="BE8" i="4" s="1"/>
  <c r="AO6" i="2"/>
  <c r="Q7" i="2"/>
  <c r="AG38" i="2"/>
  <c r="AG40" i="2" s="1"/>
  <c r="AG8" i="3" s="1"/>
  <c r="AG7" i="3" s="1"/>
  <c r="AW38" i="2"/>
  <c r="AW40" i="2" s="1"/>
  <c r="AW8" i="3" s="1"/>
  <c r="AW7" i="3" s="1"/>
  <c r="AW6" i="3" s="1"/>
  <c r="BE38" i="2"/>
  <c r="BE40" i="2" s="1"/>
  <c r="BE8" i="3" s="1"/>
  <c r="BE7" i="3" s="1"/>
  <c r="BE6" i="3" s="1"/>
  <c r="BM38" i="2"/>
  <c r="BM40" i="2" s="1"/>
  <c r="BM8" i="3" s="1"/>
  <c r="BM7" i="3" s="1"/>
  <c r="BM6" i="3" s="1"/>
  <c r="BU38" i="2"/>
  <c r="BU40" i="2" s="1"/>
  <c r="BU8" i="3" s="1"/>
  <c r="BU7" i="3" s="1"/>
  <c r="CC38" i="2"/>
  <c r="CC40" i="2" s="1"/>
  <c r="CC8" i="3" s="1"/>
  <c r="CC6" i="3" s="1"/>
  <c r="CK38" i="2"/>
  <c r="CK40" i="2" s="1"/>
  <c r="CK8" i="3" s="1"/>
  <c r="CS38" i="2"/>
  <c r="CS40" i="2" s="1"/>
  <c r="CS8" i="3" s="1"/>
  <c r="BU38" i="3" l="1"/>
  <c r="BU40" i="3" s="1"/>
  <c r="BU8" i="4" s="1"/>
  <c r="BS38" i="3"/>
  <c r="BS40" i="3" s="1"/>
  <c r="BS8" i="4" s="1"/>
  <c r="AO38" i="6"/>
  <c r="AO40" i="6" s="1"/>
  <c r="AO8" i="7" s="1"/>
  <c r="AO6" i="7" s="1"/>
  <c r="AZ38" i="5"/>
  <c r="AZ40" i="5" s="1"/>
  <c r="AZ8" i="6" s="1"/>
  <c r="Q38" i="5"/>
  <c r="Q40" i="5" s="1"/>
  <c r="Q8" i="6" s="1"/>
  <c r="CN6" i="5"/>
  <c r="BJ38" i="5"/>
  <c r="BJ40" i="5" s="1"/>
  <c r="BJ8" i="6" s="1"/>
  <c r="BJ38" i="6" s="1"/>
  <c r="BJ40" i="6" s="1"/>
  <c r="BJ8" i="7" s="1"/>
  <c r="BJ38" i="7" s="1"/>
  <c r="BJ40" i="7" s="1"/>
  <c r="BJ8" i="8" s="1"/>
  <c r="BJ7" i="8" s="1"/>
  <c r="BJ6" i="8" s="1"/>
  <c r="CU38" i="4"/>
  <c r="CU40" i="4" s="1"/>
  <c r="CU8" i="5" s="1"/>
  <c r="CM38" i="4"/>
  <c r="CM40" i="4" s="1"/>
  <c r="CM8" i="5" s="1"/>
  <c r="BH38" i="5"/>
  <c r="BH40" i="5" s="1"/>
  <c r="BH8" i="6" s="1"/>
  <c r="BH38" i="6" s="1"/>
  <c r="BH40" i="6" s="1"/>
  <c r="BH8" i="7" s="1"/>
  <c r="CC38" i="3"/>
  <c r="CC40" i="3" s="1"/>
  <c r="CC8" i="4" s="1"/>
  <c r="CC38" i="4" s="1"/>
  <c r="CC40" i="4" s="1"/>
  <c r="CC8" i="5" s="1"/>
  <c r="AX38" i="4"/>
  <c r="AX40" i="4" s="1"/>
  <c r="AX8" i="5" s="1"/>
  <c r="AX7" i="5" s="1"/>
  <c r="AX6" i="5" s="1"/>
  <c r="R38" i="3"/>
  <c r="R40" i="3" s="1"/>
  <c r="R8" i="4" s="1"/>
  <c r="R7" i="4" s="1"/>
  <c r="BM38" i="3"/>
  <c r="BM40" i="3" s="1"/>
  <c r="BM8" i="4" s="1"/>
  <c r="L38" i="5"/>
  <c r="L40" i="5" s="1"/>
  <c r="L8" i="6" s="1"/>
  <c r="L7" i="6" s="1"/>
  <c r="BP38" i="4"/>
  <c r="BP40" i="4" s="1"/>
  <c r="BP8" i="5" s="1"/>
  <c r="AS38" i="3"/>
  <c r="AS40" i="3" s="1"/>
  <c r="AS8" i="4" s="1"/>
  <c r="AS38" i="4" s="1"/>
  <c r="AS40" i="4" s="1"/>
  <c r="AS8" i="5" s="1"/>
  <c r="AS7" i="5" s="1"/>
  <c r="AS6" i="5" s="1"/>
  <c r="AL38" i="5"/>
  <c r="AL40" i="5" s="1"/>
  <c r="AL8" i="6" s="1"/>
  <c r="AL6" i="6" s="1"/>
  <c r="AQ38" i="3"/>
  <c r="AQ40" i="3" s="1"/>
  <c r="AQ8" i="4" s="1"/>
  <c r="AT38" i="4"/>
  <c r="AT40" i="4" s="1"/>
  <c r="AT8" i="5" s="1"/>
  <c r="AT7" i="5" s="1"/>
  <c r="AT6" i="5" s="1"/>
  <c r="N7" i="3"/>
  <c r="N38" i="3"/>
  <c r="N40" i="3" s="1"/>
  <c r="N8" i="4" s="1"/>
  <c r="AW7" i="4"/>
  <c r="AW6" i="4" s="1"/>
  <c r="AW38" i="4"/>
  <c r="AW40" i="4" s="1"/>
  <c r="AW8" i="5" s="1"/>
  <c r="CK6" i="3"/>
  <c r="CK38" i="3"/>
  <c r="CK40" i="3" s="1"/>
  <c r="CK8" i="4" s="1"/>
  <c r="BE7" i="4"/>
  <c r="BE6" i="4" s="1"/>
  <c r="BE38" i="4"/>
  <c r="BE40" i="4" s="1"/>
  <c r="BE8" i="5" s="1"/>
  <c r="CO38" i="5"/>
  <c r="CO40" i="5" s="1"/>
  <c r="CO8" i="6" s="1"/>
  <c r="CO6" i="5"/>
  <c r="CS6" i="3"/>
  <c r="CS38" i="3"/>
  <c r="CS40" i="3" s="1"/>
  <c r="CS8" i="4" s="1"/>
  <c r="AU38" i="4"/>
  <c r="AU40" i="4" s="1"/>
  <c r="AU8" i="5" s="1"/>
  <c r="AU7" i="4"/>
  <c r="AU6" i="4" s="1"/>
  <c r="AG38" i="3"/>
  <c r="AG40" i="3" s="1"/>
  <c r="AG8" i="4" s="1"/>
  <c r="CH38" i="4"/>
  <c r="CH40" i="4" s="1"/>
  <c r="CH8" i="5" s="1"/>
  <c r="AM38" i="4"/>
  <c r="AM40" i="4" s="1"/>
  <c r="AM8" i="5" s="1"/>
  <c r="AM6" i="4"/>
  <c r="BO38" i="3"/>
  <c r="BO40" i="3" s="1"/>
  <c r="BO8" i="4" s="1"/>
  <c r="AK38" i="3"/>
  <c r="AK40" i="3" s="1"/>
  <c r="AK8" i="4" s="1"/>
  <c r="BL7" i="3"/>
  <c r="BL6" i="3" s="1"/>
  <c r="BL38" i="3"/>
  <c r="BL40" i="3" s="1"/>
  <c r="BL8" i="4" s="1"/>
  <c r="AP38" i="4"/>
  <c r="AP40" i="4" s="1"/>
  <c r="AP8" i="5" s="1"/>
  <c r="AD7" i="3"/>
  <c r="AS7" i="4"/>
  <c r="AS6" i="4" s="1"/>
  <c r="AD38" i="4"/>
  <c r="AD40" i="4" s="1"/>
  <c r="AD8" i="5" s="1"/>
  <c r="AE38" i="4"/>
  <c r="AE40" i="4" s="1"/>
  <c r="AE8" i="5" s="1"/>
  <c r="AE7" i="4"/>
  <c r="AI38" i="3"/>
  <c r="AI40" i="3" s="1"/>
  <c r="AI8" i="4" s="1"/>
  <c r="AC38" i="3"/>
  <c r="AC40" i="3" s="1"/>
  <c r="AC8" i="4" s="1"/>
  <c r="BD7" i="3"/>
  <c r="BD6" i="3" s="1"/>
  <c r="BD38" i="3"/>
  <c r="BD40" i="3" s="1"/>
  <c r="BD8" i="4" s="1"/>
  <c r="BW38" i="3"/>
  <c r="BW40" i="3" s="1"/>
  <c r="BW8" i="4" s="1"/>
  <c r="AH38" i="4"/>
  <c r="AH40" i="4" s="1"/>
  <c r="AH8" i="5" s="1"/>
  <c r="AT38" i="5"/>
  <c r="AT40" i="5" s="1"/>
  <c r="AT8" i="6" s="1"/>
  <c r="CN38" i="6"/>
  <c r="CN40" i="6" s="1"/>
  <c r="CN8" i="7" s="1"/>
  <c r="CN6" i="6"/>
  <c r="CL38" i="3"/>
  <c r="CL40" i="3" s="1"/>
  <c r="CL8" i="4" s="1"/>
  <c r="AV38" i="3"/>
  <c r="AV40" i="3" s="1"/>
  <c r="AV8" i="4" s="1"/>
  <c r="AV7" i="3"/>
  <c r="AV6" i="3" s="1"/>
  <c r="AA38" i="3"/>
  <c r="AA40" i="3" s="1"/>
  <c r="AA8" i="4" s="1"/>
  <c r="Z38" i="4"/>
  <c r="Z40" i="4" s="1"/>
  <c r="Z8" i="5" s="1"/>
  <c r="CT38" i="3"/>
  <c r="CT40" i="3" s="1"/>
  <c r="CT8" i="4" s="1"/>
  <c r="H38" i="3"/>
  <c r="H40" i="3" s="1"/>
  <c r="H8" i="4" s="1"/>
  <c r="H7" i="3"/>
  <c r="BV38" i="3"/>
  <c r="BV40" i="3" s="1"/>
  <c r="BV8" i="4" s="1"/>
  <c r="J38" i="3"/>
  <c r="J40" i="3" s="1"/>
  <c r="J8" i="4" s="1"/>
  <c r="AY38" i="3"/>
  <c r="AY40" i="3" s="1"/>
  <c r="AY8" i="4" s="1"/>
  <c r="O38" i="3"/>
  <c r="O40" i="3" s="1"/>
  <c r="O8" i="4" s="1"/>
  <c r="M38" i="3"/>
  <c r="M40" i="3" s="1"/>
  <c r="M8" i="4" s="1"/>
  <c r="AN6" i="3"/>
  <c r="AN38" i="3"/>
  <c r="AN40" i="3" s="1"/>
  <c r="AN8" i="4" s="1"/>
  <c r="R38" i="4"/>
  <c r="R40" i="4" s="1"/>
  <c r="R8" i="5" s="1"/>
  <c r="BG38" i="3"/>
  <c r="BG40" i="3" s="1"/>
  <c r="BG8" i="4" s="1"/>
  <c r="BU38" i="4"/>
  <c r="BU40" i="4" s="1"/>
  <c r="BU8" i="5" s="1"/>
  <c r="BU7" i="4"/>
  <c r="AX38" i="5"/>
  <c r="AX40" i="5" s="1"/>
  <c r="AX8" i="6" s="1"/>
  <c r="CP38" i="3"/>
  <c r="CP40" i="3" s="1"/>
  <c r="CP8" i="4" s="1"/>
  <c r="CP6" i="3"/>
  <c r="CB38" i="3"/>
  <c r="CB40" i="3" s="1"/>
  <c r="CB8" i="4" s="1"/>
  <c r="CB6" i="3"/>
  <c r="CQ6" i="4"/>
  <c r="CQ38" i="4"/>
  <c r="CQ40" i="4" s="1"/>
  <c r="CQ8" i="5" s="1"/>
  <c r="K38" i="3"/>
  <c r="K40" i="3" s="1"/>
  <c r="K8" i="4" s="1"/>
  <c r="BS38" i="4"/>
  <c r="BS40" i="4" s="1"/>
  <c r="BS8" i="5" s="1"/>
  <c r="BS7" i="4"/>
  <c r="CR6" i="3"/>
  <c r="CR38" i="3"/>
  <c r="CR40" i="3" s="1"/>
  <c r="CR8" i="4" s="1"/>
  <c r="BQ38" i="3"/>
  <c r="BQ40" i="3" s="1"/>
  <c r="BQ8" i="4" s="1"/>
  <c r="BX38" i="3"/>
  <c r="BX40" i="3" s="1"/>
  <c r="BX8" i="4" s="1"/>
  <c r="BX7" i="3"/>
  <c r="BX6" i="3" s="1"/>
  <c r="AF7" i="3"/>
  <c r="AF38" i="3"/>
  <c r="AF40" i="3" s="1"/>
  <c r="AF8" i="4" s="1"/>
  <c r="S38" i="3"/>
  <c r="S40" i="3" s="1"/>
  <c r="S8" i="4" s="1"/>
  <c r="BM38" i="4"/>
  <c r="BM40" i="4" s="1"/>
  <c r="BM8" i="5" s="1"/>
  <c r="BM7" i="4"/>
  <c r="BM6" i="4" s="1"/>
  <c r="AT7" i="3"/>
  <c r="AT6" i="3" s="1"/>
  <c r="AR7" i="3"/>
  <c r="AR6" i="3" s="1"/>
  <c r="AR38" i="3"/>
  <c r="AR40" i="3" s="1"/>
  <c r="AR8" i="4" s="1"/>
  <c r="BK7" i="4"/>
  <c r="BK6" i="4" s="1"/>
  <c r="BK38" i="4"/>
  <c r="BK40" i="4" s="1"/>
  <c r="BK8" i="5" s="1"/>
  <c r="CJ38" i="3"/>
  <c r="CJ40" i="3" s="1"/>
  <c r="CJ8" i="4" s="1"/>
  <c r="CJ6" i="3"/>
  <c r="BI38" i="3"/>
  <c r="BI40" i="3" s="1"/>
  <c r="BI8" i="4" s="1"/>
  <c r="AB38" i="3"/>
  <c r="AB40" i="3" s="1"/>
  <c r="AB8" i="4" s="1"/>
  <c r="AB7" i="3"/>
  <c r="BN38" i="4"/>
  <c r="BN40" i="4" s="1"/>
  <c r="BN8" i="5" s="1"/>
  <c r="AZ38" i="6"/>
  <c r="AZ40" i="6" s="1"/>
  <c r="AZ8" i="7" s="1"/>
  <c r="AZ7" i="6"/>
  <c r="AZ6" i="6" s="1"/>
  <c r="BB38" i="4"/>
  <c r="BB40" i="4" s="1"/>
  <c r="BB8" i="5" s="1"/>
  <c r="BC7" i="4"/>
  <c r="BC6" i="4" s="1"/>
  <c r="BC38" i="4"/>
  <c r="BC40" i="4" s="1"/>
  <c r="BC8" i="5" s="1"/>
  <c r="CV38" i="3"/>
  <c r="CV40" i="3" s="1"/>
  <c r="CV8" i="4" s="1"/>
  <c r="CV6" i="3"/>
  <c r="AJ38" i="4"/>
  <c r="AJ40" i="4" s="1"/>
  <c r="AJ8" i="5" s="1"/>
  <c r="BA38" i="3"/>
  <c r="BA40" i="3" s="1"/>
  <c r="BA8" i="4" s="1"/>
  <c r="P7" i="3"/>
  <c r="P38" i="3"/>
  <c r="P40" i="3" s="1"/>
  <c r="P8" i="4" s="1"/>
  <c r="BF38" i="4"/>
  <c r="BF40" i="4" s="1"/>
  <c r="BF8" i="5" s="1"/>
  <c r="AO38" i="7" l="1"/>
  <c r="AO40" i="7" s="1"/>
  <c r="AO8" i="8" s="1"/>
  <c r="BH7" i="6"/>
  <c r="BH6" i="6" s="1"/>
  <c r="L38" i="6"/>
  <c r="L40" i="6" s="1"/>
  <c r="L8" i="7" s="1"/>
  <c r="BJ38" i="8"/>
  <c r="BJ40" i="8" s="1"/>
  <c r="BJ8" i="9" s="1"/>
  <c r="BJ7" i="9" s="1"/>
  <c r="BJ6" i="9" s="1"/>
  <c r="AS38" i="5"/>
  <c r="AS40" i="5" s="1"/>
  <c r="AS8" i="6" s="1"/>
  <c r="BJ7" i="7"/>
  <c r="BJ6" i="7" s="1"/>
  <c r="BJ7" i="6"/>
  <c r="BJ6" i="6" s="1"/>
  <c r="CM6" i="5"/>
  <c r="CM38" i="5"/>
  <c r="CM40" i="5" s="1"/>
  <c r="CM8" i="6" s="1"/>
  <c r="CU6" i="5"/>
  <c r="CU38" i="5"/>
  <c r="CU40" i="5" s="1"/>
  <c r="CU8" i="6" s="1"/>
  <c r="AL38" i="6"/>
  <c r="AL40" i="6" s="1"/>
  <c r="AL8" i="7" s="1"/>
  <c r="AL6" i="7" s="1"/>
  <c r="Q7" i="6"/>
  <c r="Q38" i="6"/>
  <c r="Q40" i="6" s="1"/>
  <c r="Q8" i="7" s="1"/>
  <c r="CC6" i="4"/>
  <c r="BP7" i="5"/>
  <c r="BP6" i="5" s="1"/>
  <c r="BP38" i="5"/>
  <c r="BP40" i="5" s="1"/>
  <c r="BP8" i="6" s="1"/>
  <c r="AQ6" i="4"/>
  <c r="AQ38" i="4"/>
  <c r="AQ40" i="4" s="1"/>
  <c r="AQ8" i="5" s="1"/>
  <c r="AJ7" i="5"/>
  <c r="AJ38" i="5"/>
  <c r="AJ40" i="5" s="1"/>
  <c r="AJ8" i="6" s="1"/>
  <c r="AO6" i="8"/>
  <c r="AO38" i="8"/>
  <c r="AO40" i="8" s="1"/>
  <c r="AO8" i="9" s="1"/>
  <c r="S7" i="4"/>
  <c r="S38" i="4"/>
  <c r="S40" i="4" s="1"/>
  <c r="S8" i="5" s="1"/>
  <c r="CB6" i="4"/>
  <c r="CB38" i="4"/>
  <c r="CB40" i="4" s="1"/>
  <c r="CB8" i="5" s="1"/>
  <c r="BG7" i="4"/>
  <c r="BG6" i="4" s="1"/>
  <c r="BG38" i="4"/>
  <c r="BG40" i="4" s="1"/>
  <c r="BG8" i="5" s="1"/>
  <c r="L7" i="7"/>
  <c r="L38" i="7"/>
  <c r="L40" i="7" s="1"/>
  <c r="L8" i="8" s="1"/>
  <c r="CT6" i="4"/>
  <c r="CT38" i="4"/>
  <c r="CT40" i="4" s="1"/>
  <c r="CT8" i="5" s="1"/>
  <c r="CN6" i="7"/>
  <c r="CN38" i="7"/>
  <c r="CN40" i="7" s="1"/>
  <c r="CN8" i="8" s="1"/>
  <c r="AC38" i="4"/>
  <c r="AC40" i="4" s="1"/>
  <c r="AC8" i="5" s="1"/>
  <c r="AC7" i="4"/>
  <c r="AM6" i="5"/>
  <c r="AM38" i="5"/>
  <c r="AM40" i="5" s="1"/>
  <c r="AM8" i="6" s="1"/>
  <c r="CK38" i="4"/>
  <c r="CK40" i="4" s="1"/>
  <c r="CK8" i="5" s="1"/>
  <c r="CK6" i="4"/>
  <c r="BN7" i="5"/>
  <c r="BN6" i="5" s="1"/>
  <c r="BN38" i="5"/>
  <c r="BN40" i="5" s="1"/>
  <c r="BN8" i="6" s="1"/>
  <c r="AR7" i="4"/>
  <c r="AR6" i="4" s="1"/>
  <c r="AR38" i="4"/>
  <c r="AR40" i="4" s="1"/>
  <c r="AR8" i="5" s="1"/>
  <c r="AF7" i="4"/>
  <c r="AF38" i="4"/>
  <c r="AF40" i="4" s="1"/>
  <c r="AF8" i="5" s="1"/>
  <c r="BS38" i="5"/>
  <c r="BS40" i="5" s="1"/>
  <c r="BS8" i="6" s="1"/>
  <c r="BS7" i="5"/>
  <c r="R38" i="5"/>
  <c r="R40" i="5" s="1"/>
  <c r="R8" i="6" s="1"/>
  <c r="R7" i="5"/>
  <c r="J7" i="4"/>
  <c r="J38" i="4"/>
  <c r="J40" i="4" s="1"/>
  <c r="J8" i="5" s="1"/>
  <c r="Z7" i="5"/>
  <c r="Z38" i="5"/>
  <c r="Z40" i="5" s="1"/>
  <c r="Z8" i="6" s="1"/>
  <c r="AI7" i="4"/>
  <c r="AI38" i="4"/>
  <c r="AI40" i="4" s="1"/>
  <c r="AI8" i="5" s="1"/>
  <c r="AS7" i="6"/>
  <c r="AS6" i="6" s="1"/>
  <c r="AS38" i="6"/>
  <c r="AS40" i="6" s="1"/>
  <c r="AS8" i="7" s="1"/>
  <c r="CH6" i="5"/>
  <c r="CH38" i="5"/>
  <c r="CH40" i="5" s="1"/>
  <c r="CH8" i="6" s="1"/>
  <c r="CO6" i="6"/>
  <c r="CO38" i="6"/>
  <c r="CO40" i="6" s="1"/>
  <c r="CO8" i="7" s="1"/>
  <c r="CV6" i="4"/>
  <c r="CV38" i="4"/>
  <c r="CV40" i="4" s="1"/>
  <c r="CV8" i="5" s="1"/>
  <c r="K7" i="4"/>
  <c r="K38" i="4"/>
  <c r="K40" i="4" s="1"/>
  <c r="K8" i="5" s="1"/>
  <c r="AN6" i="4"/>
  <c r="AN38" i="4"/>
  <c r="AN40" i="4" s="1"/>
  <c r="AN8" i="5" s="1"/>
  <c r="BV7" i="4"/>
  <c r="BV6" i="4" s="1"/>
  <c r="BV38" i="4"/>
  <c r="BV40" i="4" s="1"/>
  <c r="BV8" i="5" s="1"/>
  <c r="AA7" i="4"/>
  <c r="AA38" i="4"/>
  <c r="AA40" i="4" s="1"/>
  <c r="AA8" i="5" s="1"/>
  <c r="AT38" i="6"/>
  <c r="AT40" i="6" s="1"/>
  <c r="AT8" i="7" s="1"/>
  <c r="AT7" i="6"/>
  <c r="AT6" i="6" s="1"/>
  <c r="AP6" i="5"/>
  <c r="AP38" i="5"/>
  <c r="AP40" i="5" s="1"/>
  <c r="AP8" i="6" s="1"/>
  <c r="AW7" i="5"/>
  <c r="AW6" i="5" s="1"/>
  <c r="AW38" i="5"/>
  <c r="AW40" i="5" s="1"/>
  <c r="AW8" i="6" s="1"/>
  <c r="BC38" i="5"/>
  <c r="BC40" i="5" s="1"/>
  <c r="BC8" i="6" s="1"/>
  <c r="BC7" i="5"/>
  <c r="BC6" i="5" s="1"/>
  <c r="CQ38" i="5"/>
  <c r="CQ40" i="5" s="1"/>
  <c r="CQ8" i="6" s="1"/>
  <c r="CQ6" i="5"/>
  <c r="CP6" i="4"/>
  <c r="CP38" i="4"/>
  <c r="CP40" i="4" s="1"/>
  <c r="CP8" i="5" s="1"/>
  <c r="BJ38" i="9"/>
  <c r="BJ40" i="9" s="1"/>
  <c r="BJ8" i="10" s="1"/>
  <c r="AE7" i="5"/>
  <c r="AE38" i="5"/>
  <c r="AE40" i="5" s="1"/>
  <c r="AE8" i="6" s="1"/>
  <c r="BL7" i="4"/>
  <c r="BL6" i="4" s="1"/>
  <c r="BL38" i="4"/>
  <c r="BL40" i="4" s="1"/>
  <c r="BL8" i="5" s="1"/>
  <c r="AG38" i="4"/>
  <c r="AG40" i="4" s="1"/>
  <c r="AG8" i="5" s="1"/>
  <c r="AG7" i="4"/>
  <c r="BF7" i="5"/>
  <c r="BF6" i="5" s="1"/>
  <c r="BF38" i="5"/>
  <c r="BF40" i="5" s="1"/>
  <c r="BF8" i="6" s="1"/>
  <c r="BI7" i="4"/>
  <c r="BI6" i="4" s="1"/>
  <c r="BI38" i="4"/>
  <c r="BI40" i="4" s="1"/>
  <c r="BI8" i="5" s="1"/>
  <c r="BX7" i="4"/>
  <c r="BX6" i="4" s="1"/>
  <c r="BX38" i="4"/>
  <c r="BX40" i="4" s="1"/>
  <c r="BX8" i="5" s="1"/>
  <c r="AX7" i="6"/>
  <c r="AX6" i="6" s="1"/>
  <c r="AX38" i="6"/>
  <c r="AX40" i="6" s="1"/>
  <c r="AX8" i="7" s="1"/>
  <c r="M7" i="4"/>
  <c r="M38" i="4"/>
  <c r="M40" i="4" s="1"/>
  <c r="M8" i="5" s="1"/>
  <c r="AV7" i="4"/>
  <c r="AV6" i="4" s="1"/>
  <c r="AV38" i="4"/>
  <c r="AV40" i="4" s="1"/>
  <c r="AV8" i="5" s="1"/>
  <c r="AH7" i="5"/>
  <c r="AH38" i="5"/>
  <c r="AH40" i="5" s="1"/>
  <c r="AH8" i="6" s="1"/>
  <c r="AD7" i="5"/>
  <c r="AD38" i="5"/>
  <c r="AD40" i="5" s="1"/>
  <c r="AD8" i="6" s="1"/>
  <c r="BE7" i="5"/>
  <c r="BE6" i="5" s="1"/>
  <c r="BE38" i="5"/>
  <c r="BE40" i="5" s="1"/>
  <c r="BE8" i="6" s="1"/>
  <c r="P7" i="4"/>
  <c r="P38" i="4"/>
  <c r="P40" i="4" s="1"/>
  <c r="P8" i="5" s="1"/>
  <c r="BB7" i="5"/>
  <c r="BB6" i="5" s="1"/>
  <c r="BB38" i="5"/>
  <c r="BB40" i="5" s="1"/>
  <c r="BB8" i="6" s="1"/>
  <c r="BQ7" i="4"/>
  <c r="BQ6" i="4" s="1"/>
  <c r="BQ38" i="4"/>
  <c r="BQ40" i="4" s="1"/>
  <c r="BQ8" i="5" s="1"/>
  <c r="O38" i="4"/>
  <c r="O40" i="4" s="1"/>
  <c r="O8" i="5" s="1"/>
  <c r="O7" i="4"/>
  <c r="CC6" i="5"/>
  <c r="CC38" i="5"/>
  <c r="CC40" i="5" s="1"/>
  <c r="CC8" i="6" s="1"/>
  <c r="CL6" i="4"/>
  <c r="CL38" i="4"/>
  <c r="CL40" i="4" s="1"/>
  <c r="CL8" i="5" s="1"/>
  <c r="BW7" i="4"/>
  <c r="BW6" i="4" s="1"/>
  <c r="BW38" i="4"/>
  <c r="BW40" i="4" s="1"/>
  <c r="BW8" i="5" s="1"/>
  <c r="AK7" i="4"/>
  <c r="AK38" i="4"/>
  <c r="AK40" i="4" s="1"/>
  <c r="AK8" i="5" s="1"/>
  <c r="AU7" i="5"/>
  <c r="AU6" i="5" s="1"/>
  <c r="AU38" i="5"/>
  <c r="AU40" i="5" s="1"/>
  <c r="AU8" i="6" s="1"/>
  <c r="AB7" i="4"/>
  <c r="AB38" i="4"/>
  <c r="AB40" i="4" s="1"/>
  <c r="AB8" i="5" s="1"/>
  <c r="CJ6" i="4"/>
  <c r="CJ38" i="4"/>
  <c r="CJ40" i="4" s="1"/>
  <c r="CJ8" i="5" s="1"/>
  <c r="CR6" i="4"/>
  <c r="CR38" i="4"/>
  <c r="CR40" i="4" s="1"/>
  <c r="CR8" i="5" s="1"/>
  <c r="BU7" i="5"/>
  <c r="BU38" i="5"/>
  <c r="BU40" i="5" s="1"/>
  <c r="BU8" i="6" s="1"/>
  <c r="AY7" i="4"/>
  <c r="AY6" i="4" s="1"/>
  <c r="AY38" i="4"/>
  <c r="AY40" i="4" s="1"/>
  <c r="AY8" i="5" s="1"/>
  <c r="BD7" i="4"/>
  <c r="BD6" i="4" s="1"/>
  <c r="BD38" i="4"/>
  <c r="BD40" i="4" s="1"/>
  <c r="BD8" i="5" s="1"/>
  <c r="BO7" i="4"/>
  <c r="BO6" i="4" s="1"/>
  <c r="BO38" i="4"/>
  <c r="BO40" i="4" s="1"/>
  <c r="BO8" i="5" s="1"/>
  <c r="CS6" i="4"/>
  <c r="CS38" i="4"/>
  <c r="CS40" i="4" s="1"/>
  <c r="CS8" i="5" s="1"/>
  <c r="N7" i="4"/>
  <c r="N38" i="4"/>
  <c r="N40" i="4" s="1"/>
  <c r="N8" i="5" s="1"/>
  <c r="BH7" i="7"/>
  <c r="BH6" i="7" s="1"/>
  <c r="BH38" i="7"/>
  <c r="BH40" i="7" s="1"/>
  <c r="BH8" i="8" s="1"/>
  <c r="BA38" i="4"/>
  <c r="BA40" i="4" s="1"/>
  <c r="BA8" i="5" s="1"/>
  <c r="BA7" i="4"/>
  <c r="BA6" i="4" s="1"/>
  <c r="AZ7" i="7"/>
  <c r="AZ6" i="7" s="1"/>
  <c r="AZ38" i="7"/>
  <c r="AZ40" i="7" s="1"/>
  <c r="AZ8" i="8" s="1"/>
  <c r="BK38" i="5"/>
  <c r="BK40" i="5" s="1"/>
  <c r="BK8" i="6" s="1"/>
  <c r="BK7" i="5"/>
  <c r="BK6" i="5" s="1"/>
  <c r="BM7" i="5"/>
  <c r="BM6" i="5" s="1"/>
  <c r="BM38" i="5"/>
  <c r="BM40" i="5" s="1"/>
  <c r="BM8" i="6" s="1"/>
  <c r="H7" i="4"/>
  <c r="H38" i="4"/>
  <c r="H40" i="4" s="1"/>
  <c r="H8" i="5" s="1"/>
  <c r="AL38" i="7" l="1"/>
  <c r="AL40" i="7" s="1"/>
  <c r="AL8" i="8" s="1"/>
  <c r="Q7" i="7"/>
  <c r="Q38" i="7"/>
  <c r="Q40" i="7" s="1"/>
  <c r="Q8" i="8" s="1"/>
  <c r="CU38" i="6"/>
  <c r="CU40" i="6" s="1"/>
  <c r="CU8" i="7" s="1"/>
  <c r="CU6" i="6"/>
  <c r="CM6" i="6"/>
  <c r="CM38" i="6"/>
  <c r="CM40" i="6" s="1"/>
  <c r="CM8" i="7" s="1"/>
  <c r="AQ38" i="5"/>
  <c r="AQ40" i="5" s="1"/>
  <c r="AQ8" i="6" s="1"/>
  <c r="AQ6" i="5"/>
  <c r="BP7" i="6"/>
  <c r="BP6" i="6" s="1"/>
  <c r="BP38" i="6"/>
  <c r="BP40" i="6" s="1"/>
  <c r="BP8" i="7" s="1"/>
  <c r="AY7" i="5"/>
  <c r="AY6" i="5" s="1"/>
  <c r="AY38" i="5"/>
  <c r="AY40" i="5" s="1"/>
  <c r="AY8" i="6" s="1"/>
  <c r="BQ7" i="5"/>
  <c r="BQ6" i="5" s="1"/>
  <c r="BQ38" i="5"/>
  <c r="BQ40" i="5" s="1"/>
  <c r="BQ8" i="6" s="1"/>
  <c r="BE7" i="6"/>
  <c r="BE6" i="6" s="1"/>
  <c r="BE38" i="6"/>
  <c r="BE40" i="6" s="1"/>
  <c r="BE8" i="7" s="1"/>
  <c r="M7" i="5"/>
  <c r="M38" i="5"/>
  <c r="M40" i="5" s="1"/>
  <c r="M8" i="6" s="1"/>
  <c r="BF7" i="6"/>
  <c r="BF6" i="6" s="1"/>
  <c r="BF38" i="6"/>
  <c r="BF40" i="6" s="1"/>
  <c r="BF8" i="7" s="1"/>
  <c r="AW7" i="6"/>
  <c r="AW6" i="6" s="1"/>
  <c r="AW38" i="6"/>
  <c r="AW40" i="6" s="1"/>
  <c r="AW8" i="7" s="1"/>
  <c r="AA7" i="5"/>
  <c r="AA38" i="5"/>
  <c r="AA40" i="5" s="1"/>
  <c r="AA8" i="6" s="1"/>
  <c r="CV6" i="5"/>
  <c r="CV38" i="5"/>
  <c r="CV40" i="5" s="1"/>
  <c r="CV8" i="6" s="1"/>
  <c r="AI7" i="5"/>
  <c r="AI38" i="5"/>
  <c r="AI40" i="5" s="1"/>
  <c r="AI8" i="6" s="1"/>
  <c r="BN7" i="6"/>
  <c r="BN6" i="6" s="1"/>
  <c r="BN38" i="6"/>
  <c r="BN40" i="6" s="1"/>
  <c r="BN8" i="7" s="1"/>
  <c r="CN38" i="8"/>
  <c r="CN40" i="8" s="1"/>
  <c r="CN8" i="9" s="1"/>
  <c r="CN6" i="8"/>
  <c r="CB6" i="5"/>
  <c r="CB38" i="5"/>
  <c r="CB40" i="5" s="1"/>
  <c r="CB8" i="6" s="1"/>
  <c r="BA7" i="5"/>
  <c r="BA6" i="5" s="1"/>
  <c r="BA38" i="5"/>
  <c r="BA40" i="5" s="1"/>
  <c r="BA8" i="6" s="1"/>
  <c r="BJ38" i="10"/>
  <c r="BJ40" i="10" s="1"/>
  <c r="BJ8" i="11" s="1"/>
  <c r="BJ7" i="10"/>
  <c r="BJ6" i="10" s="1"/>
  <c r="AL38" i="8"/>
  <c r="AL40" i="8" s="1"/>
  <c r="AL8" i="9" s="1"/>
  <c r="AL6" i="8"/>
  <c r="BO7" i="5"/>
  <c r="BO6" i="5" s="1"/>
  <c r="BO38" i="5"/>
  <c r="BO40" i="5" s="1"/>
  <c r="BO8" i="6" s="1"/>
  <c r="CC6" i="6"/>
  <c r="CC38" i="6"/>
  <c r="CC40" i="6" s="1"/>
  <c r="CC8" i="7" s="1"/>
  <c r="BB7" i="6"/>
  <c r="BB6" i="6" s="1"/>
  <c r="BB38" i="6"/>
  <c r="BB40" i="6" s="1"/>
  <c r="BB8" i="7" s="1"/>
  <c r="AD7" i="6"/>
  <c r="AD38" i="6"/>
  <c r="AD40" i="6" s="1"/>
  <c r="AD8" i="7" s="1"/>
  <c r="AX38" i="7"/>
  <c r="AX40" i="7" s="1"/>
  <c r="AX8" i="8" s="1"/>
  <c r="AX7" i="7"/>
  <c r="AX6" i="7" s="1"/>
  <c r="CP6" i="5"/>
  <c r="CP38" i="5"/>
  <c r="CP40" i="5" s="1"/>
  <c r="CP8" i="6" s="1"/>
  <c r="BV7" i="5"/>
  <c r="BV6" i="5" s="1"/>
  <c r="BV38" i="5"/>
  <c r="BV40" i="5" s="1"/>
  <c r="BV8" i="6" s="1"/>
  <c r="CO38" i="7"/>
  <c r="CO40" i="7" s="1"/>
  <c r="CO8" i="8" s="1"/>
  <c r="CO6" i="7"/>
  <c r="Z7" i="6"/>
  <c r="Z38" i="6"/>
  <c r="Z40" i="6" s="1"/>
  <c r="Z8" i="7" s="1"/>
  <c r="CT6" i="5"/>
  <c r="CT38" i="5"/>
  <c r="CT40" i="5" s="1"/>
  <c r="CT8" i="6" s="1"/>
  <c r="S7" i="5"/>
  <c r="S38" i="5"/>
  <c r="S40" i="5" s="1"/>
  <c r="S8" i="6" s="1"/>
  <c r="AB7" i="5"/>
  <c r="AB38" i="5"/>
  <c r="AB40" i="5" s="1"/>
  <c r="AB8" i="6" s="1"/>
  <c r="BH7" i="8"/>
  <c r="BH6" i="8" s="1"/>
  <c r="BH38" i="8"/>
  <c r="BH40" i="8" s="1"/>
  <c r="BH8" i="9" s="1"/>
  <c r="AG7" i="5"/>
  <c r="AG38" i="5"/>
  <c r="AG40" i="5" s="1"/>
  <c r="AG8" i="6" s="1"/>
  <c r="BS7" i="6"/>
  <c r="BS38" i="6"/>
  <c r="BS40" i="6" s="1"/>
  <c r="BS8" i="7" s="1"/>
  <c r="CK6" i="5"/>
  <c r="CK38" i="5"/>
  <c r="CK40" i="5" s="1"/>
  <c r="CK8" i="6" s="1"/>
  <c r="CS6" i="5"/>
  <c r="CS38" i="5"/>
  <c r="CS40" i="5" s="1"/>
  <c r="CS8" i="6" s="1"/>
  <c r="AK7" i="5"/>
  <c r="AK38" i="5"/>
  <c r="AK40" i="5" s="1"/>
  <c r="AK8" i="6" s="1"/>
  <c r="P38" i="5"/>
  <c r="P40" i="5" s="1"/>
  <c r="P8" i="6" s="1"/>
  <c r="P7" i="5"/>
  <c r="AH7" i="6"/>
  <c r="AH38" i="6"/>
  <c r="AH40" i="6" s="1"/>
  <c r="AH8" i="7" s="1"/>
  <c r="BX7" i="5"/>
  <c r="BX6" i="5" s="1"/>
  <c r="BX38" i="5"/>
  <c r="BX40" i="5" s="1"/>
  <c r="BX8" i="6" s="1"/>
  <c r="BL7" i="5"/>
  <c r="BL6" i="5" s="1"/>
  <c r="BL38" i="5"/>
  <c r="BL40" i="5" s="1"/>
  <c r="BL8" i="6" s="1"/>
  <c r="AP6" i="6"/>
  <c r="AP38" i="6"/>
  <c r="AP40" i="6" s="1"/>
  <c r="AP8" i="7" s="1"/>
  <c r="AN6" i="5"/>
  <c r="AN38" i="5"/>
  <c r="AN40" i="5" s="1"/>
  <c r="AN8" i="6" s="1"/>
  <c r="CH6" i="6"/>
  <c r="CH38" i="6"/>
  <c r="CH40" i="6" s="1"/>
  <c r="CH8" i="7" s="1"/>
  <c r="J38" i="5"/>
  <c r="J40" i="5" s="1"/>
  <c r="J8" i="6" s="1"/>
  <c r="J7" i="5"/>
  <c r="AF7" i="5"/>
  <c r="AF38" i="5"/>
  <c r="AF40" i="5" s="1"/>
  <c r="AF8" i="6" s="1"/>
  <c r="AM6" i="6"/>
  <c r="AM38" i="6"/>
  <c r="AM40" i="6" s="1"/>
  <c r="AM8" i="7" s="1"/>
  <c r="L7" i="8"/>
  <c r="L38" i="8"/>
  <c r="L40" i="8" s="1"/>
  <c r="L8" i="9" s="1"/>
  <c r="AO6" i="9"/>
  <c r="AO38" i="9"/>
  <c r="AO40" i="9" s="1"/>
  <c r="AO8" i="10" s="1"/>
  <c r="CR6" i="5"/>
  <c r="CR38" i="5"/>
  <c r="CR40" i="5" s="1"/>
  <c r="CR8" i="6" s="1"/>
  <c r="BK7" i="6"/>
  <c r="BK6" i="6" s="1"/>
  <c r="BK38" i="6"/>
  <c r="BK40" i="6" s="1"/>
  <c r="BK8" i="7" s="1"/>
  <c r="O7" i="5"/>
  <c r="O38" i="5"/>
  <c r="O40" i="5" s="1"/>
  <c r="O8" i="6" s="1"/>
  <c r="CQ6" i="6"/>
  <c r="CQ38" i="6"/>
  <c r="CQ40" i="6" s="1"/>
  <c r="CQ8" i="7" s="1"/>
  <c r="CL6" i="5"/>
  <c r="CL38" i="5"/>
  <c r="CL40" i="5" s="1"/>
  <c r="CL8" i="6" s="1"/>
  <c r="BU7" i="6"/>
  <c r="BU38" i="6"/>
  <c r="BU40" i="6" s="1"/>
  <c r="BU8" i="7" s="1"/>
  <c r="N7" i="5"/>
  <c r="N38" i="5"/>
  <c r="N40" i="5" s="1"/>
  <c r="N8" i="6" s="1"/>
  <c r="AZ7" i="8"/>
  <c r="AZ6" i="8" s="1"/>
  <c r="AZ38" i="8"/>
  <c r="AZ40" i="8" s="1"/>
  <c r="AZ8" i="9" s="1"/>
  <c r="CJ6" i="5"/>
  <c r="CJ38" i="5"/>
  <c r="CJ40" i="5" s="1"/>
  <c r="CJ8" i="6" s="1"/>
  <c r="BW7" i="5"/>
  <c r="BW6" i="5" s="1"/>
  <c r="BW38" i="5"/>
  <c r="BW40" i="5" s="1"/>
  <c r="BW8" i="6" s="1"/>
  <c r="AV7" i="5"/>
  <c r="AV6" i="5" s="1"/>
  <c r="AV38" i="5"/>
  <c r="AV40" i="5" s="1"/>
  <c r="AV8" i="6" s="1"/>
  <c r="BI7" i="5"/>
  <c r="BI6" i="5" s="1"/>
  <c r="BI38" i="5"/>
  <c r="BI40" i="5" s="1"/>
  <c r="BI8" i="6" s="1"/>
  <c r="AE7" i="6"/>
  <c r="AE38" i="6"/>
  <c r="AE40" i="6" s="1"/>
  <c r="AE8" i="7" s="1"/>
  <c r="K7" i="5"/>
  <c r="K38" i="5"/>
  <c r="K40" i="5" s="1"/>
  <c r="K8" i="6" s="1"/>
  <c r="AS7" i="7"/>
  <c r="AS6" i="7" s="1"/>
  <c r="AS38" i="7"/>
  <c r="AS40" i="7" s="1"/>
  <c r="AS8" i="8" s="1"/>
  <c r="AR7" i="5"/>
  <c r="AR6" i="5" s="1"/>
  <c r="AR38" i="5"/>
  <c r="AR40" i="5" s="1"/>
  <c r="AR8" i="6" s="1"/>
  <c r="BG7" i="5"/>
  <c r="BG6" i="5" s="1"/>
  <c r="BG38" i="5"/>
  <c r="BG40" i="5" s="1"/>
  <c r="BG8" i="6" s="1"/>
  <c r="AJ38" i="6"/>
  <c r="AJ40" i="6" s="1"/>
  <c r="AJ8" i="7" s="1"/>
  <c r="AJ7" i="6"/>
  <c r="H38" i="5"/>
  <c r="H40" i="5" s="1"/>
  <c r="H8" i="6" s="1"/>
  <c r="H7" i="5"/>
  <c r="BM7" i="6"/>
  <c r="BM6" i="6" s="1"/>
  <c r="BM38" i="6"/>
  <c r="BM40" i="6" s="1"/>
  <c r="BM8" i="7" s="1"/>
  <c r="AU7" i="6"/>
  <c r="AU6" i="6" s="1"/>
  <c r="AU38" i="6"/>
  <c r="AU40" i="6" s="1"/>
  <c r="AU8" i="7" s="1"/>
  <c r="BD7" i="5"/>
  <c r="BD6" i="5" s="1"/>
  <c r="BD38" i="5"/>
  <c r="BD40" i="5" s="1"/>
  <c r="BD8" i="6" s="1"/>
  <c r="BC7" i="6"/>
  <c r="BC6" i="6" s="1"/>
  <c r="BC38" i="6"/>
  <c r="BC40" i="6" s="1"/>
  <c r="BC8" i="7" s="1"/>
  <c r="AT38" i="7"/>
  <c r="AT40" i="7" s="1"/>
  <c r="AT8" i="8" s="1"/>
  <c r="AT7" i="7"/>
  <c r="AT6" i="7" s="1"/>
  <c r="R7" i="6"/>
  <c r="R38" i="6"/>
  <c r="R40" i="6" s="1"/>
  <c r="R8" i="7" s="1"/>
  <c r="AC38" i="5"/>
  <c r="AC40" i="5" s="1"/>
  <c r="AC8" i="6" s="1"/>
  <c r="AC7" i="5"/>
  <c r="CM6" i="7" l="1"/>
  <c r="CM38" i="7"/>
  <c r="CM40" i="7" s="1"/>
  <c r="CM8" i="8" s="1"/>
  <c r="CU38" i="7"/>
  <c r="CU40" i="7" s="1"/>
  <c r="CU8" i="8" s="1"/>
  <c r="CU6" i="7"/>
  <c r="Q38" i="8"/>
  <c r="Q40" i="8" s="1"/>
  <c r="Q8" i="9" s="1"/>
  <c r="Q7" i="8"/>
  <c r="BP38" i="7"/>
  <c r="BP40" i="7" s="1"/>
  <c r="BP8" i="8" s="1"/>
  <c r="BP7" i="7"/>
  <c r="BP6" i="7" s="1"/>
  <c r="AQ6" i="6"/>
  <c r="AQ38" i="6"/>
  <c r="AQ40" i="6" s="1"/>
  <c r="AQ8" i="7" s="1"/>
  <c r="K7" i="6"/>
  <c r="K38" i="6"/>
  <c r="K40" i="6" s="1"/>
  <c r="K8" i="7" s="1"/>
  <c r="CL38" i="6"/>
  <c r="CL40" i="6" s="1"/>
  <c r="CL8" i="7" s="1"/>
  <c r="CL6" i="6"/>
  <c r="CR6" i="6"/>
  <c r="CR38" i="6"/>
  <c r="CR40" i="6" s="1"/>
  <c r="CR8" i="7" s="1"/>
  <c r="AF7" i="6"/>
  <c r="AF38" i="6"/>
  <c r="AF40" i="6" s="1"/>
  <c r="AF8" i="7" s="1"/>
  <c r="AP6" i="7"/>
  <c r="AP38" i="7"/>
  <c r="AP40" i="7" s="1"/>
  <c r="AP8" i="8" s="1"/>
  <c r="BS7" i="7"/>
  <c r="BS38" i="7"/>
  <c r="BS40" i="7" s="1"/>
  <c r="BS8" i="8" s="1"/>
  <c r="AB7" i="6"/>
  <c r="AB38" i="6"/>
  <c r="AB40" i="6" s="1"/>
  <c r="AB8" i="7" s="1"/>
  <c r="AX7" i="8"/>
  <c r="AX6" i="8" s="1"/>
  <c r="AX38" i="8"/>
  <c r="AX40" i="8" s="1"/>
  <c r="AX8" i="9" s="1"/>
  <c r="CB38" i="6"/>
  <c r="CB40" i="6" s="1"/>
  <c r="CB8" i="7" s="1"/>
  <c r="CB6" i="6"/>
  <c r="CV6" i="6"/>
  <c r="CV38" i="6"/>
  <c r="CV40" i="6" s="1"/>
  <c r="CV8" i="7" s="1"/>
  <c r="M7" i="6"/>
  <c r="M38" i="6"/>
  <c r="M40" i="6" s="1"/>
  <c r="M8" i="7" s="1"/>
  <c r="AU7" i="7"/>
  <c r="AU6" i="7" s="1"/>
  <c r="AU38" i="7"/>
  <c r="AU40" i="7" s="1"/>
  <c r="AU8" i="8" s="1"/>
  <c r="BG7" i="6"/>
  <c r="BG6" i="6" s="1"/>
  <c r="BG38" i="6"/>
  <c r="BG40" i="6" s="1"/>
  <c r="BG8" i="7" s="1"/>
  <c r="P38" i="6"/>
  <c r="P40" i="6" s="1"/>
  <c r="P8" i="7" s="1"/>
  <c r="P7" i="6"/>
  <c r="CO6" i="8"/>
  <c r="CO38" i="8"/>
  <c r="CO40" i="8" s="1"/>
  <c r="CO8" i="9" s="1"/>
  <c r="AD38" i="7"/>
  <c r="AD40" i="7" s="1"/>
  <c r="AD8" i="8" s="1"/>
  <c r="AD7" i="7"/>
  <c r="AT38" i="8"/>
  <c r="AT40" i="8" s="1"/>
  <c r="AT8" i="9" s="1"/>
  <c r="AT7" i="8"/>
  <c r="AT6" i="8" s="1"/>
  <c r="AZ7" i="9"/>
  <c r="AZ6" i="9" s="1"/>
  <c r="AZ38" i="9"/>
  <c r="AZ40" i="9" s="1"/>
  <c r="AZ8" i="10" s="1"/>
  <c r="CQ6" i="7"/>
  <c r="CQ38" i="7"/>
  <c r="CQ40" i="7" s="1"/>
  <c r="CQ8" i="8" s="1"/>
  <c r="AO38" i="10"/>
  <c r="AO40" i="10" s="1"/>
  <c r="AO8" i="11" s="1"/>
  <c r="AO6" i="10"/>
  <c r="BL7" i="6"/>
  <c r="BL6" i="6" s="1"/>
  <c r="BL38" i="6"/>
  <c r="BL40" i="6" s="1"/>
  <c r="BL8" i="7" s="1"/>
  <c r="AK7" i="6"/>
  <c r="AK38" i="6"/>
  <c r="AK40" i="6" s="1"/>
  <c r="AK8" i="7" s="1"/>
  <c r="S7" i="6"/>
  <c r="S38" i="6"/>
  <c r="S40" i="6" s="1"/>
  <c r="S8" i="7" s="1"/>
  <c r="BV7" i="6"/>
  <c r="BV6" i="6" s="1"/>
  <c r="BV38" i="6"/>
  <c r="BV40" i="6" s="1"/>
  <c r="BV8" i="7" s="1"/>
  <c r="AL6" i="9"/>
  <c r="AL38" i="9"/>
  <c r="AL40" i="9" s="1"/>
  <c r="AL8" i="10" s="1"/>
  <c r="AA7" i="6"/>
  <c r="AA38" i="6"/>
  <c r="AA40" i="6" s="1"/>
  <c r="AA8" i="7" s="1"/>
  <c r="BE7" i="7"/>
  <c r="BE6" i="7" s="1"/>
  <c r="BE38" i="7"/>
  <c r="BE40" i="7" s="1"/>
  <c r="BE8" i="8" s="1"/>
  <c r="BC7" i="7"/>
  <c r="BC6" i="7" s="1"/>
  <c r="BC38" i="7"/>
  <c r="BC40" i="7" s="1"/>
  <c r="BC8" i="8" s="1"/>
  <c r="BM7" i="7"/>
  <c r="BM6" i="7" s="1"/>
  <c r="BM38" i="7"/>
  <c r="BM40" i="7" s="1"/>
  <c r="BM8" i="8" s="1"/>
  <c r="J7" i="6"/>
  <c r="J38" i="6"/>
  <c r="J40" i="6" s="1"/>
  <c r="J8" i="7" s="1"/>
  <c r="BB7" i="7"/>
  <c r="BB6" i="7" s="1"/>
  <c r="BB38" i="7"/>
  <c r="BB40" i="7" s="1"/>
  <c r="BB8" i="8" s="1"/>
  <c r="CN38" i="9"/>
  <c r="CN40" i="9" s="1"/>
  <c r="CN8" i="10" s="1"/>
  <c r="CN6" i="9"/>
  <c r="AJ7" i="7"/>
  <c r="AJ38" i="7"/>
  <c r="AJ40" i="7" s="1"/>
  <c r="AJ8" i="8" s="1"/>
  <c r="N7" i="6"/>
  <c r="N38" i="6"/>
  <c r="N40" i="6" s="1"/>
  <c r="N8" i="7" s="1"/>
  <c r="O7" i="6"/>
  <c r="O38" i="6"/>
  <c r="O40" i="6" s="1"/>
  <c r="O8" i="7" s="1"/>
  <c r="L7" i="9"/>
  <c r="L38" i="9"/>
  <c r="L40" i="9" s="1"/>
  <c r="L8" i="10" s="1"/>
  <c r="CH6" i="7"/>
  <c r="CH38" i="7"/>
  <c r="CH40" i="7" s="1"/>
  <c r="CH8" i="8" s="1"/>
  <c r="BX38" i="6"/>
  <c r="BX40" i="6" s="1"/>
  <c r="BX8" i="7" s="1"/>
  <c r="BX7" i="6"/>
  <c r="BX6" i="6" s="1"/>
  <c r="CS6" i="6"/>
  <c r="CS38" i="6"/>
  <c r="CS40" i="6" s="1"/>
  <c r="CS8" i="7" s="1"/>
  <c r="AG7" i="6"/>
  <c r="AG38" i="6"/>
  <c r="AG40" i="6" s="1"/>
  <c r="AG8" i="7" s="1"/>
  <c r="CT38" i="6"/>
  <c r="CT40" i="6" s="1"/>
  <c r="CT8" i="7" s="1"/>
  <c r="CT6" i="6"/>
  <c r="BJ7" i="11"/>
  <c r="BJ6" i="11" s="1"/>
  <c r="BJ38" i="11"/>
  <c r="BJ40" i="11" s="1"/>
  <c r="BJ8" i="12" s="1"/>
  <c r="BN38" i="7"/>
  <c r="BN40" i="7" s="1"/>
  <c r="BN8" i="8" s="1"/>
  <c r="BN7" i="7"/>
  <c r="BN6" i="7" s="1"/>
  <c r="AW7" i="7"/>
  <c r="AW6" i="7" s="1"/>
  <c r="AW38" i="7"/>
  <c r="AW40" i="7" s="1"/>
  <c r="AW8" i="8" s="1"/>
  <c r="BQ7" i="6"/>
  <c r="BQ6" i="6" s="1"/>
  <c r="BQ38" i="6"/>
  <c r="BQ40" i="6" s="1"/>
  <c r="BQ8" i="7" s="1"/>
  <c r="BI7" i="6"/>
  <c r="BI6" i="6" s="1"/>
  <c r="BI38" i="6"/>
  <c r="BI40" i="6" s="1"/>
  <c r="BI8" i="7" s="1"/>
  <c r="CP38" i="6"/>
  <c r="CP40" i="6" s="1"/>
  <c r="CP8" i="7" s="1"/>
  <c r="CP6" i="6"/>
  <c r="CC6" i="7"/>
  <c r="CC38" i="7"/>
  <c r="CC40" i="7" s="1"/>
  <c r="CC8" i="8" s="1"/>
  <c r="BA7" i="6"/>
  <c r="BA6" i="6" s="1"/>
  <c r="BA38" i="6"/>
  <c r="BA40" i="6" s="1"/>
  <c r="BA8" i="7" s="1"/>
  <c r="AR38" i="6"/>
  <c r="AR40" i="6" s="1"/>
  <c r="AR8" i="7" s="1"/>
  <c r="AR7" i="6"/>
  <c r="AR6" i="6" s="1"/>
  <c r="H7" i="6"/>
  <c r="H38" i="6"/>
  <c r="H40" i="6" s="1"/>
  <c r="H8" i="7" s="1"/>
  <c r="AS7" i="8"/>
  <c r="AS6" i="8" s="1"/>
  <c r="AS38" i="8"/>
  <c r="AS40" i="8" s="1"/>
  <c r="AS8" i="9" s="1"/>
  <c r="AV38" i="6"/>
  <c r="AV40" i="6" s="1"/>
  <c r="AV8" i="7" s="1"/>
  <c r="AV7" i="6"/>
  <c r="AV6" i="6" s="1"/>
  <c r="CJ38" i="6"/>
  <c r="CJ40" i="6" s="1"/>
  <c r="CJ8" i="7" s="1"/>
  <c r="CJ6" i="6"/>
  <c r="BU7" i="7"/>
  <c r="BU38" i="7"/>
  <c r="BU40" i="7" s="1"/>
  <c r="BU8" i="8" s="1"/>
  <c r="BK7" i="7"/>
  <c r="BK6" i="7" s="1"/>
  <c r="BK38" i="7"/>
  <c r="BK40" i="7" s="1"/>
  <c r="BK8" i="8" s="1"/>
  <c r="AM6" i="7"/>
  <c r="AM38" i="7"/>
  <c r="AM40" i="7" s="1"/>
  <c r="AM8" i="8" s="1"/>
  <c r="AN38" i="6"/>
  <c r="AN40" i="6" s="1"/>
  <c r="AN8" i="7" s="1"/>
  <c r="AN6" i="6"/>
  <c r="AH38" i="7"/>
  <c r="AH40" i="7" s="1"/>
  <c r="AH8" i="8" s="1"/>
  <c r="AH7" i="7"/>
  <c r="CK6" i="6"/>
  <c r="CK38" i="6"/>
  <c r="CK40" i="6" s="1"/>
  <c r="CK8" i="7" s="1"/>
  <c r="BH7" i="9"/>
  <c r="BH6" i="9" s="1"/>
  <c r="BH38" i="9"/>
  <c r="BH40" i="9" s="1"/>
  <c r="BH8" i="10" s="1"/>
  <c r="Z7" i="7"/>
  <c r="Z38" i="7"/>
  <c r="Z40" i="7" s="1"/>
  <c r="Z8" i="8" s="1"/>
  <c r="AI7" i="6"/>
  <c r="AI38" i="6"/>
  <c r="AI40" i="6" s="1"/>
  <c r="AI8" i="7" s="1"/>
  <c r="BF38" i="7"/>
  <c r="BF40" i="7" s="1"/>
  <c r="BF8" i="8" s="1"/>
  <c r="BF7" i="7"/>
  <c r="BF6" i="7" s="1"/>
  <c r="AY7" i="6"/>
  <c r="AY6" i="6" s="1"/>
  <c r="AY38" i="6"/>
  <c r="AY40" i="6" s="1"/>
  <c r="AY8" i="7" s="1"/>
  <c r="AE7" i="7"/>
  <c r="AE38" i="7"/>
  <c r="AE40" i="7" s="1"/>
  <c r="AE8" i="8" s="1"/>
  <c r="BW7" i="6"/>
  <c r="BW6" i="6" s="1"/>
  <c r="BW38" i="6"/>
  <c r="BW40" i="6" s="1"/>
  <c r="BW8" i="7" s="1"/>
  <c r="AC7" i="6"/>
  <c r="AC38" i="6"/>
  <c r="AC40" i="6" s="1"/>
  <c r="AC8" i="7" s="1"/>
  <c r="R7" i="7"/>
  <c r="R38" i="7"/>
  <c r="R40" i="7" s="1"/>
  <c r="R8" i="8" s="1"/>
  <c r="BD38" i="6"/>
  <c r="BD40" i="6" s="1"/>
  <c r="BD8" i="7" s="1"/>
  <c r="BD7" i="6"/>
  <c r="BD6" i="6" s="1"/>
  <c r="BO7" i="6"/>
  <c r="BO6" i="6" s="1"/>
  <c r="BO38" i="6"/>
  <c r="BO40" i="6" s="1"/>
  <c r="BO8" i="7" s="1"/>
  <c r="Q7" i="9" l="1"/>
  <c r="Q38" i="9"/>
  <c r="Q40" i="9" s="1"/>
  <c r="Q8" i="10" s="1"/>
  <c r="CU38" i="8"/>
  <c r="CU40" i="8" s="1"/>
  <c r="CU8" i="9" s="1"/>
  <c r="CU6" i="8"/>
  <c r="CM6" i="8"/>
  <c r="CM38" i="8"/>
  <c r="CM40" i="8" s="1"/>
  <c r="CM8" i="9" s="1"/>
  <c r="AQ38" i="7"/>
  <c r="AQ40" i="7" s="1"/>
  <c r="AQ8" i="8" s="1"/>
  <c r="AQ6" i="7"/>
  <c r="BP7" i="8"/>
  <c r="BP6" i="8" s="1"/>
  <c r="BP38" i="8"/>
  <c r="BP40" i="8" s="1"/>
  <c r="BP8" i="9" s="1"/>
  <c r="AH7" i="8"/>
  <c r="AH38" i="8"/>
  <c r="AH40" i="8" s="1"/>
  <c r="AH8" i="9" s="1"/>
  <c r="CH38" i="8"/>
  <c r="CH40" i="8" s="1"/>
  <c r="CH8" i="9" s="1"/>
  <c r="CH6" i="8"/>
  <c r="AJ7" i="8"/>
  <c r="AJ38" i="8"/>
  <c r="AJ40" i="8" s="1"/>
  <c r="AJ8" i="9" s="1"/>
  <c r="BM7" i="8"/>
  <c r="BM6" i="8" s="1"/>
  <c r="BM38" i="8"/>
  <c r="BM40" i="8" s="1"/>
  <c r="BM8" i="9" s="1"/>
  <c r="AL38" i="10"/>
  <c r="AL40" i="10" s="1"/>
  <c r="AL8" i="11" s="1"/>
  <c r="AL6" i="10"/>
  <c r="AK7" i="7"/>
  <c r="AK38" i="7"/>
  <c r="AK40" i="7" s="1"/>
  <c r="AK8" i="8" s="1"/>
  <c r="AZ38" i="10"/>
  <c r="AZ40" i="10" s="1"/>
  <c r="AZ8" i="11" s="1"/>
  <c r="AZ7" i="10"/>
  <c r="AZ6" i="10" s="1"/>
  <c r="CO6" i="9"/>
  <c r="CO38" i="9"/>
  <c r="CO40" i="9" s="1"/>
  <c r="CO8" i="10" s="1"/>
  <c r="AX38" i="9"/>
  <c r="AX40" i="9" s="1"/>
  <c r="AX8" i="10" s="1"/>
  <c r="AX7" i="9"/>
  <c r="AX6" i="9" s="1"/>
  <c r="AF38" i="7"/>
  <c r="AF40" i="7" s="1"/>
  <c r="AF8" i="8" s="1"/>
  <c r="AF7" i="7"/>
  <c r="BQ7" i="7"/>
  <c r="BQ6" i="7" s="1"/>
  <c r="BQ38" i="7"/>
  <c r="BQ40" i="7" s="1"/>
  <c r="BQ8" i="8" s="1"/>
  <c r="BD38" i="7"/>
  <c r="BD40" i="7" s="1"/>
  <c r="BD8" i="8" s="1"/>
  <c r="BD7" i="7"/>
  <c r="BD6" i="7" s="1"/>
  <c r="AE7" i="8"/>
  <c r="AE38" i="8"/>
  <c r="AE40" i="8" s="1"/>
  <c r="AE8" i="9" s="1"/>
  <c r="Z7" i="8"/>
  <c r="Z38" i="8"/>
  <c r="Z40" i="8" s="1"/>
  <c r="Z8" i="9" s="1"/>
  <c r="CT6" i="7"/>
  <c r="CT38" i="7"/>
  <c r="CT40" i="7" s="1"/>
  <c r="CT8" i="8" s="1"/>
  <c r="AR7" i="7"/>
  <c r="AR6" i="7" s="1"/>
  <c r="AR38" i="7"/>
  <c r="AR40" i="7" s="1"/>
  <c r="AR8" i="8" s="1"/>
  <c r="CP38" i="7"/>
  <c r="CP40" i="7" s="1"/>
  <c r="CP8" i="8" s="1"/>
  <c r="CP6" i="7"/>
  <c r="AW7" i="8"/>
  <c r="AW6" i="8" s="1"/>
  <c r="AW38" i="8"/>
  <c r="AW40" i="8" s="1"/>
  <c r="AW8" i="9" s="1"/>
  <c r="AG7" i="7"/>
  <c r="AG38" i="7"/>
  <c r="AG40" i="7" s="1"/>
  <c r="AG8" i="8" s="1"/>
  <c r="L38" i="10"/>
  <c r="L40" i="10" s="1"/>
  <c r="L8" i="11" s="1"/>
  <c r="L7" i="10"/>
  <c r="BC7" i="8"/>
  <c r="BC6" i="8" s="1"/>
  <c r="BC38" i="8"/>
  <c r="BC40" i="8" s="1"/>
  <c r="BC8" i="9" s="1"/>
  <c r="BV7" i="7"/>
  <c r="BV6" i="7" s="1"/>
  <c r="BV38" i="7"/>
  <c r="BV40" i="7" s="1"/>
  <c r="BV8" i="8" s="1"/>
  <c r="BL7" i="7"/>
  <c r="BL6" i="7" s="1"/>
  <c r="BL38" i="7"/>
  <c r="BL40" i="7" s="1"/>
  <c r="BL8" i="8" s="1"/>
  <c r="M7" i="7"/>
  <c r="M38" i="7"/>
  <c r="M40" i="7" s="1"/>
  <c r="M8" i="8" s="1"/>
  <c r="AB7" i="7"/>
  <c r="AB38" i="7"/>
  <c r="AB40" i="7" s="1"/>
  <c r="AB8" i="8" s="1"/>
  <c r="CR38" i="7"/>
  <c r="CR40" i="7" s="1"/>
  <c r="CR8" i="8" s="1"/>
  <c r="CR6" i="7"/>
  <c r="AY7" i="7"/>
  <c r="AY6" i="7" s="1"/>
  <c r="AY38" i="7"/>
  <c r="AY40" i="7" s="1"/>
  <c r="AY8" i="8" s="1"/>
  <c r="BH7" i="10"/>
  <c r="BH6" i="10" s="1"/>
  <c r="BH38" i="10"/>
  <c r="BH40" i="10" s="1"/>
  <c r="BH8" i="11" s="1"/>
  <c r="AM38" i="8"/>
  <c r="AM40" i="8" s="1"/>
  <c r="AM8" i="9" s="1"/>
  <c r="AM6" i="8"/>
  <c r="CN38" i="10"/>
  <c r="CN40" i="10" s="1"/>
  <c r="CN8" i="11" s="1"/>
  <c r="CN6" i="10"/>
  <c r="P7" i="7"/>
  <c r="P38" i="7"/>
  <c r="P40" i="7" s="1"/>
  <c r="P8" i="8" s="1"/>
  <c r="AV7" i="7"/>
  <c r="AV6" i="7" s="1"/>
  <c r="AV38" i="7"/>
  <c r="AV40" i="7" s="1"/>
  <c r="AV8" i="8" s="1"/>
  <c r="CS6" i="7"/>
  <c r="CS38" i="7"/>
  <c r="CS40" i="7" s="1"/>
  <c r="CS8" i="8" s="1"/>
  <c r="O7" i="7"/>
  <c r="O38" i="7"/>
  <c r="O40" i="7" s="1"/>
  <c r="O8" i="8" s="1"/>
  <c r="BB38" i="8"/>
  <c r="BB40" i="8" s="1"/>
  <c r="BB8" i="9" s="1"/>
  <c r="BB7" i="8"/>
  <c r="BB6" i="8" s="1"/>
  <c r="BE7" i="8"/>
  <c r="BE6" i="8" s="1"/>
  <c r="BE38" i="8"/>
  <c r="BE40" i="8" s="1"/>
  <c r="BE8" i="9" s="1"/>
  <c r="S7" i="7"/>
  <c r="S38" i="7"/>
  <c r="S40" i="7" s="1"/>
  <c r="S8" i="8" s="1"/>
  <c r="BG7" i="7"/>
  <c r="BG6" i="7" s="1"/>
  <c r="BG38" i="7"/>
  <c r="BG40" i="7" s="1"/>
  <c r="BG8" i="8" s="1"/>
  <c r="CV6" i="7"/>
  <c r="CV38" i="7"/>
  <c r="CV40" i="7" s="1"/>
  <c r="CV8" i="8" s="1"/>
  <c r="BS7" i="8"/>
  <c r="BS38" i="8"/>
  <c r="BS40" i="8" s="1"/>
  <c r="BS8" i="9" s="1"/>
  <c r="CK6" i="7"/>
  <c r="CK38" i="7"/>
  <c r="CK40" i="7" s="1"/>
  <c r="CK8" i="8" s="1"/>
  <c r="BK38" i="8"/>
  <c r="BK40" i="8" s="1"/>
  <c r="BK8" i="9" s="1"/>
  <c r="BK7" i="8"/>
  <c r="BK6" i="8" s="1"/>
  <c r="AS7" i="9"/>
  <c r="AS6" i="9" s="1"/>
  <c r="AS38" i="9"/>
  <c r="AS40" i="9" s="1"/>
  <c r="AS8" i="10" s="1"/>
  <c r="BA7" i="7"/>
  <c r="BA6" i="7" s="1"/>
  <c r="BA38" i="7"/>
  <c r="BA40" i="7" s="1"/>
  <c r="BA8" i="8" s="1"/>
  <c r="BN7" i="8"/>
  <c r="BN6" i="8" s="1"/>
  <c r="BN38" i="8"/>
  <c r="BN40" i="8" s="1"/>
  <c r="BN8" i="9" s="1"/>
  <c r="AO38" i="11"/>
  <c r="AO40" i="11" s="1"/>
  <c r="AO8" i="12" s="1"/>
  <c r="AO6" i="11"/>
  <c r="AT38" i="9"/>
  <c r="AT40" i="9" s="1"/>
  <c r="AT8" i="10" s="1"/>
  <c r="AT7" i="9"/>
  <c r="AT6" i="9" s="1"/>
  <c r="CL38" i="7"/>
  <c r="CL40" i="7" s="1"/>
  <c r="CL8" i="8" s="1"/>
  <c r="CL6" i="7"/>
  <c r="R7" i="8"/>
  <c r="R38" i="8"/>
  <c r="R40" i="8" s="1"/>
  <c r="R8" i="9" s="1"/>
  <c r="AN6" i="7"/>
  <c r="AN38" i="7"/>
  <c r="AN40" i="7" s="1"/>
  <c r="AN8" i="8" s="1"/>
  <c r="AC7" i="7"/>
  <c r="AC38" i="7"/>
  <c r="AC40" i="7" s="1"/>
  <c r="AC8" i="8" s="1"/>
  <c r="BF7" i="8"/>
  <c r="BF6" i="8" s="1"/>
  <c r="BF38" i="8"/>
  <c r="BF40" i="8" s="1"/>
  <c r="BF8" i="9" s="1"/>
  <c r="BI7" i="7"/>
  <c r="BI6" i="7" s="1"/>
  <c r="BI38" i="7"/>
  <c r="BI40" i="7" s="1"/>
  <c r="BI8" i="8" s="1"/>
  <c r="BJ38" i="12"/>
  <c r="BJ40" i="12" s="1"/>
  <c r="BJ8" i="13" s="1"/>
  <c r="BJ7" i="12"/>
  <c r="BJ6" i="12" s="1"/>
  <c r="N7" i="7"/>
  <c r="N38" i="7"/>
  <c r="N40" i="7" s="1"/>
  <c r="N8" i="8" s="1"/>
  <c r="J38" i="7"/>
  <c r="J40" i="7" s="1"/>
  <c r="J8" i="8" s="1"/>
  <c r="J7" i="7"/>
  <c r="AA7" i="7"/>
  <c r="AA38" i="7"/>
  <c r="AA40" i="7" s="1"/>
  <c r="AA8" i="8" s="1"/>
  <c r="CQ38" i="8"/>
  <c r="CQ40" i="8" s="1"/>
  <c r="CQ8" i="9" s="1"/>
  <c r="CQ6" i="8"/>
  <c r="AU7" i="8"/>
  <c r="AU6" i="8" s="1"/>
  <c r="AU38" i="8"/>
  <c r="AU40" i="8" s="1"/>
  <c r="AU8" i="9" s="1"/>
  <c r="AP6" i="8"/>
  <c r="AP38" i="8"/>
  <c r="AP40" i="8" s="1"/>
  <c r="AP8" i="9" s="1"/>
  <c r="K7" i="7"/>
  <c r="K38" i="7"/>
  <c r="K40" i="7" s="1"/>
  <c r="K8" i="8" s="1"/>
  <c r="CJ38" i="7"/>
  <c r="CJ40" i="7" s="1"/>
  <c r="CJ8" i="8" s="1"/>
  <c r="CJ6" i="7"/>
  <c r="BO7" i="7"/>
  <c r="BO6" i="7" s="1"/>
  <c r="BO38" i="7"/>
  <c r="BO40" i="7" s="1"/>
  <c r="BO8" i="8" s="1"/>
  <c r="BW7" i="7"/>
  <c r="BW6" i="7" s="1"/>
  <c r="BW38" i="7"/>
  <c r="BW40" i="7" s="1"/>
  <c r="BW8" i="8" s="1"/>
  <c r="AI7" i="7"/>
  <c r="AI38" i="7"/>
  <c r="AI40" i="7" s="1"/>
  <c r="AI8" i="8" s="1"/>
  <c r="BU7" i="8"/>
  <c r="BU38" i="8"/>
  <c r="BU40" i="8" s="1"/>
  <c r="BU8" i="9" s="1"/>
  <c r="H38" i="7"/>
  <c r="H40" i="7" s="1"/>
  <c r="H8" i="8" s="1"/>
  <c r="H7" i="7"/>
  <c r="CC6" i="8"/>
  <c r="CC38" i="8"/>
  <c r="CC40" i="8" s="1"/>
  <c r="CC8" i="9" s="1"/>
  <c r="BX7" i="7"/>
  <c r="BX6" i="7" s="1"/>
  <c r="BX38" i="7"/>
  <c r="BX40" i="7" s="1"/>
  <c r="BX8" i="8" s="1"/>
  <c r="AD7" i="8"/>
  <c r="AD38" i="8"/>
  <c r="AD40" i="8" s="1"/>
  <c r="AD8" i="9" s="1"/>
  <c r="CB38" i="7"/>
  <c r="CB40" i="7" s="1"/>
  <c r="CB8" i="8" s="1"/>
  <c r="CB6" i="7"/>
  <c r="CM6" i="9" l="1"/>
  <c r="CM38" i="9"/>
  <c r="CM40" i="9" s="1"/>
  <c r="CM8" i="10" s="1"/>
  <c r="CU6" i="9"/>
  <c r="CU38" i="9"/>
  <c r="CU40" i="9" s="1"/>
  <c r="CU8" i="10" s="1"/>
  <c r="Q38" i="10"/>
  <c r="Q40" i="10" s="1"/>
  <c r="Q8" i="11" s="1"/>
  <c r="Q7" i="10"/>
  <c r="BP7" i="9"/>
  <c r="BP6" i="9" s="1"/>
  <c r="BP38" i="9"/>
  <c r="BP40" i="9" s="1"/>
  <c r="BP8" i="10" s="1"/>
  <c r="AQ6" i="8"/>
  <c r="AQ38" i="8"/>
  <c r="AQ40" i="8" s="1"/>
  <c r="AQ8" i="9" s="1"/>
  <c r="BA7" i="8"/>
  <c r="BA6" i="8" s="1"/>
  <c r="BA38" i="8"/>
  <c r="BA40" i="8" s="1"/>
  <c r="BA8" i="9" s="1"/>
  <c r="BS7" i="9"/>
  <c r="BS38" i="9"/>
  <c r="BS40" i="9" s="1"/>
  <c r="BS8" i="10" s="1"/>
  <c r="BE7" i="9"/>
  <c r="BE6" i="9" s="1"/>
  <c r="BE38" i="9"/>
  <c r="BE40" i="9" s="1"/>
  <c r="BE8" i="10" s="1"/>
  <c r="BL7" i="8"/>
  <c r="BL6" i="8" s="1"/>
  <c r="BL38" i="8"/>
  <c r="BL40" i="8" s="1"/>
  <c r="BL8" i="9" s="1"/>
  <c r="AG7" i="8"/>
  <c r="AG38" i="8"/>
  <c r="AG40" i="8" s="1"/>
  <c r="AG8" i="9" s="1"/>
  <c r="CT6" i="8"/>
  <c r="CT38" i="8"/>
  <c r="CT40" i="8" s="1"/>
  <c r="CT8" i="9" s="1"/>
  <c r="BQ7" i="8"/>
  <c r="BQ6" i="8" s="1"/>
  <c r="BQ38" i="8"/>
  <c r="BQ40" i="8" s="1"/>
  <c r="BQ8" i="9" s="1"/>
  <c r="CO6" i="10"/>
  <c r="CO38" i="10"/>
  <c r="CO40" i="10" s="1"/>
  <c r="CO8" i="11" s="1"/>
  <c r="BM7" i="9"/>
  <c r="BM6" i="9" s="1"/>
  <c r="BM38" i="9"/>
  <c r="BM40" i="9" s="1"/>
  <c r="BM8" i="10" s="1"/>
  <c r="BO7" i="8"/>
  <c r="BO6" i="8" s="1"/>
  <c r="BO38" i="8"/>
  <c r="BO40" i="8" s="1"/>
  <c r="BO8" i="9" s="1"/>
  <c r="AU7" i="9"/>
  <c r="AU6" i="9" s="1"/>
  <c r="AU38" i="9"/>
  <c r="AU40" i="9" s="1"/>
  <c r="AU8" i="10" s="1"/>
  <c r="N38" i="8"/>
  <c r="N40" i="8" s="1"/>
  <c r="N8" i="9" s="1"/>
  <c r="N7" i="8"/>
  <c r="CL6" i="8"/>
  <c r="CL38" i="8"/>
  <c r="CL40" i="8" s="1"/>
  <c r="CL8" i="9" s="1"/>
  <c r="CR6" i="8"/>
  <c r="CR38" i="8"/>
  <c r="CR40" i="8" s="1"/>
  <c r="CR8" i="9" s="1"/>
  <c r="CB6" i="8"/>
  <c r="CB38" i="8"/>
  <c r="CB40" i="8" s="1"/>
  <c r="CB8" i="9" s="1"/>
  <c r="H7" i="8"/>
  <c r="H38" i="8"/>
  <c r="H40" i="8" s="1"/>
  <c r="H8" i="9" s="1"/>
  <c r="AC7" i="8"/>
  <c r="AC38" i="8"/>
  <c r="AC40" i="8" s="1"/>
  <c r="AC8" i="9" s="1"/>
  <c r="AS7" i="10"/>
  <c r="AS6" i="10" s="1"/>
  <c r="AS38" i="10"/>
  <c r="AS40" i="10" s="1"/>
  <c r="AS8" i="11" s="1"/>
  <c r="CV6" i="8"/>
  <c r="CV38" i="8"/>
  <c r="CV40" i="8" s="1"/>
  <c r="CV8" i="9" s="1"/>
  <c r="AV7" i="8"/>
  <c r="AV6" i="8" s="1"/>
  <c r="AV38" i="8"/>
  <c r="AV40" i="8" s="1"/>
  <c r="AV8" i="9" s="1"/>
  <c r="AB7" i="8"/>
  <c r="AB38" i="8"/>
  <c r="AB40" i="8" s="1"/>
  <c r="AB8" i="9" s="1"/>
  <c r="BV7" i="8"/>
  <c r="BV6" i="8" s="1"/>
  <c r="BV38" i="8"/>
  <c r="BV40" i="8" s="1"/>
  <c r="BV8" i="9" s="1"/>
  <c r="AW7" i="9"/>
  <c r="AW6" i="9" s="1"/>
  <c r="AW38" i="9"/>
  <c r="AW40" i="9" s="1"/>
  <c r="AW8" i="10" s="1"/>
  <c r="Z7" i="9"/>
  <c r="Z38" i="9"/>
  <c r="Z40" i="9" s="1"/>
  <c r="Z8" i="10" s="1"/>
  <c r="AJ7" i="9"/>
  <c r="AJ38" i="9"/>
  <c r="AJ40" i="9" s="1"/>
  <c r="AJ8" i="10" s="1"/>
  <c r="AT38" i="10"/>
  <c r="AT40" i="10" s="1"/>
  <c r="AT8" i="11" s="1"/>
  <c r="AT7" i="10"/>
  <c r="AT6" i="10" s="1"/>
  <c r="BB7" i="9"/>
  <c r="BB6" i="9" s="1"/>
  <c r="BB38" i="9"/>
  <c r="BB40" i="9" s="1"/>
  <c r="BB8" i="10" s="1"/>
  <c r="AM6" i="9"/>
  <c r="AM38" i="9"/>
  <c r="AM40" i="9" s="1"/>
  <c r="AM8" i="10" s="1"/>
  <c r="AF7" i="8"/>
  <c r="AF38" i="8"/>
  <c r="AF40" i="8" s="1"/>
  <c r="AF8" i="9" s="1"/>
  <c r="AZ7" i="11"/>
  <c r="AZ6" i="11" s="1"/>
  <c r="AZ38" i="11"/>
  <c r="AZ40" i="11" s="1"/>
  <c r="AZ8" i="12" s="1"/>
  <c r="CQ6" i="9"/>
  <c r="CQ38" i="9"/>
  <c r="CQ40" i="9" s="1"/>
  <c r="CQ8" i="10" s="1"/>
  <c r="BJ7" i="13"/>
  <c r="BJ6" i="13" s="1"/>
  <c r="BJ38" i="13"/>
  <c r="BJ40" i="13" s="1"/>
  <c r="BJ8" i="14" s="1"/>
  <c r="AN6" i="8"/>
  <c r="AN38" i="8"/>
  <c r="AN40" i="8" s="1"/>
  <c r="AN8" i="9" s="1"/>
  <c r="BG7" i="8"/>
  <c r="BG6" i="8" s="1"/>
  <c r="BG38" i="8"/>
  <c r="BG40" i="8" s="1"/>
  <c r="BG8" i="9" s="1"/>
  <c r="O38" i="8"/>
  <c r="O40" i="8" s="1"/>
  <c r="O8" i="9" s="1"/>
  <c r="O7" i="8"/>
  <c r="P7" i="8"/>
  <c r="P38" i="8"/>
  <c r="P40" i="8" s="1"/>
  <c r="P8" i="9" s="1"/>
  <c r="BH7" i="11"/>
  <c r="BH6" i="11" s="1"/>
  <c r="BH38" i="11"/>
  <c r="BH40" i="11" s="1"/>
  <c r="BH8" i="12" s="1"/>
  <c r="M7" i="8"/>
  <c r="M38" i="8"/>
  <c r="M40" i="8" s="1"/>
  <c r="M8" i="9" s="1"/>
  <c r="BC7" i="9"/>
  <c r="BC6" i="9" s="1"/>
  <c r="BC38" i="9"/>
  <c r="BC40" i="9" s="1"/>
  <c r="BC8" i="10" s="1"/>
  <c r="AE7" i="9"/>
  <c r="AE38" i="9"/>
  <c r="AE40" i="9" s="1"/>
  <c r="AE8" i="10" s="1"/>
  <c r="AK7" i="8"/>
  <c r="AK38" i="8"/>
  <c r="AK40" i="8" s="1"/>
  <c r="AK8" i="9" s="1"/>
  <c r="AI7" i="8"/>
  <c r="AI38" i="8"/>
  <c r="AI40" i="8" s="1"/>
  <c r="AI8" i="9" s="1"/>
  <c r="AA7" i="8"/>
  <c r="AA38" i="8"/>
  <c r="AA40" i="8" s="1"/>
  <c r="AA8" i="9" s="1"/>
  <c r="BI7" i="8"/>
  <c r="BI6" i="8" s="1"/>
  <c r="BI38" i="8"/>
  <c r="BI40" i="8" s="1"/>
  <c r="BI8" i="9" s="1"/>
  <c r="AO6" i="12"/>
  <c r="AO38" i="12"/>
  <c r="AO40" i="12" s="1"/>
  <c r="AO8" i="13" s="1"/>
  <c r="BK7" i="9"/>
  <c r="BK6" i="9" s="1"/>
  <c r="BK38" i="9"/>
  <c r="BK40" i="9" s="1"/>
  <c r="BK8" i="10" s="1"/>
  <c r="CP38" i="8"/>
  <c r="CP40" i="8" s="1"/>
  <c r="CP8" i="9" s="1"/>
  <c r="CP6" i="8"/>
  <c r="AX7" i="10"/>
  <c r="AX6" i="10" s="1"/>
  <c r="AX38" i="10"/>
  <c r="AX40" i="10" s="1"/>
  <c r="AX8" i="11" s="1"/>
  <c r="CH38" i="9"/>
  <c r="CH40" i="9" s="1"/>
  <c r="CH8" i="10" s="1"/>
  <c r="CH6" i="9"/>
  <c r="AD38" i="9"/>
  <c r="AD40" i="9" s="1"/>
  <c r="AD8" i="10" s="1"/>
  <c r="AD7" i="9"/>
  <c r="CJ6" i="8"/>
  <c r="CJ38" i="8"/>
  <c r="CJ40" i="8" s="1"/>
  <c r="CJ8" i="9" s="1"/>
  <c r="BX7" i="8"/>
  <c r="BX6" i="8" s="1"/>
  <c r="BX38" i="8"/>
  <c r="BX40" i="8" s="1"/>
  <c r="BX8" i="9" s="1"/>
  <c r="R7" i="9"/>
  <c r="R38" i="9"/>
  <c r="R40" i="9" s="1"/>
  <c r="R8" i="10" s="1"/>
  <c r="BN7" i="9"/>
  <c r="BN6" i="9" s="1"/>
  <c r="BN38" i="9"/>
  <c r="BN40" i="9" s="1"/>
  <c r="BN8" i="10" s="1"/>
  <c r="CK6" i="8"/>
  <c r="CK38" i="8"/>
  <c r="CK40" i="8" s="1"/>
  <c r="CK8" i="9" s="1"/>
  <c r="S7" i="8"/>
  <c r="S38" i="8"/>
  <c r="S40" i="8" s="1"/>
  <c r="S8" i="9" s="1"/>
  <c r="CS6" i="8"/>
  <c r="CS38" i="8"/>
  <c r="CS40" i="8" s="1"/>
  <c r="CS8" i="9" s="1"/>
  <c r="AY7" i="8"/>
  <c r="AY6" i="8" s="1"/>
  <c r="AY38" i="8"/>
  <c r="AY40" i="8" s="1"/>
  <c r="AY8" i="9" s="1"/>
  <c r="AR7" i="8"/>
  <c r="AR6" i="8" s="1"/>
  <c r="AR38" i="8"/>
  <c r="AR40" i="8" s="1"/>
  <c r="AR8" i="9" s="1"/>
  <c r="AH38" i="9"/>
  <c r="AH40" i="9" s="1"/>
  <c r="AH8" i="10" s="1"/>
  <c r="AH7" i="9"/>
  <c r="J7" i="8"/>
  <c r="J38" i="8"/>
  <c r="J40" i="8" s="1"/>
  <c r="J8" i="9" s="1"/>
  <c r="BU7" i="9"/>
  <c r="BU38" i="9"/>
  <c r="BU40" i="9" s="1"/>
  <c r="BU8" i="10" s="1"/>
  <c r="K7" i="8"/>
  <c r="K38" i="8"/>
  <c r="K40" i="8" s="1"/>
  <c r="K8" i="9" s="1"/>
  <c r="CC6" i="9"/>
  <c r="CC38" i="9"/>
  <c r="CC40" i="9" s="1"/>
  <c r="CC8" i="10" s="1"/>
  <c r="BW7" i="8"/>
  <c r="BW6" i="8" s="1"/>
  <c r="BW38" i="8"/>
  <c r="BW40" i="8" s="1"/>
  <c r="BW8" i="9" s="1"/>
  <c r="AP38" i="9"/>
  <c r="AP40" i="9" s="1"/>
  <c r="AP8" i="10" s="1"/>
  <c r="AP6" i="9"/>
  <c r="BF38" i="9"/>
  <c r="BF40" i="9" s="1"/>
  <c r="BF8" i="10" s="1"/>
  <c r="BF7" i="9"/>
  <c r="BF6" i="9" s="1"/>
  <c r="CN6" i="11"/>
  <c r="CN38" i="11"/>
  <c r="CN40" i="11" s="1"/>
  <c r="CN8" i="12" s="1"/>
  <c r="L7" i="11"/>
  <c r="L38" i="11"/>
  <c r="L40" i="11" s="1"/>
  <c r="L8" i="12" s="1"/>
  <c r="BD7" i="8"/>
  <c r="BD6" i="8" s="1"/>
  <c r="BD38" i="8"/>
  <c r="BD40" i="8" s="1"/>
  <c r="BD8" i="9" s="1"/>
  <c r="AL6" i="11"/>
  <c r="AL38" i="11"/>
  <c r="AL40" i="11" s="1"/>
  <c r="AL8" i="12" s="1"/>
  <c r="Q38" i="11" l="1"/>
  <c r="Q40" i="11" s="1"/>
  <c r="Q8" i="12" s="1"/>
  <c r="Q7" i="11"/>
  <c r="CU6" i="10"/>
  <c r="CU38" i="10"/>
  <c r="CU40" i="10" s="1"/>
  <c r="CU8" i="11" s="1"/>
  <c r="CM6" i="10"/>
  <c r="CM38" i="10"/>
  <c r="CM40" i="10" s="1"/>
  <c r="CM8" i="11" s="1"/>
  <c r="AQ38" i="9"/>
  <c r="AQ40" i="9" s="1"/>
  <c r="AQ8" i="10" s="1"/>
  <c r="AQ6" i="9"/>
  <c r="BP38" i="10"/>
  <c r="BP40" i="10" s="1"/>
  <c r="BP8" i="11" s="1"/>
  <c r="BP7" i="10"/>
  <c r="BP6" i="10" s="1"/>
  <c r="AK7" i="9"/>
  <c r="AK38" i="9"/>
  <c r="AK40" i="9" s="1"/>
  <c r="AK8" i="10" s="1"/>
  <c r="BH7" i="12"/>
  <c r="BH6" i="12" s="1"/>
  <c r="BH38" i="12"/>
  <c r="BH40" i="12" s="1"/>
  <c r="BH8" i="13" s="1"/>
  <c r="AN6" i="9"/>
  <c r="AN38" i="9"/>
  <c r="AN40" i="9" s="1"/>
  <c r="AN8" i="10" s="1"/>
  <c r="AZ7" i="12"/>
  <c r="AZ6" i="12" s="1"/>
  <c r="AZ38" i="12"/>
  <c r="AZ40" i="12" s="1"/>
  <c r="AZ8" i="13" s="1"/>
  <c r="BV38" i="9"/>
  <c r="BV40" i="9" s="1"/>
  <c r="BV8" i="10" s="1"/>
  <c r="BV7" i="9"/>
  <c r="BV6" i="9" s="1"/>
  <c r="AS7" i="11"/>
  <c r="AS6" i="11" s="1"/>
  <c r="AS38" i="11"/>
  <c r="AS40" i="11" s="1"/>
  <c r="AS8" i="12" s="1"/>
  <c r="CR6" i="9"/>
  <c r="CR38" i="9"/>
  <c r="CR40" i="9" s="1"/>
  <c r="CR8" i="10" s="1"/>
  <c r="BO7" i="9"/>
  <c r="BO6" i="9" s="1"/>
  <c r="BO38" i="9"/>
  <c r="BO40" i="9" s="1"/>
  <c r="BO8" i="10" s="1"/>
  <c r="CT6" i="9"/>
  <c r="CT38" i="9"/>
  <c r="CT40" i="9" s="1"/>
  <c r="CT8" i="10" s="1"/>
  <c r="AH7" i="10"/>
  <c r="AH38" i="10"/>
  <c r="AH40" i="10" s="1"/>
  <c r="AH8" i="11" s="1"/>
  <c r="CH6" i="10"/>
  <c r="CH38" i="10"/>
  <c r="CH40" i="10" s="1"/>
  <c r="CH8" i="11" s="1"/>
  <c r="AT7" i="11"/>
  <c r="AT6" i="11" s="1"/>
  <c r="AT38" i="11"/>
  <c r="AT40" i="11" s="1"/>
  <c r="AT8" i="12" s="1"/>
  <c r="CC6" i="10"/>
  <c r="CC38" i="10"/>
  <c r="CC40" i="10" s="1"/>
  <c r="CC8" i="11" s="1"/>
  <c r="S7" i="9"/>
  <c r="S38" i="9"/>
  <c r="S40" i="9" s="1"/>
  <c r="S8" i="10" s="1"/>
  <c r="AX7" i="11"/>
  <c r="AX6" i="11" s="1"/>
  <c r="AX38" i="11"/>
  <c r="AX40" i="11" s="1"/>
  <c r="AX8" i="12" s="1"/>
  <c r="AE7" i="10"/>
  <c r="AE38" i="10"/>
  <c r="AE40" i="10" s="1"/>
  <c r="AE8" i="11" s="1"/>
  <c r="BJ7" i="14"/>
  <c r="BJ6" i="14" s="1"/>
  <c r="BJ38" i="14"/>
  <c r="BJ40" i="14" s="1"/>
  <c r="BJ8" i="15" s="1"/>
  <c r="AF7" i="9"/>
  <c r="AF38" i="9"/>
  <c r="AF40" i="9" s="1"/>
  <c r="AF8" i="10" s="1"/>
  <c r="AJ38" i="10"/>
  <c r="AJ40" i="10" s="1"/>
  <c r="AJ8" i="11" s="1"/>
  <c r="AJ7" i="10"/>
  <c r="AB7" i="9"/>
  <c r="AB38" i="9"/>
  <c r="AB40" i="9" s="1"/>
  <c r="AB8" i="10" s="1"/>
  <c r="AC7" i="9"/>
  <c r="AC38" i="9"/>
  <c r="AC40" i="9" s="1"/>
  <c r="AC8" i="10" s="1"/>
  <c r="CL38" i="9"/>
  <c r="CL40" i="9" s="1"/>
  <c r="CL8" i="10" s="1"/>
  <c r="CL6" i="9"/>
  <c r="BM7" i="10"/>
  <c r="BM6" i="10" s="1"/>
  <c r="BM38" i="10"/>
  <c r="BM40" i="10" s="1"/>
  <c r="BM8" i="11" s="1"/>
  <c r="AG7" i="9"/>
  <c r="AG38" i="9"/>
  <c r="AG40" i="9" s="1"/>
  <c r="AG8" i="10" s="1"/>
  <c r="BE7" i="10"/>
  <c r="BE6" i="10" s="1"/>
  <c r="BE38" i="10"/>
  <c r="BE40" i="10" s="1"/>
  <c r="BE8" i="11" s="1"/>
  <c r="CS6" i="9"/>
  <c r="CS38" i="9"/>
  <c r="CS40" i="9" s="1"/>
  <c r="CS8" i="10" s="1"/>
  <c r="K7" i="9"/>
  <c r="K38" i="9"/>
  <c r="K40" i="9" s="1"/>
  <c r="K8" i="10" s="1"/>
  <c r="BX7" i="9"/>
  <c r="BX6" i="9" s="1"/>
  <c r="BX38" i="9"/>
  <c r="BX40" i="9" s="1"/>
  <c r="BX8" i="10" s="1"/>
  <c r="BI7" i="9"/>
  <c r="BI6" i="9" s="1"/>
  <c r="BI38" i="9"/>
  <c r="BI40" i="9" s="1"/>
  <c r="BI8" i="10" s="1"/>
  <c r="P7" i="9"/>
  <c r="P38" i="9"/>
  <c r="P40" i="9" s="1"/>
  <c r="P8" i="10" s="1"/>
  <c r="BF7" i="10"/>
  <c r="BF6" i="10" s="1"/>
  <c r="BF38" i="10"/>
  <c r="BF40" i="10" s="1"/>
  <c r="BF8" i="11" s="1"/>
  <c r="AO6" i="13"/>
  <c r="AO38" i="13"/>
  <c r="AO40" i="13" s="1"/>
  <c r="AO8" i="14" s="1"/>
  <c r="L7" i="12"/>
  <c r="L38" i="12"/>
  <c r="L40" i="12" s="1"/>
  <c r="L8" i="13" s="1"/>
  <c r="BU7" i="10"/>
  <c r="BU38" i="10"/>
  <c r="BU40" i="10" s="1"/>
  <c r="BU8" i="11" s="1"/>
  <c r="AR7" i="9"/>
  <c r="AR6" i="9" s="1"/>
  <c r="AR38" i="9"/>
  <c r="AR40" i="9" s="1"/>
  <c r="AR8" i="10" s="1"/>
  <c r="CK6" i="9"/>
  <c r="CK38" i="9"/>
  <c r="CK40" i="9" s="1"/>
  <c r="CK8" i="10" s="1"/>
  <c r="CJ6" i="9"/>
  <c r="CJ38" i="9"/>
  <c r="CJ40" i="9" s="1"/>
  <c r="CJ8" i="10" s="1"/>
  <c r="AA7" i="9"/>
  <c r="AA38" i="9"/>
  <c r="AA40" i="9" s="1"/>
  <c r="AA8" i="10" s="1"/>
  <c r="BC7" i="10"/>
  <c r="BC6" i="10" s="1"/>
  <c r="BC38" i="10"/>
  <c r="BC40" i="10" s="1"/>
  <c r="BC8" i="11" s="1"/>
  <c r="CQ6" i="10"/>
  <c r="CQ38" i="10"/>
  <c r="CQ40" i="10" s="1"/>
  <c r="CQ8" i="11" s="1"/>
  <c r="AM6" i="10"/>
  <c r="AM38" i="10"/>
  <c r="AM40" i="10" s="1"/>
  <c r="AM8" i="11" s="1"/>
  <c r="Z7" i="10"/>
  <c r="Z38" i="10"/>
  <c r="Z40" i="10" s="1"/>
  <c r="Z8" i="11" s="1"/>
  <c r="AV7" i="9"/>
  <c r="AV6" i="9" s="1"/>
  <c r="AV38" i="9"/>
  <c r="AV40" i="9" s="1"/>
  <c r="AV8" i="10" s="1"/>
  <c r="H7" i="9"/>
  <c r="H38" i="9"/>
  <c r="H40" i="9" s="1"/>
  <c r="H8" i="10" s="1"/>
  <c r="CO6" i="11"/>
  <c r="CO38" i="11"/>
  <c r="CO40" i="11" s="1"/>
  <c r="CO8" i="12" s="1"/>
  <c r="BL7" i="9"/>
  <c r="BL6" i="9" s="1"/>
  <c r="BL38" i="9"/>
  <c r="BL40" i="9" s="1"/>
  <c r="BL8" i="10" s="1"/>
  <c r="BS7" i="10"/>
  <c r="BS38" i="10"/>
  <c r="BS40" i="10" s="1"/>
  <c r="BS8" i="11" s="1"/>
  <c r="R7" i="10"/>
  <c r="R38" i="10"/>
  <c r="R40" i="10" s="1"/>
  <c r="R8" i="11" s="1"/>
  <c r="AP6" i="10"/>
  <c r="AP38" i="10"/>
  <c r="AP40" i="10" s="1"/>
  <c r="AP8" i="11" s="1"/>
  <c r="CP38" i="9"/>
  <c r="CP40" i="9" s="1"/>
  <c r="CP8" i="10" s="1"/>
  <c r="CP6" i="9"/>
  <c r="O7" i="9"/>
  <c r="O38" i="9"/>
  <c r="O40" i="9" s="1"/>
  <c r="O8" i="10" s="1"/>
  <c r="N38" i="9"/>
  <c r="N40" i="9" s="1"/>
  <c r="N8" i="10" s="1"/>
  <c r="N7" i="9"/>
  <c r="AL6" i="12"/>
  <c r="AL38" i="12"/>
  <c r="AL40" i="12" s="1"/>
  <c r="AL8" i="13" s="1"/>
  <c r="BW7" i="9"/>
  <c r="BW6" i="9" s="1"/>
  <c r="BW38" i="9"/>
  <c r="BW40" i="9" s="1"/>
  <c r="BW8" i="10" s="1"/>
  <c r="AY7" i="9"/>
  <c r="AY6" i="9" s="1"/>
  <c r="AY38" i="9"/>
  <c r="AY40" i="9" s="1"/>
  <c r="AY8" i="10" s="1"/>
  <c r="BN7" i="10"/>
  <c r="BN6" i="10" s="1"/>
  <c r="BN38" i="10"/>
  <c r="BN40" i="10" s="1"/>
  <c r="BN8" i="11" s="1"/>
  <c r="BK7" i="10"/>
  <c r="BK6" i="10" s="1"/>
  <c r="BK38" i="10"/>
  <c r="BK40" i="10" s="1"/>
  <c r="BK8" i="11" s="1"/>
  <c r="AI7" i="9"/>
  <c r="AI38" i="9"/>
  <c r="AI40" i="9" s="1"/>
  <c r="AI8" i="10" s="1"/>
  <c r="M7" i="9"/>
  <c r="M38" i="9"/>
  <c r="M40" i="9" s="1"/>
  <c r="M8" i="10" s="1"/>
  <c r="BG7" i="9"/>
  <c r="BG6" i="9" s="1"/>
  <c r="BG38" i="9"/>
  <c r="BG40" i="9" s="1"/>
  <c r="BG8" i="10" s="1"/>
  <c r="BB7" i="10"/>
  <c r="BB6" i="10" s="1"/>
  <c r="BB38" i="10"/>
  <c r="BB40" i="10" s="1"/>
  <c r="BB8" i="11" s="1"/>
  <c r="AW7" i="10"/>
  <c r="AW6" i="10" s="1"/>
  <c r="AW38" i="10"/>
  <c r="AW40" i="10" s="1"/>
  <c r="AW8" i="11" s="1"/>
  <c r="CV6" i="9"/>
  <c r="CV38" i="9"/>
  <c r="CV40" i="9" s="1"/>
  <c r="CV8" i="10" s="1"/>
  <c r="CB6" i="9"/>
  <c r="CB38" i="9"/>
  <c r="CB40" i="9" s="1"/>
  <c r="CB8" i="10" s="1"/>
  <c r="AU7" i="10"/>
  <c r="AU6" i="10" s="1"/>
  <c r="AU38" i="10"/>
  <c r="AU40" i="10" s="1"/>
  <c r="AU8" i="11" s="1"/>
  <c r="BQ7" i="9"/>
  <c r="BQ6" i="9" s="1"/>
  <c r="BQ38" i="9"/>
  <c r="BQ40" i="9" s="1"/>
  <c r="BQ8" i="10" s="1"/>
  <c r="BA7" i="9"/>
  <c r="BA6" i="9" s="1"/>
  <c r="BA38" i="9"/>
  <c r="BA40" i="9" s="1"/>
  <c r="BA8" i="10" s="1"/>
  <c r="CN38" i="12"/>
  <c r="CN40" i="12" s="1"/>
  <c r="CN8" i="13" s="1"/>
  <c r="CN6" i="12"/>
  <c r="BD7" i="9"/>
  <c r="BD6" i="9" s="1"/>
  <c r="BD38" i="9"/>
  <c r="BD40" i="9" s="1"/>
  <c r="BD8" i="10" s="1"/>
  <c r="J7" i="9"/>
  <c r="J38" i="9"/>
  <c r="J40" i="9" s="1"/>
  <c r="J8" i="10" s="1"/>
  <c r="AD38" i="10"/>
  <c r="AD40" i="10" s="1"/>
  <c r="AD8" i="11" s="1"/>
  <c r="AD7" i="10"/>
  <c r="CM38" i="11" l="1"/>
  <c r="CM40" i="11" s="1"/>
  <c r="CM8" i="12" s="1"/>
  <c r="CM6" i="11"/>
  <c r="CU6" i="11"/>
  <c r="CU38" i="11"/>
  <c r="CU40" i="11" s="1"/>
  <c r="CU8" i="12" s="1"/>
  <c r="Q7" i="12"/>
  <c r="Q38" i="12"/>
  <c r="Q40" i="12" s="1"/>
  <c r="Q8" i="13" s="1"/>
  <c r="BP38" i="11"/>
  <c r="BP40" i="11" s="1"/>
  <c r="BP8" i="12" s="1"/>
  <c r="BP7" i="11"/>
  <c r="BP6" i="11" s="1"/>
  <c r="AQ6" i="10"/>
  <c r="AQ38" i="10"/>
  <c r="AQ40" i="10" s="1"/>
  <c r="AQ8" i="11" s="1"/>
  <c r="BS38" i="11"/>
  <c r="BS40" i="11" s="1"/>
  <c r="BS8" i="12" s="1"/>
  <c r="BS7" i="11"/>
  <c r="AV38" i="10"/>
  <c r="AV40" i="10" s="1"/>
  <c r="AV8" i="11" s="1"/>
  <c r="AV7" i="10"/>
  <c r="AV6" i="10" s="1"/>
  <c r="BC38" i="11"/>
  <c r="BC40" i="11" s="1"/>
  <c r="BC8" i="12" s="1"/>
  <c r="BC7" i="11"/>
  <c r="BC6" i="11" s="1"/>
  <c r="AR38" i="10"/>
  <c r="AR40" i="10" s="1"/>
  <c r="AR8" i="11" s="1"/>
  <c r="AR7" i="10"/>
  <c r="AR6" i="10" s="1"/>
  <c r="BF7" i="11"/>
  <c r="BF6" i="11" s="1"/>
  <c r="BF38" i="11"/>
  <c r="BF40" i="11" s="1"/>
  <c r="BF8" i="12" s="1"/>
  <c r="K7" i="10"/>
  <c r="K38" i="10"/>
  <c r="K40" i="10" s="1"/>
  <c r="K8" i="11" s="1"/>
  <c r="BM38" i="11"/>
  <c r="BM40" i="11" s="1"/>
  <c r="BM8" i="12" s="1"/>
  <c r="BM7" i="11"/>
  <c r="BM6" i="11" s="1"/>
  <c r="AX7" i="12"/>
  <c r="AX6" i="12" s="1"/>
  <c r="AX38" i="12"/>
  <c r="AX40" i="12" s="1"/>
  <c r="AX8" i="13" s="1"/>
  <c r="CH6" i="11"/>
  <c r="CH38" i="11"/>
  <c r="CH40" i="11" s="1"/>
  <c r="CH8" i="12" s="1"/>
  <c r="BO7" i="10"/>
  <c r="BO6" i="10" s="1"/>
  <c r="BO38" i="10"/>
  <c r="BO40" i="10" s="1"/>
  <c r="BO8" i="11" s="1"/>
  <c r="AZ7" i="13"/>
  <c r="AZ6" i="13" s="1"/>
  <c r="AZ38" i="13"/>
  <c r="AZ40" i="13" s="1"/>
  <c r="AZ8" i="14" s="1"/>
  <c r="CN6" i="13"/>
  <c r="CN38" i="13"/>
  <c r="CN40" i="13" s="1"/>
  <c r="CN8" i="14" s="1"/>
  <c r="CP38" i="10"/>
  <c r="CP40" i="10" s="1"/>
  <c r="CP8" i="11" s="1"/>
  <c r="CP6" i="10"/>
  <c r="AJ7" i="11"/>
  <c r="AJ38" i="11"/>
  <c r="AJ40" i="11" s="1"/>
  <c r="AJ8" i="12" s="1"/>
  <c r="CB38" i="10"/>
  <c r="CB40" i="10" s="1"/>
  <c r="CB8" i="11" s="1"/>
  <c r="CB6" i="10"/>
  <c r="BK7" i="11"/>
  <c r="BK6" i="11" s="1"/>
  <c r="BK38" i="11"/>
  <c r="BK40" i="11" s="1"/>
  <c r="BK8" i="12" s="1"/>
  <c r="AP6" i="11"/>
  <c r="AP38" i="11"/>
  <c r="AP40" i="11" s="1"/>
  <c r="AP8" i="12" s="1"/>
  <c r="BL7" i="10"/>
  <c r="BL6" i="10" s="1"/>
  <c r="BL38" i="10"/>
  <c r="BL40" i="10" s="1"/>
  <c r="BL8" i="11" s="1"/>
  <c r="AA7" i="10"/>
  <c r="AA38" i="10"/>
  <c r="AA40" i="10" s="1"/>
  <c r="AA8" i="11" s="1"/>
  <c r="BU38" i="11"/>
  <c r="BU40" i="11" s="1"/>
  <c r="BU8" i="12" s="1"/>
  <c r="BU7" i="11"/>
  <c r="P38" i="10"/>
  <c r="P40" i="10" s="1"/>
  <c r="P8" i="11" s="1"/>
  <c r="P7" i="10"/>
  <c r="CS6" i="10"/>
  <c r="CS38" i="10"/>
  <c r="CS40" i="10" s="1"/>
  <c r="CS8" i="11" s="1"/>
  <c r="AF38" i="10"/>
  <c r="AF40" i="10" s="1"/>
  <c r="AF8" i="11" s="1"/>
  <c r="AF7" i="10"/>
  <c r="S7" i="10"/>
  <c r="S38" i="10"/>
  <c r="S40" i="10" s="1"/>
  <c r="S8" i="11" s="1"/>
  <c r="AH7" i="11"/>
  <c r="AH38" i="11"/>
  <c r="AH40" i="11" s="1"/>
  <c r="AH8" i="12" s="1"/>
  <c r="CR38" i="10"/>
  <c r="CR40" i="10" s="1"/>
  <c r="CR8" i="11" s="1"/>
  <c r="CR6" i="10"/>
  <c r="AN38" i="10"/>
  <c r="AN40" i="10" s="1"/>
  <c r="AN8" i="11" s="1"/>
  <c r="AN6" i="10"/>
  <c r="AI7" i="10"/>
  <c r="AI38" i="10"/>
  <c r="AI40" i="10" s="1"/>
  <c r="AI8" i="11" s="1"/>
  <c r="J7" i="10"/>
  <c r="J38" i="10"/>
  <c r="J40" i="10" s="1"/>
  <c r="J8" i="11" s="1"/>
  <c r="AL6" i="13"/>
  <c r="AL38" i="13"/>
  <c r="AL40" i="13" s="1"/>
  <c r="AL8" i="14" s="1"/>
  <c r="Z7" i="11"/>
  <c r="Z38" i="11"/>
  <c r="Z40" i="11" s="1"/>
  <c r="Z8" i="12" s="1"/>
  <c r="CL6" i="10"/>
  <c r="CL38" i="10"/>
  <c r="CL40" i="10" s="1"/>
  <c r="CL8" i="11" s="1"/>
  <c r="AU38" i="11"/>
  <c r="AU40" i="11" s="1"/>
  <c r="AU8" i="12" s="1"/>
  <c r="AU7" i="11"/>
  <c r="AU6" i="11" s="1"/>
  <c r="AD7" i="11"/>
  <c r="AD38" i="11"/>
  <c r="AD40" i="11" s="1"/>
  <c r="AD8" i="12" s="1"/>
  <c r="BN7" i="11"/>
  <c r="BN6" i="11" s="1"/>
  <c r="BN38" i="11"/>
  <c r="BN40" i="11" s="1"/>
  <c r="BN8" i="12" s="1"/>
  <c r="CO6" i="12"/>
  <c r="CO38" i="12"/>
  <c r="CO40" i="12" s="1"/>
  <c r="CO8" i="13" s="1"/>
  <c r="AM6" i="11"/>
  <c r="AM38" i="11"/>
  <c r="AM40" i="11" s="1"/>
  <c r="AM8" i="12" s="1"/>
  <c r="CJ6" i="10"/>
  <c r="CJ38" i="10"/>
  <c r="CJ40" i="10" s="1"/>
  <c r="CJ8" i="11" s="1"/>
  <c r="L7" i="13"/>
  <c r="L38" i="13"/>
  <c r="L40" i="13" s="1"/>
  <c r="L8" i="14" s="1"/>
  <c r="BI7" i="10"/>
  <c r="BI6" i="10" s="1"/>
  <c r="BI38" i="10"/>
  <c r="BI40" i="10" s="1"/>
  <c r="BI8" i="11" s="1"/>
  <c r="BE38" i="11"/>
  <c r="BE40" i="11" s="1"/>
  <c r="BE8" i="12" s="1"/>
  <c r="BE7" i="11"/>
  <c r="BE6" i="11" s="1"/>
  <c r="AC7" i="10"/>
  <c r="AC38" i="10"/>
  <c r="AC40" i="10" s="1"/>
  <c r="AC8" i="11" s="1"/>
  <c r="BJ7" i="15"/>
  <c r="BJ6" i="15" s="1"/>
  <c r="BJ38" i="15"/>
  <c r="BJ40" i="15" s="1"/>
  <c r="BJ8" i="16" s="1"/>
  <c r="CC38" i="11"/>
  <c r="CC40" i="11" s="1"/>
  <c r="CC8" i="12" s="1"/>
  <c r="CC6" i="11"/>
  <c r="AS7" i="12"/>
  <c r="AS6" i="12" s="1"/>
  <c r="AS38" i="12"/>
  <c r="AS40" i="12" s="1"/>
  <c r="AS8" i="13" s="1"/>
  <c r="BH7" i="13"/>
  <c r="BH6" i="13" s="1"/>
  <c r="BH38" i="13"/>
  <c r="BH40" i="13" s="1"/>
  <c r="BH8" i="14" s="1"/>
  <c r="CV38" i="10"/>
  <c r="CV40" i="10" s="1"/>
  <c r="CV8" i="11" s="1"/>
  <c r="CV6" i="10"/>
  <c r="N7" i="10"/>
  <c r="N38" i="10"/>
  <c r="N40" i="10" s="1"/>
  <c r="N8" i="11" s="1"/>
  <c r="BB7" i="11"/>
  <c r="BB6" i="11" s="1"/>
  <c r="BB38" i="11"/>
  <c r="BB40" i="11" s="1"/>
  <c r="BB8" i="12" s="1"/>
  <c r="BG7" i="10"/>
  <c r="BG6" i="10" s="1"/>
  <c r="BG38" i="10"/>
  <c r="BG40" i="10" s="1"/>
  <c r="BG8" i="11" s="1"/>
  <c r="BQ7" i="10"/>
  <c r="BQ6" i="10" s="1"/>
  <c r="BQ38" i="10"/>
  <c r="BQ40" i="10" s="1"/>
  <c r="BQ8" i="11" s="1"/>
  <c r="M7" i="10"/>
  <c r="M38" i="10"/>
  <c r="M40" i="10" s="1"/>
  <c r="M8" i="11" s="1"/>
  <c r="O7" i="10"/>
  <c r="O38" i="10"/>
  <c r="O40" i="10" s="1"/>
  <c r="O8" i="11" s="1"/>
  <c r="R7" i="11"/>
  <c r="R38" i="11"/>
  <c r="R40" i="11" s="1"/>
  <c r="R8" i="12" s="1"/>
  <c r="CQ38" i="11"/>
  <c r="CQ40" i="11" s="1"/>
  <c r="CQ8" i="12" s="1"/>
  <c r="CQ6" i="11"/>
  <c r="CK6" i="10"/>
  <c r="CK38" i="10"/>
  <c r="CK40" i="10" s="1"/>
  <c r="CK8" i="11" s="1"/>
  <c r="AO6" i="14"/>
  <c r="AO38" i="14"/>
  <c r="AO40" i="14" s="1"/>
  <c r="AO8" i="15" s="1"/>
  <c r="BX38" i="10"/>
  <c r="BX40" i="10" s="1"/>
  <c r="BX8" i="11" s="1"/>
  <c r="BX7" i="10"/>
  <c r="BX6" i="10" s="1"/>
  <c r="AG7" i="10"/>
  <c r="AG38" i="10"/>
  <c r="AG40" i="10" s="1"/>
  <c r="AG8" i="11" s="1"/>
  <c r="AB38" i="10"/>
  <c r="AB40" i="10" s="1"/>
  <c r="AB8" i="11" s="1"/>
  <c r="AB7" i="10"/>
  <c r="AE7" i="11"/>
  <c r="AE38" i="11"/>
  <c r="AE40" i="11" s="1"/>
  <c r="AE8" i="12" s="1"/>
  <c r="AT38" i="12"/>
  <c r="AT40" i="12" s="1"/>
  <c r="AT8" i="13" s="1"/>
  <c r="AT7" i="12"/>
  <c r="AT6" i="12" s="1"/>
  <c r="CT6" i="10"/>
  <c r="CT38" i="10"/>
  <c r="CT40" i="10" s="1"/>
  <c r="CT8" i="11" s="1"/>
  <c r="AK7" i="10"/>
  <c r="AK38" i="10"/>
  <c r="AK40" i="10" s="1"/>
  <c r="AK8" i="11" s="1"/>
  <c r="BW7" i="10"/>
  <c r="BW6" i="10" s="1"/>
  <c r="BW38" i="10"/>
  <c r="BW40" i="10" s="1"/>
  <c r="BW8" i="11" s="1"/>
  <c r="BA7" i="10"/>
  <c r="BA6" i="10" s="1"/>
  <c r="BA38" i="10"/>
  <c r="BA40" i="10" s="1"/>
  <c r="BA8" i="11" s="1"/>
  <c r="BD38" i="10"/>
  <c r="BD40" i="10" s="1"/>
  <c r="BD8" i="11" s="1"/>
  <c r="BD7" i="10"/>
  <c r="BD6" i="10" s="1"/>
  <c r="AW38" i="11"/>
  <c r="AW40" i="11" s="1"/>
  <c r="AW8" i="12" s="1"/>
  <c r="AW7" i="11"/>
  <c r="AW6" i="11" s="1"/>
  <c r="AY7" i="10"/>
  <c r="AY6" i="10" s="1"/>
  <c r="AY38" i="10"/>
  <c r="AY40" i="10" s="1"/>
  <c r="AY8" i="11" s="1"/>
  <c r="H38" i="10"/>
  <c r="H40" i="10" s="1"/>
  <c r="H8" i="11" s="1"/>
  <c r="H7" i="10"/>
  <c r="BV7" i="10"/>
  <c r="BV6" i="10" s="1"/>
  <c r="BV38" i="10"/>
  <c r="BV40" i="10" s="1"/>
  <c r="BV8" i="11" s="1"/>
  <c r="Q38" i="13" l="1"/>
  <c r="Q40" i="13" s="1"/>
  <c r="Q8" i="14" s="1"/>
  <c r="Q7" i="13"/>
  <c r="CU6" i="12"/>
  <c r="CU38" i="12"/>
  <c r="CU40" i="12" s="1"/>
  <c r="CU8" i="13" s="1"/>
  <c r="CM6" i="12"/>
  <c r="CM38" i="12"/>
  <c r="CM40" i="12" s="1"/>
  <c r="CM8" i="13" s="1"/>
  <c r="AQ6" i="11"/>
  <c r="AQ38" i="11"/>
  <c r="AQ40" i="11" s="1"/>
  <c r="AQ8" i="12" s="1"/>
  <c r="BP38" i="12"/>
  <c r="BP40" i="12" s="1"/>
  <c r="BP8" i="13" s="1"/>
  <c r="BP7" i="12"/>
  <c r="BP6" i="12" s="1"/>
  <c r="CK6" i="11"/>
  <c r="CK38" i="11"/>
  <c r="CK40" i="11" s="1"/>
  <c r="CK8" i="12" s="1"/>
  <c r="N7" i="11"/>
  <c r="N38" i="11"/>
  <c r="N40" i="11" s="1"/>
  <c r="N8" i="12" s="1"/>
  <c r="AM6" i="12"/>
  <c r="AM38" i="12"/>
  <c r="AM40" i="12" s="1"/>
  <c r="AM8" i="13" s="1"/>
  <c r="Z38" i="12"/>
  <c r="Z40" i="12" s="1"/>
  <c r="Z8" i="13" s="1"/>
  <c r="Z7" i="12"/>
  <c r="AI7" i="11"/>
  <c r="AI38" i="11"/>
  <c r="AI40" i="11" s="1"/>
  <c r="AI8" i="12" s="1"/>
  <c r="S7" i="11"/>
  <c r="S38" i="11"/>
  <c r="S40" i="11" s="1"/>
  <c r="S8" i="12" s="1"/>
  <c r="BK7" i="12"/>
  <c r="BK6" i="12" s="1"/>
  <c r="BK38" i="12"/>
  <c r="BK40" i="12" s="1"/>
  <c r="BK8" i="13" s="1"/>
  <c r="CN6" i="14"/>
  <c r="CN38" i="14"/>
  <c r="CN40" i="14" s="1"/>
  <c r="CN8" i="15" s="1"/>
  <c r="AX7" i="13"/>
  <c r="AX6" i="13" s="1"/>
  <c r="AX38" i="13"/>
  <c r="AX40" i="13" s="1"/>
  <c r="AX8" i="14" s="1"/>
  <c r="BD7" i="11"/>
  <c r="BD6" i="11" s="1"/>
  <c r="BD38" i="11"/>
  <c r="BD40" i="11" s="1"/>
  <c r="BD8" i="12" s="1"/>
  <c r="AB7" i="11"/>
  <c r="AB38" i="11"/>
  <c r="AB40" i="11" s="1"/>
  <c r="AB8" i="12" s="1"/>
  <c r="BE7" i="12"/>
  <c r="BE6" i="12" s="1"/>
  <c r="BE38" i="12"/>
  <c r="BE40" i="12" s="1"/>
  <c r="BE8" i="13" s="1"/>
  <c r="BU7" i="12"/>
  <c r="BU38" i="12"/>
  <c r="BU40" i="12" s="1"/>
  <c r="BU8" i="13" s="1"/>
  <c r="AR7" i="11"/>
  <c r="AR6" i="11" s="1"/>
  <c r="AR38" i="11"/>
  <c r="AR40" i="11" s="1"/>
  <c r="AR8" i="12" s="1"/>
  <c r="CT6" i="11"/>
  <c r="CT38" i="11"/>
  <c r="CT40" i="11" s="1"/>
  <c r="CT8" i="12" s="1"/>
  <c r="AG38" i="11"/>
  <c r="AG40" i="11" s="1"/>
  <c r="AG8" i="12" s="1"/>
  <c r="AG7" i="11"/>
  <c r="BQ7" i="11"/>
  <c r="BQ6" i="11" s="1"/>
  <c r="BQ38" i="11"/>
  <c r="BQ40" i="11" s="1"/>
  <c r="BQ8" i="12" s="1"/>
  <c r="BI38" i="11"/>
  <c r="BI40" i="11" s="1"/>
  <c r="BI8" i="12" s="1"/>
  <c r="BI7" i="11"/>
  <c r="BI6" i="11" s="1"/>
  <c r="CO6" i="13"/>
  <c r="CO38" i="13"/>
  <c r="CO40" i="13" s="1"/>
  <c r="CO8" i="14" s="1"/>
  <c r="AD38" i="12"/>
  <c r="AD40" i="12" s="1"/>
  <c r="AD8" i="13" s="1"/>
  <c r="AD7" i="12"/>
  <c r="AL38" i="14"/>
  <c r="AL40" i="14" s="1"/>
  <c r="AL8" i="15" s="1"/>
  <c r="AL6" i="14"/>
  <c r="AA7" i="11"/>
  <c r="AA38" i="11"/>
  <c r="AA40" i="11" s="1"/>
  <c r="AA8" i="12" s="1"/>
  <c r="AZ7" i="14"/>
  <c r="AZ6" i="14" s="1"/>
  <c r="AZ38" i="14"/>
  <c r="AZ40" i="14" s="1"/>
  <c r="AZ8" i="15" s="1"/>
  <c r="H7" i="11"/>
  <c r="H38" i="11"/>
  <c r="H40" i="11" s="1"/>
  <c r="H8" i="12" s="1"/>
  <c r="CQ6" i="12"/>
  <c r="CQ38" i="12"/>
  <c r="CQ40" i="12" s="1"/>
  <c r="CQ8" i="13" s="1"/>
  <c r="CV6" i="11"/>
  <c r="CV38" i="11"/>
  <c r="CV40" i="11" s="1"/>
  <c r="CV8" i="12" s="1"/>
  <c r="CC6" i="12"/>
  <c r="CC38" i="12"/>
  <c r="CC40" i="12" s="1"/>
  <c r="CC8" i="13" s="1"/>
  <c r="AN6" i="11"/>
  <c r="AN38" i="11"/>
  <c r="AN40" i="11" s="1"/>
  <c r="AN8" i="12" s="1"/>
  <c r="AF7" i="11"/>
  <c r="AF38" i="11"/>
  <c r="AF40" i="11" s="1"/>
  <c r="AF8" i="12" s="1"/>
  <c r="CB6" i="11"/>
  <c r="CB38" i="11"/>
  <c r="CB40" i="11" s="1"/>
  <c r="CB8" i="12" s="1"/>
  <c r="BM7" i="12"/>
  <c r="BM6" i="12" s="1"/>
  <c r="BM38" i="12"/>
  <c r="BM40" i="12" s="1"/>
  <c r="BM8" i="13" s="1"/>
  <c r="BC7" i="12"/>
  <c r="BC6" i="12" s="1"/>
  <c r="BC38" i="12"/>
  <c r="BC40" i="12" s="1"/>
  <c r="BC8" i="13" s="1"/>
  <c r="AY7" i="11"/>
  <c r="AY6" i="11" s="1"/>
  <c r="AY38" i="11"/>
  <c r="AY40" i="11" s="1"/>
  <c r="AY8" i="12" s="1"/>
  <c r="R38" i="12"/>
  <c r="R40" i="12" s="1"/>
  <c r="R8" i="13" s="1"/>
  <c r="R7" i="12"/>
  <c r="BG7" i="11"/>
  <c r="BG6" i="11" s="1"/>
  <c r="BG38" i="11"/>
  <c r="BG40" i="11" s="1"/>
  <c r="BG8" i="12" s="1"/>
  <c r="BH7" i="14"/>
  <c r="BH6" i="14" s="1"/>
  <c r="BH38" i="14"/>
  <c r="BH40" i="14" s="1"/>
  <c r="BH8" i="15" s="1"/>
  <c r="BJ38" i="16"/>
  <c r="BJ40" i="16" s="1"/>
  <c r="BJ8" i="17" s="1"/>
  <c r="BJ7" i="16"/>
  <c r="BJ6" i="16" s="1"/>
  <c r="L7" i="14"/>
  <c r="L38" i="14"/>
  <c r="L40" i="14" s="1"/>
  <c r="L8" i="15" s="1"/>
  <c r="CS38" i="11"/>
  <c r="CS40" i="11" s="1"/>
  <c r="CS8" i="12" s="1"/>
  <c r="CS6" i="11"/>
  <c r="BL7" i="11"/>
  <c r="BL6" i="11" s="1"/>
  <c r="BL38" i="11"/>
  <c r="BL40" i="11" s="1"/>
  <c r="BL8" i="12" s="1"/>
  <c r="AJ7" i="12"/>
  <c r="AJ38" i="12"/>
  <c r="AJ40" i="12" s="1"/>
  <c r="AJ8" i="13" s="1"/>
  <c r="BO7" i="11"/>
  <c r="BO6" i="11" s="1"/>
  <c r="BO38" i="11"/>
  <c r="BO40" i="11" s="1"/>
  <c r="BO8" i="12" s="1"/>
  <c r="K7" i="11"/>
  <c r="K38" i="11"/>
  <c r="K40" i="11" s="1"/>
  <c r="K8" i="12" s="1"/>
  <c r="AK38" i="11"/>
  <c r="AK40" i="11" s="1"/>
  <c r="AK8" i="12" s="1"/>
  <c r="AK7" i="11"/>
  <c r="AT7" i="13"/>
  <c r="AT6" i="13" s="1"/>
  <c r="AT38" i="13"/>
  <c r="AT40" i="13" s="1"/>
  <c r="AT8" i="14" s="1"/>
  <c r="BX7" i="11"/>
  <c r="BX6" i="11" s="1"/>
  <c r="BX38" i="11"/>
  <c r="BX40" i="11" s="1"/>
  <c r="BX8" i="12" s="1"/>
  <c r="AU7" i="12"/>
  <c r="AU6" i="12" s="1"/>
  <c r="AU38" i="12"/>
  <c r="AU40" i="12" s="1"/>
  <c r="AU8" i="13" s="1"/>
  <c r="CR6" i="11"/>
  <c r="CR38" i="11"/>
  <c r="CR40" i="11" s="1"/>
  <c r="CR8" i="12" s="1"/>
  <c r="AV7" i="11"/>
  <c r="AV6" i="11" s="1"/>
  <c r="AV38" i="11"/>
  <c r="AV40" i="11" s="1"/>
  <c r="AV8" i="12" s="1"/>
  <c r="M7" i="11"/>
  <c r="M38" i="11"/>
  <c r="M40" i="11" s="1"/>
  <c r="M8" i="12" s="1"/>
  <c r="BW7" i="11"/>
  <c r="BW6" i="11" s="1"/>
  <c r="BW38" i="11"/>
  <c r="BW40" i="11" s="1"/>
  <c r="BW8" i="12" s="1"/>
  <c r="AE7" i="12"/>
  <c r="AE38" i="12"/>
  <c r="AE40" i="12" s="1"/>
  <c r="AE8" i="13" s="1"/>
  <c r="AO38" i="15"/>
  <c r="AO40" i="15" s="1"/>
  <c r="AO8" i="16" s="1"/>
  <c r="AO6" i="15"/>
  <c r="O38" i="11"/>
  <c r="O40" i="11" s="1"/>
  <c r="O8" i="12" s="1"/>
  <c r="O7" i="11"/>
  <c r="BB7" i="12"/>
  <c r="BB6" i="12" s="1"/>
  <c r="BB38" i="12"/>
  <c r="BB40" i="12" s="1"/>
  <c r="BB8" i="13" s="1"/>
  <c r="AS7" i="13"/>
  <c r="AS6" i="13" s="1"/>
  <c r="AS38" i="13"/>
  <c r="AS40" i="13" s="1"/>
  <c r="AS8" i="14" s="1"/>
  <c r="AC38" i="11"/>
  <c r="AC40" i="11" s="1"/>
  <c r="AC8" i="12" s="1"/>
  <c r="AC7" i="11"/>
  <c r="CJ6" i="11"/>
  <c r="CJ38" i="11"/>
  <c r="CJ40" i="11" s="1"/>
  <c r="CJ8" i="12" s="1"/>
  <c r="BN7" i="12"/>
  <c r="BN6" i="12" s="1"/>
  <c r="BN38" i="12"/>
  <c r="BN40" i="12" s="1"/>
  <c r="BN8" i="13" s="1"/>
  <c r="CL6" i="11"/>
  <c r="CL38" i="11"/>
  <c r="CL40" i="11" s="1"/>
  <c r="CL8" i="12" s="1"/>
  <c r="J7" i="11"/>
  <c r="J38" i="11"/>
  <c r="J40" i="11" s="1"/>
  <c r="J8" i="12" s="1"/>
  <c r="AH38" i="12"/>
  <c r="AH40" i="12" s="1"/>
  <c r="AH8" i="13" s="1"/>
  <c r="AH7" i="12"/>
  <c r="AP38" i="12"/>
  <c r="AP40" i="12" s="1"/>
  <c r="AP8" i="13" s="1"/>
  <c r="AP6" i="12"/>
  <c r="CH38" i="12"/>
  <c r="CH40" i="12" s="1"/>
  <c r="CH8" i="13" s="1"/>
  <c r="CH6" i="12"/>
  <c r="BF7" i="12"/>
  <c r="BF6" i="12" s="1"/>
  <c r="BF38" i="12"/>
  <c r="BF40" i="12" s="1"/>
  <c r="BF8" i="13" s="1"/>
  <c r="BV7" i="11"/>
  <c r="BV6" i="11" s="1"/>
  <c r="BV38" i="11"/>
  <c r="BV40" i="11" s="1"/>
  <c r="BV8" i="12" s="1"/>
  <c r="BA7" i="11"/>
  <c r="BA6" i="11" s="1"/>
  <c r="BA38" i="11"/>
  <c r="BA40" i="11" s="1"/>
  <c r="BA8" i="12" s="1"/>
  <c r="AW7" i="12"/>
  <c r="AW6" i="12" s="1"/>
  <c r="AW38" i="12"/>
  <c r="AW40" i="12" s="1"/>
  <c r="AW8" i="13" s="1"/>
  <c r="P7" i="11"/>
  <c r="P38" i="11"/>
  <c r="P40" i="11" s="1"/>
  <c r="P8" i="12" s="1"/>
  <c r="CP38" i="11"/>
  <c r="CP40" i="11" s="1"/>
  <c r="CP8" i="12" s="1"/>
  <c r="CP6" i="11"/>
  <c r="BS7" i="12"/>
  <c r="BS38" i="12"/>
  <c r="BS40" i="12" s="1"/>
  <c r="BS8" i="13" s="1"/>
  <c r="CM6" i="13" l="1"/>
  <c r="CM38" i="13"/>
  <c r="CM40" i="13" s="1"/>
  <c r="CM8" i="14" s="1"/>
  <c r="CU6" i="13"/>
  <c r="CU38" i="13"/>
  <c r="CU40" i="13" s="1"/>
  <c r="CU8" i="14" s="1"/>
  <c r="Q7" i="14"/>
  <c r="Q38" i="14"/>
  <c r="Q40" i="14" s="1"/>
  <c r="Q8" i="15" s="1"/>
  <c r="BP7" i="13"/>
  <c r="BP6" i="13" s="1"/>
  <c r="BP38" i="13"/>
  <c r="BP40" i="13" s="1"/>
  <c r="BP8" i="14" s="1"/>
  <c r="AQ38" i="12"/>
  <c r="AQ40" i="12" s="1"/>
  <c r="AQ8" i="13" s="1"/>
  <c r="AQ6" i="12"/>
  <c r="BS7" i="13"/>
  <c r="BS38" i="13"/>
  <c r="BS40" i="13" s="1"/>
  <c r="BS8" i="14" s="1"/>
  <c r="AU38" i="13"/>
  <c r="AU40" i="13" s="1"/>
  <c r="AU8" i="14" s="1"/>
  <c r="AU7" i="13"/>
  <c r="AU6" i="13" s="1"/>
  <c r="BL7" i="12"/>
  <c r="BL6" i="12" s="1"/>
  <c r="BL38" i="12"/>
  <c r="BL40" i="12" s="1"/>
  <c r="BL8" i="13" s="1"/>
  <c r="L38" i="15"/>
  <c r="L40" i="15" s="1"/>
  <c r="L8" i="16" s="1"/>
  <c r="L7" i="15"/>
  <c r="CB6" i="12"/>
  <c r="CB38" i="12"/>
  <c r="CB40" i="12" s="1"/>
  <c r="CB8" i="13" s="1"/>
  <c r="CV6" i="12"/>
  <c r="CV38" i="12"/>
  <c r="CV40" i="12" s="1"/>
  <c r="CV8" i="13" s="1"/>
  <c r="AA7" i="12"/>
  <c r="AA38" i="12"/>
  <c r="AA40" i="12" s="1"/>
  <c r="AA8" i="13" s="1"/>
  <c r="AR7" i="12"/>
  <c r="AR6" i="12" s="1"/>
  <c r="AR38" i="12"/>
  <c r="AR40" i="12" s="1"/>
  <c r="AR8" i="13" s="1"/>
  <c r="BD7" i="12"/>
  <c r="BD6" i="12" s="1"/>
  <c r="BD38" i="12"/>
  <c r="BD40" i="12" s="1"/>
  <c r="BD8" i="13" s="1"/>
  <c r="S7" i="12"/>
  <c r="S38" i="12"/>
  <c r="S40" i="12" s="1"/>
  <c r="S8" i="13" s="1"/>
  <c r="AM38" i="13"/>
  <c r="AM40" i="13" s="1"/>
  <c r="AM8" i="14" s="1"/>
  <c r="AM6" i="13"/>
  <c r="AP38" i="13"/>
  <c r="AP40" i="13" s="1"/>
  <c r="AP8" i="14" s="1"/>
  <c r="AP6" i="13"/>
  <c r="AK7" i="12"/>
  <c r="AK38" i="12"/>
  <c r="AK40" i="12" s="1"/>
  <c r="AK8" i="13" s="1"/>
  <c r="R38" i="13"/>
  <c r="R40" i="13" s="1"/>
  <c r="R8" i="14" s="1"/>
  <c r="R7" i="13"/>
  <c r="BI7" i="12"/>
  <c r="BI6" i="12" s="1"/>
  <c r="BI38" i="12"/>
  <c r="BI40" i="12" s="1"/>
  <c r="BI8" i="13" s="1"/>
  <c r="BV38" i="12"/>
  <c r="BV40" i="12" s="1"/>
  <c r="BV8" i="13" s="1"/>
  <c r="BV7" i="12"/>
  <c r="BV6" i="12" s="1"/>
  <c r="M7" i="12"/>
  <c r="M38" i="12"/>
  <c r="M40" i="12" s="1"/>
  <c r="M8" i="13" s="1"/>
  <c r="BX7" i="12"/>
  <c r="BX6" i="12" s="1"/>
  <c r="BX38" i="12"/>
  <c r="BX40" i="12" s="1"/>
  <c r="BX8" i="13" s="1"/>
  <c r="K7" i="12"/>
  <c r="K38" i="12"/>
  <c r="K40" i="12" s="1"/>
  <c r="K8" i="13" s="1"/>
  <c r="AY7" i="12"/>
  <c r="AY6" i="12" s="1"/>
  <c r="AY38" i="12"/>
  <c r="AY40" i="12" s="1"/>
  <c r="AY8" i="13" s="1"/>
  <c r="AF7" i="12"/>
  <c r="AF38" i="12"/>
  <c r="AF40" i="12" s="1"/>
  <c r="AF8" i="13" s="1"/>
  <c r="CQ38" i="13"/>
  <c r="CQ40" i="13" s="1"/>
  <c r="CQ8" i="14" s="1"/>
  <c r="CQ6" i="13"/>
  <c r="BQ7" i="12"/>
  <c r="BQ6" i="12" s="1"/>
  <c r="BQ38" i="12"/>
  <c r="BQ40" i="12" s="1"/>
  <c r="BQ8" i="13" s="1"/>
  <c r="BU7" i="13"/>
  <c r="BU38" i="13"/>
  <c r="BU40" i="13" s="1"/>
  <c r="BU8" i="14" s="1"/>
  <c r="AX7" i="14"/>
  <c r="AX6" i="14" s="1"/>
  <c r="AX38" i="14"/>
  <c r="AX40" i="14" s="1"/>
  <c r="AX8" i="15" s="1"/>
  <c r="AI7" i="12"/>
  <c r="AI38" i="12"/>
  <c r="AI40" i="12" s="1"/>
  <c r="AI8" i="13" s="1"/>
  <c r="BN7" i="13"/>
  <c r="BN6" i="13" s="1"/>
  <c r="BN38" i="13"/>
  <c r="BN40" i="13" s="1"/>
  <c r="BN8" i="14" s="1"/>
  <c r="CP38" i="12"/>
  <c r="CP40" i="12" s="1"/>
  <c r="CP8" i="13" s="1"/>
  <c r="CP6" i="12"/>
  <c r="AH7" i="13"/>
  <c r="AH38" i="13"/>
  <c r="AH40" i="13" s="1"/>
  <c r="AH8" i="14" s="1"/>
  <c r="O7" i="12"/>
  <c r="O38" i="12"/>
  <c r="O40" i="12" s="1"/>
  <c r="O8" i="13" s="1"/>
  <c r="CS6" i="12"/>
  <c r="CS38" i="12"/>
  <c r="CS40" i="12" s="1"/>
  <c r="CS8" i="13" s="1"/>
  <c r="BJ7" i="17"/>
  <c r="BJ6" i="17" s="1"/>
  <c r="BJ38" i="17"/>
  <c r="BJ40" i="17" s="1"/>
  <c r="BJ8" i="18" s="1"/>
  <c r="AL6" i="15"/>
  <c r="AL38" i="15"/>
  <c r="AL40" i="15" s="1"/>
  <c r="AL8" i="16" s="1"/>
  <c r="BA7" i="12"/>
  <c r="BA6" i="12" s="1"/>
  <c r="BA38" i="12"/>
  <c r="BA40" i="12" s="1"/>
  <c r="BA8" i="13" s="1"/>
  <c r="BF7" i="13"/>
  <c r="BF6" i="13" s="1"/>
  <c r="BF38" i="13"/>
  <c r="BF40" i="13" s="1"/>
  <c r="BF8" i="14" s="1"/>
  <c r="J7" i="12"/>
  <c r="J38" i="12"/>
  <c r="J40" i="12" s="1"/>
  <c r="J8" i="13" s="1"/>
  <c r="AV7" i="12"/>
  <c r="AV6" i="12" s="1"/>
  <c r="AV38" i="12"/>
  <c r="AV40" i="12" s="1"/>
  <c r="AV8" i="13" s="1"/>
  <c r="AT7" i="14"/>
  <c r="AT6" i="14" s="1"/>
  <c r="AT38" i="14"/>
  <c r="AT40" i="14" s="1"/>
  <c r="AT8" i="15" s="1"/>
  <c r="BO7" i="12"/>
  <c r="BO6" i="12" s="1"/>
  <c r="BO38" i="12"/>
  <c r="BO40" i="12" s="1"/>
  <c r="BO8" i="13" s="1"/>
  <c r="BH38" i="15"/>
  <c r="BH40" i="15" s="1"/>
  <c r="BH8" i="16" s="1"/>
  <c r="BH7" i="15"/>
  <c r="BH6" i="15" s="1"/>
  <c r="BC38" i="13"/>
  <c r="BC40" i="13" s="1"/>
  <c r="BC8" i="14" s="1"/>
  <c r="BC7" i="13"/>
  <c r="BC6" i="13" s="1"/>
  <c r="AN6" i="12"/>
  <c r="AN38" i="12"/>
  <c r="AN40" i="12" s="1"/>
  <c r="AN8" i="13" s="1"/>
  <c r="H7" i="12"/>
  <c r="H38" i="12"/>
  <c r="H40" i="12" s="1"/>
  <c r="H8" i="13" s="1"/>
  <c r="BE7" i="13"/>
  <c r="BE6" i="13" s="1"/>
  <c r="BE38" i="13"/>
  <c r="BE40" i="13" s="1"/>
  <c r="BE8" i="14" s="1"/>
  <c r="CN38" i="15"/>
  <c r="CN40" i="15" s="1"/>
  <c r="CN8" i="16" s="1"/>
  <c r="CN6" i="15"/>
  <c r="N7" i="12"/>
  <c r="N38" i="12"/>
  <c r="N40" i="12" s="1"/>
  <c r="N8" i="13" s="1"/>
  <c r="BB7" i="13"/>
  <c r="BB6" i="13" s="1"/>
  <c r="BB38" i="13"/>
  <c r="BB40" i="13" s="1"/>
  <c r="BB8" i="14" s="1"/>
  <c r="P38" i="12"/>
  <c r="P40" i="12" s="1"/>
  <c r="P8" i="13" s="1"/>
  <c r="P7" i="12"/>
  <c r="AC7" i="12"/>
  <c r="AC38" i="12"/>
  <c r="AC40" i="12" s="1"/>
  <c r="AC8" i="13" s="1"/>
  <c r="AO38" i="16"/>
  <c r="AO40" i="16" s="1"/>
  <c r="AO8" i="17" s="1"/>
  <c r="AO6" i="16"/>
  <c r="AD7" i="13"/>
  <c r="AD38" i="13"/>
  <c r="AD40" i="13" s="1"/>
  <c r="AD8" i="14" s="1"/>
  <c r="AG7" i="12"/>
  <c r="AG38" i="12"/>
  <c r="AG40" i="12" s="1"/>
  <c r="AG8" i="13" s="1"/>
  <c r="Z7" i="13"/>
  <c r="Z38" i="13"/>
  <c r="Z40" i="13" s="1"/>
  <c r="Z8" i="14" s="1"/>
  <c r="BW7" i="12"/>
  <c r="BW6" i="12" s="1"/>
  <c r="BW38" i="12"/>
  <c r="BW40" i="12" s="1"/>
  <c r="BW8" i="13" s="1"/>
  <c r="AW7" i="13"/>
  <c r="AW6" i="13" s="1"/>
  <c r="AW38" i="13"/>
  <c r="AW40" i="13" s="1"/>
  <c r="AW8" i="14" s="1"/>
  <c r="CL38" i="12"/>
  <c r="CL40" i="12" s="1"/>
  <c r="CL8" i="13" s="1"/>
  <c r="CL6" i="12"/>
  <c r="AS7" i="14"/>
  <c r="AS6" i="14" s="1"/>
  <c r="AS38" i="14"/>
  <c r="AS40" i="14" s="1"/>
  <c r="AS8" i="15" s="1"/>
  <c r="AE38" i="13"/>
  <c r="AE40" i="13" s="1"/>
  <c r="AE8" i="14" s="1"/>
  <c r="AE7" i="13"/>
  <c r="CR6" i="12"/>
  <c r="CR38" i="12"/>
  <c r="CR40" i="12" s="1"/>
  <c r="CR8" i="13" s="1"/>
  <c r="AJ7" i="13"/>
  <c r="AJ38" i="13"/>
  <c r="AJ40" i="13" s="1"/>
  <c r="AJ8" i="14" s="1"/>
  <c r="BG7" i="12"/>
  <c r="BG6" i="12" s="1"/>
  <c r="BG38" i="12"/>
  <c r="BG40" i="12" s="1"/>
  <c r="BG8" i="13" s="1"/>
  <c r="BM7" i="13"/>
  <c r="BM6" i="13" s="1"/>
  <c r="BM38" i="13"/>
  <c r="BM40" i="13" s="1"/>
  <c r="BM8" i="14" s="1"/>
  <c r="CC6" i="13"/>
  <c r="CC38" i="13"/>
  <c r="CC40" i="13" s="1"/>
  <c r="CC8" i="14" s="1"/>
  <c r="AZ7" i="15"/>
  <c r="AZ6" i="15" s="1"/>
  <c r="AZ38" i="15"/>
  <c r="AZ40" i="15" s="1"/>
  <c r="AZ8" i="16" s="1"/>
  <c r="CO38" i="14"/>
  <c r="CO40" i="14" s="1"/>
  <c r="CO8" i="15" s="1"/>
  <c r="CO6" i="14"/>
  <c r="CT38" i="12"/>
  <c r="CT40" i="12" s="1"/>
  <c r="CT8" i="13" s="1"/>
  <c r="CT6" i="12"/>
  <c r="AB7" i="12"/>
  <c r="AB38" i="12"/>
  <c r="AB40" i="12" s="1"/>
  <c r="AB8" i="13" s="1"/>
  <c r="BK38" i="13"/>
  <c r="BK40" i="13" s="1"/>
  <c r="BK8" i="14" s="1"/>
  <c r="BK7" i="13"/>
  <c r="BK6" i="13" s="1"/>
  <c r="CK6" i="12"/>
  <c r="CK38" i="12"/>
  <c r="CK40" i="12" s="1"/>
  <c r="CK8" i="13" s="1"/>
  <c r="CJ6" i="12"/>
  <c r="CJ38" i="12"/>
  <c r="CJ40" i="12" s="1"/>
  <c r="CJ8" i="13" s="1"/>
  <c r="CH6" i="13"/>
  <c r="CH38" i="13"/>
  <c r="CH40" i="13" s="1"/>
  <c r="CH8" i="14" s="1"/>
  <c r="Q38" i="15" l="1"/>
  <c r="Q40" i="15" s="1"/>
  <c r="Q8" i="16" s="1"/>
  <c r="Q7" i="15"/>
  <c r="CU6" i="14"/>
  <c r="CU38" i="14"/>
  <c r="CU40" i="14" s="1"/>
  <c r="CU8" i="15" s="1"/>
  <c r="CM6" i="14"/>
  <c r="CM38" i="14"/>
  <c r="CM40" i="14" s="1"/>
  <c r="CM8" i="15" s="1"/>
  <c r="AQ6" i="13"/>
  <c r="AQ38" i="13"/>
  <c r="AQ40" i="13" s="1"/>
  <c r="AQ8" i="14" s="1"/>
  <c r="BP7" i="14"/>
  <c r="BP6" i="14" s="1"/>
  <c r="BP38" i="14"/>
  <c r="BP40" i="14" s="1"/>
  <c r="BP8" i="15" s="1"/>
  <c r="BB7" i="14"/>
  <c r="BB6" i="14" s="1"/>
  <c r="BB38" i="14"/>
  <c r="BB40" i="14" s="1"/>
  <c r="BB8" i="15" s="1"/>
  <c r="H7" i="13"/>
  <c r="H38" i="13"/>
  <c r="H40" i="13" s="1"/>
  <c r="H8" i="14" s="1"/>
  <c r="BO7" i="13"/>
  <c r="BO6" i="13" s="1"/>
  <c r="BO38" i="13"/>
  <c r="BO40" i="13" s="1"/>
  <c r="BO8" i="14" s="1"/>
  <c r="BF7" i="14"/>
  <c r="BF6" i="14" s="1"/>
  <c r="BF38" i="14"/>
  <c r="BF40" i="14" s="1"/>
  <c r="BF8" i="15" s="1"/>
  <c r="BJ7" i="18"/>
  <c r="BJ6" i="18" s="1"/>
  <c r="BJ38" i="18"/>
  <c r="BJ40" i="18" s="1"/>
  <c r="BJ8" i="19" s="1"/>
  <c r="BU7" i="14"/>
  <c r="BU38" i="14"/>
  <c r="BU40" i="14" s="1"/>
  <c r="BU8" i="15" s="1"/>
  <c r="AY7" i="13"/>
  <c r="AY6" i="13" s="1"/>
  <c r="AY38" i="13"/>
  <c r="AY40" i="13" s="1"/>
  <c r="AY8" i="14" s="1"/>
  <c r="AR7" i="13"/>
  <c r="AR6" i="13" s="1"/>
  <c r="AR38" i="13"/>
  <c r="AR40" i="13" s="1"/>
  <c r="AR8" i="14" s="1"/>
  <c r="CK6" i="13"/>
  <c r="CK38" i="13"/>
  <c r="CK40" i="13" s="1"/>
  <c r="CK8" i="14" s="1"/>
  <c r="AE7" i="14"/>
  <c r="AE38" i="14"/>
  <c r="AE40" i="14" s="1"/>
  <c r="AE8" i="15" s="1"/>
  <c r="CP6" i="13"/>
  <c r="CP38" i="13"/>
  <c r="CP40" i="13" s="1"/>
  <c r="CP8" i="14" s="1"/>
  <c r="BV7" i="13"/>
  <c r="BV6" i="13" s="1"/>
  <c r="BV38" i="13"/>
  <c r="BV40" i="13" s="1"/>
  <c r="BV8" i="14" s="1"/>
  <c r="AP6" i="14"/>
  <c r="AP38" i="14"/>
  <c r="AP40" i="14" s="1"/>
  <c r="AP8" i="15" s="1"/>
  <c r="L7" i="16"/>
  <c r="L38" i="16"/>
  <c r="L40" i="16" s="1"/>
  <c r="L8" i="17" s="1"/>
  <c r="BG7" i="13"/>
  <c r="BG6" i="13" s="1"/>
  <c r="BG38" i="13"/>
  <c r="BG40" i="13" s="1"/>
  <c r="BG8" i="14" s="1"/>
  <c r="N7" i="13"/>
  <c r="N38" i="13"/>
  <c r="N40" i="13" s="1"/>
  <c r="N8" i="14" s="1"/>
  <c r="AN38" i="13"/>
  <c r="AN40" i="13" s="1"/>
  <c r="AN8" i="14" s="1"/>
  <c r="AN6" i="13"/>
  <c r="AT38" i="15"/>
  <c r="AT40" i="15" s="1"/>
  <c r="AT8" i="16" s="1"/>
  <c r="AT7" i="15"/>
  <c r="AT6" i="15" s="1"/>
  <c r="BA7" i="13"/>
  <c r="BA6" i="13" s="1"/>
  <c r="BA38" i="13"/>
  <c r="BA40" i="13" s="1"/>
  <c r="BA8" i="14" s="1"/>
  <c r="CS6" i="13"/>
  <c r="CS38" i="13"/>
  <c r="CS40" i="13" s="1"/>
  <c r="CS8" i="14" s="1"/>
  <c r="BN7" i="14"/>
  <c r="BN6" i="14" s="1"/>
  <c r="BN38" i="14"/>
  <c r="BN40" i="14" s="1"/>
  <c r="BN8" i="15" s="1"/>
  <c r="BQ7" i="13"/>
  <c r="BQ6" i="13" s="1"/>
  <c r="BQ38" i="13"/>
  <c r="BQ40" i="13" s="1"/>
  <c r="BQ8" i="14" s="1"/>
  <c r="K7" i="13"/>
  <c r="K38" i="13"/>
  <c r="K40" i="13" s="1"/>
  <c r="K8" i="14" s="1"/>
  <c r="BI7" i="13"/>
  <c r="BI6" i="13" s="1"/>
  <c r="BI38" i="13"/>
  <c r="BI40" i="13" s="1"/>
  <c r="BI8" i="14" s="1"/>
  <c r="AA7" i="13"/>
  <c r="AA38" i="13"/>
  <c r="AA40" i="13" s="1"/>
  <c r="AA8" i="14" s="1"/>
  <c r="BL7" i="13"/>
  <c r="BL6" i="13" s="1"/>
  <c r="BL38" i="13"/>
  <c r="BL40" i="13" s="1"/>
  <c r="BL8" i="14" s="1"/>
  <c r="CT6" i="13"/>
  <c r="CT38" i="13"/>
  <c r="CT40" i="13" s="1"/>
  <c r="CT8" i="14" s="1"/>
  <c r="Z7" i="14"/>
  <c r="Z38" i="14"/>
  <c r="Z40" i="14" s="1"/>
  <c r="Z8" i="15" s="1"/>
  <c r="CO6" i="15"/>
  <c r="CO38" i="15"/>
  <c r="CO40" i="15" s="1"/>
  <c r="CO8" i="16" s="1"/>
  <c r="AO6" i="17"/>
  <c r="AO38" i="17"/>
  <c r="AO40" i="17" s="1"/>
  <c r="AO8" i="18" s="1"/>
  <c r="AM38" i="14"/>
  <c r="AM40" i="14" s="1"/>
  <c r="AM8" i="15" s="1"/>
  <c r="AM6" i="14"/>
  <c r="BW7" i="13"/>
  <c r="BW6" i="13" s="1"/>
  <c r="BW38" i="13"/>
  <c r="BW40" i="13" s="1"/>
  <c r="BW8" i="14" s="1"/>
  <c r="CH38" i="14"/>
  <c r="CH40" i="14" s="1"/>
  <c r="CH8" i="15" s="1"/>
  <c r="CH6" i="14"/>
  <c r="AJ7" i="14"/>
  <c r="AJ38" i="14"/>
  <c r="AJ40" i="14" s="1"/>
  <c r="AJ8" i="15" s="1"/>
  <c r="AG7" i="13"/>
  <c r="AG38" i="13"/>
  <c r="AG40" i="13" s="1"/>
  <c r="AG8" i="14" s="1"/>
  <c r="AC7" i="13"/>
  <c r="AC38" i="13"/>
  <c r="AC40" i="13" s="1"/>
  <c r="AC8" i="14" s="1"/>
  <c r="AV38" i="13"/>
  <c r="AV40" i="13" s="1"/>
  <c r="AV8" i="14" s="1"/>
  <c r="AV7" i="13"/>
  <c r="AV6" i="13" s="1"/>
  <c r="O38" i="13"/>
  <c r="O40" i="13" s="1"/>
  <c r="O8" i="14" s="1"/>
  <c r="O7" i="13"/>
  <c r="AI7" i="13"/>
  <c r="AI38" i="13"/>
  <c r="AI40" i="13" s="1"/>
  <c r="AI8" i="14" s="1"/>
  <c r="BX7" i="13"/>
  <c r="BX6" i="13" s="1"/>
  <c r="BX38" i="13"/>
  <c r="BX40" i="13" s="1"/>
  <c r="BX8" i="14" s="1"/>
  <c r="S7" i="13"/>
  <c r="S38" i="13"/>
  <c r="S40" i="13" s="1"/>
  <c r="S8" i="14" s="1"/>
  <c r="CV6" i="13"/>
  <c r="CV38" i="13"/>
  <c r="CV40" i="13" s="1"/>
  <c r="CV8" i="14" s="1"/>
  <c r="BM7" i="14"/>
  <c r="BM6" i="14" s="1"/>
  <c r="BM38" i="14"/>
  <c r="BM40" i="14" s="1"/>
  <c r="BM8" i="15" s="1"/>
  <c r="AS7" i="15"/>
  <c r="AS6" i="15" s="1"/>
  <c r="AS38" i="15"/>
  <c r="AS40" i="15" s="1"/>
  <c r="AS8" i="16" s="1"/>
  <c r="BK38" i="14"/>
  <c r="BK40" i="14" s="1"/>
  <c r="BK8" i="15" s="1"/>
  <c r="BK7" i="14"/>
  <c r="BK6" i="14" s="1"/>
  <c r="CL6" i="13"/>
  <c r="CL38" i="13"/>
  <c r="CL40" i="13" s="1"/>
  <c r="CL8" i="14" s="1"/>
  <c r="CN6" i="16"/>
  <c r="CN38" i="16"/>
  <c r="CN40" i="16" s="1"/>
  <c r="CN8" i="17" s="1"/>
  <c r="BC38" i="14"/>
  <c r="BC40" i="14" s="1"/>
  <c r="BC8" i="15" s="1"/>
  <c r="BC7" i="14"/>
  <c r="BC6" i="14" s="1"/>
  <c r="CQ38" i="14"/>
  <c r="CQ40" i="14" s="1"/>
  <c r="CQ8" i="15" s="1"/>
  <c r="CQ6" i="14"/>
  <c r="R7" i="14"/>
  <c r="R38" i="14"/>
  <c r="R40" i="14" s="1"/>
  <c r="R8" i="15" s="1"/>
  <c r="AU38" i="14"/>
  <c r="AU40" i="14" s="1"/>
  <c r="AU8" i="15" s="1"/>
  <c r="AU7" i="14"/>
  <c r="AU6" i="14" s="1"/>
  <c r="AZ7" i="16"/>
  <c r="AZ6" i="16" s="1"/>
  <c r="AZ38" i="16"/>
  <c r="AZ40" i="16" s="1"/>
  <c r="AZ8" i="17" s="1"/>
  <c r="CJ6" i="13"/>
  <c r="CC6" i="14"/>
  <c r="CC38" i="14"/>
  <c r="CC40" i="14" s="1"/>
  <c r="CC8" i="15" s="1"/>
  <c r="AW7" i="14"/>
  <c r="AW6" i="14" s="1"/>
  <c r="AW38" i="14"/>
  <c r="AW40" i="14" s="1"/>
  <c r="AW8" i="15" s="1"/>
  <c r="AD7" i="14"/>
  <c r="AD38" i="14"/>
  <c r="AD40" i="14" s="1"/>
  <c r="AD8" i="15" s="1"/>
  <c r="BE7" i="14"/>
  <c r="BE6" i="14" s="1"/>
  <c r="BE38" i="14"/>
  <c r="BE40" i="14" s="1"/>
  <c r="BE8" i="15" s="1"/>
  <c r="J38" i="13"/>
  <c r="J40" i="13" s="1"/>
  <c r="J8" i="14" s="1"/>
  <c r="J7" i="13"/>
  <c r="AL38" i="16"/>
  <c r="AL40" i="16" s="1"/>
  <c r="AL8" i="17" s="1"/>
  <c r="AL6" i="16"/>
  <c r="AH7" i="14"/>
  <c r="AH38" i="14"/>
  <c r="AH40" i="14" s="1"/>
  <c r="AH8" i="15" s="1"/>
  <c r="AX7" i="15"/>
  <c r="AX6" i="15" s="1"/>
  <c r="AX38" i="15"/>
  <c r="AX40" i="15" s="1"/>
  <c r="AX8" i="16" s="1"/>
  <c r="AF7" i="13"/>
  <c r="AF38" i="13"/>
  <c r="AF40" i="13" s="1"/>
  <c r="AF8" i="14" s="1"/>
  <c r="M7" i="13"/>
  <c r="M38" i="13"/>
  <c r="M40" i="13" s="1"/>
  <c r="M8" i="14" s="1"/>
  <c r="AK7" i="13"/>
  <c r="AK38" i="13"/>
  <c r="AK40" i="13" s="1"/>
  <c r="AK8" i="14" s="1"/>
  <c r="BD38" i="13"/>
  <c r="BD40" i="13" s="1"/>
  <c r="BD8" i="14" s="1"/>
  <c r="BD7" i="13"/>
  <c r="BD6" i="13" s="1"/>
  <c r="CB38" i="13"/>
  <c r="CB40" i="13" s="1"/>
  <c r="CB8" i="14" s="1"/>
  <c r="CB6" i="13"/>
  <c r="BS38" i="14"/>
  <c r="BS40" i="14" s="1"/>
  <c r="BS8" i="15" s="1"/>
  <c r="BS7" i="14"/>
  <c r="AB7" i="13"/>
  <c r="AB38" i="13"/>
  <c r="AB40" i="13" s="1"/>
  <c r="AB8" i="14" s="1"/>
  <c r="CR38" i="13"/>
  <c r="CR40" i="13" s="1"/>
  <c r="CR8" i="14" s="1"/>
  <c r="CR6" i="13"/>
  <c r="P38" i="13"/>
  <c r="P40" i="13" s="1"/>
  <c r="P8" i="14" s="1"/>
  <c r="P7" i="13"/>
  <c r="BH7" i="16"/>
  <c r="BH6" i="16" s="1"/>
  <c r="BH38" i="16"/>
  <c r="BH40" i="16" s="1"/>
  <c r="BH8" i="17" s="1"/>
  <c r="CJ9" i="13" l="1"/>
  <c r="CJ10" i="13"/>
  <c r="CM38" i="15"/>
  <c r="CM40" i="15" s="1"/>
  <c r="CM8" i="16" s="1"/>
  <c r="CM6" i="15"/>
  <c r="CU6" i="15"/>
  <c r="CU38" i="15"/>
  <c r="CU40" i="15" s="1"/>
  <c r="CU8" i="16" s="1"/>
  <c r="Q7" i="16"/>
  <c r="Q38" i="16"/>
  <c r="Q40" i="16" s="1"/>
  <c r="Q8" i="17" s="1"/>
  <c r="BP38" i="15"/>
  <c r="BP40" i="15" s="1"/>
  <c r="BP8" i="16" s="1"/>
  <c r="BP7" i="15"/>
  <c r="BP6" i="15" s="1"/>
  <c r="AQ38" i="14"/>
  <c r="AQ40" i="14" s="1"/>
  <c r="AQ8" i="15" s="1"/>
  <c r="AQ6" i="14"/>
  <c r="AZ7" i="17"/>
  <c r="AZ6" i="17" s="1"/>
  <c r="AZ38" i="17"/>
  <c r="AZ40" i="17" s="1"/>
  <c r="AZ8" i="18" s="1"/>
  <c r="AS7" i="16"/>
  <c r="AS6" i="16" s="1"/>
  <c r="AS38" i="16"/>
  <c r="AS40" i="16" s="1"/>
  <c r="AS8" i="17" s="1"/>
  <c r="BX7" i="14"/>
  <c r="BX6" i="14" s="1"/>
  <c r="BX38" i="14"/>
  <c r="BX40" i="14" s="1"/>
  <c r="BX8" i="15" s="1"/>
  <c r="CO38" i="16"/>
  <c r="CO40" i="16" s="1"/>
  <c r="CO8" i="17" s="1"/>
  <c r="CO6" i="16"/>
  <c r="K38" i="14"/>
  <c r="K40" i="14" s="1"/>
  <c r="K8" i="15" s="1"/>
  <c r="K7" i="14"/>
  <c r="BA7" i="14"/>
  <c r="BA6" i="14" s="1"/>
  <c r="BA38" i="14"/>
  <c r="BA40" i="14" s="1"/>
  <c r="BA8" i="15" s="1"/>
  <c r="BG38" i="14"/>
  <c r="BG40" i="14" s="1"/>
  <c r="BG8" i="15" s="1"/>
  <c r="BG7" i="14"/>
  <c r="BG6" i="14" s="1"/>
  <c r="CP6" i="14"/>
  <c r="CP38" i="14"/>
  <c r="CP40" i="14" s="1"/>
  <c r="CP8" i="15" s="1"/>
  <c r="AR7" i="14"/>
  <c r="AR6" i="14" s="1"/>
  <c r="AR38" i="14"/>
  <c r="AR40" i="14" s="1"/>
  <c r="AR8" i="15" s="1"/>
  <c r="BF38" i="15"/>
  <c r="BF40" i="15" s="1"/>
  <c r="BF8" i="16" s="1"/>
  <c r="BF7" i="15"/>
  <c r="BF6" i="15" s="1"/>
  <c r="BC7" i="15"/>
  <c r="BC6" i="15" s="1"/>
  <c r="BC38" i="15"/>
  <c r="BC40" i="15" s="1"/>
  <c r="BC8" i="16" s="1"/>
  <c r="AV7" i="14"/>
  <c r="AV6" i="14" s="1"/>
  <c r="AV38" i="14"/>
  <c r="AV40" i="14" s="1"/>
  <c r="AV8" i="15" s="1"/>
  <c r="CH6" i="15"/>
  <c r="CH38" i="15"/>
  <c r="CH40" i="15" s="1"/>
  <c r="CH8" i="16" s="1"/>
  <c r="BH38" i="17"/>
  <c r="BH40" i="17" s="1"/>
  <c r="BH8" i="18" s="1"/>
  <c r="BH7" i="17"/>
  <c r="BH6" i="17" s="1"/>
  <c r="M7" i="14"/>
  <c r="M38" i="14"/>
  <c r="M40" i="14" s="1"/>
  <c r="M8" i="15" s="1"/>
  <c r="CN38" i="17"/>
  <c r="CN40" i="17" s="1"/>
  <c r="CN8" i="18" s="1"/>
  <c r="CN6" i="17"/>
  <c r="BM7" i="15"/>
  <c r="BM6" i="15" s="1"/>
  <c r="BM38" i="15"/>
  <c r="BM40" i="15" s="1"/>
  <c r="BM8" i="16" s="1"/>
  <c r="AI38" i="14"/>
  <c r="AI40" i="14" s="1"/>
  <c r="AI8" i="15" s="1"/>
  <c r="AI7" i="14"/>
  <c r="AC7" i="14"/>
  <c r="AC38" i="14"/>
  <c r="AC40" i="14" s="1"/>
  <c r="AC8" i="15" s="1"/>
  <c r="BW38" i="14"/>
  <c r="BW40" i="14" s="1"/>
  <c r="BW8" i="15" s="1"/>
  <c r="BW7" i="14"/>
  <c r="BW6" i="14" s="1"/>
  <c r="BL7" i="14"/>
  <c r="BL6" i="14" s="1"/>
  <c r="BL38" i="14"/>
  <c r="BL40" i="14" s="1"/>
  <c r="BL8" i="15" s="1"/>
  <c r="BQ7" i="14"/>
  <c r="BQ6" i="14" s="1"/>
  <c r="BQ38" i="14"/>
  <c r="BQ40" i="14" s="1"/>
  <c r="BQ8" i="15" s="1"/>
  <c r="L7" i="17"/>
  <c r="L38" i="17"/>
  <c r="L40" i="17" s="1"/>
  <c r="L8" i="18" s="1"/>
  <c r="AY38" i="14"/>
  <c r="AY40" i="14" s="1"/>
  <c r="AY8" i="15" s="1"/>
  <c r="AY7" i="14"/>
  <c r="AY6" i="14" s="1"/>
  <c r="BO38" i="14"/>
  <c r="BO40" i="14" s="1"/>
  <c r="BO8" i="15" s="1"/>
  <c r="BO7" i="14"/>
  <c r="BO6" i="14" s="1"/>
  <c r="AH38" i="15"/>
  <c r="AH40" i="15" s="1"/>
  <c r="AH8" i="16" s="1"/>
  <c r="AH7" i="15"/>
  <c r="P7" i="14"/>
  <c r="P38" i="14"/>
  <c r="P40" i="14" s="1"/>
  <c r="P8" i="15" s="1"/>
  <c r="BS7" i="15"/>
  <c r="BS38" i="15"/>
  <c r="BS40" i="15" s="1"/>
  <c r="BS8" i="16" s="1"/>
  <c r="AL38" i="17"/>
  <c r="AL40" i="17" s="1"/>
  <c r="AL8" i="18" s="1"/>
  <c r="AL6" i="17"/>
  <c r="AU7" i="15"/>
  <c r="AU6" i="15" s="1"/>
  <c r="AU38" i="15"/>
  <c r="AU40" i="15" s="1"/>
  <c r="AU8" i="16" s="1"/>
  <c r="AT38" i="16"/>
  <c r="AT40" i="16" s="1"/>
  <c r="AT8" i="17" s="1"/>
  <c r="AT7" i="16"/>
  <c r="AT6" i="16" s="1"/>
  <c r="AF7" i="14"/>
  <c r="AF38" i="14"/>
  <c r="AF40" i="14" s="1"/>
  <c r="AF8" i="15" s="1"/>
  <c r="CC6" i="15"/>
  <c r="CC38" i="15"/>
  <c r="CC40" i="15" s="1"/>
  <c r="CC8" i="16" s="1"/>
  <c r="R7" i="15"/>
  <c r="R38" i="15"/>
  <c r="R40" i="15" s="1"/>
  <c r="R8" i="16" s="1"/>
  <c r="CL6" i="14"/>
  <c r="CL38" i="14"/>
  <c r="CL40" i="14" s="1"/>
  <c r="CL8" i="15" s="1"/>
  <c r="CV6" i="14"/>
  <c r="CV38" i="14"/>
  <c r="CV40" i="14" s="1"/>
  <c r="CV8" i="15" s="1"/>
  <c r="AG7" i="14"/>
  <c r="AG38" i="14"/>
  <c r="AG40" i="14" s="1"/>
  <c r="AG8" i="15" s="1"/>
  <c r="Z38" i="15"/>
  <c r="Z40" i="15" s="1"/>
  <c r="Z8" i="16" s="1"/>
  <c r="Z7" i="15"/>
  <c r="AA38" i="14"/>
  <c r="AA40" i="14" s="1"/>
  <c r="AA8" i="15" s="1"/>
  <c r="AA7" i="14"/>
  <c r="BN38" i="15"/>
  <c r="BN40" i="15" s="1"/>
  <c r="BN8" i="16" s="1"/>
  <c r="BN7" i="15"/>
  <c r="BN6" i="15" s="1"/>
  <c r="AP38" i="15"/>
  <c r="AP40" i="15" s="1"/>
  <c r="AP8" i="16" s="1"/>
  <c r="AP6" i="15"/>
  <c r="AE7" i="15"/>
  <c r="AE38" i="15"/>
  <c r="AE40" i="15" s="1"/>
  <c r="AE8" i="16" s="1"/>
  <c r="BU7" i="15"/>
  <c r="BU38" i="15"/>
  <c r="BU40" i="15" s="1"/>
  <c r="BU8" i="16" s="1"/>
  <c r="H7" i="14"/>
  <c r="H38" i="14"/>
  <c r="H40" i="14" s="1"/>
  <c r="H8" i="15" s="1"/>
  <c r="CR6" i="14"/>
  <c r="CR38" i="14"/>
  <c r="CR40" i="14" s="1"/>
  <c r="CR8" i="15" s="1"/>
  <c r="CB6" i="14"/>
  <c r="CB38" i="14"/>
  <c r="CB40" i="14" s="1"/>
  <c r="CB8" i="15" s="1"/>
  <c r="J7" i="14"/>
  <c r="J38" i="14"/>
  <c r="J40" i="14" s="1"/>
  <c r="J8" i="15" s="1"/>
  <c r="O38" i="14"/>
  <c r="O40" i="14" s="1"/>
  <c r="O8" i="15" s="1"/>
  <c r="O7" i="14"/>
  <c r="AM6" i="15"/>
  <c r="AM38" i="15"/>
  <c r="AM40" i="15" s="1"/>
  <c r="AM8" i="16" s="1"/>
  <c r="AN6" i="14"/>
  <c r="AN38" i="14"/>
  <c r="AN40" i="14" s="1"/>
  <c r="AN8" i="15" s="1"/>
  <c r="AD7" i="15"/>
  <c r="AD38" i="15"/>
  <c r="AD40" i="15" s="1"/>
  <c r="AD8" i="16" s="1"/>
  <c r="AB7" i="14"/>
  <c r="AB38" i="14"/>
  <c r="AB40" i="14" s="1"/>
  <c r="AB8" i="15" s="1"/>
  <c r="AX7" i="16"/>
  <c r="AX6" i="16" s="1"/>
  <c r="AX38" i="16"/>
  <c r="AX40" i="16" s="1"/>
  <c r="AX8" i="17" s="1"/>
  <c r="BE7" i="15"/>
  <c r="BE6" i="15" s="1"/>
  <c r="BE38" i="15"/>
  <c r="BE40" i="15" s="1"/>
  <c r="BE8" i="16" s="1"/>
  <c r="S38" i="14"/>
  <c r="S40" i="14" s="1"/>
  <c r="S8" i="15" s="1"/>
  <c r="S7" i="14"/>
  <c r="AJ38" i="15"/>
  <c r="AJ40" i="15" s="1"/>
  <c r="AJ8" i="16" s="1"/>
  <c r="AJ7" i="15"/>
  <c r="AO38" i="18"/>
  <c r="AO40" i="18" s="1"/>
  <c r="AO8" i="19" s="1"/>
  <c r="AO6" i="18"/>
  <c r="CT6" i="14"/>
  <c r="CT38" i="14"/>
  <c r="CT40" i="14" s="1"/>
  <c r="CT8" i="15" s="1"/>
  <c r="BI7" i="14"/>
  <c r="BI6" i="14" s="1"/>
  <c r="BI38" i="14"/>
  <c r="BI40" i="14" s="1"/>
  <c r="BI8" i="15" s="1"/>
  <c r="CS6" i="14"/>
  <c r="CS38" i="14"/>
  <c r="CS40" i="14" s="1"/>
  <c r="CS8" i="15" s="1"/>
  <c r="N7" i="14"/>
  <c r="N38" i="14"/>
  <c r="N40" i="14" s="1"/>
  <c r="N8" i="15" s="1"/>
  <c r="BV7" i="14"/>
  <c r="BV6" i="14" s="1"/>
  <c r="BV38" i="14"/>
  <c r="BV40" i="14" s="1"/>
  <c r="BV8" i="15" s="1"/>
  <c r="CK6" i="14"/>
  <c r="CK38" i="14"/>
  <c r="CK40" i="14" s="1"/>
  <c r="CK8" i="15" s="1"/>
  <c r="BJ7" i="19"/>
  <c r="BJ6" i="19" s="1"/>
  <c r="BJ38" i="19"/>
  <c r="BJ40" i="19" s="1"/>
  <c r="BJ8" i="20" s="1"/>
  <c r="BB38" i="15"/>
  <c r="BB40" i="15" s="1"/>
  <c r="BB8" i="16" s="1"/>
  <c r="BB7" i="15"/>
  <c r="BB6" i="15" s="1"/>
  <c r="AK7" i="14"/>
  <c r="AK38" i="14"/>
  <c r="AK40" i="14" s="1"/>
  <c r="AK8" i="15" s="1"/>
  <c r="AW7" i="15"/>
  <c r="AW6" i="15" s="1"/>
  <c r="AW38" i="15"/>
  <c r="AW40" i="15" s="1"/>
  <c r="AW8" i="16" s="1"/>
  <c r="BD7" i="14"/>
  <c r="BD6" i="14" s="1"/>
  <c r="BD38" i="14"/>
  <c r="BD40" i="14" s="1"/>
  <c r="BD8" i="15" s="1"/>
  <c r="CQ6" i="15"/>
  <c r="CQ38" i="15"/>
  <c r="CQ40" i="15" s="1"/>
  <c r="CQ8" i="16" s="1"/>
  <c r="BK7" i="15"/>
  <c r="BK6" i="15" s="1"/>
  <c r="BK38" i="15"/>
  <c r="BK40" i="15" s="1"/>
  <c r="BK8" i="16" s="1"/>
  <c r="CJ37" i="13" l="1"/>
  <c r="CJ38" i="13" s="1"/>
  <c r="CJ40" i="13" s="1"/>
  <c r="CJ8" i="14" s="1"/>
  <c r="CJ6" i="14" s="1"/>
  <c r="CJ9" i="14" s="1"/>
  <c r="Q7" i="17"/>
  <c r="Q38" i="17"/>
  <c r="Q40" i="17" s="1"/>
  <c r="Q8" i="18" s="1"/>
  <c r="CU38" i="16"/>
  <c r="CU40" i="16" s="1"/>
  <c r="CU8" i="17" s="1"/>
  <c r="CU6" i="16"/>
  <c r="CM6" i="16"/>
  <c r="CM38" i="16"/>
  <c r="CM40" i="16" s="1"/>
  <c r="CM8" i="17" s="1"/>
  <c r="AQ38" i="15"/>
  <c r="AQ40" i="15" s="1"/>
  <c r="AQ8" i="16" s="1"/>
  <c r="AQ6" i="15"/>
  <c r="BP7" i="16"/>
  <c r="BP6" i="16" s="1"/>
  <c r="BP38" i="16"/>
  <c r="BP40" i="16" s="1"/>
  <c r="BP8" i="17" s="1"/>
  <c r="O7" i="15"/>
  <c r="O38" i="15"/>
  <c r="O40" i="15" s="1"/>
  <c r="O8" i="16" s="1"/>
  <c r="AP6" i="16"/>
  <c r="AP38" i="16"/>
  <c r="AP40" i="16" s="1"/>
  <c r="AP8" i="17" s="1"/>
  <c r="BQ7" i="15"/>
  <c r="BQ6" i="15" s="1"/>
  <c r="BQ38" i="15"/>
  <c r="BQ40" i="15" s="1"/>
  <c r="BQ8" i="16" s="1"/>
  <c r="AC7" i="15"/>
  <c r="AC38" i="15"/>
  <c r="AC40" i="15" s="1"/>
  <c r="AC8" i="16" s="1"/>
  <c r="M7" i="15"/>
  <c r="M38" i="15"/>
  <c r="M40" i="15" s="1"/>
  <c r="M8" i="16" s="1"/>
  <c r="BC7" i="16"/>
  <c r="BC6" i="16" s="1"/>
  <c r="BC38" i="16"/>
  <c r="BC40" i="16" s="1"/>
  <c r="BC8" i="17" s="1"/>
  <c r="CT6" i="15"/>
  <c r="CT38" i="15"/>
  <c r="CT40" i="15" s="1"/>
  <c r="CT8" i="16" s="1"/>
  <c r="AD7" i="16"/>
  <c r="AD38" i="16"/>
  <c r="AD40" i="16" s="1"/>
  <c r="AD8" i="17" s="1"/>
  <c r="J38" i="15"/>
  <c r="J40" i="15" s="1"/>
  <c r="J8" i="16" s="1"/>
  <c r="J7" i="15"/>
  <c r="H38" i="15"/>
  <c r="H40" i="15" s="1"/>
  <c r="H8" i="16" s="1"/>
  <c r="H7" i="15"/>
  <c r="CV38" i="15"/>
  <c r="CV40" i="15" s="1"/>
  <c r="CV8" i="16" s="1"/>
  <c r="CV6" i="15"/>
  <c r="AL38" i="18"/>
  <c r="AL40" i="18" s="1"/>
  <c r="AL8" i="19" s="1"/>
  <c r="AL6" i="18"/>
  <c r="BO7" i="15"/>
  <c r="BO6" i="15" s="1"/>
  <c r="BO38" i="15"/>
  <c r="BO40" i="15" s="1"/>
  <c r="BO8" i="16" s="1"/>
  <c r="BG7" i="15"/>
  <c r="BG6" i="15" s="1"/>
  <c r="BG38" i="15"/>
  <c r="BG40" i="15" s="1"/>
  <c r="BG8" i="16" s="1"/>
  <c r="CO38" i="17"/>
  <c r="CO40" i="17" s="1"/>
  <c r="CO8" i="18" s="1"/>
  <c r="CO6" i="17"/>
  <c r="AK7" i="15"/>
  <c r="AK38" i="15"/>
  <c r="AK40" i="15" s="1"/>
  <c r="AK8" i="16" s="1"/>
  <c r="S7" i="15"/>
  <c r="S38" i="15"/>
  <c r="S40" i="15" s="1"/>
  <c r="S8" i="16" s="1"/>
  <c r="BN7" i="16"/>
  <c r="BN6" i="16" s="1"/>
  <c r="BN38" i="16"/>
  <c r="BN40" i="16" s="1"/>
  <c r="BN8" i="17" s="1"/>
  <c r="AF7" i="15"/>
  <c r="AF38" i="15"/>
  <c r="AF40" i="15" s="1"/>
  <c r="AF8" i="16" s="1"/>
  <c r="BS7" i="16"/>
  <c r="BS38" i="16"/>
  <c r="BS40" i="16" s="1"/>
  <c r="BS8" i="17" s="1"/>
  <c r="BL38" i="15"/>
  <c r="BL40" i="15" s="1"/>
  <c r="BL8" i="16" s="1"/>
  <c r="BL7" i="15"/>
  <c r="BL6" i="15" s="1"/>
  <c r="BA7" i="15"/>
  <c r="BA6" i="15" s="1"/>
  <c r="BA38" i="15"/>
  <c r="BA40" i="15" s="1"/>
  <c r="BA8" i="16" s="1"/>
  <c r="BX38" i="15"/>
  <c r="BX40" i="15" s="1"/>
  <c r="BX8" i="16" s="1"/>
  <c r="BX7" i="15"/>
  <c r="BX6" i="15" s="1"/>
  <c r="BE7" i="16"/>
  <c r="BE6" i="16" s="1"/>
  <c r="BE38" i="16"/>
  <c r="BE40" i="16" s="1"/>
  <c r="BE8" i="17" s="1"/>
  <c r="AN38" i="15"/>
  <c r="AN40" i="15" s="1"/>
  <c r="AN8" i="16" s="1"/>
  <c r="AN6" i="15"/>
  <c r="CB38" i="15"/>
  <c r="CB40" i="15" s="1"/>
  <c r="CB8" i="16" s="1"/>
  <c r="CB6" i="15"/>
  <c r="BU7" i="16"/>
  <c r="BU38" i="16"/>
  <c r="BU40" i="16" s="1"/>
  <c r="BU8" i="17" s="1"/>
  <c r="CL38" i="15"/>
  <c r="CL40" i="15" s="1"/>
  <c r="CL8" i="16" s="1"/>
  <c r="CL6" i="15"/>
  <c r="AY7" i="15"/>
  <c r="AY6" i="15" s="1"/>
  <c r="AY38" i="15"/>
  <c r="AY40" i="15" s="1"/>
  <c r="AY8" i="16" s="1"/>
  <c r="AI7" i="15"/>
  <c r="AI38" i="15"/>
  <c r="AI40" i="15" s="1"/>
  <c r="AI8" i="16" s="1"/>
  <c r="BH7" i="18"/>
  <c r="BH6" i="18" s="1"/>
  <c r="BH38" i="18"/>
  <c r="BH40" i="18" s="1"/>
  <c r="BH8" i="19" s="1"/>
  <c r="BF7" i="16"/>
  <c r="BF6" i="16" s="1"/>
  <c r="BF38" i="16"/>
  <c r="BF40" i="16" s="1"/>
  <c r="BF8" i="17" s="1"/>
  <c r="N38" i="15"/>
  <c r="N40" i="15" s="1"/>
  <c r="N8" i="16" s="1"/>
  <c r="N7" i="15"/>
  <c r="BB38" i="16"/>
  <c r="BB40" i="16" s="1"/>
  <c r="BB8" i="17" s="1"/>
  <c r="BB7" i="16"/>
  <c r="BB6" i="16" s="1"/>
  <c r="AO6" i="19"/>
  <c r="AO38" i="19"/>
  <c r="AO40" i="19" s="1"/>
  <c r="AO8" i="20" s="1"/>
  <c r="AA7" i="15"/>
  <c r="AA38" i="15"/>
  <c r="AA40" i="15" s="1"/>
  <c r="AA8" i="16" s="1"/>
  <c r="P38" i="15"/>
  <c r="P40" i="15" s="1"/>
  <c r="P8" i="16" s="1"/>
  <c r="P7" i="15"/>
  <c r="BM7" i="16"/>
  <c r="BM6" i="16" s="1"/>
  <c r="BM38" i="16"/>
  <c r="BM40" i="16" s="1"/>
  <c r="BM8" i="17" s="1"/>
  <c r="CH38" i="16"/>
  <c r="CH40" i="16" s="1"/>
  <c r="CH8" i="17" s="1"/>
  <c r="CH6" i="16"/>
  <c r="AR38" i="15"/>
  <c r="AR40" i="15" s="1"/>
  <c r="AR8" i="16" s="1"/>
  <c r="AR7" i="15"/>
  <c r="AR6" i="15" s="1"/>
  <c r="AS7" i="17"/>
  <c r="AS6" i="17" s="1"/>
  <c r="AS38" i="17"/>
  <c r="AS40" i="17" s="1"/>
  <c r="AS8" i="18" s="1"/>
  <c r="BD7" i="15"/>
  <c r="BD6" i="15" s="1"/>
  <c r="BD38" i="15"/>
  <c r="BD40" i="15" s="1"/>
  <c r="BD8" i="16" s="1"/>
  <c r="CS6" i="15"/>
  <c r="CS38" i="15"/>
  <c r="CS40" i="15" s="1"/>
  <c r="CS8" i="16" s="1"/>
  <c r="AX7" i="17"/>
  <c r="AX6" i="17" s="1"/>
  <c r="AX38" i="17"/>
  <c r="AX40" i="17" s="1"/>
  <c r="AX8" i="18" s="1"/>
  <c r="AM38" i="16"/>
  <c r="AM40" i="16" s="1"/>
  <c r="AM8" i="17" s="1"/>
  <c r="AM6" i="16"/>
  <c r="CR38" i="15"/>
  <c r="CR40" i="15" s="1"/>
  <c r="CR8" i="16" s="1"/>
  <c r="CR6" i="15"/>
  <c r="AE7" i="16"/>
  <c r="AE38" i="16"/>
  <c r="AE40" i="16" s="1"/>
  <c r="AE8" i="17" s="1"/>
  <c r="R7" i="16"/>
  <c r="R38" i="16"/>
  <c r="R40" i="16" s="1"/>
  <c r="R8" i="17" s="1"/>
  <c r="AT7" i="17"/>
  <c r="AT6" i="17" s="1"/>
  <c r="AT38" i="17"/>
  <c r="AT40" i="17" s="1"/>
  <c r="AT8" i="18" s="1"/>
  <c r="K7" i="15"/>
  <c r="K38" i="15"/>
  <c r="K40" i="15" s="1"/>
  <c r="K8" i="16" s="1"/>
  <c r="BV38" i="15"/>
  <c r="BV40" i="15" s="1"/>
  <c r="BV8" i="16" s="1"/>
  <c r="BV7" i="15"/>
  <c r="BV6" i="15" s="1"/>
  <c r="BJ7" i="20"/>
  <c r="BJ6" i="20" s="1"/>
  <c r="BJ38" i="20"/>
  <c r="BJ40" i="20" s="1"/>
  <c r="BJ8" i="21" s="1"/>
  <c r="AJ7" i="16"/>
  <c r="AJ38" i="16"/>
  <c r="AJ40" i="16" s="1"/>
  <c r="AJ8" i="17" s="1"/>
  <c r="Z7" i="16"/>
  <c r="Z38" i="16"/>
  <c r="Z40" i="16" s="1"/>
  <c r="Z8" i="17" s="1"/>
  <c r="AU7" i="16"/>
  <c r="AU6" i="16" s="1"/>
  <c r="AU38" i="16"/>
  <c r="AU40" i="16" s="1"/>
  <c r="AU8" i="17" s="1"/>
  <c r="L7" i="18"/>
  <c r="L38" i="18"/>
  <c r="L40" i="18" s="1"/>
  <c r="L8" i="19" s="1"/>
  <c r="AV38" i="15"/>
  <c r="AV40" i="15" s="1"/>
  <c r="AV8" i="16" s="1"/>
  <c r="AV7" i="15"/>
  <c r="AV6" i="15" s="1"/>
  <c r="CP38" i="15"/>
  <c r="CP40" i="15" s="1"/>
  <c r="CP8" i="16" s="1"/>
  <c r="CP6" i="15"/>
  <c r="AZ7" i="18"/>
  <c r="AZ6" i="18" s="1"/>
  <c r="AZ38" i="18"/>
  <c r="AZ40" i="18" s="1"/>
  <c r="AZ8" i="19" s="1"/>
  <c r="CQ6" i="16"/>
  <c r="CQ38" i="16"/>
  <c r="CQ40" i="16" s="1"/>
  <c r="CQ8" i="17" s="1"/>
  <c r="BK7" i="16"/>
  <c r="BK6" i="16" s="1"/>
  <c r="BK38" i="16"/>
  <c r="BK40" i="16" s="1"/>
  <c r="BK8" i="17" s="1"/>
  <c r="AW7" i="16"/>
  <c r="AW6" i="16" s="1"/>
  <c r="AW38" i="16"/>
  <c r="AW40" i="16" s="1"/>
  <c r="AW8" i="17" s="1"/>
  <c r="CK6" i="15"/>
  <c r="CK38" i="15"/>
  <c r="CK40" i="15" s="1"/>
  <c r="CK8" i="16" s="1"/>
  <c r="BI7" i="15"/>
  <c r="BI6" i="15" s="1"/>
  <c r="BI38" i="15"/>
  <c r="BI40" i="15" s="1"/>
  <c r="BI8" i="16" s="1"/>
  <c r="AB7" i="15"/>
  <c r="AB38" i="15"/>
  <c r="AB40" i="15" s="1"/>
  <c r="AB8" i="16" s="1"/>
  <c r="AG7" i="15"/>
  <c r="AG38" i="15"/>
  <c r="AG40" i="15" s="1"/>
  <c r="AG8" i="16" s="1"/>
  <c r="CC6" i="16"/>
  <c r="CC38" i="16"/>
  <c r="CC40" i="16" s="1"/>
  <c r="CC8" i="17" s="1"/>
  <c r="AH7" i="16"/>
  <c r="AH38" i="16"/>
  <c r="AH40" i="16" s="1"/>
  <c r="AH8" i="17" s="1"/>
  <c r="BW7" i="15"/>
  <c r="BW6" i="15" s="1"/>
  <c r="BW38" i="15"/>
  <c r="BW40" i="15" s="1"/>
  <c r="BW8" i="16" s="1"/>
  <c r="CN6" i="18"/>
  <c r="CN38" i="18"/>
  <c r="CN40" i="18" s="1"/>
  <c r="CN8" i="19" s="1"/>
  <c r="CJ10" i="14" l="1"/>
  <c r="CJ37" i="14" s="1"/>
  <c r="CJ38" i="14" s="1"/>
  <c r="CJ40" i="14" s="1"/>
  <c r="CJ8" i="15" s="1"/>
  <c r="CJ6" i="15" s="1"/>
  <c r="CM6" i="17"/>
  <c r="CM38" i="17"/>
  <c r="CM40" i="17" s="1"/>
  <c r="CM8" i="18" s="1"/>
  <c r="CU6" i="17"/>
  <c r="CU38" i="17"/>
  <c r="CU40" i="17" s="1"/>
  <c r="CU8" i="18" s="1"/>
  <c r="Q38" i="18"/>
  <c r="Q40" i="18" s="1"/>
  <c r="Q8" i="19" s="1"/>
  <c r="Q7" i="18"/>
  <c r="BP38" i="17"/>
  <c r="BP40" i="17" s="1"/>
  <c r="BP8" i="18" s="1"/>
  <c r="BP7" i="17"/>
  <c r="BP6" i="17" s="1"/>
  <c r="AQ6" i="16"/>
  <c r="AQ38" i="16"/>
  <c r="AQ40" i="16" s="1"/>
  <c r="AQ8" i="17" s="1"/>
  <c r="AJ38" i="17"/>
  <c r="AJ40" i="17" s="1"/>
  <c r="AJ8" i="18" s="1"/>
  <c r="AJ7" i="17"/>
  <c r="R7" i="17"/>
  <c r="R38" i="17"/>
  <c r="R40" i="17" s="1"/>
  <c r="R8" i="18" s="1"/>
  <c r="AX38" i="18"/>
  <c r="AX40" i="18" s="1"/>
  <c r="AX8" i="19" s="1"/>
  <c r="AX7" i="18"/>
  <c r="AX6" i="18" s="1"/>
  <c r="AA7" i="16"/>
  <c r="AA38" i="16"/>
  <c r="AA40" i="16" s="1"/>
  <c r="AA8" i="17" s="1"/>
  <c r="BF7" i="17"/>
  <c r="BF6" i="17" s="1"/>
  <c r="BF38" i="17"/>
  <c r="BF40" i="17" s="1"/>
  <c r="BF8" i="18" s="1"/>
  <c r="BE7" i="17"/>
  <c r="BE6" i="17" s="1"/>
  <c r="BE38" i="17"/>
  <c r="BE40" i="17" s="1"/>
  <c r="BE8" i="18" s="1"/>
  <c r="BS7" i="17"/>
  <c r="BS38" i="17"/>
  <c r="BS40" i="17" s="1"/>
  <c r="BS8" i="18" s="1"/>
  <c r="AK7" i="16"/>
  <c r="AK38" i="16"/>
  <c r="AK40" i="16" s="1"/>
  <c r="AK8" i="17" s="1"/>
  <c r="AD7" i="17"/>
  <c r="AD38" i="17"/>
  <c r="AD40" i="17" s="1"/>
  <c r="AD8" i="18" s="1"/>
  <c r="AC7" i="16"/>
  <c r="AC38" i="16"/>
  <c r="AC40" i="16" s="1"/>
  <c r="AC8" i="17" s="1"/>
  <c r="BI7" i="16"/>
  <c r="BI6" i="16" s="1"/>
  <c r="BI38" i="16"/>
  <c r="BI40" i="16" s="1"/>
  <c r="BI8" i="17" s="1"/>
  <c r="K7" i="16"/>
  <c r="K38" i="16"/>
  <c r="K40" i="16" s="1"/>
  <c r="K8" i="17" s="1"/>
  <c r="AV7" i="16"/>
  <c r="AV6" i="16" s="1"/>
  <c r="AV38" i="16"/>
  <c r="AV40" i="16" s="1"/>
  <c r="AV8" i="17" s="1"/>
  <c r="AR7" i="16"/>
  <c r="AR6" i="16" s="1"/>
  <c r="AR38" i="16"/>
  <c r="AR40" i="16" s="1"/>
  <c r="AR8" i="17" s="1"/>
  <c r="CL6" i="16"/>
  <c r="CL38" i="16"/>
  <c r="CL40" i="16" s="1"/>
  <c r="CL8" i="17" s="1"/>
  <c r="AL6" i="19"/>
  <c r="AL38" i="19"/>
  <c r="AL40" i="19" s="1"/>
  <c r="AL8" i="20" s="1"/>
  <c r="BJ7" i="21"/>
  <c r="BJ6" i="21" s="1"/>
  <c r="BJ38" i="21"/>
  <c r="BJ40" i="21" s="1"/>
  <c r="AE38" i="17"/>
  <c r="AE40" i="17" s="1"/>
  <c r="AE8" i="18" s="1"/>
  <c r="AE7" i="17"/>
  <c r="CS6" i="16"/>
  <c r="CS38" i="16"/>
  <c r="CS40" i="16" s="1"/>
  <c r="CS8" i="17" s="1"/>
  <c r="AO6" i="20"/>
  <c r="AO38" i="20"/>
  <c r="AO40" i="20" s="1"/>
  <c r="AO8" i="21" s="1"/>
  <c r="BH7" i="19"/>
  <c r="BH6" i="19" s="1"/>
  <c r="BH38" i="19"/>
  <c r="BH40" i="19" s="1"/>
  <c r="BH8" i="20" s="1"/>
  <c r="BU7" i="17"/>
  <c r="BU38" i="17"/>
  <c r="BU40" i="17" s="1"/>
  <c r="BU8" i="18" s="1"/>
  <c r="AF7" i="16"/>
  <c r="AF38" i="16"/>
  <c r="AF40" i="16" s="1"/>
  <c r="AF8" i="17" s="1"/>
  <c r="CT6" i="16"/>
  <c r="CT38" i="16"/>
  <c r="CT40" i="16" s="1"/>
  <c r="CT8" i="17" s="1"/>
  <c r="BQ7" i="16"/>
  <c r="BQ6" i="16" s="1"/>
  <c r="BQ38" i="16"/>
  <c r="BQ40" i="16" s="1"/>
  <c r="BQ8" i="17" s="1"/>
  <c r="CQ38" i="17"/>
  <c r="CQ40" i="17" s="1"/>
  <c r="CQ8" i="18" s="1"/>
  <c r="CQ6" i="17"/>
  <c r="CH6" i="17"/>
  <c r="CH38" i="17"/>
  <c r="CH40" i="17" s="1"/>
  <c r="CH8" i="18" s="1"/>
  <c r="BX7" i="16"/>
  <c r="BX6" i="16" s="1"/>
  <c r="BX38" i="16"/>
  <c r="BX40" i="16" s="1"/>
  <c r="BX8" i="17" s="1"/>
  <c r="CO6" i="18"/>
  <c r="CO38" i="18"/>
  <c r="CO40" i="18" s="1"/>
  <c r="CO8" i="19" s="1"/>
  <c r="CV6" i="16"/>
  <c r="CV38" i="16"/>
  <c r="CV40" i="16" s="1"/>
  <c r="CV8" i="17" s="1"/>
  <c r="AB7" i="16"/>
  <c r="AB38" i="16"/>
  <c r="AB40" i="16" s="1"/>
  <c r="AB8" i="17" s="1"/>
  <c r="AU38" i="17"/>
  <c r="AU40" i="17" s="1"/>
  <c r="AU8" i="18" s="1"/>
  <c r="AU7" i="17"/>
  <c r="AU6" i="17" s="1"/>
  <c r="BD7" i="16"/>
  <c r="BD6" i="16" s="1"/>
  <c r="BD38" i="16"/>
  <c r="BD40" i="16" s="1"/>
  <c r="BD8" i="17" s="1"/>
  <c r="BM7" i="17"/>
  <c r="BM6" i="17" s="1"/>
  <c r="BM38" i="17"/>
  <c r="BM40" i="17" s="1"/>
  <c r="BM8" i="18" s="1"/>
  <c r="AI7" i="16"/>
  <c r="AI38" i="16"/>
  <c r="AI40" i="16" s="1"/>
  <c r="AI8" i="17" s="1"/>
  <c r="BA7" i="16"/>
  <c r="BA6" i="16" s="1"/>
  <c r="BA38" i="16"/>
  <c r="BA40" i="16" s="1"/>
  <c r="BA8" i="17" s="1"/>
  <c r="BN7" i="17"/>
  <c r="BN6" i="17" s="1"/>
  <c r="BN38" i="17"/>
  <c r="BN40" i="17" s="1"/>
  <c r="BN8" i="18" s="1"/>
  <c r="BG7" i="16"/>
  <c r="BG6" i="16" s="1"/>
  <c r="BG38" i="16"/>
  <c r="BG40" i="16" s="1"/>
  <c r="BG8" i="17" s="1"/>
  <c r="BC38" i="17"/>
  <c r="BC40" i="17" s="1"/>
  <c r="BC8" i="18" s="1"/>
  <c r="BC7" i="17"/>
  <c r="BC6" i="17" s="1"/>
  <c r="AP6" i="17"/>
  <c r="AP38" i="17"/>
  <c r="AP40" i="17" s="1"/>
  <c r="AP8" i="18" s="1"/>
  <c r="CN6" i="19"/>
  <c r="CN38" i="19"/>
  <c r="CN40" i="19" s="1"/>
  <c r="CN8" i="20" s="1"/>
  <c r="BW7" i="16"/>
  <c r="BW6" i="16" s="1"/>
  <c r="BW38" i="16"/>
  <c r="BW40" i="16" s="1"/>
  <c r="BW8" i="17" s="1"/>
  <c r="AZ7" i="19"/>
  <c r="AZ6" i="19" s="1"/>
  <c r="AZ38" i="19"/>
  <c r="AZ40" i="19" s="1"/>
  <c r="AZ8" i="20" s="1"/>
  <c r="AH7" i="17"/>
  <c r="AH38" i="17"/>
  <c r="AH40" i="17" s="1"/>
  <c r="AH8" i="18" s="1"/>
  <c r="AW7" i="17"/>
  <c r="AW6" i="17" s="1"/>
  <c r="AW38" i="17"/>
  <c r="AW40" i="17" s="1"/>
  <c r="AW8" i="18" s="1"/>
  <c r="CR6" i="16"/>
  <c r="CR38" i="16"/>
  <c r="CR40" i="16" s="1"/>
  <c r="CR8" i="17" s="1"/>
  <c r="BB7" i="17"/>
  <c r="BB6" i="17" s="1"/>
  <c r="BB38" i="17"/>
  <c r="BB40" i="17" s="1"/>
  <c r="BB8" i="18" s="1"/>
  <c r="CB6" i="16"/>
  <c r="CB38" i="16"/>
  <c r="CB40" i="16" s="1"/>
  <c r="CB8" i="17" s="1"/>
  <c r="H7" i="16"/>
  <c r="H38" i="16"/>
  <c r="H40" i="16" s="1"/>
  <c r="H8" i="17" s="1"/>
  <c r="L7" i="19"/>
  <c r="L38" i="19"/>
  <c r="L40" i="19" s="1"/>
  <c r="L8" i="20" s="1"/>
  <c r="CC6" i="17"/>
  <c r="CC38" i="17"/>
  <c r="CC40" i="17" s="1"/>
  <c r="CC8" i="18" s="1"/>
  <c r="BK38" i="17"/>
  <c r="BK40" i="17" s="1"/>
  <c r="BK8" i="18" s="1"/>
  <c r="BK7" i="17"/>
  <c r="BK6" i="17" s="1"/>
  <c r="Z7" i="17"/>
  <c r="Z38" i="17"/>
  <c r="Z40" i="17" s="1"/>
  <c r="Z8" i="18" s="1"/>
  <c r="AT7" i="18"/>
  <c r="AT6" i="18" s="1"/>
  <c r="AT38" i="18"/>
  <c r="AT40" i="18" s="1"/>
  <c r="AT8" i="19" s="1"/>
  <c r="AS7" i="18"/>
  <c r="AS6" i="18" s="1"/>
  <c r="AS38" i="18"/>
  <c r="AS40" i="18" s="1"/>
  <c r="AS8" i="19" s="1"/>
  <c r="AY7" i="16"/>
  <c r="AY6" i="16" s="1"/>
  <c r="AY38" i="16"/>
  <c r="AY40" i="16" s="1"/>
  <c r="AY8" i="17" s="1"/>
  <c r="S7" i="16"/>
  <c r="S38" i="16"/>
  <c r="S40" i="16" s="1"/>
  <c r="S8" i="17" s="1"/>
  <c r="BO7" i="16"/>
  <c r="BO6" i="16" s="1"/>
  <c r="BO38" i="16"/>
  <c r="BO40" i="16" s="1"/>
  <c r="BO8" i="17" s="1"/>
  <c r="M7" i="16"/>
  <c r="M38" i="16"/>
  <c r="M40" i="16" s="1"/>
  <c r="M8" i="17" s="1"/>
  <c r="O7" i="16"/>
  <c r="O38" i="16"/>
  <c r="O40" i="16" s="1"/>
  <c r="O8" i="17" s="1"/>
  <c r="AG7" i="16"/>
  <c r="AG38" i="16"/>
  <c r="AG40" i="16" s="1"/>
  <c r="AG8" i="17" s="1"/>
  <c r="CK6" i="16"/>
  <c r="CK38" i="16"/>
  <c r="CK40" i="16" s="1"/>
  <c r="CK8" i="17" s="1"/>
  <c r="CP38" i="16"/>
  <c r="CP40" i="16" s="1"/>
  <c r="CP8" i="17" s="1"/>
  <c r="CP6" i="16"/>
  <c r="BV7" i="16"/>
  <c r="BV6" i="16" s="1"/>
  <c r="BV38" i="16"/>
  <c r="BV40" i="16" s="1"/>
  <c r="BV8" i="17" s="1"/>
  <c r="AM38" i="17"/>
  <c r="AM40" i="17" s="1"/>
  <c r="AM8" i="18" s="1"/>
  <c r="AM6" i="17"/>
  <c r="P7" i="16"/>
  <c r="P38" i="16"/>
  <c r="P40" i="16" s="1"/>
  <c r="P8" i="17" s="1"/>
  <c r="N38" i="16"/>
  <c r="N40" i="16" s="1"/>
  <c r="N8" i="17" s="1"/>
  <c r="N7" i="16"/>
  <c r="AN6" i="16"/>
  <c r="AN38" i="16"/>
  <c r="AN40" i="16" s="1"/>
  <c r="AN8" i="17" s="1"/>
  <c r="BL7" i="16"/>
  <c r="BL6" i="16" s="1"/>
  <c r="BL38" i="16"/>
  <c r="BL40" i="16" s="1"/>
  <c r="BL8" i="17" s="1"/>
  <c r="J7" i="16"/>
  <c r="J38" i="16"/>
  <c r="J40" i="16" s="1"/>
  <c r="J8" i="17" s="1"/>
  <c r="CJ10" i="15" l="1"/>
  <c r="CJ9" i="15"/>
  <c r="Q38" i="19"/>
  <c r="Q40" i="19" s="1"/>
  <c r="Q8" i="20" s="1"/>
  <c r="Q7" i="19"/>
  <c r="CU6" i="18"/>
  <c r="CU38" i="18"/>
  <c r="CU40" i="18" s="1"/>
  <c r="CU8" i="19" s="1"/>
  <c r="CM6" i="18"/>
  <c r="CM38" i="18"/>
  <c r="CM40" i="18" s="1"/>
  <c r="CM8" i="19" s="1"/>
  <c r="AQ38" i="17"/>
  <c r="AQ40" i="17" s="1"/>
  <c r="AQ8" i="18" s="1"/>
  <c r="AQ6" i="17"/>
  <c r="BP7" i="18"/>
  <c r="BP6" i="18" s="1"/>
  <c r="BP38" i="18"/>
  <c r="BP40" i="18" s="1"/>
  <c r="BP8" i="19" s="1"/>
  <c r="J7" i="17"/>
  <c r="J38" i="17"/>
  <c r="J40" i="17" s="1"/>
  <c r="J8" i="18" s="1"/>
  <c r="CC6" i="18"/>
  <c r="CC38" i="18"/>
  <c r="CC40" i="18" s="1"/>
  <c r="CC8" i="19" s="1"/>
  <c r="BB38" i="18"/>
  <c r="BB40" i="18" s="1"/>
  <c r="BB8" i="19" s="1"/>
  <c r="BB7" i="18"/>
  <c r="BB6" i="18" s="1"/>
  <c r="AP6" i="18"/>
  <c r="AP38" i="18"/>
  <c r="AP40" i="18" s="1"/>
  <c r="AP8" i="19" s="1"/>
  <c r="BA7" i="17"/>
  <c r="BA6" i="17" s="1"/>
  <c r="BA38" i="17"/>
  <c r="BA40" i="17" s="1"/>
  <c r="BA8" i="18" s="1"/>
  <c r="CV38" i="17"/>
  <c r="CV40" i="17" s="1"/>
  <c r="CV8" i="18" s="1"/>
  <c r="CV6" i="17"/>
  <c r="BU7" i="18"/>
  <c r="BU38" i="18"/>
  <c r="BU40" i="18" s="1"/>
  <c r="BU8" i="19" s="1"/>
  <c r="AL38" i="20"/>
  <c r="AL40" i="20" s="1"/>
  <c r="AL8" i="21" s="1"/>
  <c r="AL6" i="21" s="1"/>
  <c r="AL6" i="20"/>
  <c r="K7" i="17"/>
  <c r="K38" i="17"/>
  <c r="K40" i="17" s="1"/>
  <c r="K8" i="18" s="1"/>
  <c r="AK7" i="17"/>
  <c r="AK38" i="17"/>
  <c r="AK40" i="17" s="1"/>
  <c r="AK8" i="18" s="1"/>
  <c r="AA7" i="17"/>
  <c r="AA38" i="17"/>
  <c r="AA40" i="17" s="1"/>
  <c r="AA8" i="18" s="1"/>
  <c r="AT7" i="19"/>
  <c r="AT6" i="19" s="1"/>
  <c r="AT38" i="19"/>
  <c r="AT40" i="19" s="1"/>
  <c r="AT8" i="20" s="1"/>
  <c r="AH38" i="18"/>
  <c r="AH40" i="18" s="1"/>
  <c r="AH8" i="19" s="1"/>
  <c r="AH7" i="18"/>
  <c r="CQ6" i="18"/>
  <c r="CQ38" i="18"/>
  <c r="CQ40" i="18" s="1"/>
  <c r="CQ8" i="19" s="1"/>
  <c r="AE7" i="18"/>
  <c r="AE38" i="18"/>
  <c r="AE40" i="18" s="1"/>
  <c r="AE8" i="19" s="1"/>
  <c r="BL38" i="17"/>
  <c r="BL40" i="17" s="1"/>
  <c r="BL8" i="18" s="1"/>
  <c r="BL7" i="17"/>
  <c r="BL6" i="17" s="1"/>
  <c r="Z38" i="18"/>
  <c r="Z40" i="18" s="1"/>
  <c r="Z8" i="19" s="1"/>
  <c r="Z7" i="18"/>
  <c r="L7" i="20"/>
  <c r="L38" i="20"/>
  <c r="L40" i="20" s="1"/>
  <c r="L8" i="21" s="1"/>
  <c r="CR38" i="17"/>
  <c r="CR40" i="17" s="1"/>
  <c r="CR8" i="18" s="1"/>
  <c r="CR6" i="17"/>
  <c r="AZ7" i="20"/>
  <c r="AZ6" i="20" s="1"/>
  <c r="AZ38" i="20"/>
  <c r="AZ40" i="20" s="1"/>
  <c r="AZ8" i="21" s="1"/>
  <c r="AI7" i="17"/>
  <c r="AI38" i="17"/>
  <c r="AI40" i="17" s="1"/>
  <c r="AI8" i="18" s="1"/>
  <c r="CO38" i="19"/>
  <c r="CO40" i="19" s="1"/>
  <c r="CO8" i="20" s="1"/>
  <c r="CO6" i="19"/>
  <c r="BQ7" i="17"/>
  <c r="BQ6" i="17" s="1"/>
  <c r="BQ38" i="17"/>
  <c r="BQ40" i="17" s="1"/>
  <c r="BQ8" i="18" s="1"/>
  <c r="BH7" i="20"/>
  <c r="BH6" i="20" s="1"/>
  <c r="BH38" i="20"/>
  <c r="BH40" i="20" s="1"/>
  <c r="BH8" i="21" s="1"/>
  <c r="CL6" i="17"/>
  <c r="CL38" i="17"/>
  <c r="CL40" i="17" s="1"/>
  <c r="CL8" i="18" s="1"/>
  <c r="BI7" i="17"/>
  <c r="BI6" i="17" s="1"/>
  <c r="BI38" i="17"/>
  <c r="BI40" i="17" s="1"/>
  <c r="BI8" i="18" s="1"/>
  <c r="BS7" i="18"/>
  <c r="BS38" i="18"/>
  <c r="BS40" i="18" s="1"/>
  <c r="BS8" i="19" s="1"/>
  <c r="P7" i="17"/>
  <c r="P38" i="17"/>
  <c r="P40" i="17" s="1"/>
  <c r="P8" i="18" s="1"/>
  <c r="S7" i="17"/>
  <c r="S38" i="17"/>
  <c r="S40" i="17" s="1"/>
  <c r="S8" i="18" s="1"/>
  <c r="AM6" i="18"/>
  <c r="AM38" i="18"/>
  <c r="AM40" i="18" s="1"/>
  <c r="AM8" i="19" s="1"/>
  <c r="BC7" i="18"/>
  <c r="BC6" i="18" s="1"/>
  <c r="BC38" i="18"/>
  <c r="BC40" i="18" s="1"/>
  <c r="BC8" i="19" s="1"/>
  <c r="AU7" i="18"/>
  <c r="AU6" i="18" s="1"/>
  <c r="AU38" i="18"/>
  <c r="AU40" i="18" s="1"/>
  <c r="AU8" i="19" s="1"/>
  <c r="AX7" i="19"/>
  <c r="AX6" i="19" s="1"/>
  <c r="AX38" i="19"/>
  <c r="AX40" i="19" s="1"/>
  <c r="AX8" i="20" s="1"/>
  <c r="BO7" i="17"/>
  <c r="BO6" i="17" s="1"/>
  <c r="BO38" i="17"/>
  <c r="BO40" i="17" s="1"/>
  <c r="BO8" i="18" s="1"/>
  <c r="BV7" i="17"/>
  <c r="BV6" i="17" s="1"/>
  <c r="BV38" i="17"/>
  <c r="BV40" i="17" s="1"/>
  <c r="BV8" i="18" s="1"/>
  <c r="O7" i="17"/>
  <c r="O38" i="17"/>
  <c r="O40" i="17" s="1"/>
  <c r="O8" i="18" s="1"/>
  <c r="AY7" i="17"/>
  <c r="AY6" i="17" s="1"/>
  <c r="AY38" i="17"/>
  <c r="AY40" i="17" s="1"/>
  <c r="AY8" i="18" s="1"/>
  <c r="H7" i="17"/>
  <c r="H38" i="17"/>
  <c r="H40" i="17" s="1"/>
  <c r="H8" i="18" s="1"/>
  <c r="BW7" i="17"/>
  <c r="BW6" i="17" s="1"/>
  <c r="BW38" i="17"/>
  <c r="BW40" i="17" s="1"/>
  <c r="BW8" i="18" s="1"/>
  <c r="BG7" i="17"/>
  <c r="BG6" i="17" s="1"/>
  <c r="BG38" i="17"/>
  <c r="BG40" i="17" s="1"/>
  <c r="BG8" i="18" s="1"/>
  <c r="BM7" i="18"/>
  <c r="BM6" i="18" s="1"/>
  <c r="BM38" i="18"/>
  <c r="BM40" i="18" s="1"/>
  <c r="BM8" i="19" s="1"/>
  <c r="BX38" i="17"/>
  <c r="BX40" i="17" s="1"/>
  <c r="BX8" i="18" s="1"/>
  <c r="BX7" i="17"/>
  <c r="BX6" i="17" s="1"/>
  <c r="CT6" i="17"/>
  <c r="CT38" i="17"/>
  <c r="CT40" i="17" s="1"/>
  <c r="CT8" i="18" s="1"/>
  <c r="AO6" i="21"/>
  <c r="AO38" i="21"/>
  <c r="AO40" i="21" s="1"/>
  <c r="AO43" i="21" s="1"/>
  <c r="AR38" i="17"/>
  <c r="AR40" i="17" s="1"/>
  <c r="AR8" i="18" s="1"/>
  <c r="AR7" i="17"/>
  <c r="AR6" i="17" s="1"/>
  <c r="AC7" i="17"/>
  <c r="AC38" i="17"/>
  <c r="AC40" i="17" s="1"/>
  <c r="AC8" i="18" s="1"/>
  <c r="BE7" i="18"/>
  <c r="BE6" i="18" s="1"/>
  <c r="BE38" i="18"/>
  <c r="BE40" i="18" s="1"/>
  <c r="BE8" i="19" s="1"/>
  <c r="R7" i="18"/>
  <c r="R38" i="18"/>
  <c r="R40" i="18" s="1"/>
  <c r="R8" i="19" s="1"/>
  <c r="BK7" i="18"/>
  <c r="BK6" i="18" s="1"/>
  <c r="BK38" i="18"/>
  <c r="BK40" i="18" s="1"/>
  <c r="BK8" i="19" s="1"/>
  <c r="M7" i="17"/>
  <c r="M38" i="17"/>
  <c r="M40" i="17" s="1"/>
  <c r="M8" i="18" s="1"/>
  <c r="AS38" i="19"/>
  <c r="AS40" i="19" s="1"/>
  <c r="AS8" i="20" s="1"/>
  <c r="AS7" i="19"/>
  <c r="AS6" i="19" s="1"/>
  <c r="CB38" i="17"/>
  <c r="CB40" i="17" s="1"/>
  <c r="CB8" i="18" s="1"/>
  <c r="CB6" i="17"/>
  <c r="AW7" i="18"/>
  <c r="AW6" i="18" s="1"/>
  <c r="AW38" i="18"/>
  <c r="AW40" i="18" s="1"/>
  <c r="AW8" i="19" s="1"/>
  <c r="CN6" i="20"/>
  <c r="CN38" i="20"/>
  <c r="CN40" i="20" s="1"/>
  <c r="CN8" i="21" s="1"/>
  <c r="BN7" i="18"/>
  <c r="BN6" i="18" s="1"/>
  <c r="BN38" i="18"/>
  <c r="BN40" i="18" s="1"/>
  <c r="BN8" i="19" s="1"/>
  <c r="BD38" i="17"/>
  <c r="BD40" i="17" s="1"/>
  <c r="BD8" i="18" s="1"/>
  <c r="BD7" i="17"/>
  <c r="BD6" i="17" s="1"/>
  <c r="AB38" i="17"/>
  <c r="AB40" i="17" s="1"/>
  <c r="AB8" i="18" s="1"/>
  <c r="AB7" i="17"/>
  <c r="CH6" i="18"/>
  <c r="CH38" i="18"/>
  <c r="CH40" i="18" s="1"/>
  <c r="CH8" i="19" s="1"/>
  <c r="AF38" i="17"/>
  <c r="AF40" i="17" s="1"/>
  <c r="AF8" i="18" s="1"/>
  <c r="AF7" i="17"/>
  <c r="CS6" i="17"/>
  <c r="CS38" i="17"/>
  <c r="CS40" i="17" s="1"/>
  <c r="CS8" i="18" s="1"/>
  <c r="AV7" i="17"/>
  <c r="AV6" i="17" s="1"/>
  <c r="AV38" i="17"/>
  <c r="AV40" i="17" s="1"/>
  <c r="AV8" i="18" s="1"/>
  <c r="AD38" i="18"/>
  <c r="AD40" i="18" s="1"/>
  <c r="AD8" i="19" s="1"/>
  <c r="AD7" i="18"/>
  <c r="BF7" i="18"/>
  <c r="BF6" i="18" s="1"/>
  <c r="BF38" i="18"/>
  <c r="BF40" i="18" s="1"/>
  <c r="BF8" i="19" s="1"/>
  <c r="CK6" i="17"/>
  <c r="CK38" i="17"/>
  <c r="CK40" i="17" s="1"/>
  <c r="CK8" i="18" s="1"/>
  <c r="AG7" i="17"/>
  <c r="AG38" i="17"/>
  <c r="AG40" i="17" s="1"/>
  <c r="AG8" i="18" s="1"/>
  <c r="AN38" i="17"/>
  <c r="AN40" i="17" s="1"/>
  <c r="AN8" i="18" s="1"/>
  <c r="AN6" i="17"/>
  <c r="N7" i="17"/>
  <c r="N38" i="17"/>
  <c r="N40" i="17" s="1"/>
  <c r="N8" i="18" s="1"/>
  <c r="CP6" i="17"/>
  <c r="CP38" i="17"/>
  <c r="CP40" i="17" s="1"/>
  <c r="CP8" i="18" s="1"/>
  <c r="AJ7" i="18"/>
  <c r="AJ38" i="18"/>
  <c r="AJ40" i="18" s="1"/>
  <c r="AJ8" i="19" s="1"/>
  <c r="CJ37" i="15" l="1"/>
  <c r="CJ38" i="15" s="1"/>
  <c r="CJ40" i="15" s="1"/>
  <c r="CJ8" i="16" s="1"/>
  <c r="CJ6" i="16" s="1"/>
  <c r="CJ9" i="16" s="1"/>
  <c r="CM6" i="19"/>
  <c r="CM38" i="19"/>
  <c r="CM40" i="19" s="1"/>
  <c r="CM8" i="20" s="1"/>
  <c r="CU6" i="19"/>
  <c r="CU38" i="19"/>
  <c r="CU40" i="19" s="1"/>
  <c r="CU8" i="20" s="1"/>
  <c r="Q7" i="20"/>
  <c r="Q38" i="20"/>
  <c r="Q40" i="20" s="1"/>
  <c r="Q8" i="21" s="1"/>
  <c r="BP7" i="19"/>
  <c r="BP6" i="19" s="1"/>
  <c r="BP38" i="19"/>
  <c r="BP40" i="19" s="1"/>
  <c r="BP8" i="20" s="1"/>
  <c r="AQ6" i="18"/>
  <c r="AQ38" i="18"/>
  <c r="AQ40" i="18" s="1"/>
  <c r="AQ8" i="19" s="1"/>
  <c r="R7" i="19"/>
  <c r="R38" i="19"/>
  <c r="R40" i="19" s="1"/>
  <c r="R8" i="20" s="1"/>
  <c r="BM38" i="19"/>
  <c r="BM40" i="19" s="1"/>
  <c r="BM8" i="20" s="1"/>
  <c r="BM7" i="19"/>
  <c r="BM6" i="19" s="1"/>
  <c r="H7" i="18"/>
  <c r="H38" i="18"/>
  <c r="H40" i="18" s="1"/>
  <c r="H8" i="19" s="1"/>
  <c r="BO7" i="18"/>
  <c r="BO6" i="18" s="1"/>
  <c r="BO38" i="18"/>
  <c r="BO40" i="18" s="1"/>
  <c r="BO8" i="19" s="1"/>
  <c r="AM6" i="19"/>
  <c r="AM38" i="19"/>
  <c r="AM40" i="19" s="1"/>
  <c r="AM8" i="20" s="1"/>
  <c r="BI7" i="18"/>
  <c r="BI6" i="18" s="1"/>
  <c r="BI38" i="18"/>
  <c r="BI40" i="18" s="1"/>
  <c r="BI8" i="19" s="1"/>
  <c r="BQ7" i="18"/>
  <c r="BQ6" i="18" s="1"/>
  <c r="BQ38" i="18"/>
  <c r="BQ40" i="18" s="1"/>
  <c r="BQ8" i="19" s="1"/>
  <c r="AE7" i="19"/>
  <c r="AE38" i="19"/>
  <c r="AE40" i="19" s="1"/>
  <c r="AE8" i="20" s="1"/>
  <c r="AA7" i="18"/>
  <c r="AA38" i="18"/>
  <c r="AA40" i="18" s="1"/>
  <c r="AA8" i="19" s="1"/>
  <c r="BU38" i="19"/>
  <c r="BU40" i="19" s="1"/>
  <c r="BU8" i="20" s="1"/>
  <c r="BU7" i="19"/>
  <c r="AP6" i="19"/>
  <c r="AP38" i="19"/>
  <c r="AP40" i="19" s="1"/>
  <c r="AP8" i="20" s="1"/>
  <c r="AN6" i="18"/>
  <c r="AN38" i="18"/>
  <c r="AN40" i="18" s="1"/>
  <c r="AN8" i="19" s="1"/>
  <c r="AD7" i="19"/>
  <c r="AD38" i="19"/>
  <c r="AD40" i="19" s="1"/>
  <c r="AD8" i="20" s="1"/>
  <c r="AF7" i="18"/>
  <c r="AF38" i="18"/>
  <c r="AF40" i="18" s="1"/>
  <c r="AF8" i="19" s="1"/>
  <c r="CR38" i="18"/>
  <c r="CR40" i="18" s="1"/>
  <c r="CR8" i="19" s="1"/>
  <c r="CR6" i="18"/>
  <c r="AJ7" i="19"/>
  <c r="AJ38" i="19"/>
  <c r="AJ40" i="19" s="1"/>
  <c r="AJ8" i="20" s="1"/>
  <c r="CN38" i="21"/>
  <c r="CN40" i="21" s="1"/>
  <c r="CN43" i="21" s="1"/>
  <c r="CN6" i="21"/>
  <c r="CT38" i="18"/>
  <c r="CT40" i="18" s="1"/>
  <c r="CT8" i="19" s="1"/>
  <c r="CT6" i="18"/>
  <c r="BG7" i="18"/>
  <c r="BG6" i="18" s="1"/>
  <c r="BG38" i="18"/>
  <c r="BG40" i="18" s="1"/>
  <c r="BG8" i="19" s="1"/>
  <c r="AY7" i="18"/>
  <c r="AY6" i="18" s="1"/>
  <c r="AY38" i="18"/>
  <c r="AY40" i="18" s="1"/>
  <c r="AY8" i="19" s="1"/>
  <c r="AX7" i="20"/>
  <c r="AX6" i="20" s="1"/>
  <c r="AX38" i="20"/>
  <c r="AX40" i="20" s="1"/>
  <c r="AX8" i="21" s="1"/>
  <c r="S7" i="18"/>
  <c r="S38" i="18"/>
  <c r="S40" i="18" s="1"/>
  <c r="S8" i="19" s="1"/>
  <c r="CL38" i="18"/>
  <c r="CL40" i="18" s="1"/>
  <c r="CL8" i="19" s="1"/>
  <c r="CL6" i="18"/>
  <c r="L38" i="21"/>
  <c r="L40" i="21" s="1"/>
  <c r="L7" i="21"/>
  <c r="CQ6" i="19"/>
  <c r="CQ38" i="19"/>
  <c r="CQ40" i="19" s="1"/>
  <c r="CQ8" i="20" s="1"/>
  <c r="AK7" i="18"/>
  <c r="AK38" i="18"/>
  <c r="AK40" i="18" s="1"/>
  <c r="AK8" i="19" s="1"/>
  <c r="AV7" i="18"/>
  <c r="AV6" i="18" s="1"/>
  <c r="AV38" i="18"/>
  <c r="AV40" i="18" s="1"/>
  <c r="AV8" i="19" s="1"/>
  <c r="BE38" i="19"/>
  <c r="BE40" i="19" s="1"/>
  <c r="BE8" i="20" s="1"/>
  <c r="BE7" i="19"/>
  <c r="BE6" i="19" s="1"/>
  <c r="AS7" i="20"/>
  <c r="AS6" i="20" s="1"/>
  <c r="AS38" i="20"/>
  <c r="AS40" i="20" s="1"/>
  <c r="AS8" i="21" s="1"/>
  <c r="CO6" i="20"/>
  <c r="CO38" i="20"/>
  <c r="CO40" i="20" s="1"/>
  <c r="CO8" i="21" s="1"/>
  <c r="CV6" i="18"/>
  <c r="CV38" i="18"/>
  <c r="CV40" i="18" s="1"/>
  <c r="CV8" i="19" s="1"/>
  <c r="BB7" i="19"/>
  <c r="BB6" i="19" s="1"/>
  <c r="BB38" i="19"/>
  <c r="BB40" i="19" s="1"/>
  <c r="BB8" i="20" s="1"/>
  <c r="AG7" i="18"/>
  <c r="AG38" i="18"/>
  <c r="AG40" i="18" s="1"/>
  <c r="AG8" i="19" s="1"/>
  <c r="CP38" i="18"/>
  <c r="CP40" i="18" s="1"/>
  <c r="CP8" i="19" s="1"/>
  <c r="CP6" i="18"/>
  <c r="CK6" i="18"/>
  <c r="CK38" i="18"/>
  <c r="CK40" i="18" s="1"/>
  <c r="CK8" i="19" s="1"/>
  <c r="AW7" i="19"/>
  <c r="AW6" i="19" s="1"/>
  <c r="AW38" i="19"/>
  <c r="AW40" i="19" s="1"/>
  <c r="AW8" i="20" s="1"/>
  <c r="M38" i="18"/>
  <c r="M40" i="18" s="1"/>
  <c r="M8" i="19" s="1"/>
  <c r="M7" i="18"/>
  <c r="AC7" i="18"/>
  <c r="AC38" i="18"/>
  <c r="AC40" i="18" s="1"/>
  <c r="AC8" i="19" s="1"/>
  <c r="BW7" i="18"/>
  <c r="BW6" i="18" s="1"/>
  <c r="BW38" i="18"/>
  <c r="BW40" i="18" s="1"/>
  <c r="BW8" i="19" s="1"/>
  <c r="O7" i="18"/>
  <c r="O38" i="18"/>
  <c r="O40" i="18" s="1"/>
  <c r="O8" i="19" s="1"/>
  <c r="AU7" i="19"/>
  <c r="AU6" i="19" s="1"/>
  <c r="AU38" i="19"/>
  <c r="AU40" i="19" s="1"/>
  <c r="AU8" i="20" s="1"/>
  <c r="P7" i="18"/>
  <c r="P38" i="18"/>
  <c r="P40" i="18" s="1"/>
  <c r="P8" i="19" s="1"/>
  <c r="AI7" i="18"/>
  <c r="AI38" i="18"/>
  <c r="AI40" i="18" s="1"/>
  <c r="AI8" i="19" s="1"/>
  <c r="K7" i="18"/>
  <c r="K38" i="18"/>
  <c r="K40" i="18" s="1"/>
  <c r="K8" i="19" s="1"/>
  <c r="CC6" i="19"/>
  <c r="CC38" i="19"/>
  <c r="CC40" i="19" s="1"/>
  <c r="CC8" i="20" s="1"/>
  <c r="BN7" i="19"/>
  <c r="BN6" i="19" s="1"/>
  <c r="BN38" i="19"/>
  <c r="BN40" i="19" s="1"/>
  <c r="BN8" i="20" s="1"/>
  <c r="AB7" i="18"/>
  <c r="AB38" i="18"/>
  <c r="AB40" i="18" s="1"/>
  <c r="AB8" i="19" s="1"/>
  <c r="BX7" i="18"/>
  <c r="BX6" i="18" s="1"/>
  <c r="BX38" i="18"/>
  <c r="BX40" i="18" s="1"/>
  <c r="BX8" i="19" s="1"/>
  <c r="Z7" i="19"/>
  <c r="Z38" i="19"/>
  <c r="Z40" i="19" s="1"/>
  <c r="Z8" i="20" s="1"/>
  <c r="AH7" i="19"/>
  <c r="AH38" i="19"/>
  <c r="AH40" i="19" s="1"/>
  <c r="AH8" i="20" s="1"/>
  <c r="N7" i="18"/>
  <c r="N38" i="18"/>
  <c r="N40" i="18" s="1"/>
  <c r="N8" i="19" s="1"/>
  <c r="BF7" i="19"/>
  <c r="BF6" i="19" s="1"/>
  <c r="BF38" i="19"/>
  <c r="BF40" i="19" s="1"/>
  <c r="BF8" i="20" s="1"/>
  <c r="CS6" i="18"/>
  <c r="CS38" i="18"/>
  <c r="CS40" i="18" s="1"/>
  <c r="CS8" i="19" s="1"/>
  <c r="BK7" i="19"/>
  <c r="BK6" i="19" s="1"/>
  <c r="BK38" i="19"/>
  <c r="BK40" i="19" s="1"/>
  <c r="BK8" i="20" s="1"/>
  <c r="BV38" i="18"/>
  <c r="BV40" i="18" s="1"/>
  <c r="BV8" i="19" s="1"/>
  <c r="BV7" i="18"/>
  <c r="BV6" i="18" s="1"/>
  <c r="BC38" i="19"/>
  <c r="BC40" i="19" s="1"/>
  <c r="BC8" i="20" s="1"/>
  <c r="BC7" i="19"/>
  <c r="BC6" i="19" s="1"/>
  <c r="BS7" i="19"/>
  <c r="BS38" i="19"/>
  <c r="BS40" i="19" s="1"/>
  <c r="BS8" i="20" s="1"/>
  <c r="BH38" i="21"/>
  <c r="BH40" i="21" s="1"/>
  <c r="BH7" i="21"/>
  <c r="BH6" i="21" s="1"/>
  <c r="AZ38" i="21"/>
  <c r="AZ40" i="21" s="1"/>
  <c r="AZ7" i="21"/>
  <c r="AZ6" i="21" s="1"/>
  <c r="AT38" i="20"/>
  <c r="AT40" i="20" s="1"/>
  <c r="AT8" i="21" s="1"/>
  <c r="AT7" i="20"/>
  <c r="AT6" i="20" s="1"/>
  <c r="BA7" i="18"/>
  <c r="BA6" i="18" s="1"/>
  <c r="BA38" i="18"/>
  <c r="BA40" i="18" s="1"/>
  <c r="BA8" i="19" s="1"/>
  <c r="J38" i="18"/>
  <c r="J40" i="18" s="1"/>
  <c r="J8" i="19" s="1"/>
  <c r="J7" i="18"/>
  <c r="CH6" i="19"/>
  <c r="CH38" i="19"/>
  <c r="CH40" i="19" s="1"/>
  <c r="CH8" i="20" s="1"/>
  <c r="BD7" i="18"/>
  <c r="BD6" i="18" s="1"/>
  <c r="BD38" i="18"/>
  <c r="BD40" i="18" s="1"/>
  <c r="BD8" i="19" s="1"/>
  <c r="CB6" i="18"/>
  <c r="CB38" i="18"/>
  <c r="CB40" i="18" s="1"/>
  <c r="CB8" i="19" s="1"/>
  <c r="AR7" i="18"/>
  <c r="AR6" i="18" s="1"/>
  <c r="AR38" i="18"/>
  <c r="AR40" i="18" s="1"/>
  <c r="AR8" i="19" s="1"/>
  <c r="BL7" i="18"/>
  <c r="BL6" i="18" s="1"/>
  <c r="BL38" i="18"/>
  <c r="BL40" i="18" s="1"/>
  <c r="BL8" i="19" s="1"/>
  <c r="AL38" i="21"/>
  <c r="AL40" i="21" s="1"/>
  <c r="AL43" i="21" s="1"/>
  <c r="CJ10" i="16" l="1"/>
  <c r="CJ37" i="16" s="1"/>
  <c r="CJ38" i="16" s="1"/>
  <c r="CJ40" i="16" s="1"/>
  <c r="CJ8" i="17" s="1"/>
  <c r="CJ6" i="17" s="1"/>
  <c r="Q7" i="21"/>
  <c r="Q38" i="21"/>
  <c r="Q40" i="21" s="1"/>
  <c r="CU6" i="20"/>
  <c r="CU38" i="20"/>
  <c r="CU40" i="20" s="1"/>
  <c r="CU8" i="21" s="1"/>
  <c r="CM6" i="20"/>
  <c r="CM38" i="20"/>
  <c r="CM40" i="20" s="1"/>
  <c r="CM8" i="21" s="1"/>
  <c r="AQ38" i="19"/>
  <c r="AQ40" i="19" s="1"/>
  <c r="AQ8" i="20" s="1"/>
  <c r="AQ6" i="19"/>
  <c r="BP7" i="20"/>
  <c r="BP6" i="20" s="1"/>
  <c r="BP38" i="20"/>
  <c r="BP40" i="20" s="1"/>
  <c r="BP8" i="21" s="1"/>
  <c r="Z38" i="20"/>
  <c r="Z40" i="20" s="1"/>
  <c r="Z8" i="21" s="1"/>
  <c r="Z7" i="20"/>
  <c r="AC38" i="19"/>
  <c r="AC40" i="19" s="1"/>
  <c r="AC8" i="20" s="1"/>
  <c r="AC7" i="19"/>
  <c r="CK38" i="19"/>
  <c r="CK40" i="19" s="1"/>
  <c r="CK8" i="20" s="1"/>
  <c r="CK6" i="19"/>
  <c r="CV6" i="19"/>
  <c r="CV38" i="19"/>
  <c r="CV40" i="19" s="1"/>
  <c r="CV8" i="20" s="1"/>
  <c r="AV7" i="19"/>
  <c r="AV6" i="19" s="1"/>
  <c r="AV38" i="19"/>
  <c r="AV40" i="19" s="1"/>
  <c r="AV8" i="20" s="1"/>
  <c r="AY7" i="19"/>
  <c r="AY6" i="19" s="1"/>
  <c r="AY38" i="19"/>
  <c r="AY40" i="19" s="1"/>
  <c r="AY8" i="20" s="1"/>
  <c r="AJ7" i="20"/>
  <c r="AJ38" i="20"/>
  <c r="AJ40" i="20" s="1"/>
  <c r="AJ8" i="21" s="1"/>
  <c r="AN6" i="19"/>
  <c r="AN38" i="19"/>
  <c r="AN40" i="19" s="1"/>
  <c r="AN8" i="20" s="1"/>
  <c r="AE7" i="20"/>
  <c r="AE38" i="20"/>
  <c r="AE40" i="20" s="1"/>
  <c r="AE8" i="21" s="1"/>
  <c r="BO7" i="19"/>
  <c r="BO6" i="19" s="1"/>
  <c r="BO38" i="19"/>
  <c r="BO40" i="19" s="1"/>
  <c r="BO8" i="20" s="1"/>
  <c r="BV7" i="19"/>
  <c r="BV6" i="19" s="1"/>
  <c r="BV38" i="19"/>
  <c r="BV40" i="19" s="1"/>
  <c r="BV8" i="20" s="1"/>
  <c r="CC6" i="20"/>
  <c r="CC38" i="20"/>
  <c r="CC40" i="20" s="1"/>
  <c r="CC8" i="21" s="1"/>
  <c r="N7" i="19"/>
  <c r="N38" i="19"/>
  <c r="N40" i="19" s="1"/>
  <c r="N8" i="20" s="1"/>
  <c r="BX7" i="19"/>
  <c r="BX6" i="19" s="1"/>
  <c r="BX38" i="19"/>
  <c r="BX40" i="19" s="1"/>
  <c r="BX8" i="20" s="1"/>
  <c r="K7" i="19"/>
  <c r="K38" i="19"/>
  <c r="K40" i="19" s="1"/>
  <c r="K8" i="20" s="1"/>
  <c r="AU7" i="20"/>
  <c r="AU6" i="20" s="1"/>
  <c r="AU38" i="20"/>
  <c r="AU40" i="20" s="1"/>
  <c r="AU8" i="21" s="1"/>
  <c r="CO38" i="21"/>
  <c r="CO40" i="21" s="1"/>
  <c r="CO43" i="21" s="1"/>
  <c r="CO6" i="21"/>
  <c r="BG7" i="19"/>
  <c r="BG6" i="19" s="1"/>
  <c r="BG38" i="19"/>
  <c r="BG40" i="19" s="1"/>
  <c r="BG8" i="20" s="1"/>
  <c r="AP6" i="20"/>
  <c r="AP38" i="20"/>
  <c r="AP40" i="20" s="1"/>
  <c r="AP8" i="21" s="1"/>
  <c r="BQ38" i="19"/>
  <c r="BQ40" i="19" s="1"/>
  <c r="BQ8" i="20" s="1"/>
  <c r="BQ7" i="19"/>
  <c r="BQ6" i="19" s="1"/>
  <c r="H7" i="19"/>
  <c r="H38" i="19"/>
  <c r="H40" i="19" s="1"/>
  <c r="H8" i="20" s="1"/>
  <c r="BL7" i="19"/>
  <c r="BL6" i="19" s="1"/>
  <c r="BL38" i="19"/>
  <c r="BL40" i="19" s="1"/>
  <c r="BL8" i="20" s="1"/>
  <c r="P7" i="19"/>
  <c r="P38" i="19"/>
  <c r="P40" i="19" s="1"/>
  <c r="P8" i="20" s="1"/>
  <c r="J7" i="19"/>
  <c r="J38" i="19"/>
  <c r="J40" i="19" s="1"/>
  <c r="J8" i="20" s="1"/>
  <c r="M38" i="19"/>
  <c r="M40" i="19" s="1"/>
  <c r="M8" i="20" s="1"/>
  <c r="M7" i="19"/>
  <c r="CP6" i="19"/>
  <c r="CP38" i="19"/>
  <c r="CP40" i="19" s="1"/>
  <c r="CP8" i="20" s="1"/>
  <c r="CL6" i="19"/>
  <c r="CL38" i="19"/>
  <c r="CL40" i="19" s="1"/>
  <c r="CL8" i="20" s="1"/>
  <c r="CR6" i="19"/>
  <c r="CR38" i="19"/>
  <c r="CR40" i="19" s="1"/>
  <c r="CR8" i="20" s="1"/>
  <c r="CH38" i="20"/>
  <c r="CH40" i="20" s="1"/>
  <c r="CH8" i="21" s="1"/>
  <c r="CH6" i="20"/>
  <c r="AR7" i="19"/>
  <c r="AR6" i="19" s="1"/>
  <c r="AR38" i="19"/>
  <c r="AR40" i="19" s="1"/>
  <c r="AR8" i="20" s="1"/>
  <c r="CB6" i="19"/>
  <c r="CB38" i="19"/>
  <c r="CB40" i="19" s="1"/>
  <c r="CB8" i="20" s="1"/>
  <c r="BA7" i="19"/>
  <c r="BA6" i="19" s="1"/>
  <c r="BA38" i="19"/>
  <c r="BA40" i="19" s="1"/>
  <c r="BA8" i="20" s="1"/>
  <c r="BK7" i="20"/>
  <c r="BK6" i="20" s="1"/>
  <c r="BK38" i="20"/>
  <c r="BK40" i="20" s="1"/>
  <c r="BK8" i="21" s="1"/>
  <c r="AB7" i="19"/>
  <c r="AB38" i="19"/>
  <c r="AB40" i="19" s="1"/>
  <c r="AB8" i="20" s="1"/>
  <c r="AI7" i="19"/>
  <c r="AI38" i="19"/>
  <c r="AI40" i="19" s="1"/>
  <c r="AI8" i="20" s="1"/>
  <c r="O38" i="19"/>
  <c r="O40" i="19" s="1"/>
  <c r="O8" i="20" s="1"/>
  <c r="O7" i="19"/>
  <c r="AW7" i="20"/>
  <c r="AW6" i="20" s="1"/>
  <c r="AW38" i="20"/>
  <c r="AW40" i="20" s="1"/>
  <c r="AW8" i="21" s="1"/>
  <c r="AG7" i="19"/>
  <c r="AG38" i="19"/>
  <c r="AG40" i="19" s="1"/>
  <c r="AG8" i="20" s="1"/>
  <c r="AS38" i="21"/>
  <c r="AS40" i="21" s="1"/>
  <c r="AS7" i="21"/>
  <c r="AS6" i="21" s="1"/>
  <c r="AK7" i="19"/>
  <c r="AK38" i="19"/>
  <c r="AK40" i="19" s="1"/>
  <c r="AK8" i="20" s="1"/>
  <c r="S7" i="19"/>
  <c r="S38" i="19"/>
  <c r="S40" i="19" s="1"/>
  <c r="S8" i="20" s="1"/>
  <c r="AF7" i="19"/>
  <c r="AF38" i="19"/>
  <c r="AF40" i="19" s="1"/>
  <c r="AF8" i="20" s="1"/>
  <c r="BI7" i="19"/>
  <c r="BI6" i="19" s="1"/>
  <c r="BI38" i="19"/>
  <c r="BI40" i="19" s="1"/>
  <c r="BI8" i="20" s="1"/>
  <c r="CT6" i="19"/>
  <c r="CT38" i="19"/>
  <c r="CT40" i="19" s="1"/>
  <c r="CT8" i="20" s="1"/>
  <c r="BU7" i="20"/>
  <c r="BU38" i="20"/>
  <c r="BU40" i="20" s="1"/>
  <c r="BU8" i="21" s="1"/>
  <c r="BM7" i="20"/>
  <c r="BM6" i="20" s="1"/>
  <c r="BM38" i="20"/>
  <c r="BM40" i="20" s="1"/>
  <c r="BM8" i="21" s="1"/>
  <c r="BF38" i="20"/>
  <c r="BF40" i="20" s="1"/>
  <c r="BF8" i="21" s="1"/>
  <c r="BF7" i="20"/>
  <c r="BF6" i="20" s="1"/>
  <c r="BS7" i="20"/>
  <c r="BS38" i="20"/>
  <c r="BS40" i="20" s="1"/>
  <c r="BS8" i="21" s="1"/>
  <c r="BD7" i="19"/>
  <c r="BD6" i="19" s="1"/>
  <c r="BD38" i="19"/>
  <c r="BD40" i="19" s="1"/>
  <c r="BD8" i="20" s="1"/>
  <c r="CS38" i="19"/>
  <c r="CS40" i="19" s="1"/>
  <c r="CS8" i="20" s="1"/>
  <c r="CS6" i="19"/>
  <c r="AH7" i="20"/>
  <c r="AH38" i="20"/>
  <c r="AH40" i="20" s="1"/>
  <c r="AH8" i="21" s="1"/>
  <c r="BN38" i="20"/>
  <c r="BN40" i="20" s="1"/>
  <c r="BN8" i="21" s="1"/>
  <c r="BN7" i="20"/>
  <c r="BN6" i="20" s="1"/>
  <c r="BW7" i="19"/>
  <c r="BW6" i="19" s="1"/>
  <c r="BW38" i="19"/>
  <c r="BW40" i="19" s="1"/>
  <c r="BW8" i="20" s="1"/>
  <c r="BB38" i="20"/>
  <c r="BB40" i="20" s="1"/>
  <c r="BB8" i="21" s="1"/>
  <c r="BB7" i="20"/>
  <c r="BB6" i="20" s="1"/>
  <c r="CQ6" i="20"/>
  <c r="CQ38" i="20"/>
  <c r="CQ40" i="20" s="1"/>
  <c r="CQ8" i="21" s="1"/>
  <c r="AX7" i="21"/>
  <c r="AX6" i="21" s="1"/>
  <c r="AX38" i="21"/>
  <c r="AX40" i="21" s="1"/>
  <c r="AD7" i="20"/>
  <c r="AD38" i="20"/>
  <c r="AD40" i="20" s="1"/>
  <c r="AD8" i="21" s="1"/>
  <c r="AA7" i="19"/>
  <c r="AA38" i="19"/>
  <c r="AA40" i="19" s="1"/>
  <c r="AA8" i="20" s="1"/>
  <c r="AM38" i="20"/>
  <c r="AM40" i="20" s="1"/>
  <c r="AM8" i="21" s="1"/>
  <c r="AM6" i="20"/>
  <c r="R38" i="20"/>
  <c r="R40" i="20" s="1"/>
  <c r="R8" i="21" s="1"/>
  <c r="R7" i="20"/>
  <c r="AT7" i="21"/>
  <c r="AT6" i="21" s="1"/>
  <c r="AT38" i="21"/>
  <c r="AT40" i="21" s="1"/>
  <c r="BC7" i="20"/>
  <c r="BC6" i="20" s="1"/>
  <c r="BC38" i="20"/>
  <c r="BC40" i="20" s="1"/>
  <c r="BC8" i="21" s="1"/>
  <c r="BE7" i="20"/>
  <c r="BE6" i="20" s="1"/>
  <c r="BE38" i="20"/>
  <c r="BE40" i="20" s="1"/>
  <c r="BE8" i="21" s="1"/>
  <c r="CJ9" i="17" l="1"/>
  <c r="CJ37" i="17" s="1"/>
  <c r="CJ38" i="17" s="1"/>
  <c r="CJ40" i="17" s="1"/>
  <c r="CJ8" i="18" s="1"/>
  <c r="CJ6" i="18" s="1"/>
  <c r="CJ9" i="18" s="1"/>
  <c r="CJ10" i="17"/>
  <c r="CM6" i="21"/>
  <c r="CM38" i="21"/>
  <c r="CM40" i="21" s="1"/>
  <c r="CU6" i="21"/>
  <c r="CU38" i="21"/>
  <c r="CU40" i="21" s="1"/>
  <c r="CU43" i="21" s="1"/>
  <c r="BP38" i="21"/>
  <c r="BP40" i="21" s="1"/>
  <c r="BP7" i="21"/>
  <c r="BP6" i="21" s="1"/>
  <c r="AQ6" i="20"/>
  <c r="AQ38" i="20"/>
  <c r="AQ40" i="20" s="1"/>
  <c r="AQ8" i="21" s="1"/>
  <c r="CQ6" i="21"/>
  <c r="CQ38" i="21"/>
  <c r="CQ40" i="21" s="1"/>
  <c r="CQ43" i="21" s="1"/>
  <c r="AI7" i="20"/>
  <c r="AI38" i="20"/>
  <c r="AI40" i="20" s="1"/>
  <c r="AI8" i="21" s="1"/>
  <c r="BA7" i="20"/>
  <c r="BA6" i="20" s="1"/>
  <c r="BA38" i="20"/>
  <c r="BA40" i="20" s="1"/>
  <c r="BA8" i="21" s="1"/>
  <c r="CR6" i="20"/>
  <c r="CR38" i="20"/>
  <c r="CR40" i="20" s="1"/>
  <c r="CR8" i="21" s="1"/>
  <c r="J38" i="20"/>
  <c r="J40" i="20" s="1"/>
  <c r="J8" i="21" s="1"/>
  <c r="J7" i="20"/>
  <c r="AU7" i="21"/>
  <c r="AU6" i="21" s="1"/>
  <c r="AU38" i="21"/>
  <c r="AU40" i="21" s="1"/>
  <c r="CC6" i="21"/>
  <c r="CC38" i="21"/>
  <c r="CC40" i="21" s="1"/>
  <c r="CC43" i="21" s="1"/>
  <c r="AN6" i="20"/>
  <c r="AN38" i="20"/>
  <c r="AN40" i="20" s="1"/>
  <c r="AN8" i="21" s="1"/>
  <c r="CV6" i="20"/>
  <c r="CV38" i="20"/>
  <c r="CV40" i="20" s="1"/>
  <c r="CV8" i="21" s="1"/>
  <c r="AM6" i="21"/>
  <c r="AM38" i="21"/>
  <c r="AM40" i="21" s="1"/>
  <c r="AM43" i="21" s="1"/>
  <c r="BF7" i="21"/>
  <c r="BF6" i="21" s="1"/>
  <c r="BF38" i="21"/>
  <c r="BF40" i="21" s="1"/>
  <c r="BQ7" i="20"/>
  <c r="BQ6" i="20" s="1"/>
  <c r="BQ38" i="20"/>
  <c r="BQ40" i="20" s="1"/>
  <c r="BQ8" i="21" s="1"/>
  <c r="AF7" i="20"/>
  <c r="AF38" i="20"/>
  <c r="AF40" i="20" s="1"/>
  <c r="AF8" i="21" s="1"/>
  <c r="AG7" i="20"/>
  <c r="AG38" i="20"/>
  <c r="AG40" i="20" s="1"/>
  <c r="AG8" i="21" s="1"/>
  <c r="AB7" i="20"/>
  <c r="AB38" i="20"/>
  <c r="AB40" i="20" s="1"/>
  <c r="AB8" i="21" s="1"/>
  <c r="CB6" i="20"/>
  <c r="CB38" i="20"/>
  <c r="CB40" i="20" s="1"/>
  <c r="CB8" i="21" s="1"/>
  <c r="CL6" i="20"/>
  <c r="CL38" i="20"/>
  <c r="CL40" i="20" s="1"/>
  <c r="CL8" i="21" s="1"/>
  <c r="P7" i="20"/>
  <c r="P38" i="20"/>
  <c r="P40" i="20" s="1"/>
  <c r="P8" i="21" s="1"/>
  <c r="AP38" i="21"/>
  <c r="AP40" i="21" s="1"/>
  <c r="AP43" i="21" s="1"/>
  <c r="AP6" i="21"/>
  <c r="K7" i="20"/>
  <c r="K38" i="20"/>
  <c r="K40" i="20" s="1"/>
  <c r="K8" i="21" s="1"/>
  <c r="BV38" i="20"/>
  <c r="BV40" i="20" s="1"/>
  <c r="BV8" i="21" s="1"/>
  <c r="BV7" i="20"/>
  <c r="BV6" i="20" s="1"/>
  <c r="AJ38" i="21"/>
  <c r="AJ40" i="21" s="1"/>
  <c r="AJ7" i="21"/>
  <c r="AH7" i="21"/>
  <c r="AH38" i="21"/>
  <c r="AH40" i="21" s="1"/>
  <c r="BB7" i="21"/>
  <c r="BB6" i="21" s="1"/>
  <c r="BB38" i="21"/>
  <c r="BB40" i="21" s="1"/>
  <c r="CS6" i="20"/>
  <c r="CS38" i="20"/>
  <c r="CS40" i="20" s="1"/>
  <c r="CS8" i="21" s="1"/>
  <c r="CK6" i="20"/>
  <c r="CK38" i="20"/>
  <c r="CK40" i="20" s="1"/>
  <c r="CK8" i="21" s="1"/>
  <c r="AD7" i="21"/>
  <c r="AD38" i="21"/>
  <c r="AD40" i="21" s="1"/>
  <c r="BW7" i="20"/>
  <c r="BW6" i="20" s="1"/>
  <c r="BW38" i="20"/>
  <c r="BW40" i="20" s="1"/>
  <c r="BW8" i="21" s="1"/>
  <c r="BD7" i="20"/>
  <c r="BD6" i="20" s="1"/>
  <c r="BD38" i="20"/>
  <c r="BD40" i="20" s="1"/>
  <c r="BD8" i="21" s="1"/>
  <c r="BU7" i="21"/>
  <c r="BU38" i="21"/>
  <c r="BU40" i="21" s="1"/>
  <c r="BU43" i="21" s="1"/>
  <c r="S7" i="20"/>
  <c r="S38" i="20"/>
  <c r="S40" i="20" s="1"/>
  <c r="S8" i="21" s="1"/>
  <c r="AW7" i="21"/>
  <c r="AW6" i="21" s="1"/>
  <c r="AW38" i="21"/>
  <c r="AW40" i="21" s="1"/>
  <c r="AR7" i="20"/>
  <c r="AR6" i="20" s="1"/>
  <c r="AR38" i="20"/>
  <c r="AR40" i="20" s="1"/>
  <c r="AR8" i="21" s="1"/>
  <c r="CP38" i="20"/>
  <c r="CP40" i="20" s="1"/>
  <c r="CP8" i="21" s="1"/>
  <c r="CP6" i="20"/>
  <c r="BL7" i="20"/>
  <c r="BL6" i="20" s="1"/>
  <c r="BL38" i="20"/>
  <c r="BL40" i="20" s="1"/>
  <c r="BL8" i="21" s="1"/>
  <c r="BG7" i="20"/>
  <c r="BG6" i="20" s="1"/>
  <c r="BG38" i="20"/>
  <c r="BG40" i="20" s="1"/>
  <c r="BG8" i="21" s="1"/>
  <c r="BX7" i="20"/>
  <c r="BX6" i="20" s="1"/>
  <c r="BX38" i="20"/>
  <c r="BX40" i="20" s="1"/>
  <c r="BX8" i="21" s="1"/>
  <c r="BO7" i="20"/>
  <c r="BO6" i="20" s="1"/>
  <c r="BO38" i="20"/>
  <c r="BO40" i="20" s="1"/>
  <c r="BO8" i="21" s="1"/>
  <c r="AY7" i="20"/>
  <c r="AY6" i="20" s="1"/>
  <c r="AY38" i="20"/>
  <c r="AY40" i="20" s="1"/>
  <c r="AY8" i="21" s="1"/>
  <c r="BE7" i="21"/>
  <c r="BE6" i="21" s="1"/>
  <c r="BE38" i="21"/>
  <c r="BE40" i="21" s="1"/>
  <c r="AA7" i="20"/>
  <c r="AA38" i="20"/>
  <c r="AA40" i="20" s="1"/>
  <c r="AA8" i="21" s="1"/>
  <c r="AC7" i="20"/>
  <c r="AC38" i="20"/>
  <c r="AC40" i="20" s="1"/>
  <c r="AC8" i="21" s="1"/>
  <c r="BC38" i="21"/>
  <c r="BC40" i="21" s="1"/>
  <c r="BC7" i="21"/>
  <c r="BC6" i="21" s="1"/>
  <c r="BS38" i="21"/>
  <c r="BS40" i="21" s="1"/>
  <c r="BS43" i="21" s="1"/>
  <c r="BS7" i="21"/>
  <c r="CT6" i="20"/>
  <c r="CT38" i="20"/>
  <c r="CT40" i="20" s="1"/>
  <c r="CT8" i="21" s="1"/>
  <c r="AK7" i="20"/>
  <c r="AK38" i="20"/>
  <c r="AK40" i="20" s="1"/>
  <c r="AK8" i="21" s="1"/>
  <c r="BK38" i="21"/>
  <c r="BK40" i="21" s="1"/>
  <c r="BK7" i="21"/>
  <c r="BK6" i="21" s="1"/>
  <c r="H7" i="20"/>
  <c r="H38" i="20"/>
  <c r="H40" i="20" s="1"/>
  <c r="H8" i="21" s="1"/>
  <c r="N7" i="20"/>
  <c r="N38" i="20"/>
  <c r="N40" i="20" s="1"/>
  <c r="N8" i="21" s="1"/>
  <c r="AE38" i="21"/>
  <c r="AE40" i="21" s="1"/>
  <c r="AE7" i="21"/>
  <c r="AV7" i="20"/>
  <c r="AV6" i="20" s="1"/>
  <c r="AV38" i="20"/>
  <c r="AV40" i="20" s="1"/>
  <c r="AV8" i="21" s="1"/>
  <c r="BI7" i="20"/>
  <c r="BI6" i="20" s="1"/>
  <c r="BI38" i="20"/>
  <c r="BI40" i="20" s="1"/>
  <c r="BI8" i="21" s="1"/>
  <c r="BM7" i="21"/>
  <c r="BM6" i="21" s="1"/>
  <c r="BM38" i="21"/>
  <c r="BM40" i="21" s="1"/>
  <c r="R38" i="21"/>
  <c r="R40" i="21" s="1"/>
  <c r="R7" i="21"/>
  <c r="BN7" i="21"/>
  <c r="BN6" i="21" s="1"/>
  <c r="BN38" i="21"/>
  <c r="BN40" i="21" s="1"/>
  <c r="O7" i="20"/>
  <c r="O38" i="20"/>
  <c r="O40" i="20" s="1"/>
  <c r="O8" i="21" s="1"/>
  <c r="CH6" i="21"/>
  <c r="CH38" i="21"/>
  <c r="CH40" i="21" s="1"/>
  <c r="M7" i="20"/>
  <c r="M38" i="20"/>
  <c r="M40" i="20" s="1"/>
  <c r="M8" i="21" s="1"/>
  <c r="Z7" i="21"/>
  <c r="Z38" i="21"/>
  <c r="Z40" i="21" s="1"/>
  <c r="CJ10" i="18" l="1"/>
  <c r="CJ37" i="18" s="1"/>
  <c r="CJ38" i="18" s="1"/>
  <c r="CJ40" i="18" s="1"/>
  <c r="CJ8" i="19" s="1"/>
  <c r="CJ6" i="19" s="1"/>
  <c r="AQ6" i="21"/>
  <c r="AQ38" i="21"/>
  <c r="AQ40" i="21" s="1"/>
  <c r="AQ43" i="21" s="1"/>
  <c r="BW7" i="21"/>
  <c r="BW6" i="21" s="1"/>
  <c r="BW38" i="21"/>
  <c r="BW40" i="21" s="1"/>
  <c r="BW43" i="21" s="1"/>
  <c r="K7" i="21"/>
  <c r="K38" i="21"/>
  <c r="K40" i="21" s="1"/>
  <c r="CB38" i="21"/>
  <c r="CB40" i="21" s="1"/>
  <c r="CB43" i="21" s="1"/>
  <c r="CB6" i="21"/>
  <c r="BQ7" i="21"/>
  <c r="BQ6" i="21" s="1"/>
  <c r="BQ38" i="21"/>
  <c r="BQ40" i="21" s="1"/>
  <c r="AN6" i="21"/>
  <c r="AN38" i="21"/>
  <c r="AN40" i="21" s="1"/>
  <c r="AN43" i="21" s="1"/>
  <c r="CR38" i="21"/>
  <c r="CR40" i="21" s="1"/>
  <c r="CR43" i="21" s="1"/>
  <c r="CR6" i="21"/>
  <c r="BL38" i="21"/>
  <c r="BL40" i="21" s="1"/>
  <c r="BL7" i="21"/>
  <c r="BL6" i="21" s="1"/>
  <c r="AK7" i="21"/>
  <c r="AK38" i="21"/>
  <c r="AK40" i="21" s="1"/>
  <c r="BO7" i="21"/>
  <c r="BO6" i="21" s="1"/>
  <c r="BO38" i="21"/>
  <c r="BO40" i="21" s="1"/>
  <c r="S7" i="21"/>
  <c r="S38" i="21"/>
  <c r="S40" i="21" s="1"/>
  <c r="AB7" i="21"/>
  <c r="AB38" i="21"/>
  <c r="AB40" i="21" s="1"/>
  <c r="BA7" i="21"/>
  <c r="BA6" i="21" s="1"/>
  <c r="BA38" i="21"/>
  <c r="BA40" i="21" s="1"/>
  <c r="AY7" i="21"/>
  <c r="AY6" i="21" s="1"/>
  <c r="AY38" i="21"/>
  <c r="AY40" i="21" s="1"/>
  <c r="AC38" i="21"/>
  <c r="AC40" i="21" s="1"/>
  <c r="AC7" i="21"/>
  <c r="CP6" i="21"/>
  <c r="CP38" i="21"/>
  <c r="CP40" i="21" s="1"/>
  <c r="CT6" i="21"/>
  <c r="CT38" i="21"/>
  <c r="CT40" i="21" s="1"/>
  <c r="AA7" i="21"/>
  <c r="AA38" i="21"/>
  <c r="AA40" i="21" s="1"/>
  <c r="AR7" i="21"/>
  <c r="AR6" i="21" s="1"/>
  <c r="AR38" i="21"/>
  <c r="AR40" i="21" s="1"/>
  <c r="CK6" i="21"/>
  <c r="CK38" i="21"/>
  <c r="CK40" i="21" s="1"/>
  <c r="P7" i="21"/>
  <c r="P38" i="21"/>
  <c r="P40" i="21" s="1"/>
  <c r="AG7" i="21"/>
  <c r="AG38" i="21"/>
  <c r="AG40" i="21" s="1"/>
  <c r="AI7" i="21"/>
  <c r="AI38" i="21"/>
  <c r="AI40" i="21" s="1"/>
  <c r="M7" i="21"/>
  <c r="M38" i="21"/>
  <c r="M40" i="21" s="1"/>
  <c r="BX38" i="21"/>
  <c r="BX40" i="21" s="1"/>
  <c r="BX7" i="21"/>
  <c r="BX6" i="21" s="1"/>
  <c r="AV38" i="21"/>
  <c r="AV40" i="21" s="1"/>
  <c r="AV7" i="21"/>
  <c r="AV6" i="21" s="1"/>
  <c r="O7" i="21"/>
  <c r="O38" i="21"/>
  <c r="O40" i="21" s="1"/>
  <c r="BI38" i="21"/>
  <c r="BI40" i="21" s="1"/>
  <c r="BI7" i="21"/>
  <c r="BI6" i="21" s="1"/>
  <c r="H38" i="21"/>
  <c r="H40" i="21" s="1"/>
  <c r="H7" i="21"/>
  <c r="BG7" i="21"/>
  <c r="BG6" i="21" s="1"/>
  <c r="BG38" i="21"/>
  <c r="BG40" i="21" s="1"/>
  <c r="BD38" i="21"/>
  <c r="BD40" i="21" s="1"/>
  <c r="BD7" i="21"/>
  <c r="BD6" i="21" s="1"/>
  <c r="CS6" i="21"/>
  <c r="CS38" i="21"/>
  <c r="CS40" i="21" s="1"/>
  <c r="CS43" i="21" s="1"/>
  <c r="CL6" i="21"/>
  <c r="CL38" i="21"/>
  <c r="CL40" i="21" s="1"/>
  <c r="AF38" i="21"/>
  <c r="AF40" i="21" s="1"/>
  <c r="AF7" i="21"/>
  <c r="CV38" i="21"/>
  <c r="CV40" i="21" s="1"/>
  <c r="CV6" i="21"/>
  <c r="N7" i="21"/>
  <c r="N38" i="21"/>
  <c r="N40" i="21" s="1"/>
  <c r="BV7" i="21"/>
  <c r="BV6" i="21" s="1"/>
  <c r="BV38" i="21"/>
  <c r="BV40" i="21" s="1"/>
  <c r="J38" i="21"/>
  <c r="J40" i="21" s="1"/>
  <c r="J7" i="21"/>
  <c r="CJ10" i="19" l="1"/>
  <c r="CJ9" i="19"/>
  <c r="CA11" i="1"/>
  <c r="BZ11" i="1"/>
  <c r="BY11" i="1"/>
  <c r="CQ7" i="1"/>
  <c r="CP7" i="1"/>
  <c r="CO7" i="1"/>
  <c r="CN7" i="1"/>
  <c r="CM7" i="1"/>
  <c r="CR7" i="1"/>
  <c r="CJ7" i="1"/>
  <c r="CI7" i="1"/>
  <c r="CH7" i="1"/>
  <c r="CH6" i="1" s="1"/>
  <c r="CG7" i="1"/>
  <c r="CF7" i="1"/>
  <c r="CE7" i="1"/>
  <c r="CD7" i="1"/>
  <c r="CD6" i="1"/>
  <c r="CC7" i="1"/>
  <c r="CB7" i="1"/>
  <c r="CA7" i="1"/>
  <c r="BZ7" i="1"/>
  <c r="BY7" i="1"/>
  <c r="BT7" i="1"/>
  <c r="BR7" i="1"/>
  <c r="AQ7" i="1"/>
  <c r="AP7" i="1"/>
  <c r="AO7" i="1"/>
  <c r="AN7" i="1"/>
  <c r="AM7" i="1"/>
  <c r="AL7" i="1"/>
  <c r="I7" i="1"/>
  <c r="CV8" i="1"/>
  <c r="CU6" i="1"/>
  <c r="CT8" i="1"/>
  <c r="CR8" i="1"/>
  <c r="CR6" i="1" s="1"/>
  <c r="CQ8" i="1"/>
  <c r="CQ6" i="1" s="1"/>
  <c r="CP8" i="1"/>
  <c r="CO8" i="1"/>
  <c r="CN8" i="1"/>
  <c r="CM8" i="1"/>
  <c r="CL8" i="1"/>
  <c r="CK8" i="1"/>
  <c r="CJ8" i="1"/>
  <c r="CI8" i="1"/>
  <c r="CI6" i="1" s="1"/>
  <c r="CH8" i="1"/>
  <c r="CG8" i="1"/>
  <c r="CF8" i="1"/>
  <c r="CE8" i="1"/>
  <c r="CD8" i="1"/>
  <c r="CC8" i="1"/>
  <c r="CB8" i="1"/>
  <c r="CA8" i="1"/>
  <c r="BZ8" i="1"/>
  <c r="BY8" i="1"/>
  <c r="BX8" i="1"/>
  <c r="BW8" i="1"/>
  <c r="BW7" i="1" s="1"/>
  <c r="BW6" i="1" s="1"/>
  <c r="BV8" i="1"/>
  <c r="BU8" i="1"/>
  <c r="BT8" i="1"/>
  <c r="BS8" i="1"/>
  <c r="BS7" i="1" s="1"/>
  <c r="BR8" i="1"/>
  <c r="BQ8" i="1"/>
  <c r="BP8" i="1"/>
  <c r="BO8" i="1"/>
  <c r="BO7" i="1" s="1"/>
  <c r="BO6" i="1" s="1"/>
  <c r="BN8" i="1"/>
  <c r="BM8" i="1"/>
  <c r="BL8" i="1"/>
  <c r="BL7" i="1" s="1"/>
  <c r="BL6" i="1" s="1"/>
  <c r="BK8" i="1"/>
  <c r="BK7" i="1" s="1"/>
  <c r="BK6" i="1" s="1"/>
  <c r="BJ8" i="1"/>
  <c r="BI8" i="1"/>
  <c r="BH8" i="1"/>
  <c r="BH7" i="1" s="1"/>
  <c r="BH6" i="1" s="1"/>
  <c r="BG8" i="1"/>
  <c r="BF8" i="1"/>
  <c r="BE8" i="1"/>
  <c r="BD8" i="1"/>
  <c r="BC8" i="1"/>
  <c r="BC7" i="1" s="1"/>
  <c r="BC6" i="1" s="1"/>
  <c r="BB8" i="1"/>
  <c r="BB7" i="1" s="1"/>
  <c r="BB6" i="1" s="1"/>
  <c r="BA8" i="1"/>
  <c r="AZ8" i="1"/>
  <c r="AZ7" i="1" s="1"/>
  <c r="AZ6" i="1" s="1"/>
  <c r="AY8" i="1"/>
  <c r="AY7" i="1" s="1"/>
  <c r="AY6" i="1" s="1"/>
  <c r="AX8" i="1"/>
  <c r="AW8" i="1"/>
  <c r="AV8" i="1"/>
  <c r="AU8" i="1"/>
  <c r="AU7" i="1" s="1"/>
  <c r="AU6" i="1" s="1"/>
  <c r="AT8" i="1"/>
  <c r="AT7" i="1" s="1"/>
  <c r="AT6" i="1" s="1"/>
  <c r="AS8" i="1"/>
  <c r="AR8" i="1"/>
  <c r="AQ8" i="1"/>
  <c r="AQ6" i="1" s="1"/>
  <c r="AP8" i="1"/>
  <c r="AO8" i="1"/>
  <c r="AN8" i="1"/>
  <c r="AN6" i="1" s="1"/>
  <c r="AM8" i="1"/>
  <c r="AM6" i="1" s="1"/>
  <c r="AL8" i="1"/>
  <c r="AK8" i="1"/>
  <c r="AJ8" i="1"/>
  <c r="AI8" i="1"/>
  <c r="AI7" i="1" s="1"/>
  <c r="AH8" i="1"/>
  <c r="AG8" i="1"/>
  <c r="AF8" i="1"/>
  <c r="AE8" i="1"/>
  <c r="AE7" i="1" s="1"/>
  <c r="AD8" i="1"/>
  <c r="AC8" i="1"/>
  <c r="AB8" i="1"/>
  <c r="AA8" i="1"/>
  <c r="AA7" i="1" s="1"/>
  <c r="Z8" i="1"/>
  <c r="Y8" i="1"/>
  <c r="X8" i="1"/>
  <c r="W8" i="1"/>
  <c r="V8" i="1"/>
  <c r="U8" i="1"/>
  <c r="T8" i="1"/>
  <c r="S8" i="1"/>
  <c r="R8" i="1"/>
  <c r="Q8" i="1"/>
  <c r="P8" i="1"/>
  <c r="O8" i="1"/>
  <c r="O7" i="1" s="1"/>
  <c r="N8" i="1"/>
  <c r="M8" i="1"/>
  <c r="L8" i="1"/>
  <c r="K8" i="1"/>
  <c r="K7" i="1" s="1"/>
  <c r="J8" i="1"/>
  <c r="I8" i="1"/>
  <c r="H8" i="1"/>
  <c r="H7" i="1" s="1"/>
  <c r="G8" i="1"/>
  <c r="G7" i="1" s="1"/>
  <c r="CW39" i="1"/>
  <c r="G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5" i="1"/>
  <c r="CW14" i="1"/>
  <c r="CW13" i="1"/>
  <c r="CW12" i="1"/>
  <c r="BG7" i="1"/>
  <c r="BG6" i="1" s="1"/>
  <c r="S7" i="1"/>
  <c r="CL6" i="1"/>
  <c r="CK6" i="1"/>
  <c r="BX7" i="1"/>
  <c r="BX6" i="1" s="1"/>
  <c r="BV7" i="1"/>
  <c r="BV6" i="1" s="1"/>
  <c r="BU7" i="1"/>
  <c r="BQ7" i="1"/>
  <c r="BP7" i="1"/>
  <c r="BP6" i="1" s="1"/>
  <c r="BN7" i="1"/>
  <c r="BN6" i="1" s="1"/>
  <c r="BM7" i="1"/>
  <c r="BM6" i="1" s="1"/>
  <c r="BJ7" i="1"/>
  <c r="BJ6" i="1" s="1"/>
  <c r="BI7" i="1"/>
  <c r="BF7" i="1"/>
  <c r="BE7" i="1"/>
  <c r="BA7" i="1"/>
  <c r="BA6" i="1" s="1"/>
  <c r="AX7" i="1"/>
  <c r="AX6" i="1" s="1"/>
  <c r="AW7" i="1"/>
  <c r="AW6" i="1" s="1"/>
  <c r="AV7" i="1"/>
  <c r="AV6" i="1" s="1"/>
  <c r="AS7" i="1"/>
  <c r="AR7" i="1"/>
  <c r="AR6" i="1" s="1"/>
  <c r="AK7" i="1"/>
  <c r="AJ7" i="1"/>
  <c r="AH7" i="1"/>
  <c r="AG7" i="1"/>
  <c r="AF7" i="1"/>
  <c r="AD7" i="1"/>
  <c r="AC7" i="1"/>
  <c r="AB7" i="1"/>
  <c r="Z7" i="1"/>
  <c r="R7" i="1"/>
  <c r="Q7" i="1"/>
  <c r="P7" i="1"/>
  <c r="N7" i="1"/>
  <c r="M7" i="1"/>
  <c r="L7" i="1"/>
  <c r="J7" i="1"/>
  <c r="CV6" i="1"/>
  <c r="CT6" i="1"/>
  <c r="CS6" i="1"/>
  <c r="CO6" i="1"/>
  <c r="CN6" i="1"/>
  <c r="CG6" i="1"/>
  <c r="CC6" i="1"/>
  <c r="BY6" i="1"/>
  <c r="BQ6" i="1"/>
  <c r="BI6" i="1"/>
  <c r="BF6" i="1"/>
  <c r="BE6" i="1"/>
  <c r="AS6" i="1"/>
  <c r="AP6" i="1"/>
  <c r="BU5" i="1"/>
  <c r="CJ37" i="19" l="1"/>
  <c r="CJ38" i="19" s="1"/>
  <c r="CJ40" i="19" s="1"/>
  <c r="CJ8" i="20" s="1"/>
  <c r="CJ6" i="20" s="1"/>
  <c r="CI10" i="1"/>
  <c r="CI9" i="1"/>
  <c r="CI37" i="1" s="1"/>
  <c r="CI38" i="1" s="1"/>
  <c r="CI40" i="1" s="1"/>
  <c r="CI8" i="2" s="1"/>
  <c r="CI6" i="2" s="1"/>
  <c r="BY10" i="1"/>
  <c r="BY9" i="1"/>
  <c r="BY37" i="1" s="1"/>
  <c r="BY38" i="1" s="1"/>
  <c r="BY40" i="1" s="1"/>
  <c r="BY8" i="2" s="1"/>
  <c r="BY6" i="2" s="1"/>
  <c r="CG10" i="1"/>
  <c r="CG9" i="1"/>
  <c r="CG37" i="1" s="1"/>
  <c r="CG38" i="1" s="1"/>
  <c r="CG40" i="1" s="1"/>
  <c r="CG8" i="2" s="1"/>
  <c r="CG6" i="2" s="1"/>
  <c r="CE6" i="1"/>
  <c r="AO6" i="1"/>
  <c r="CB6" i="1"/>
  <c r="BD7" i="1"/>
  <c r="BD6" i="1" s="1"/>
  <c r="CW11" i="1"/>
  <c r="CP6" i="1"/>
  <c r="CM6" i="1"/>
  <c r="CF6" i="1"/>
  <c r="CA6" i="1"/>
  <c r="BZ6" i="1"/>
  <c r="CJ6" i="1"/>
  <c r="AL6" i="1"/>
  <c r="G38" i="1"/>
  <c r="G40" i="1" s="1"/>
  <c r="G8" i="2" s="1"/>
  <c r="CW16" i="1"/>
  <c r="D7" i="21"/>
  <c r="E7" i="21"/>
  <c r="F7" i="21"/>
  <c r="F24" i="21"/>
  <c r="E24" i="21"/>
  <c r="E31" i="21"/>
  <c r="CJ9" i="20" l="1"/>
  <c r="CJ10" i="20"/>
  <c r="CJ37" i="20" s="1"/>
  <c r="CJ38" i="20" s="1"/>
  <c r="CJ40" i="20" s="1"/>
  <c r="CJ8" i="21" s="1"/>
  <c r="CJ6" i="21" s="1"/>
  <c r="CG10" i="2"/>
  <c r="CG9" i="2"/>
  <c r="CG37" i="2" s="1"/>
  <c r="CG38" i="2" s="1"/>
  <c r="CG40" i="2" s="1"/>
  <c r="CG8" i="3" s="1"/>
  <c r="CG6" i="3" s="1"/>
  <c r="CE9" i="1"/>
  <c r="CE10" i="1"/>
  <c r="BY10" i="2"/>
  <c r="BY9" i="2"/>
  <c r="BZ10" i="1"/>
  <c r="BZ9" i="1"/>
  <c r="BZ37" i="1" s="1"/>
  <c r="BZ38" i="1" s="1"/>
  <c r="BZ40" i="1" s="1"/>
  <c r="BZ8" i="2" s="1"/>
  <c r="BZ6" i="2" s="1"/>
  <c r="CA10" i="1"/>
  <c r="CA9" i="1"/>
  <c r="CA37" i="1" s="1"/>
  <c r="CA38" i="1" s="1"/>
  <c r="CA40" i="1" s="1"/>
  <c r="CA8" i="2" s="1"/>
  <c r="CA6" i="2" s="1"/>
  <c r="CF9" i="1"/>
  <c r="CF10" i="1"/>
  <c r="CI9" i="2"/>
  <c r="CI10" i="2"/>
  <c r="G7" i="2"/>
  <c r="G38" i="2"/>
  <c r="CW9" i="1"/>
  <c r="CW17" i="1"/>
  <c r="F24" i="20"/>
  <c r="F31" i="20"/>
  <c r="E24" i="20"/>
  <c r="E31" i="20"/>
  <c r="F37" i="21"/>
  <c r="E37" i="21"/>
  <c r="CJ9" i="21" l="1"/>
  <c r="CJ37" i="21" s="1"/>
  <c r="CJ38" i="21" s="1"/>
  <c r="CJ40" i="21" s="1"/>
  <c r="CJ43" i="21" s="1"/>
  <c r="CJ10" i="21"/>
  <c r="BZ10" i="2"/>
  <c r="BZ9" i="2"/>
  <c r="BZ37" i="2" s="1"/>
  <c r="BZ38" i="2" s="1"/>
  <c r="BZ40" i="2" s="1"/>
  <c r="BZ8" i="3" s="1"/>
  <c r="BZ6" i="3" s="1"/>
  <c r="CI37" i="2"/>
  <c r="CI38" i="2" s="1"/>
  <c r="CI40" i="2" s="1"/>
  <c r="CI8" i="3" s="1"/>
  <c r="CI6" i="3" s="1"/>
  <c r="CA10" i="2"/>
  <c r="CA9" i="2"/>
  <c r="CA37" i="2" s="1"/>
  <c r="CA38" i="2" s="1"/>
  <c r="CA40" i="2" s="1"/>
  <c r="CA8" i="3" s="1"/>
  <c r="CA6" i="3" s="1"/>
  <c r="BY37" i="2"/>
  <c r="CG10" i="3"/>
  <c r="CG9" i="3"/>
  <c r="CW10" i="1"/>
  <c r="CF37" i="1"/>
  <c r="CF38" i="1" s="1"/>
  <c r="CF40" i="1" s="1"/>
  <c r="CF8" i="2" s="1"/>
  <c r="CF6" i="2" s="1"/>
  <c r="CE37" i="1"/>
  <c r="CE38" i="1" s="1"/>
  <c r="CE40" i="1" s="1"/>
  <c r="CE8" i="2" s="1"/>
  <c r="CE6" i="2" s="1"/>
  <c r="G40" i="2"/>
  <c r="E42" i="21"/>
  <c r="E44" i="21" s="1"/>
  <c r="F42" i="21"/>
  <c r="F44" i="21" s="1"/>
  <c r="D37" i="21"/>
  <c r="F7" i="20"/>
  <c r="E7" i="20"/>
  <c r="D7" i="20"/>
  <c r="F24" i="19"/>
  <c r="F25" i="19"/>
  <c r="F15" i="19"/>
  <c r="F12" i="19"/>
  <c r="E24" i="19"/>
  <c r="E25" i="19"/>
  <c r="E15" i="19"/>
  <c r="E12" i="19"/>
  <c r="D37" i="20"/>
  <c r="F37" i="20"/>
  <c r="E37" i="20"/>
  <c r="CE9" i="2" l="1"/>
  <c r="CE10" i="2"/>
  <c r="CE37" i="2" s="1"/>
  <c r="CE38" i="2" s="1"/>
  <c r="CE40" i="2" s="1"/>
  <c r="CE8" i="3" s="1"/>
  <c r="CE6" i="3" s="1"/>
  <c r="CA9" i="3"/>
  <c r="CA10" i="3"/>
  <c r="CI10" i="3"/>
  <c r="CI9" i="3"/>
  <c r="CI37" i="3" s="1"/>
  <c r="CI38" i="3" s="1"/>
  <c r="CI40" i="3" s="1"/>
  <c r="CI8" i="4" s="1"/>
  <c r="CI6" i="4" s="1"/>
  <c r="CF10" i="2"/>
  <c r="CF9" i="2"/>
  <c r="CW9" i="2" s="1"/>
  <c r="CG37" i="3"/>
  <c r="CG38" i="3" s="1"/>
  <c r="CG40" i="3" s="1"/>
  <c r="CG8" i="4" s="1"/>
  <c r="CG6" i="4" s="1"/>
  <c r="CW8" i="2"/>
  <c r="BY38" i="2"/>
  <c r="CW37" i="1"/>
  <c r="BZ10" i="3"/>
  <c r="BZ9" i="3"/>
  <c r="BZ37" i="3" s="1"/>
  <c r="BZ38" i="3" s="1"/>
  <c r="BZ40" i="3" s="1"/>
  <c r="BZ8" i="4" s="1"/>
  <c r="BZ6" i="4" s="1"/>
  <c r="G8" i="3"/>
  <c r="D42" i="21"/>
  <c r="D44" i="21" s="1"/>
  <c r="F42" i="20"/>
  <c r="F44" i="20" s="1"/>
  <c r="E42" i="20"/>
  <c r="E44" i="20" s="1"/>
  <c r="D42" i="20"/>
  <c r="D44" i="20" s="1"/>
  <c r="F7" i="19"/>
  <c r="E7" i="19"/>
  <c r="D7" i="19"/>
  <c r="F24" i="18"/>
  <c r="E24" i="18"/>
  <c r="D24" i="18"/>
  <c r="E37" i="19"/>
  <c r="F37" i="19"/>
  <c r="CI10" i="4" l="1"/>
  <c r="CI9" i="4"/>
  <c r="CI37" i="4" s="1"/>
  <c r="CI38" i="4" s="1"/>
  <c r="CI40" i="4" s="1"/>
  <c r="CI8" i="5" s="1"/>
  <c r="CI6" i="5" s="1"/>
  <c r="BY40" i="2"/>
  <c r="CA37" i="3"/>
  <c r="CA38" i="3" s="1"/>
  <c r="CA40" i="3" s="1"/>
  <c r="CA8" i="4" s="1"/>
  <c r="CA6" i="4" s="1"/>
  <c r="CE9" i="3"/>
  <c r="CE10" i="3"/>
  <c r="CE37" i="3" s="1"/>
  <c r="CE38" i="3" s="1"/>
  <c r="CE40" i="3" s="1"/>
  <c r="CE8" i="4" s="1"/>
  <c r="CE6" i="4" s="1"/>
  <c r="CG10" i="4"/>
  <c r="CG9" i="4"/>
  <c r="BZ10" i="4"/>
  <c r="BZ9" i="4"/>
  <c r="BZ37" i="4" s="1"/>
  <c r="BZ38" i="4" s="1"/>
  <c r="BZ40" i="4" s="1"/>
  <c r="BZ8" i="5" s="1"/>
  <c r="BZ6" i="5" s="1"/>
  <c r="CF37" i="2"/>
  <c r="CW10" i="2"/>
  <c r="G38" i="3"/>
  <c r="G7" i="3"/>
  <c r="F42" i="19"/>
  <c r="F44" i="19" s="1"/>
  <c r="D37" i="19"/>
  <c r="E42" i="19"/>
  <c r="E44" i="19" s="1"/>
  <c r="CA10" i="4" l="1"/>
  <c r="CA9" i="4"/>
  <c r="CA37" i="4" s="1"/>
  <c r="CA38" i="4" s="1"/>
  <c r="CA40" i="4" s="1"/>
  <c r="CA8" i="5" s="1"/>
  <c r="CA6" i="5" s="1"/>
  <c r="BZ10" i="5"/>
  <c r="BZ9" i="5"/>
  <c r="BZ37" i="5" s="1"/>
  <c r="BZ38" i="5" s="1"/>
  <c r="BZ40" i="5" s="1"/>
  <c r="BZ8" i="6" s="1"/>
  <c r="BZ6" i="6" s="1"/>
  <c r="BY8" i="3"/>
  <c r="CI10" i="5"/>
  <c r="CI9" i="5"/>
  <c r="CE10" i="4"/>
  <c r="CE9" i="4"/>
  <c r="CF38" i="2"/>
  <c r="CW37" i="2"/>
  <c r="CG37" i="4"/>
  <c r="CG38" i="4" s="1"/>
  <c r="CG40" i="4" s="1"/>
  <c r="CG8" i="5" s="1"/>
  <c r="CG6" i="5" s="1"/>
  <c r="G40" i="3"/>
  <c r="D42" i="19"/>
  <c r="D44" i="19" s="1"/>
  <c r="F7" i="18"/>
  <c r="E7" i="18"/>
  <c r="D7" i="18"/>
  <c r="F24" i="17"/>
  <c r="E24" i="17"/>
  <c r="F37" i="18"/>
  <c r="D37" i="18"/>
  <c r="E37" i="18"/>
  <c r="BY6" i="3" l="1"/>
  <c r="BZ10" i="6"/>
  <c r="BZ9" i="6"/>
  <c r="BZ37" i="6" s="1"/>
  <c r="BZ38" i="6" s="1"/>
  <c r="BZ40" i="6" s="1"/>
  <c r="BZ8" i="7" s="1"/>
  <c r="BZ6" i="7" s="1"/>
  <c r="CE37" i="4"/>
  <c r="CE38" i="4" s="1"/>
  <c r="CE40" i="4" s="1"/>
  <c r="CE8" i="5" s="1"/>
  <c r="CE6" i="5" s="1"/>
  <c r="CA9" i="5"/>
  <c r="CA10" i="5"/>
  <c r="CG10" i="5"/>
  <c r="CG9" i="5"/>
  <c r="CF40" i="2"/>
  <c r="CW38" i="2"/>
  <c r="CI37" i="5"/>
  <c r="CI38" i="5" s="1"/>
  <c r="CI40" i="5" s="1"/>
  <c r="CI8" i="6" s="1"/>
  <c r="CI6" i="6" s="1"/>
  <c r="G8" i="4"/>
  <c r="E42" i="18"/>
  <c r="E44" i="18" s="1"/>
  <c r="D42" i="18"/>
  <c r="D44" i="18" s="1"/>
  <c r="F42" i="18"/>
  <c r="F44" i="18" s="1"/>
  <c r="F33" i="16"/>
  <c r="F24" i="16"/>
  <c r="E24" i="16"/>
  <c r="E31" i="16"/>
  <c r="E33" i="16"/>
  <c r="D24" i="16"/>
  <c r="CE10" i="5" l="1"/>
  <c r="CE9" i="5"/>
  <c r="CE37" i="5" s="1"/>
  <c r="CE38" i="5" s="1"/>
  <c r="CE40" i="5" s="1"/>
  <c r="CE8" i="6" s="1"/>
  <c r="CE6" i="6" s="1"/>
  <c r="BZ10" i="7"/>
  <c r="BZ9" i="7"/>
  <c r="BZ37" i="7" s="1"/>
  <c r="BZ38" i="7" s="1"/>
  <c r="BZ40" i="7" s="1"/>
  <c r="BZ8" i="8" s="1"/>
  <c r="BZ6" i="8" s="1"/>
  <c r="CA37" i="5"/>
  <c r="CA38" i="5" s="1"/>
  <c r="CA40" i="5" s="1"/>
  <c r="CA8" i="6" s="1"/>
  <c r="CA6" i="6" s="1"/>
  <c r="CF8" i="3"/>
  <c r="CW40" i="2"/>
  <c r="CI9" i="6"/>
  <c r="CI37" i="6" s="1"/>
  <c r="CI38" i="6" s="1"/>
  <c r="CI40" i="6" s="1"/>
  <c r="CI8" i="7" s="1"/>
  <c r="CI6" i="7" s="1"/>
  <c r="CI10" i="6"/>
  <c r="CG37" i="5"/>
  <c r="CG38" i="5" s="1"/>
  <c r="CG40" i="5" s="1"/>
  <c r="CG8" i="6" s="1"/>
  <c r="CG6" i="6" s="1"/>
  <c r="BY10" i="3"/>
  <c r="BY9" i="3"/>
  <c r="G38" i="4"/>
  <c r="G7" i="4"/>
  <c r="F7" i="17"/>
  <c r="E7" i="17"/>
  <c r="D7" i="17"/>
  <c r="F37" i="16"/>
  <c r="F37" i="17"/>
  <c r="F42" i="17" s="1"/>
  <c r="F44" i="17" s="1"/>
  <c r="E37" i="17"/>
  <c r="E42" i="17" s="1"/>
  <c r="E44" i="17" s="1"/>
  <c r="D37" i="17"/>
  <c r="CI10" i="7" l="1"/>
  <c r="CI9" i="7"/>
  <c r="CI37" i="7" s="1"/>
  <c r="CI38" i="7" s="1"/>
  <c r="CI40" i="7" s="1"/>
  <c r="CI8" i="8" s="1"/>
  <c r="CI6" i="8" s="1"/>
  <c r="CF6" i="3"/>
  <c r="CW8" i="3"/>
  <c r="CA10" i="6"/>
  <c r="CA9" i="6"/>
  <c r="CA37" i="6" s="1"/>
  <c r="CA38" i="6" s="1"/>
  <c r="CA40" i="6" s="1"/>
  <c r="CA8" i="7" s="1"/>
  <c r="CA6" i="7" s="1"/>
  <c r="BZ9" i="8"/>
  <c r="BZ10" i="8"/>
  <c r="BY37" i="3"/>
  <c r="CE10" i="6"/>
  <c r="CE9" i="6"/>
  <c r="CE37" i="6" s="1"/>
  <c r="CE38" i="6" s="1"/>
  <c r="CE40" i="6" s="1"/>
  <c r="CE8" i="7" s="1"/>
  <c r="CE6" i="7" s="1"/>
  <c r="CG10" i="6"/>
  <c r="CG9" i="6"/>
  <c r="CG37" i="6" s="1"/>
  <c r="CG38" i="6" s="1"/>
  <c r="CG40" i="6" s="1"/>
  <c r="CG8" i="7" s="1"/>
  <c r="CG6" i="7" s="1"/>
  <c r="G40" i="4"/>
  <c r="D42" i="17"/>
  <c r="D44" i="17" s="1"/>
  <c r="F7" i="16"/>
  <c r="E7" i="16"/>
  <c r="D7" i="16"/>
  <c r="E37" i="16"/>
  <c r="F24" i="15"/>
  <c r="F33" i="15"/>
  <c r="E48" i="15"/>
  <c r="E24" i="15"/>
  <c r="D24" i="15"/>
  <c r="D33" i="15"/>
  <c r="BZ37" i="8" l="1"/>
  <c r="BZ38" i="8" s="1"/>
  <c r="BZ40" i="8" s="1"/>
  <c r="BZ8" i="9" s="1"/>
  <c r="BZ6" i="9" s="1"/>
  <c r="BZ10" i="9" s="1"/>
  <c r="CG9" i="7"/>
  <c r="CG10" i="7"/>
  <c r="CA10" i="7"/>
  <c r="CA9" i="7"/>
  <c r="CA37" i="7" s="1"/>
  <c r="CA38" i="7" s="1"/>
  <c r="CA40" i="7" s="1"/>
  <c r="CA8" i="8" s="1"/>
  <c r="CA6" i="8" s="1"/>
  <c r="BZ9" i="9"/>
  <c r="CE10" i="7"/>
  <c r="CE9" i="7"/>
  <c r="BY38" i="3"/>
  <c r="CF10" i="3"/>
  <c r="CW10" i="3" s="1"/>
  <c r="CF9" i="3"/>
  <c r="CI10" i="8"/>
  <c r="CI9" i="8"/>
  <c r="CI37" i="8" s="1"/>
  <c r="CI38" i="8" s="1"/>
  <c r="CI40" i="8" s="1"/>
  <c r="CI8" i="9" s="1"/>
  <c r="CI6" i="9" s="1"/>
  <c r="G8" i="5"/>
  <c r="E42" i="16"/>
  <c r="E44" i="16" s="1"/>
  <c r="F42" i="16"/>
  <c r="F44" i="16" s="1"/>
  <c r="D37" i="16"/>
  <c r="F37" i="15"/>
  <c r="D37" i="15"/>
  <c r="F7" i="15"/>
  <c r="E7" i="15"/>
  <c r="D7" i="15"/>
  <c r="F25" i="14"/>
  <c r="F24" i="14"/>
  <c r="F33" i="14"/>
  <c r="F13" i="14"/>
  <c r="F12" i="14"/>
  <c r="E24" i="14"/>
  <c r="E33" i="14"/>
  <c r="E25" i="14"/>
  <c r="E13" i="14"/>
  <c r="E12" i="14"/>
  <c r="CE37" i="7" l="1"/>
  <c r="CE38" i="7" s="1"/>
  <c r="CE40" i="7" s="1"/>
  <c r="CE8" i="8" s="1"/>
  <c r="CE6" i="8" s="1"/>
  <c r="CE10" i="8" s="1"/>
  <c r="BZ37" i="9"/>
  <c r="BZ38" i="9" s="1"/>
  <c r="BZ40" i="9" s="1"/>
  <c r="BZ8" i="10" s="1"/>
  <c r="BZ6" i="10" s="1"/>
  <c r="CI10" i="9"/>
  <c r="CI9" i="9"/>
  <c r="CI37" i="9" s="1"/>
  <c r="CI38" i="9" s="1"/>
  <c r="CI40" i="9" s="1"/>
  <c r="CI8" i="10" s="1"/>
  <c r="CI6" i="10" s="1"/>
  <c r="CA10" i="8"/>
  <c r="CA9" i="8"/>
  <c r="CA37" i="8" s="1"/>
  <c r="CA38" i="8" s="1"/>
  <c r="CA40" i="8" s="1"/>
  <c r="CA8" i="9" s="1"/>
  <c r="CA6" i="9" s="1"/>
  <c r="BZ10" i="10"/>
  <c r="BZ9" i="10"/>
  <c r="BZ37" i="10" s="1"/>
  <c r="BZ38" i="10" s="1"/>
  <c r="BZ40" i="10" s="1"/>
  <c r="BZ8" i="11" s="1"/>
  <c r="BZ6" i="11" s="1"/>
  <c r="CF37" i="3"/>
  <c r="CW9" i="3"/>
  <c r="BY40" i="3"/>
  <c r="CG37" i="7"/>
  <c r="CG38" i="7" s="1"/>
  <c r="CG40" i="7" s="1"/>
  <c r="CG8" i="8" s="1"/>
  <c r="CG6" i="8" s="1"/>
  <c r="G38" i="5"/>
  <c r="G7" i="5"/>
  <c r="D42" i="16"/>
  <c r="D44" i="16" s="1"/>
  <c r="D42" i="15"/>
  <c r="D44" i="15" s="1"/>
  <c r="F42" i="15"/>
  <c r="F44" i="15" s="1"/>
  <c r="E37" i="15"/>
  <c r="F37" i="14"/>
  <c r="F7" i="14"/>
  <c r="E7" i="14"/>
  <c r="D7" i="14"/>
  <c r="F24" i="13"/>
  <c r="F33" i="13"/>
  <c r="E24" i="13"/>
  <c r="E33" i="13"/>
  <c r="D24" i="13"/>
  <c r="D33" i="13"/>
  <c r="CE9" i="8" l="1"/>
  <c r="CE37" i="8"/>
  <c r="CE38" i="8" s="1"/>
  <c r="CE40" i="8" s="1"/>
  <c r="CE8" i="9" s="1"/>
  <c r="CE6" i="9" s="1"/>
  <c r="CE9" i="9" s="1"/>
  <c r="CI9" i="10"/>
  <c r="CI10" i="10"/>
  <c r="CI37" i="10" s="1"/>
  <c r="CI38" i="10" s="1"/>
  <c r="CI40" i="10" s="1"/>
  <c r="CI8" i="11" s="1"/>
  <c r="CI6" i="11" s="1"/>
  <c r="BY8" i="4"/>
  <c r="CA10" i="9"/>
  <c r="CA9" i="9"/>
  <c r="CA37" i="9" s="1"/>
  <c r="CA38" i="9" s="1"/>
  <c r="CA40" i="9" s="1"/>
  <c r="CA8" i="10" s="1"/>
  <c r="CA6" i="10" s="1"/>
  <c r="BZ10" i="11"/>
  <c r="BZ9" i="11"/>
  <c r="CG10" i="8"/>
  <c r="CG9" i="8"/>
  <c r="CG37" i="8" s="1"/>
  <c r="CG38" i="8" s="1"/>
  <c r="CG40" i="8" s="1"/>
  <c r="CG8" i="9" s="1"/>
  <c r="CG6" i="9" s="1"/>
  <c r="CF38" i="3"/>
  <c r="CW37" i="3"/>
  <c r="G40" i="5"/>
  <c r="E42" i="15"/>
  <c r="E44" i="15" s="1"/>
  <c r="E37" i="14"/>
  <c r="F42" i="14"/>
  <c r="F44" i="14" s="1"/>
  <c r="D37" i="14"/>
  <c r="CE10" i="9" l="1"/>
  <c r="BZ37" i="11"/>
  <c r="BZ38" i="11" s="1"/>
  <c r="BZ40" i="11" s="1"/>
  <c r="BZ8" i="12" s="1"/>
  <c r="BZ6" i="12" s="1"/>
  <c r="BZ9" i="12" s="1"/>
  <c r="BZ37" i="12" s="1"/>
  <c r="BZ38" i="12" s="1"/>
  <c r="BZ40" i="12" s="1"/>
  <c r="BZ8" i="13" s="1"/>
  <c r="BZ6" i="13" s="1"/>
  <c r="CG9" i="9"/>
  <c r="CG10" i="9"/>
  <c r="BY6" i="4"/>
  <c r="CF40" i="3"/>
  <c r="CW38" i="3"/>
  <c r="CI10" i="11"/>
  <c r="CI9" i="11"/>
  <c r="CI37" i="11" s="1"/>
  <c r="CI38" i="11" s="1"/>
  <c r="CI40" i="11" s="1"/>
  <c r="CI8" i="12" s="1"/>
  <c r="CI6" i="12" s="1"/>
  <c r="BZ10" i="12"/>
  <c r="CA9" i="10"/>
  <c r="CA10" i="10"/>
  <c r="CA37" i="10" s="1"/>
  <c r="CA38" i="10" s="1"/>
  <c r="CA40" i="10" s="1"/>
  <c r="CA8" i="11" s="1"/>
  <c r="CA6" i="11" s="1"/>
  <c r="CE37" i="9"/>
  <c r="CE38" i="9" s="1"/>
  <c r="CE40" i="9" s="1"/>
  <c r="CE8" i="10" s="1"/>
  <c r="CE6" i="10" s="1"/>
  <c r="G8" i="6"/>
  <c r="E42" i="14"/>
  <c r="E44" i="14" s="1"/>
  <c r="D42" i="14"/>
  <c r="D44" i="14" s="1"/>
  <c r="F37" i="13"/>
  <c r="F7" i="13"/>
  <c r="E7" i="13"/>
  <c r="D7" i="13"/>
  <c r="F24" i="12"/>
  <c r="E23" i="12"/>
  <c r="E24" i="12"/>
  <c r="D33" i="12"/>
  <c r="E37" i="13"/>
  <c r="CA9" i="11" l="1"/>
  <c r="CA10" i="11"/>
  <c r="CA37" i="11" s="1"/>
  <c r="CA38" i="11" s="1"/>
  <c r="CA40" i="11" s="1"/>
  <c r="CA8" i="12" s="1"/>
  <c r="CA6" i="12" s="1"/>
  <c r="CE9" i="10"/>
  <c r="CE10" i="10"/>
  <c r="CF8" i="4"/>
  <c r="CW40" i="3"/>
  <c r="BY10" i="4"/>
  <c r="BY9" i="4"/>
  <c r="BZ10" i="13"/>
  <c r="BZ9" i="13"/>
  <c r="BZ37" i="13" s="1"/>
  <c r="BZ38" i="13" s="1"/>
  <c r="BZ40" i="13" s="1"/>
  <c r="BZ8" i="14" s="1"/>
  <c r="BZ6" i="14" s="1"/>
  <c r="CI9" i="12"/>
  <c r="CI10" i="12"/>
  <c r="CI37" i="12" s="1"/>
  <c r="CI38" i="12" s="1"/>
  <c r="CI40" i="12" s="1"/>
  <c r="CI8" i="13" s="1"/>
  <c r="CI6" i="13" s="1"/>
  <c r="CG37" i="9"/>
  <c r="CG38" i="9" s="1"/>
  <c r="CG40" i="9" s="1"/>
  <c r="CG8" i="10" s="1"/>
  <c r="CG6" i="10" s="1"/>
  <c r="G38" i="6"/>
  <c r="G7" i="6"/>
  <c r="F42" i="13"/>
  <c r="F44" i="13" s="1"/>
  <c r="E42" i="13"/>
  <c r="E44" i="13" s="1"/>
  <c r="D37" i="13"/>
  <c r="F37" i="12"/>
  <c r="E7" i="12"/>
  <c r="F7" i="12"/>
  <c r="D7" i="12"/>
  <c r="F24" i="11"/>
  <c r="F33" i="11"/>
  <c r="E24" i="11"/>
  <c r="E33" i="11"/>
  <c r="D33" i="11"/>
  <c r="E37" i="12"/>
  <c r="D37" i="12"/>
  <c r="BY37" i="4" l="1"/>
  <c r="CI9" i="13"/>
  <c r="CI10" i="13"/>
  <c r="CE37" i="10"/>
  <c r="CE38" i="10" s="1"/>
  <c r="CE40" i="10" s="1"/>
  <c r="CE8" i="11" s="1"/>
  <c r="CE6" i="11" s="1"/>
  <c r="CG9" i="10"/>
  <c r="CG10" i="10"/>
  <c r="CF6" i="4"/>
  <c r="CW8" i="4"/>
  <c r="CA10" i="12"/>
  <c r="CA9" i="12"/>
  <c r="CA37" i="12" s="1"/>
  <c r="CA38" i="12" s="1"/>
  <c r="CA40" i="12" s="1"/>
  <c r="CA8" i="13" s="1"/>
  <c r="CA6" i="13" s="1"/>
  <c r="BZ9" i="14"/>
  <c r="BZ10" i="14"/>
  <c r="BZ37" i="14" s="1"/>
  <c r="BZ38" i="14" s="1"/>
  <c r="BZ40" i="14" s="1"/>
  <c r="BZ8" i="15" s="1"/>
  <c r="BZ6" i="15" s="1"/>
  <c r="G40" i="6"/>
  <c r="D42" i="13"/>
  <c r="D44" i="13" s="1"/>
  <c r="D42" i="12"/>
  <c r="D44" i="12" s="1"/>
  <c r="F42" i="12"/>
  <c r="F44" i="12" s="1"/>
  <c r="E42" i="12"/>
  <c r="E44" i="12" s="1"/>
  <c r="F7" i="11"/>
  <c r="E7" i="11"/>
  <c r="D7" i="11"/>
  <c r="F24" i="10"/>
  <c r="F33" i="10"/>
  <c r="F23" i="10"/>
  <c r="F25" i="10"/>
  <c r="F13" i="10"/>
  <c r="F12" i="10"/>
  <c r="E24" i="10"/>
  <c r="E33" i="10"/>
  <c r="E23" i="10"/>
  <c r="E25" i="10"/>
  <c r="E13" i="10"/>
  <c r="E12" i="10"/>
  <c r="D24" i="10"/>
  <c r="F37" i="11"/>
  <c r="CG37" i="10" l="1"/>
  <c r="CG38" i="10" s="1"/>
  <c r="CG40" i="10" s="1"/>
  <c r="CG8" i="11" s="1"/>
  <c r="CG6" i="11" s="1"/>
  <c r="CG10" i="11" s="1"/>
  <c r="BZ10" i="15"/>
  <c r="BZ9" i="15"/>
  <c r="CA10" i="13"/>
  <c r="CA9" i="13"/>
  <c r="CA37" i="13" s="1"/>
  <c r="CA38" i="13" s="1"/>
  <c r="CA40" i="13" s="1"/>
  <c r="CA8" i="14" s="1"/>
  <c r="CA6" i="14" s="1"/>
  <c r="CI37" i="13"/>
  <c r="CI38" i="13" s="1"/>
  <c r="CI40" i="13" s="1"/>
  <c r="CI8" i="14" s="1"/>
  <c r="CI6" i="14" s="1"/>
  <c r="CF10" i="4"/>
  <c r="CW10" i="4" s="1"/>
  <c r="CF9" i="4"/>
  <c r="CE10" i="11"/>
  <c r="CE9" i="11"/>
  <c r="CE37" i="11" s="1"/>
  <c r="CE38" i="11" s="1"/>
  <c r="CE40" i="11" s="1"/>
  <c r="CE8" i="12" s="1"/>
  <c r="CE6" i="12" s="1"/>
  <c r="BY38" i="4"/>
  <c r="G8" i="7"/>
  <c r="F42" i="11"/>
  <c r="F44" i="11" s="1"/>
  <c r="D37" i="11"/>
  <c r="E37" i="11"/>
  <c r="F7" i="10"/>
  <c r="E7" i="10"/>
  <c r="D7" i="10"/>
  <c r="F24" i="9"/>
  <c r="F33" i="9"/>
  <c r="E33" i="9"/>
  <c r="E24" i="9"/>
  <c r="F37" i="10"/>
  <c r="CG9" i="11" l="1"/>
  <c r="CG37" i="11" s="1"/>
  <c r="CG38" i="11" s="1"/>
  <c r="CG40" i="11" s="1"/>
  <c r="CG8" i="12" s="1"/>
  <c r="CG6" i="12" s="1"/>
  <c r="CG10" i="12" s="1"/>
  <c r="BY40" i="4"/>
  <c r="CF37" i="4"/>
  <c r="CW9" i="4"/>
  <c r="CA10" i="14"/>
  <c r="CA9" i="14"/>
  <c r="CA37" i="14" s="1"/>
  <c r="CA38" i="14" s="1"/>
  <c r="CA40" i="14" s="1"/>
  <c r="CA8" i="15" s="1"/>
  <c r="CA6" i="15" s="1"/>
  <c r="CE10" i="12"/>
  <c r="CE9" i="12"/>
  <c r="CI10" i="14"/>
  <c r="CI9" i="14"/>
  <c r="CI37" i="14" s="1"/>
  <c r="CI38" i="14" s="1"/>
  <c r="CI40" i="14" s="1"/>
  <c r="CI8" i="15" s="1"/>
  <c r="CI6" i="15" s="1"/>
  <c r="BZ37" i="15"/>
  <c r="BZ38" i="15" s="1"/>
  <c r="BZ40" i="15" s="1"/>
  <c r="BZ8" i="16" s="1"/>
  <c r="BZ6" i="16" s="1"/>
  <c r="G7" i="7"/>
  <c r="G38" i="7"/>
  <c r="E42" i="11"/>
  <c r="E44" i="11" s="1"/>
  <c r="D42" i="11"/>
  <c r="D44" i="11" s="1"/>
  <c r="E37" i="10"/>
  <c r="F42" i="10"/>
  <c r="F44" i="10" s="1"/>
  <c r="D37" i="10"/>
  <c r="F7" i="9"/>
  <c r="E7" i="9"/>
  <c r="D7" i="9"/>
  <c r="F24" i="8"/>
  <c r="E24" i="8"/>
  <c r="E33" i="8"/>
  <c r="CG9" i="12" l="1"/>
  <c r="CG37" i="12" s="1"/>
  <c r="CG38" i="12" s="1"/>
  <c r="CG40" i="12" s="1"/>
  <c r="CG8" i="13" s="1"/>
  <c r="CG6" i="13" s="1"/>
  <c r="CG9" i="13" s="1"/>
  <c r="CE37" i="12"/>
  <c r="CE38" i="12" s="1"/>
  <c r="CE40" i="12" s="1"/>
  <c r="CE8" i="13" s="1"/>
  <c r="CE6" i="13" s="1"/>
  <c r="CE9" i="13" s="1"/>
  <c r="CI9" i="15"/>
  <c r="CI10" i="15"/>
  <c r="CI37" i="15" s="1"/>
  <c r="CI38" i="15" s="1"/>
  <c r="CI40" i="15" s="1"/>
  <c r="CI8" i="16" s="1"/>
  <c r="CI6" i="16" s="1"/>
  <c r="CF38" i="4"/>
  <c r="CW37" i="4"/>
  <c r="BZ10" i="16"/>
  <c r="BZ9" i="16"/>
  <c r="CA9" i="15"/>
  <c r="CA10" i="15"/>
  <c r="CA37" i="15" s="1"/>
  <c r="CA38" i="15" s="1"/>
  <c r="CA40" i="15" s="1"/>
  <c r="CA8" i="16" s="1"/>
  <c r="CA6" i="16" s="1"/>
  <c r="BY8" i="5"/>
  <c r="G40" i="7"/>
  <c r="E42" i="10"/>
  <c r="E44" i="10" s="1"/>
  <c r="D42" i="10"/>
  <c r="D44" i="10" s="1"/>
  <c r="E37" i="9"/>
  <c r="F37" i="9"/>
  <c r="CG10" i="13" l="1"/>
  <c r="CG37" i="13" s="1"/>
  <c r="CG38" i="13" s="1"/>
  <c r="CG40" i="13" s="1"/>
  <c r="CG8" i="14" s="1"/>
  <c r="CG6" i="14" s="1"/>
  <c r="CE10" i="13"/>
  <c r="CE37" i="13" s="1"/>
  <c r="CE38" i="13" s="1"/>
  <c r="CE40" i="13" s="1"/>
  <c r="CE8" i="14" s="1"/>
  <c r="CE6" i="14" s="1"/>
  <c r="CE10" i="14" s="1"/>
  <c r="CI10" i="16"/>
  <c r="CI9" i="16"/>
  <c r="CI37" i="16" s="1"/>
  <c r="CI38" i="16" s="1"/>
  <c r="CI40" i="16" s="1"/>
  <c r="CI8" i="17" s="1"/>
  <c r="CI6" i="17" s="1"/>
  <c r="CF40" i="4"/>
  <c r="CW38" i="4"/>
  <c r="CA10" i="16"/>
  <c r="CA9" i="16"/>
  <c r="CA37" i="16" s="1"/>
  <c r="CA38" i="16" s="1"/>
  <c r="CA40" i="16" s="1"/>
  <c r="CA8" i="17" s="1"/>
  <c r="CA6" i="17" s="1"/>
  <c r="BY6" i="5"/>
  <c r="BZ37" i="16"/>
  <c r="BZ38" i="16" s="1"/>
  <c r="BZ40" i="16" s="1"/>
  <c r="BZ8" i="17" s="1"/>
  <c r="BZ6" i="17" s="1"/>
  <c r="G8" i="8"/>
  <c r="F42" i="9"/>
  <c r="F44" i="9" s="1"/>
  <c r="D37" i="9"/>
  <c r="E42" i="9"/>
  <c r="E44" i="9" s="1"/>
  <c r="F7" i="8"/>
  <c r="E7" i="8"/>
  <c r="D7" i="8"/>
  <c r="F24" i="7"/>
  <c r="F33" i="7"/>
  <c r="E24" i="7"/>
  <c r="E37" i="8"/>
  <c r="CG9" i="14" l="1"/>
  <c r="CG10" i="14"/>
  <c r="CE9" i="14"/>
  <c r="CE37" i="14"/>
  <c r="CE38" i="14" s="1"/>
  <c r="CE40" i="14" s="1"/>
  <c r="CE8" i="15" s="1"/>
  <c r="CE6" i="15" s="1"/>
  <c r="CE9" i="15" s="1"/>
  <c r="CA10" i="17"/>
  <c r="CA9" i="17"/>
  <c r="CA37" i="17" s="1"/>
  <c r="CA38" i="17" s="1"/>
  <c r="CA40" i="17" s="1"/>
  <c r="CA8" i="18" s="1"/>
  <c r="CA6" i="18" s="1"/>
  <c r="BZ10" i="17"/>
  <c r="BZ9" i="17"/>
  <c r="BZ37" i="17" s="1"/>
  <c r="BZ38" i="17" s="1"/>
  <c r="BZ40" i="17" s="1"/>
  <c r="BZ8" i="18" s="1"/>
  <c r="BZ6" i="18" s="1"/>
  <c r="CF8" i="5"/>
  <c r="CW40" i="4"/>
  <c r="BY9" i="5"/>
  <c r="BY10" i="5"/>
  <c r="CI9" i="17"/>
  <c r="CI10" i="17"/>
  <c r="CI37" i="17" s="1"/>
  <c r="CI38" i="17" s="1"/>
  <c r="CI40" i="17" s="1"/>
  <c r="CI8" i="18" s="1"/>
  <c r="CI6" i="18" s="1"/>
  <c r="G7" i="8"/>
  <c r="CW7" i="8" s="1"/>
  <c r="G38" i="8"/>
  <c r="D42" i="9"/>
  <c r="D44" i="9" s="1"/>
  <c r="F37" i="8"/>
  <c r="D37" i="8"/>
  <c r="E42" i="8"/>
  <c r="E44" i="8" s="1"/>
  <c r="F7" i="7"/>
  <c r="E7" i="7"/>
  <c r="D7" i="7"/>
  <c r="CW7" i="7" s="1"/>
  <c r="F24" i="6"/>
  <c r="E24" i="6"/>
  <c r="D24" i="6"/>
  <c r="F37" i="7"/>
  <c r="E37" i="7"/>
  <c r="CG37" i="14" l="1"/>
  <c r="CG38" i="14" s="1"/>
  <c r="CG40" i="14" s="1"/>
  <c r="CG8" i="15" s="1"/>
  <c r="CG6" i="15" s="1"/>
  <c r="CE10" i="15"/>
  <c r="CE37" i="15"/>
  <c r="CE38" i="15" s="1"/>
  <c r="CE40" i="15" s="1"/>
  <c r="CE8" i="16" s="1"/>
  <c r="CE6" i="16" s="1"/>
  <c r="CE9" i="16" s="1"/>
  <c r="BY37" i="5"/>
  <c r="CF6" i="5"/>
  <c r="CW8" i="5"/>
  <c r="BZ9" i="18"/>
  <c r="BZ10" i="18"/>
  <c r="CA9" i="18"/>
  <c r="CA10" i="18"/>
  <c r="CI9" i="18"/>
  <c r="CI10" i="18"/>
  <c r="G40" i="8"/>
  <c r="F42" i="8"/>
  <c r="F44" i="8" s="1"/>
  <c r="D42" i="8"/>
  <c r="D44" i="8" s="1"/>
  <c r="D37" i="7"/>
  <c r="E42" i="7"/>
  <c r="E44" i="7" s="1"/>
  <c r="F42" i="7"/>
  <c r="F44" i="7" s="1"/>
  <c r="F7" i="6"/>
  <c r="E7" i="6"/>
  <c r="D7" i="6"/>
  <c r="F24" i="5"/>
  <c r="E24" i="5"/>
  <c r="D24" i="5"/>
  <c r="CG10" i="15" l="1"/>
  <c r="CG9" i="15"/>
  <c r="CE10" i="16"/>
  <c r="CE37" i="16"/>
  <c r="CE38" i="16" s="1"/>
  <c r="CE40" i="16" s="1"/>
  <c r="CE8" i="17" s="1"/>
  <c r="CE6" i="17" s="1"/>
  <c r="CE9" i="17" s="1"/>
  <c r="BZ37" i="18"/>
  <c r="BZ38" i="18" s="1"/>
  <c r="BZ40" i="18" s="1"/>
  <c r="BZ8" i="19" s="1"/>
  <c r="BZ6" i="19" s="1"/>
  <c r="CA37" i="18"/>
  <c r="CA38" i="18" s="1"/>
  <c r="CA40" i="18" s="1"/>
  <c r="CA8" i="19" s="1"/>
  <c r="CA6" i="19" s="1"/>
  <c r="CF9" i="5"/>
  <c r="CF10" i="5"/>
  <c r="CW10" i="5" s="1"/>
  <c r="CI37" i="18"/>
  <c r="CI38" i="18" s="1"/>
  <c r="CI40" i="18" s="1"/>
  <c r="CI8" i="19" s="1"/>
  <c r="CI6" i="19" s="1"/>
  <c r="BY38" i="5"/>
  <c r="CW7" i="6"/>
  <c r="G8" i="9"/>
  <c r="D42" i="7"/>
  <c r="D44" i="7" s="1"/>
  <c r="D37" i="6"/>
  <c r="F37" i="6"/>
  <c r="E37" i="6"/>
  <c r="CG37" i="15" l="1"/>
  <c r="CG38" i="15" s="1"/>
  <c r="CG40" i="15" s="1"/>
  <c r="CG8" i="16" s="1"/>
  <c r="CG6" i="16" s="1"/>
  <c r="CG10" i="16" s="1"/>
  <c r="CE10" i="17"/>
  <c r="CI9" i="19"/>
  <c r="CI37" i="19" s="1"/>
  <c r="CI38" i="19" s="1"/>
  <c r="CI40" i="19" s="1"/>
  <c r="CI8" i="20" s="1"/>
  <c r="CI6" i="20" s="1"/>
  <c r="CI10" i="19"/>
  <c r="BY40" i="5"/>
  <c r="CF37" i="5"/>
  <c r="CW9" i="5"/>
  <c r="CA9" i="19"/>
  <c r="CA37" i="19" s="1"/>
  <c r="CA38" i="19" s="1"/>
  <c r="CA40" i="19" s="1"/>
  <c r="CA8" i="20" s="1"/>
  <c r="CA6" i="20" s="1"/>
  <c r="CA10" i="19"/>
  <c r="CE37" i="17"/>
  <c r="CE38" i="17" s="1"/>
  <c r="CE40" i="17" s="1"/>
  <c r="CE8" i="18" s="1"/>
  <c r="CE6" i="18" s="1"/>
  <c r="BZ10" i="19"/>
  <c r="BZ9" i="19"/>
  <c r="BZ37" i="19" s="1"/>
  <c r="BZ38" i="19" s="1"/>
  <c r="BZ40" i="19" s="1"/>
  <c r="BZ8" i="20" s="1"/>
  <c r="BZ6" i="20" s="1"/>
  <c r="G7" i="9"/>
  <c r="CW7" i="9" s="1"/>
  <c r="G38" i="9"/>
  <c r="F42" i="6"/>
  <c r="F44" i="6" s="1"/>
  <c r="E42" i="6"/>
  <c r="E44" i="6" s="1"/>
  <c r="D42" i="6"/>
  <c r="D44" i="6" s="1"/>
  <c r="F24" i="4"/>
  <c r="E24" i="4"/>
  <c r="CG9" i="16" l="1"/>
  <c r="CG37" i="16" s="1"/>
  <c r="CG38" i="16" s="1"/>
  <c r="CG40" i="16" s="1"/>
  <c r="CG8" i="17" s="1"/>
  <c r="CG6" i="17" s="1"/>
  <c r="CG9" i="17" s="1"/>
  <c r="CI9" i="20"/>
  <c r="CI10" i="20"/>
  <c r="CI37" i="20" s="1"/>
  <c r="CI38" i="20" s="1"/>
  <c r="CI40" i="20" s="1"/>
  <c r="CI8" i="21" s="1"/>
  <c r="CI6" i="21" s="1"/>
  <c r="CF38" i="5"/>
  <c r="CW37" i="5"/>
  <c r="CA10" i="20"/>
  <c r="CA9" i="20"/>
  <c r="CA37" i="20" s="1"/>
  <c r="CA38" i="20" s="1"/>
  <c r="CA40" i="20" s="1"/>
  <c r="CA8" i="21" s="1"/>
  <c r="CE10" i="18"/>
  <c r="CE9" i="18"/>
  <c r="CE37" i="18" s="1"/>
  <c r="CE38" i="18" s="1"/>
  <c r="CE40" i="18" s="1"/>
  <c r="CE8" i="19" s="1"/>
  <c r="CE6" i="19" s="1"/>
  <c r="BY8" i="6"/>
  <c r="BZ10" i="20"/>
  <c r="BZ9" i="20"/>
  <c r="BZ37" i="20" s="1"/>
  <c r="BZ38" i="20" s="1"/>
  <c r="BZ40" i="20" s="1"/>
  <c r="BZ8" i="21" s="1"/>
  <c r="G40" i="9"/>
  <c r="F7" i="5"/>
  <c r="E7" i="5"/>
  <c r="D7" i="5"/>
  <c r="CG10" i="17" l="1"/>
  <c r="CG37" i="17" s="1"/>
  <c r="CG38" i="17" s="1"/>
  <c r="CG40" i="17" s="1"/>
  <c r="CG8" i="18" s="1"/>
  <c r="CG6" i="18" s="1"/>
  <c r="CG10" i="18" s="1"/>
  <c r="CA9" i="21"/>
  <c r="CA10" i="21"/>
  <c r="CE9" i="19"/>
  <c r="CE10" i="19"/>
  <c r="BZ9" i="21"/>
  <c r="BZ10" i="21"/>
  <c r="CF40" i="5"/>
  <c r="CW38" i="5"/>
  <c r="CI10" i="21"/>
  <c r="CI9" i="21"/>
  <c r="CI37" i="21" s="1"/>
  <c r="CI38" i="21" s="1"/>
  <c r="CI40" i="21" s="1"/>
  <c r="CI43" i="21" s="1"/>
  <c r="CW7" i="5"/>
  <c r="BY6" i="6"/>
  <c r="G8" i="10"/>
  <c r="F25" i="4"/>
  <c r="F13" i="4"/>
  <c r="F12" i="4"/>
  <c r="CG9" i="18" l="1"/>
  <c r="CG37" i="18" s="1"/>
  <c r="CG38" i="18" s="1"/>
  <c r="CG40" i="18" s="1"/>
  <c r="CG8" i="19" s="1"/>
  <c r="CG6" i="19" s="1"/>
  <c r="CG10" i="19" s="1"/>
  <c r="CE37" i="19"/>
  <c r="CE38" i="19" s="1"/>
  <c r="CE40" i="19" s="1"/>
  <c r="CE8" i="20" s="1"/>
  <c r="CE6" i="20" s="1"/>
  <c r="BY9" i="6"/>
  <c r="BY10" i="6"/>
  <c r="CF8" i="6"/>
  <c r="CW40" i="5"/>
  <c r="BZ37" i="21"/>
  <c r="BZ38" i="21" s="1"/>
  <c r="BZ40" i="21" s="1"/>
  <c r="BZ43" i="21" s="1"/>
  <c r="CA37" i="21"/>
  <c r="CA38" i="21" s="1"/>
  <c r="CA40" i="21" s="1"/>
  <c r="CA43" i="21" s="1"/>
  <c r="G38" i="10"/>
  <c r="G7" i="10"/>
  <c r="CW7" i="10" s="1"/>
  <c r="E25" i="4"/>
  <c r="E13" i="4"/>
  <c r="E12" i="4"/>
  <c r="CG9" i="19" l="1"/>
  <c r="CG37" i="19" s="1"/>
  <c r="CG38" i="19" s="1"/>
  <c r="CG40" i="19" s="1"/>
  <c r="CG8" i="20" s="1"/>
  <c r="CG6" i="20" s="1"/>
  <c r="CG9" i="20" s="1"/>
  <c r="BY37" i="6"/>
  <c r="CE10" i="20"/>
  <c r="CE9" i="20"/>
  <c r="CE37" i="20" s="1"/>
  <c r="CE38" i="20" s="1"/>
  <c r="CE40" i="20" s="1"/>
  <c r="CE8" i="21" s="1"/>
  <c r="CE6" i="21" s="1"/>
  <c r="CF6" i="6"/>
  <c r="CW8" i="6"/>
  <c r="G40" i="10"/>
  <c r="F37" i="5"/>
  <c r="E37" i="5"/>
  <c r="E42" i="5" s="1"/>
  <c r="E44" i="5" s="1"/>
  <c r="D37" i="5"/>
  <c r="CG10" i="20" l="1"/>
  <c r="CE10" i="21"/>
  <c r="CE9" i="21"/>
  <c r="CE37" i="21" s="1"/>
  <c r="CE38" i="21" s="1"/>
  <c r="CE40" i="21" s="1"/>
  <c r="CE43" i="21" s="1"/>
  <c r="BY38" i="6"/>
  <c r="CF10" i="6"/>
  <c r="CW10" i="6" s="1"/>
  <c r="CF9" i="6"/>
  <c r="CG37" i="20"/>
  <c r="CG38" i="20" s="1"/>
  <c r="CG40" i="20" s="1"/>
  <c r="CG8" i="21" s="1"/>
  <c r="CG6" i="21" s="1"/>
  <c r="G8" i="11"/>
  <c r="D42" i="5"/>
  <c r="D44" i="5" s="1"/>
  <c r="F42" i="5"/>
  <c r="F44" i="5" s="1"/>
  <c r="BY40" i="6" l="1"/>
  <c r="CG10" i="21"/>
  <c r="CG9" i="21"/>
  <c r="CG37" i="21" s="1"/>
  <c r="CG38" i="21" s="1"/>
  <c r="CG40" i="21" s="1"/>
  <c r="CG43" i="21" s="1"/>
  <c r="CF37" i="6"/>
  <c r="CW9" i="6"/>
  <c r="G38" i="11"/>
  <c r="G7" i="11"/>
  <c r="CW7" i="11" s="1"/>
  <c r="F7" i="4"/>
  <c r="E7" i="4"/>
  <c r="D7" i="4"/>
  <c r="CW7" i="4" s="1"/>
  <c r="F24" i="3"/>
  <c r="E37" i="4"/>
  <c r="CF38" i="6" l="1"/>
  <c r="CW37" i="6"/>
  <c r="BY8" i="7"/>
  <c r="G40" i="11"/>
  <c r="F37" i="4"/>
  <c r="E42" i="4"/>
  <c r="E44" i="4" s="1"/>
  <c r="D37" i="4"/>
  <c r="BY6" i="7" l="1"/>
  <c r="CF40" i="6"/>
  <c r="CW38" i="6"/>
  <c r="G8" i="12"/>
  <c r="F42" i="4"/>
  <c r="F44" i="4" s="1"/>
  <c r="D42" i="4"/>
  <c r="D44" i="4" s="1"/>
  <c r="CF8" i="7" l="1"/>
  <c r="CW40" i="6"/>
  <c r="BY10" i="7"/>
  <c r="BY9" i="7"/>
  <c r="G7" i="12"/>
  <c r="CW7" i="12" s="1"/>
  <c r="G38" i="12"/>
  <c r="F7" i="3"/>
  <c r="E7" i="3"/>
  <c r="D7" i="3"/>
  <c r="F24" i="2"/>
  <c r="E24" i="2"/>
  <c r="E31" i="2"/>
  <c r="F37" i="3"/>
  <c r="E37" i="3"/>
  <c r="BY37" i="7" l="1"/>
  <c r="CW7" i="3"/>
  <c r="CF6" i="7"/>
  <c r="CW8" i="7"/>
  <c r="G40" i="12"/>
  <c r="E42" i="3"/>
  <c r="E44" i="3" s="1"/>
  <c r="F42" i="3"/>
  <c r="F44" i="3" s="1"/>
  <c r="D37" i="3"/>
  <c r="F33" i="1"/>
  <c r="F7" i="2"/>
  <c r="E7" i="2"/>
  <c r="D7" i="2"/>
  <c r="CW7" i="2" s="1"/>
  <c r="CF9" i="7" l="1"/>
  <c r="CF10" i="7"/>
  <c r="CW10" i="7" s="1"/>
  <c r="BY38" i="7"/>
  <c r="G8" i="13"/>
  <c r="D42" i="3"/>
  <c r="D44" i="3" s="1"/>
  <c r="E30" i="1"/>
  <c r="D24" i="1"/>
  <c r="F37" i="2"/>
  <c r="E37" i="2"/>
  <c r="BY40" i="7" l="1"/>
  <c r="CF37" i="7"/>
  <c r="CW9" i="7"/>
  <c r="G7" i="13"/>
  <c r="CW7" i="13" s="1"/>
  <c r="G38" i="13"/>
  <c r="F42" i="2"/>
  <c r="F44" i="2" s="1"/>
  <c r="E42" i="2"/>
  <c r="E44" i="2" s="1"/>
  <c r="D37" i="2"/>
  <c r="F8" i="1"/>
  <c r="E8" i="1"/>
  <c r="D8" i="1"/>
  <c r="CW8" i="1" s="1"/>
  <c r="F7" i="1"/>
  <c r="E7" i="1"/>
  <c r="D7" i="1"/>
  <c r="CW7" i="1" s="1"/>
  <c r="F37" i="1"/>
  <c r="E37" i="1"/>
  <c r="CF38" i="7" l="1"/>
  <c r="CW37" i="7"/>
  <c r="BY8" i="8"/>
  <c r="G40" i="13"/>
  <c r="F38" i="1"/>
  <c r="F40" i="1" s="1"/>
  <c r="F8" i="2" s="1"/>
  <c r="F6" i="2" s="1"/>
  <c r="F6" i="1"/>
  <c r="D42" i="2"/>
  <c r="D44" i="2" s="1"/>
  <c r="D6" i="1"/>
  <c r="E6" i="1"/>
  <c r="E38" i="1"/>
  <c r="E40" i="1" s="1"/>
  <c r="E8" i="2" s="1"/>
  <c r="E42" i="1"/>
  <c r="E44" i="1" s="1"/>
  <c r="D37" i="1"/>
  <c r="F42" i="1"/>
  <c r="F44" i="1" s="1"/>
  <c r="BY6" i="8" l="1"/>
  <c r="CF40" i="7"/>
  <c r="CW38" i="7"/>
  <c r="G8" i="14"/>
  <c r="F38" i="2"/>
  <c r="F40" i="2" s="1"/>
  <c r="F8" i="3" s="1"/>
  <c r="E6" i="2"/>
  <c r="E38" i="2"/>
  <c r="E40" i="2" s="1"/>
  <c r="E8" i="3" s="1"/>
  <c r="D38" i="1"/>
  <c r="CW38" i="1" s="1"/>
  <c r="D42" i="1"/>
  <c r="D44" i="1" s="1"/>
  <c r="CF8" i="8" l="1"/>
  <c r="CW40" i="7"/>
  <c r="BY10" i="8"/>
  <c r="BY9" i="8"/>
  <c r="G7" i="14"/>
  <c r="CW7" i="14" s="1"/>
  <c r="G38" i="14"/>
  <c r="E38" i="3"/>
  <c r="E40" i="3" s="1"/>
  <c r="E6" i="3"/>
  <c r="F6" i="3"/>
  <c r="F38" i="3"/>
  <c r="F40" i="3" s="1"/>
  <c r="D40" i="1"/>
  <c r="CW40" i="1" s="1"/>
  <c r="BY37" i="8" l="1"/>
  <c r="CF6" i="8"/>
  <c r="CW8" i="8"/>
  <c r="G40" i="14"/>
  <c r="F8" i="4"/>
  <c r="E8" i="4"/>
  <c r="D8" i="2"/>
  <c r="F6" i="4"/>
  <c r="F38" i="4"/>
  <c r="F40" i="4" s="1"/>
  <c r="F8" i="5" s="1"/>
  <c r="E6" i="4"/>
  <c r="E38" i="4"/>
  <c r="E40" i="4" s="1"/>
  <c r="E8" i="5" s="1"/>
  <c r="CF9" i="8" l="1"/>
  <c r="CF10" i="8"/>
  <c r="CW10" i="8" s="1"/>
  <c r="BY38" i="8"/>
  <c r="G8" i="15"/>
  <c r="E6" i="5"/>
  <c r="E38" i="5"/>
  <c r="E40" i="5" s="1"/>
  <c r="E8" i="6" s="1"/>
  <c r="F6" i="5"/>
  <c r="F38" i="5"/>
  <c r="F40" i="5" s="1"/>
  <c r="F8" i="6" s="1"/>
  <c r="D6" i="2"/>
  <c r="D38" i="2"/>
  <c r="BY40" i="8" l="1"/>
  <c r="CF37" i="8"/>
  <c r="CW9" i="8"/>
  <c r="G38" i="15"/>
  <c r="G7" i="15"/>
  <c r="CW7" i="15" s="1"/>
  <c r="F6" i="6"/>
  <c r="F38" i="6"/>
  <c r="F40" i="6" s="1"/>
  <c r="F8" i="7" s="1"/>
  <c r="E6" i="6"/>
  <c r="E38" i="6"/>
  <c r="E40" i="6" s="1"/>
  <c r="E8" i="7" s="1"/>
  <c r="D40" i="2"/>
  <c r="CF38" i="8" l="1"/>
  <c r="CW37" i="8"/>
  <c r="BY8" i="9"/>
  <c r="G40" i="15"/>
  <c r="E6" i="7"/>
  <c r="E38" i="7"/>
  <c r="E40" i="7" s="1"/>
  <c r="E8" i="8" s="1"/>
  <c r="F6" i="7"/>
  <c r="F38" i="7"/>
  <c r="F40" i="7" s="1"/>
  <c r="F8" i="8" s="1"/>
  <c r="D8" i="3"/>
  <c r="BY6" i="9" l="1"/>
  <c r="CF40" i="8"/>
  <c r="CW38" i="8"/>
  <c r="G8" i="16"/>
  <c r="F6" i="8"/>
  <c r="F38" i="8"/>
  <c r="F40" i="8" s="1"/>
  <c r="F8" i="9" s="1"/>
  <c r="E38" i="8"/>
  <c r="E40" i="8" s="1"/>
  <c r="E8" i="9" s="1"/>
  <c r="E6" i="8"/>
  <c r="D6" i="3"/>
  <c r="D38" i="3"/>
  <c r="CF8" i="9" l="1"/>
  <c r="CW40" i="8"/>
  <c r="BY10" i="9"/>
  <c r="BY9" i="9"/>
  <c r="G7" i="16"/>
  <c r="CW7" i="16" s="1"/>
  <c r="G38" i="16"/>
  <c r="E6" i="9"/>
  <c r="E38" i="9"/>
  <c r="E40" i="9" s="1"/>
  <c r="E8" i="10" s="1"/>
  <c r="F6" i="9"/>
  <c r="F38" i="9"/>
  <c r="F40" i="9" s="1"/>
  <c r="F8" i="10" s="1"/>
  <c r="D40" i="3"/>
  <c r="BY37" i="9" l="1"/>
  <c r="CF6" i="9"/>
  <c r="CW8" i="9"/>
  <c r="G40" i="16"/>
  <c r="F38" i="10"/>
  <c r="F40" i="10" s="1"/>
  <c r="F8" i="11" s="1"/>
  <c r="F6" i="10"/>
  <c r="E6" i="10"/>
  <c r="E38" i="10"/>
  <c r="E40" i="10" s="1"/>
  <c r="E8" i="11" s="1"/>
  <c r="D8" i="4"/>
  <c r="CF10" i="9" l="1"/>
  <c r="CW10" i="9" s="1"/>
  <c r="CF9" i="9"/>
  <c r="BY38" i="9"/>
  <c r="G8" i="17"/>
  <c r="E6" i="11"/>
  <c r="E38" i="11"/>
  <c r="E40" i="11" s="1"/>
  <c r="E8" i="12" s="1"/>
  <c r="F6" i="11"/>
  <c r="F38" i="11"/>
  <c r="F40" i="11" s="1"/>
  <c r="F8" i="12" s="1"/>
  <c r="D6" i="4"/>
  <c r="D38" i="4"/>
  <c r="BY40" i="9" l="1"/>
  <c r="CF37" i="9"/>
  <c r="CW9" i="9"/>
  <c r="G7" i="17"/>
  <c r="CW7" i="17" s="1"/>
  <c r="G38" i="17"/>
  <c r="F6" i="12"/>
  <c r="F38" i="12"/>
  <c r="F40" i="12" s="1"/>
  <c r="F8" i="13" s="1"/>
  <c r="E38" i="12"/>
  <c r="E40" i="12" s="1"/>
  <c r="E8" i="13" s="1"/>
  <c r="E6" i="12"/>
  <c r="D40" i="4"/>
  <c r="CF38" i="9" l="1"/>
  <c r="CW37" i="9"/>
  <c r="BY8" i="10"/>
  <c r="G40" i="17"/>
  <c r="E6" i="13"/>
  <c r="E38" i="13"/>
  <c r="E40" i="13" s="1"/>
  <c r="E8" i="14" s="1"/>
  <c r="F38" i="13"/>
  <c r="F40" i="13" s="1"/>
  <c r="F8" i="14" s="1"/>
  <c r="F6" i="13"/>
  <c r="D8" i="5"/>
  <c r="BY6" i="10" l="1"/>
  <c r="CF40" i="9"/>
  <c r="CW38" i="9"/>
  <c r="G8" i="18"/>
  <c r="F38" i="14"/>
  <c r="F40" i="14" s="1"/>
  <c r="F8" i="15" s="1"/>
  <c r="F6" i="14"/>
  <c r="E6" i="14"/>
  <c r="E38" i="14"/>
  <c r="E40" i="14" s="1"/>
  <c r="E8" i="15" s="1"/>
  <c r="D38" i="5"/>
  <c r="D6" i="5"/>
  <c r="CF8" i="10" l="1"/>
  <c r="CW40" i="9"/>
  <c r="BY10" i="10"/>
  <c r="BY9" i="10"/>
  <c r="G38" i="18"/>
  <c r="G7" i="18"/>
  <c r="CW7" i="18" s="1"/>
  <c r="E6" i="15"/>
  <c r="E38" i="15"/>
  <c r="E40" i="15" s="1"/>
  <c r="E8" i="16" s="1"/>
  <c r="F38" i="15"/>
  <c r="F40" i="15" s="1"/>
  <c r="F8" i="16" s="1"/>
  <c r="F6" i="15"/>
  <c r="D40" i="5"/>
  <c r="BY37" i="10" l="1"/>
  <c r="CF6" i="10"/>
  <c r="CW8" i="10"/>
  <c r="G40" i="18"/>
  <c r="D8" i="6"/>
  <c r="F6" i="16"/>
  <c r="F38" i="16"/>
  <c r="F40" i="16" s="1"/>
  <c r="F8" i="17" s="1"/>
  <c r="E38" i="16"/>
  <c r="E40" i="16" s="1"/>
  <c r="E8" i="17" s="1"/>
  <c r="E6" i="16"/>
  <c r="CF9" i="10" l="1"/>
  <c r="CF10" i="10"/>
  <c r="CW10" i="10" s="1"/>
  <c r="BY38" i="10"/>
  <c r="G8" i="19"/>
  <c r="F6" i="17"/>
  <c r="F38" i="17"/>
  <c r="F40" i="17" s="1"/>
  <c r="F8" i="18" s="1"/>
  <c r="E6" i="17"/>
  <c r="E38" i="17"/>
  <c r="E40" i="17" s="1"/>
  <c r="E8" i="18" s="1"/>
  <c r="D6" i="6"/>
  <c r="D38" i="6"/>
  <c r="BY40" i="10" l="1"/>
  <c r="CF37" i="10"/>
  <c r="CW9" i="10"/>
  <c r="G38" i="19"/>
  <c r="G7" i="19"/>
  <c r="CW7" i="19" s="1"/>
  <c r="E6" i="18"/>
  <c r="E38" i="18"/>
  <c r="E40" i="18" s="1"/>
  <c r="E8" i="19" s="1"/>
  <c r="F38" i="18"/>
  <c r="F40" i="18" s="1"/>
  <c r="F8" i="19" s="1"/>
  <c r="F6" i="18"/>
  <c r="D40" i="6"/>
  <c r="CF38" i="10" l="1"/>
  <c r="CW37" i="10"/>
  <c r="BY8" i="11"/>
  <c r="G40" i="19"/>
  <c r="F6" i="19"/>
  <c r="F38" i="19"/>
  <c r="F40" i="19" s="1"/>
  <c r="F8" i="20" s="1"/>
  <c r="E38" i="19"/>
  <c r="E40" i="19" s="1"/>
  <c r="E8" i="20" s="1"/>
  <c r="E6" i="19"/>
  <c r="D8" i="7"/>
  <c r="BY6" i="11" l="1"/>
  <c r="CF40" i="10"/>
  <c r="CW38" i="10"/>
  <c r="G8" i="20"/>
  <c r="F6" i="20"/>
  <c r="F38" i="20"/>
  <c r="F40" i="20" s="1"/>
  <c r="F8" i="21" s="1"/>
  <c r="E38" i="20"/>
  <c r="E40" i="20" s="1"/>
  <c r="E8" i="21" s="1"/>
  <c r="E6" i="20"/>
  <c r="D6" i="7"/>
  <c r="D38" i="7"/>
  <c r="CF8" i="11" l="1"/>
  <c r="CW40" i="10"/>
  <c r="BY10" i="11"/>
  <c r="BY9" i="11"/>
  <c r="G7" i="20"/>
  <c r="CW7" i="20" s="1"/>
  <c r="G38" i="20"/>
  <c r="E6" i="21"/>
  <c r="E38" i="21"/>
  <c r="E40" i="21" s="1"/>
  <c r="F6" i="21"/>
  <c r="F38" i="21"/>
  <c r="F40" i="21" s="1"/>
  <c r="D40" i="7"/>
  <c r="BY37" i="11" l="1"/>
  <c r="CF6" i="11"/>
  <c r="CW8" i="11"/>
  <c r="G40" i="20"/>
  <c r="D8" i="8"/>
  <c r="BY38" i="11" l="1"/>
  <c r="CF10" i="11"/>
  <c r="CW10" i="11" s="1"/>
  <c r="CF9" i="11"/>
  <c r="G8" i="21"/>
  <c r="D6" i="8"/>
  <c r="D38" i="8"/>
  <c r="CF37" i="11" l="1"/>
  <c r="CW9" i="11"/>
  <c r="BY40" i="11"/>
  <c r="G7" i="21"/>
  <c r="CW7" i="21" s="1"/>
  <c r="G38" i="21"/>
  <c r="D40" i="8"/>
  <c r="BY8" i="12" l="1"/>
  <c r="CF38" i="11"/>
  <c r="CW37" i="11"/>
  <c r="G40" i="21"/>
  <c r="D8" i="9"/>
  <c r="CF40" i="11" l="1"/>
  <c r="CW38" i="11"/>
  <c r="BY6" i="12"/>
  <c r="D6" i="9"/>
  <c r="D38" i="9"/>
  <c r="BY10" i="12" l="1"/>
  <c r="BY9" i="12"/>
  <c r="CF8" i="12"/>
  <c r="CW40" i="11"/>
  <c r="D40" i="9"/>
  <c r="BY37" i="12" l="1"/>
  <c r="CF6" i="12"/>
  <c r="CW8" i="12"/>
  <c r="D8" i="10"/>
  <c r="CF10" i="12" l="1"/>
  <c r="CW10" i="12" s="1"/>
  <c r="CF9" i="12"/>
  <c r="BY38" i="12"/>
  <c r="D6" i="10"/>
  <c r="D38" i="10"/>
  <c r="CF37" i="12" l="1"/>
  <c r="CW9" i="12"/>
  <c r="BY40" i="12"/>
  <c r="D40" i="10"/>
  <c r="BY8" i="13" l="1"/>
  <c r="CF38" i="12"/>
  <c r="CW37" i="12"/>
  <c r="D8" i="11"/>
  <c r="CF40" i="12" l="1"/>
  <c r="CW38" i="12"/>
  <c r="BY6" i="13"/>
  <c r="D6" i="11"/>
  <c r="D38" i="11"/>
  <c r="BY10" i="13" l="1"/>
  <c r="BY9" i="13"/>
  <c r="CF8" i="13"/>
  <c r="CW40" i="12"/>
  <c r="D40" i="11"/>
  <c r="CF6" i="13" l="1"/>
  <c r="CW8" i="13"/>
  <c r="BY37" i="13"/>
  <c r="D8" i="12"/>
  <c r="BY38" i="13" l="1"/>
  <c r="CF10" i="13"/>
  <c r="CW10" i="13" s="1"/>
  <c r="CF9" i="13"/>
  <c r="D6" i="12"/>
  <c r="D38" i="12"/>
  <c r="CF37" i="13" l="1"/>
  <c r="CW9" i="13"/>
  <c r="BY40" i="13"/>
  <c r="D40" i="12"/>
  <c r="BY8" i="14" l="1"/>
  <c r="CF38" i="13"/>
  <c r="CW37" i="13"/>
  <c r="D8" i="13"/>
  <c r="CF40" i="13" l="1"/>
  <c r="CW38" i="13"/>
  <c r="BY6" i="14"/>
  <c r="D6" i="13"/>
  <c r="D38" i="13"/>
  <c r="BY10" i="14" l="1"/>
  <c r="BY9" i="14"/>
  <c r="CF8" i="14"/>
  <c r="CW40" i="13"/>
  <c r="D40" i="13"/>
  <c r="CF6" i="14" l="1"/>
  <c r="CW8" i="14"/>
  <c r="BY37" i="14"/>
  <c r="D8" i="14"/>
  <c r="BY38" i="14" l="1"/>
  <c r="CF10" i="14"/>
  <c r="CW10" i="14" s="1"/>
  <c r="CF9" i="14"/>
  <c r="D6" i="14"/>
  <c r="D38" i="14"/>
  <c r="CF37" i="14" l="1"/>
  <c r="CW9" i="14"/>
  <c r="BY40" i="14"/>
  <c r="D40" i="14"/>
  <c r="BY8" i="15" l="1"/>
  <c r="CF38" i="14"/>
  <c r="CW37" i="14"/>
  <c r="D8" i="15"/>
  <c r="CF40" i="14" l="1"/>
  <c r="CW38" i="14"/>
  <c r="BY6" i="15"/>
  <c r="D38" i="15"/>
  <c r="D6" i="15"/>
  <c r="BY9" i="15" l="1"/>
  <c r="BY10" i="15"/>
  <c r="CF8" i="15"/>
  <c r="CW40" i="14"/>
  <c r="D40" i="15"/>
  <c r="CF6" i="15" l="1"/>
  <c r="CW8" i="15"/>
  <c r="BY37" i="15"/>
  <c r="D8" i="16"/>
  <c r="BY38" i="15" l="1"/>
  <c r="CF10" i="15"/>
  <c r="CW10" i="15" s="1"/>
  <c r="CF9" i="15"/>
  <c r="D6" i="16"/>
  <c r="D38" i="16"/>
  <c r="CF37" i="15" l="1"/>
  <c r="CW9" i="15"/>
  <c r="BY40" i="15"/>
  <c r="D40" i="16"/>
  <c r="BY8" i="16" l="1"/>
  <c r="CF38" i="15"/>
  <c r="CW37" i="15"/>
  <c r="D8" i="17"/>
  <c r="CF40" i="15" l="1"/>
  <c r="CW38" i="15"/>
  <c r="BY6" i="16"/>
  <c r="D6" i="17"/>
  <c r="D38" i="17"/>
  <c r="BY10" i="16" l="1"/>
  <c r="BY9" i="16"/>
  <c r="CF8" i="16"/>
  <c r="CW40" i="15"/>
  <c r="D40" i="17"/>
  <c r="BY37" i="16" l="1"/>
  <c r="CF6" i="16"/>
  <c r="CW8" i="16"/>
  <c r="D8" i="18"/>
  <c r="CF10" i="16" l="1"/>
  <c r="CW10" i="16" s="1"/>
  <c r="CF9" i="16"/>
  <c r="BY38" i="16"/>
  <c r="D38" i="18"/>
  <c r="D6" i="18"/>
  <c r="BY40" i="16" l="1"/>
  <c r="CF37" i="16"/>
  <c r="CW9" i="16"/>
  <c r="D40" i="18"/>
  <c r="CF38" i="16" l="1"/>
  <c r="CW37" i="16"/>
  <c r="BY8" i="17"/>
  <c r="D8" i="19"/>
  <c r="BY6" i="17" l="1"/>
  <c r="CF40" i="16"/>
  <c r="CW38" i="16"/>
  <c r="D6" i="19"/>
  <c r="D38" i="19"/>
  <c r="CF8" i="17" l="1"/>
  <c r="CW40" i="16"/>
  <c r="BY10" i="17"/>
  <c r="BY9" i="17"/>
  <c r="D40" i="19"/>
  <c r="BY37" i="17" l="1"/>
  <c r="CF6" i="17"/>
  <c r="CW8" i="17"/>
  <c r="D8" i="20"/>
  <c r="CF9" i="17" l="1"/>
  <c r="CF10" i="17"/>
  <c r="CW10" i="17" s="1"/>
  <c r="BY38" i="17"/>
  <c r="D6" i="20"/>
  <c r="D38" i="20"/>
  <c r="BY40" i="17" l="1"/>
  <c r="CF37" i="17"/>
  <c r="CW9" i="17"/>
  <c r="D40" i="20"/>
  <c r="CF38" i="17" l="1"/>
  <c r="CW37" i="17"/>
  <c r="BY8" i="18"/>
  <c r="D8" i="21"/>
  <c r="BY6" i="18" l="1"/>
  <c r="CF40" i="17"/>
  <c r="CW38" i="17"/>
  <c r="D6" i="21"/>
  <c r="D38" i="21"/>
  <c r="CF8" i="18" l="1"/>
  <c r="CW40" i="17"/>
  <c r="BY10" i="18"/>
  <c r="BY9" i="18"/>
  <c r="D40" i="21"/>
  <c r="BY37" i="18" l="1"/>
  <c r="CF6" i="18"/>
  <c r="CW8" i="18"/>
  <c r="CF9" i="18" l="1"/>
  <c r="CF10" i="18"/>
  <c r="CW10" i="18" s="1"/>
  <c r="BY38" i="18"/>
  <c r="BY40" i="18" l="1"/>
  <c r="CF37" i="18"/>
  <c r="CW9" i="18"/>
  <c r="CF38" i="18" l="1"/>
  <c r="CW37" i="18"/>
  <c r="BY8" i="19"/>
  <c r="BY6" i="19" l="1"/>
  <c r="CF40" i="18"/>
  <c r="CW38" i="18"/>
  <c r="CF8" i="19" l="1"/>
  <c r="CW40" i="18"/>
  <c r="BY10" i="19"/>
  <c r="BY9" i="19"/>
  <c r="BY37" i="19" l="1"/>
  <c r="CF6" i="19"/>
  <c r="CW8" i="19"/>
  <c r="BY38" i="19" l="1"/>
  <c r="CF9" i="19"/>
  <c r="CF10" i="19"/>
  <c r="CW10" i="19" s="1"/>
  <c r="CF37" i="19" l="1"/>
  <c r="CW9" i="19"/>
  <c r="BY40" i="19"/>
  <c r="BY8" i="20" l="1"/>
  <c r="CF38" i="19"/>
  <c r="CW37" i="19"/>
  <c r="CF40" i="19" l="1"/>
  <c r="CW38" i="19"/>
  <c r="BY6" i="20"/>
  <c r="BY10" i="20" l="1"/>
  <c r="BY9" i="20"/>
  <c r="CF8" i="20"/>
  <c r="CW40" i="19"/>
  <c r="BY37" i="20" l="1"/>
  <c r="CF6" i="20"/>
  <c r="CW8" i="20"/>
  <c r="CF9" i="20" l="1"/>
  <c r="CW9" i="20" s="1"/>
  <c r="CF10" i="20"/>
  <c r="BY38" i="20"/>
  <c r="BY40" i="20" l="1"/>
  <c r="CF37" i="20"/>
  <c r="CW10" i="20"/>
  <c r="CF38" i="20" l="1"/>
  <c r="CW37" i="20"/>
  <c r="BY8" i="21"/>
  <c r="CF40" i="20" l="1"/>
  <c r="CW38" i="20"/>
  <c r="CF8" i="21" l="1"/>
  <c r="CW40" i="20"/>
  <c r="BY10" i="21"/>
  <c r="BY9" i="21"/>
  <c r="BY37" i="21" l="1"/>
  <c r="CF6" i="21"/>
  <c r="CW8" i="21"/>
  <c r="BY38" i="21" l="1"/>
  <c r="CF10" i="21"/>
  <c r="CW10" i="21" s="1"/>
  <c r="CF9" i="21"/>
  <c r="CF37" i="21" l="1"/>
  <c r="CW9" i="21"/>
  <c r="BY40" i="21"/>
  <c r="BY43" i="21" s="1"/>
  <c r="CF38" i="21" l="1"/>
  <c r="CW37" i="21"/>
  <c r="CF40" i="21" l="1"/>
  <c r="CW38" i="21"/>
  <c r="CW40" i="21" l="1"/>
</calcChain>
</file>

<file path=xl/comments1.xml><?xml version="1.0" encoding="utf-8"?>
<comments xmlns="http://schemas.openxmlformats.org/spreadsheetml/2006/main">
  <authors>
    <author>PAULA ANDREA MARROQUIN GUERRA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Autoica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<sst xmlns="http://schemas.openxmlformats.org/spreadsheetml/2006/main" count="6304" uniqueCount="139">
  <si>
    <t>CAPITALIZADORA</t>
  </si>
  <si>
    <t>BOLÍVAR</t>
  </si>
  <si>
    <t>COMERCIALES</t>
  </si>
  <si>
    <t>CAPITALIZADORA AHO</t>
  </si>
  <si>
    <t>BOLÍVAR AHO</t>
  </si>
  <si>
    <t>BOLÍVAR ARL</t>
  </si>
  <si>
    <t>COMERCIALES AHO</t>
  </si>
  <si>
    <t>CAPITALIZADORA US$</t>
  </si>
  <si>
    <t>CAPITALIZADORA PESOS</t>
  </si>
  <si>
    <t>BOLÍVAR US$</t>
  </si>
  <si>
    <t>BOLÍVAR PESOS</t>
  </si>
  <si>
    <t>COMERCIALES US$</t>
  </si>
  <si>
    <t>COMERCIALES PESOS</t>
  </si>
  <si>
    <t>GRUPO BOLÍVAR US$</t>
  </si>
  <si>
    <t>GRUPO BOLÍVAR PESOS</t>
  </si>
  <si>
    <t>SEISA US$</t>
  </si>
  <si>
    <t>SEISA PESOS</t>
  </si>
  <si>
    <t>RIBI US$</t>
  </si>
  <si>
    <t>RIBI PESOS</t>
  </si>
  <si>
    <t>GRUPO BOLÍVAR</t>
  </si>
  <si>
    <t>INVERSORAS</t>
  </si>
  <si>
    <t>SALUD EPS</t>
  </si>
  <si>
    <t>SALUD IPS</t>
  </si>
  <si>
    <t>SERVICIOS BOLIVAR</t>
  </si>
  <si>
    <t>BOLIVAR</t>
  </si>
  <si>
    <t>FIC LIFE USD</t>
  </si>
  <si>
    <t>FIC VIDA PESOS</t>
  </si>
  <si>
    <t>FIC LATIN VIDA PESOS</t>
  </si>
  <si>
    <t>BOLÍVAR USD</t>
  </si>
  <si>
    <t>COMERCIALES USD</t>
  </si>
  <si>
    <t>SEGUROS BOLÍVAR</t>
  </si>
  <si>
    <t>TOTALES</t>
  </si>
  <si>
    <t>BANCO DAVIVIENDA</t>
  </si>
  <si>
    <t>BANCO REPUBLICA</t>
  </si>
  <si>
    <t>CITIBANK COMP</t>
  </si>
  <si>
    <t>DAVIVIENDA INT</t>
  </si>
  <si>
    <t>DAVIVIENDA</t>
  </si>
  <si>
    <t>SERVICIOS BOLIVAR FACILITIES</t>
  </si>
  <si>
    <t>BANCO DE BOGOTA</t>
  </si>
  <si>
    <t>ITAÚ</t>
  </si>
  <si>
    <t>CORFIDIARIO</t>
  </si>
  <si>
    <t>BANCO COLPATRIA</t>
  </si>
  <si>
    <t>BANCOLOMBIA</t>
  </si>
  <si>
    <t>CITIBANK REASEGUROS</t>
  </si>
  <si>
    <t>BANCO POPULAR</t>
  </si>
  <si>
    <t>BBVA</t>
  </si>
  <si>
    <t>BANCO DE OCCIDENTE</t>
  </si>
  <si>
    <t>CITIBANK</t>
  </si>
  <si>
    <t>AV VILLAS - AHO</t>
  </si>
  <si>
    <t>BANCO PICHINCHA</t>
  </si>
  <si>
    <t>COD</t>
  </si>
  <si>
    <t>CUENTA</t>
  </si>
  <si>
    <t>006069999420</t>
  </si>
  <si>
    <t>006069999412</t>
  </si>
  <si>
    <t>006069999404</t>
  </si>
  <si>
    <t>62250766-0</t>
  </si>
  <si>
    <t>62250774-0</t>
  </si>
  <si>
    <t>62250782-0</t>
  </si>
  <si>
    <t>867614010</t>
  </si>
  <si>
    <t>010002000127</t>
  </si>
  <si>
    <t>010003000003</t>
  </si>
  <si>
    <t>000977298</t>
  </si>
  <si>
    <t>000268649</t>
  </si>
  <si>
    <t>000977280</t>
  </si>
  <si>
    <t>000977272</t>
  </si>
  <si>
    <t>000826701</t>
  </si>
  <si>
    <t>005597176</t>
  </si>
  <si>
    <t>005595639</t>
  </si>
  <si>
    <t>005597183</t>
  </si>
  <si>
    <t>005595646</t>
  </si>
  <si>
    <t>2113700</t>
  </si>
  <si>
    <t>2114920</t>
  </si>
  <si>
    <t>2113692</t>
  </si>
  <si>
    <t>2113718</t>
  </si>
  <si>
    <t>0172120172</t>
  </si>
  <si>
    <t>0172120180</t>
  </si>
  <si>
    <t>0172120199</t>
  </si>
  <si>
    <t>17171123071</t>
  </si>
  <si>
    <t>17171122902</t>
  </si>
  <si>
    <t>17171123003</t>
  </si>
  <si>
    <t>´03199361537</t>
  </si>
  <si>
    <t>036297810</t>
  </si>
  <si>
    <t>05300635932</t>
  </si>
  <si>
    <t>05300250331</t>
  </si>
  <si>
    <t>05300218006</t>
  </si>
  <si>
    <t>40195224</t>
  </si>
  <si>
    <t>40298119</t>
  </si>
  <si>
    <t>40299661</t>
  </si>
  <si>
    <t>137017554</t>
  </si>
  <si>
    <t>137008629</t>
  </si>
  <si>
    <t>137017562</t>
  </si>
  <si>
    <t>000121010607</t>
  </si>
  <si>
    <t>TRM</t>
  </si>
  <si>
    <t xml:space="preserve"> </t>
  </si>
  <si>
    <t>DIFERENCIA SALDOS</t>
  </si>
  <si>
    <t>SALDOS EN BANCOS</t>
  </si>
  <si>
    <t>I</t>
  </si>
  <si>
    <t>SALDO DIA ANTERIOR</t>
  </si>
  <si>
    <t>INGRESO</t>
  </si>
  <si>
    <t>E</t>
  </si>
  <si>
    <t>EGRESO</t>
  </si>
  <si>
    <t>CONSUMO NACIONAL</t>
  </si>
  <si>
    <t>INGRESO CTA PAGADURIA</t>
  </si>
  <si>
    <t>FINANSEGUROS</t>
  </si>
  <si>
    <t>RECAUDOS LIBERTADOR</t>
  </si>
  <si>
    <t>RENDIMIENTOS FINANCIEROS</t>
  </si>
  <si>
    <t>INGRESOS REASEGUROS</t>
  </si>
  <si>
    <t>EGR. REASEGUROS</t>
  </si>
  <si>
    <t>ING. COMPRA DE DIVISAS-REASEGUR</t>
  </si>
  <si>
    <t>EGR. VENTA DIVISAS-REASEGUROS</t>
  </si>
  <si>
    <t xml:space="preserve">EGRESO -TRASLADOS COMPAÑIAS </t>
  </si>
  <si>
    <t xml:space="preserve">iNGRESO -TRASLADOS COMPAÑIAS </t>
  </si>
  <si>
    <t xml:space="preserve">EMBARGOS </t>
  </si>
  <si>
    <t>OTROS PAGOS</t>
  </si>
  <si>
    <t>VENTAN PROVEEDORES</t>
  </si>
  <si>
    <t xml:space="preserve"> INTERCIAS RELAC. ,INDUS</t>
  </si>
  <si>
    <t>COMISIONES DAVIVIENDA</t>
  </si>
  <si>
    <t>NOMINA CONSEJEROS</t>
  </si>
  <si>
    <t>NOMINA ADMINISTRATIVA</t>
  </si>
  <si>
    <t>NOMINA PENSIONES</t>
  </si>
  <si>
    <t>PAGO SOI</t>
  </si>
  <si>
    <t>PAGO IVA</t>
  </si>
  <si>
    <t>OTROS IMPTOS</t>
  </si>
  <si>
    <t>EGRESO DIVIDENDOS</t>
  </si>
  <si>
    <t>CUATRO POR MIL</t>
  </si>
  <si>
    <t>DIFERENCIA EN CAMBIO CTAS REASEGUROS</t>
  </si>
  <si>
    <t>SUBTOTAL MOVIMIENTO PAGADURIA</t>
  </si>
  <si>
    <t>SUBTOTAL SALDO INICIAL PAGADURIA</t>
  </si>
  <si>
    <t>MOVIMIENTO TESORERIA</t>
  </si>
  <si>
    <t>SALDO TOTAL EN BANCOS</t>
  </si>
  <si>
    <t>Mov pagaduria +Mov tesoreria</t>
  </si>
  <si>
    <t>Total centralizadora</t>
  </si>
  <si>
    <t xml:space="preserve">Diferencia </t>
  </si>
  <si>
    <t>+</t>
  </si>
  <si>
    <t>SEGUROS BOLÍVAR US$</t>
  </si>
  <si>
    <t>SEGUROS BOLÍVAR PESOS</t>
  </si>
  <si>
    <t>SEGUROS BOLÍVAR USD</t>
  </si>
  <si>
    <t>JP MORGAN</t>
  </si>
  <si>
    <t>DAVIVIENDA INT REASEGUROS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</si>
</sst>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#,##0.00;[Red]#,##0.00"/>
    <numFmt numFmtId="165" formatCode="&quot;$&quot;\ #,##0.00_);[Red]\(&quot;$&quot;\ 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color indexed="8"/>
      <name val="Arial"/>
      <family val="2"/>
    </font>
    <font>
      <sz val="6"/>
      <color rgb="FF222222"/>
      <name val="Arial"/>
      <family val="2"/>
    </font>
    <font>
      <sz val="6"/>
      <color theme="1"/>
      <name val="Verdana"/>
      <family val="2"/>
    </font>
    <font>
      <sz val="8"/>
      <color theme="1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33CC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0D03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5DC44"/>
        <bgColor indexed="64"/>
      </patternFill>
    </fill>
    <fill>
      <patternFill patternType="solid">
        <fgColor rgb="FF46DA97"/>
        <bgColor indexed="64"/>
      </patternFill>
    </fill>
    <fill>
      <patternFill patternType="solid">
        <fgColor rgb="FFD3DE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0F0F0"/>
      </left>
      <right style="medium">
        <color rgb="FFF0F0F0"/>
      </right>
      <top style="medium">
        <color rgb="FFF0F0F0"/>
      </top>
      <bottom style="medium">
        <color rgb="FFF0F0F0"/>
      </bottom>
      <diagonal/>
    </border>
    <border>
      <left style="medium">
        <color rgb="FFF0F0F0"/>
      </left>
      <right style="medium">
        <color rgb="FF000000"/>
      </right>
      <top style="medium">
        <color rgb="FFF0F0F0"/>
      </top>
      <bottom style="medium">
        <color rgb="FFF0F0F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3">
    <xf numFmtId="0" fontId="0" fillId="0" borderId="0" xfId="0"/>
    <xf numFmtId="40" fontId="5" fillId="0" borderId="0" xfId="0" applyNumberFormat="1" applyFont="1" applyAlignment="1">
      <alignment horizontal="center"/>
    </xf>
    <xf numFmtId="40" fontId="5" fillId="2" borderId="1" xfId="0" applyNumberFormat="1" applyFont="1" applyFill="1" applyBorder="1" applyAlignment="1">
      <alignment horizontal="center"/>
    </xf>
    <xf numFmtId="40" fontId="5" fillId="2" borderId="2" xfId="0" applyNumberFormat="1" applyFont="1" applyFill="1" applyBorder="1" applyAlignment="1">
      <alignment horizontal="center"/>
    </xf>
    <xf numFmtId="40" fontId="5" fillId="3" borderId="2" xfId="0" applyNumberFormat="1" applyFont="1" applyFill="1" applyBorder="1" applyAlignment="1">
      <alignment horizontal="center"/>
    </xf>
    <xf numFmtId="40" fontId="5" fillId="4" borderId="2" xfId="0" applyNumberFormat="1" applyFont="1" applyFill="1" applyBorder="1" applyAlignment="1">
      <alignment horizontal="center"/>
    </xf>
    <xf numFmtId="40" fontId="5" fillId="3" borderId="3" xfId="0" applyNumberFormat="1" applyFont="1" applyFill="1" applyBorder="1" applyAlignment="1">
      <alignment horizontal="center"/>
    </xf>
    <xf numFmtId="40" fontId="5" fillId="4" borderId="1" xfId="0" applyNumberFormat="1" applyFont="1" applyFill="1" applyBorder="1" applyAlignment="1">
      <alignment horizontal="center"/>
    </xf>
    <xf numFmtId="40" fontId="5" fillId="4" borderId="3" xfId="0" applyNumberFormat="1" applyFont="1" applyFill="1" applyBorder="1" applyAlignment="1">
      <alignment horizontal="center"/>
    </xf>
    <xf numFmtId="40" fontId="5" fillId="4" borderId="0" xfId="0" applyNumberFormat="1" applyFont="1" applyFill="1" applyAlignment="1">
      <alignment horizontal="center"/>
    </xf>
    <xf numFmtId="40" fontId="0" fillId="0" borderId="0" xfId="0" applyNumberFormat="1" applyAlignment="1">
      <alignment horizontal="center"/>
    </xf>
    <xf numFmtId="40" fontId="0" fillId="2" borderId="4" xfId="0" applyNumberFormat="1" applyFill="1" applyBorder="1" applyAlignment="1">
      <alignment horizontal="center"/>
    </xf>
    <xf numFmtId="40" fontId="0" fillId="3" borderId="4" xfId="0" applyNumberFormat="1" applyFill="1" applyBorder="1" applyAlignment="1">
      <alignment horizontal="center"/>
    </xf>
    <xf numFmtId="40" fontId="0" fillId="4" borderId="4" xfId="0" applyNumberFormat="1" applyFill="1" applyBorder="1" applyAlignment="1">
      <alignment horizontal="center"/>
    </xf>
    <xf numFmtId="40" fontId="3" fillId="4" borderId="4" xfId="0" applyNumberFormat="1" applyFont="1" applyFill="1" applyBorder="1" applyAlignment="1">
      <alignment horizontal="center"/>
    </xf>
    <xf numFmtId="40" fontId="3" fillId="4" borderId="5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0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40" fontId="3" fillId="0" borderId="4" xfId="0" applyNumberFormat="1" applyFont="1" applyBorder="1" applyAlignment="1">
      <alignment horizontal="center" vertical="center" wrapText="1"/>
    </xf>
    <xf numFmtId="40" fontId="0" fillId="2" borderId="5" xfId="0" applyNumberFormat="1" applyFill="1" applyBorder="1" applyAlignment="1">
      <alignment horizontal="center"/>
    </xf>
    <xf numFmtId="40" fontId="0" fillId="3" borderId="5" xfId="0" applyNumberFormat="1" applyFill="1" applyBorder="1" applyAlignment="1">
      <alignment horizontal="center"/>
    </xf>
    <xf numFmtId="40" fontId="0" fillId="4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0" fontId="0" fillId="4" borderId="7" xfId="0" applyNumberFormat="1" applyFill="1" applyBorder="1" applyAlignment="1">
      <alignment horizontal="center" wrapText="1"/>
    </xf>
    <xf numFmtId="40" fontId="3" fillId="0" borderId="7" xfId="0" applyNumberFormat="1" applyFont="1" applyBorder="1" applyAlignment="1">
      <alignment horizontal="center" vertical="center" wrapText="1"/>
    </xf>
    <xf numFmtId="40" fontId="3" fillId="5" borderId="0" xfId="0" applyNumberFormat="1" applyFont="1" applyFill="1" applyAlignment="1">
      <alignment horizontal="center"/>
    </xf>
    <xf numFmtId="40" fontId="3" fillId="5" borderId="3" xfId="0" applyNumberFormat="1" applyFont="1" applyFill="1" applyBorder="1" applyAlignment="1">
      <alignment horizontal="center"/>
    </xf>
    <xf numFmtId="40" fontId="3" fillId="5" borderId="6" xfId="0" applyNumberFormat="1" applyFont="1" applyFill="1" applyBorder="1" applyAlignment="1">
      <alignment horizontal="center"/>
    </xf>
    <xf numFmtId="40" fontId="6" fillId="5" borderId="6" xfId="0" applyNumberFormat="1" applyFont="1" applyFill="1" applyBorder="1" applyAlignment="1">
      <alignment horizontal="center"/>
    </xf>
    <xf numFmtId="1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40" fontId="3" fillId="0" borderId="5" xfId="0" applyNumberFormat="1" applyFont="1" applyBorder="1" applyAlignment="1">
      <alignment horizontal="center" vertical="center" wrapText="1"/>
    </xf>
    <xf numFmtId="40" fontId="0" fillId="0" borderId="3" xfId="0" applyNumberFormat="1" applyBorder="1" applyAlignment="1">
      <alignment horizontal="center"/>
    </xf>
    <xf numFmtId="40" fontId="0" fillId="0" borderId="6" xfId="0" applyNumberFormat="1" applyBorder="1" applyAlignment="1">
      <alignment horizontal="center"/>
    </xf>
    <xf numFmtId="40" fontId="6" fillId="0" borderId="6" xfId="0" applyNumberFormat="1" applyFont="1" applyBorder="1" applyAlignment="1">
      <alignment horizontal="center"/>
    </xf>
    <xf numFmtId="40" fontId="0" fillId="0" borderId="6" xfId="0" quotePrefix="1" applyNumberFormat="1" applyBorder="1" applyAlignment="1">
      <alignment horizontal="center"/>
    </xf>
    <xf numFmtId="40" fontId="0" fillId="0" borderId="6" xfId="0" applyNumberFormat="1" applyBorder="1" applyAlignment="1">
      <alignment horizontal="center" vertical="center" wrapText="1"/>
    </xf>
    <xf numFmtId="40" fontId="0" fillId="5" borderId="0" xfId="0" applyNumberFormat="1" applyFill="1" applyAlignment="1">
      <alignment horizontal="center"/>
    </xf>
    <xf numFmtId="40" fontId="0" fillId="6" borderId="3" xfId="0" applyNumberFormat="1" applyFill="1" applyBorder="1" applyAlignment="1">
      <alignment horizontal="center"/>
    </xf>
    <xf numFmtId="40" fontId="0" fillId="6" borderId="6" xfId="0" applyNumberFormat="1" applyFill="1" applyBorder="1" applyAlignment="1">
      <alignment horizontal="center"/>
    </xf>
    <xf numFmtId="40" fontId="0" fillId="7" borderId="3" xfId="0" applyNumberFormat="1" applyFill="1" applyBorder="1" applyAlignment="1">
      <alignment horizontal="center"/>
    </xf>
    <xf numFmtId="40" fontId="0" fillId="7" borderId="6" xfId="0" applyNumberFormat="1" applyFill="1" applyBorder="1" applyAlignment="1">
      <alignment horizontal="center"/>
    </xf>
    <xf numFmtId="40" fontId="0" fillId="8" borderId="3" xfId="0" applyNumberFormat="1" applyFill="1" applyBorder="1" applyAlignment="1">
      <alignment horizontal="center"/>
    </xf>
    <xf numFmtId="40" fontId="0" fillId="8" borderId="6" xfId="0" applyNumberFormat="1" applyFill="1" applyBorder="1" applyAlignment="1">
      <alignment horizontal="center"/>
    </xf>
    <xf numFmtId="40" fontId="0" fillId="8" borderId="6" xfId="0" applyNumberFormat="1" applyFill="1" applyBorder="1" applyAlignment="1">
      <alignment horizontal="center" wrapText="1"/>
    </xf>
    <xf numFmtId="40" fontId="0" fillId="9" borderId="3" xfId="0" applyNumberFormat="1" applyFill="1" applyBorder="1" applyAlignment="1">
      <alignment horizontal="center"/>
    </xf>
    <xf numFmtId="40" fontId="0" fillId="9" borderId="6" xfId="0" applyNumberFormat="1" applyFill="1" applyBorder="1" applyAlignment="1">
      <alignment horizontal="center"/>
    </xf>
    <xf numFmtId="43" fontId="0" fillId="8" borderId="6" xfId="1" applyFont="1" applyFill="1" applyBorder="1"/>
    <xf numFmtId="40" fontId="0" fillId="10" borderId="3" xfId="0" applyNumberFormat="1" applyFill="1" applyBorder="1" applyAlignment="1">
      <alignment horizontal="center"/>
    </xf>
    <xf numFmtId="40" fontId="0" fillId="10" borderId="6" xfId="0" applyNumberFormat="1" applyFill="1" applyBorder="1" applyAlignment="1">
      <alignment horizontal="center"/>
    </xf>
    <xf numFmtId="40" fontId="0" fillId="11" borderId="3" xfId="0" applyNumberFormat="1" applyFill="1" applyBorder="1" applyAlignment="1">
      <alignment horizontal="center"/>
    </xf>
    <xf numFmtId="40" fontId="0" fillId="11" borderId="6" xfId="0" applyNumberFormat="1" applyFill="1" applyBorder="1" applyAlignment="1">
      <alignment horizontal="center"/>
    </xf>
    <xf numFmtId="40" fontId="0" fillId="11" borderId="8" xfId="0" applyNumberFormat="1" applyFill="1" applyBorder="1" applyAlignment="1">
      <alignment horizontal="center"/>
    </xf>
    <xf numFmtId="40" fontId="0" fillId="11" borderId="4" xfId="0" applyNumberFormat="1" applyFill="1" applyBorder="1" applyAlignment="1">
      <alignment horizontal="center"/>
    </xf>
    <xf numFmtId="40" fontId="0" fillId="12" borderId="9" xfId="0" applyNumberFormat="1" applyFill="1" applyBorder="1" applyAlignment="1">
      <alignment horizontal="center"/>
    </xf>
    <xf numFmtId="40" fontId="0" fillId="12" borderId="10" xfId="0" applyNumberFormat="1" applyFill="1" applyBorder="1" applyAlignment="1">
      <alignment horizontal="center"/>
    </xf>
    <xf numFmtId="40" fontId="0" fillId="13" borderId="11" xfId="0" applyNumberFormat="1" applyFill="1" applyBorder="1" applyAlignment="1">
      <alignment horizontal="center"/>
    </xf>
    <xf numFmtId="40" fontId="0" fillId="13" borderId="6" xfId="0" applyNumberFormat="1" applyFill="1" applyBorder="1" applyAlignment="1">
      <alignment horizontal="center"/>
    </xf>
    <xf numFmtId="40" fontId="0" fillId="14" borderId="11" xfId="0" applyNumberFormat="1" applyFill="1" applyBorder="1" applyAlignment="1">
      <alignment horizontal="center"/>
    </xf>
    <xf numFmtId="40" fontId="0" fillId="14" borderId="6" xfId="0" applyNumberFormat="1" applyFill="1" applyBorder="1" applyAlignment="1">
      <alignment horizontal="center"/>
    </xf>
    <xf numFmtId="40" fontId="0" fillId="15" borderId="12" xfId="0" applyNumberFormat="1" applyFill="1" applyBorder="1" applyAlignment="1">
      <alignment horizontal="center"/>
    </xf>
    <xf numFmtId="40" fontId="0" fillId="15" borderId="13" xfId="0" applyNumberFormat="1" applyFill="1" applyBorder="1" applyAlignment="1">
      <alignment horizontal="center"/>
    </xf>
    <xf numFmtId="40" fontId="4" fillId="0" borderId="0" xfId="0" applyNumberFormat="1" applyFont="1" applyAlignment="1">
      <alignment horizontal="center"/>
    </xf>
    <xf numFmtId="40" fontId="0" fillId="0" borderId="9" xfId="0" applyNumberForma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40" fontId="0" fillId="0" borderId="1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40" fontId="8" fillId="0" borderId="0" xfId="0" applyNumberFormat="1" applyFont="1" applyAlignment="1">
      <alignment horizontal="center"/>
    </xf>
    <xf numFmtId="40" fontId="3" fillId="0" borderId="12" xfId="0" applyNumberFormat="1" applyFont="1" applyBorder="1" applyAlignment="1">
      <alignment horizontal="center"/>
    </xf>
    <xf numFmtId="164" fontId="9" fillId="0" borderId="13" xfId="0" applyNumberFormat="1" applyFont="1" applyBorder="1" applyAlignment="1">
      <alignment horizontal="center"/>
    </xf>
    <xf numFmtId="164" fontId="9" fillId="0" borderId="15" xfId="0" applyNumberFormat="1" applyFont="1" applyBorder="1" applyAlignment="1">
      <alignment horizontal="center"/>
    </xf>
    <xf numFmtId="40" fontId="2" fillId="0" borderId="0" xfId="0" applyNumberFormat="1" applyFont="1" applyAlignment="1">
      <alignment horizontal="center"/>
    </xf>
    <xf numFmtId="40" fontId="0" fillId="0" borderId="0" xfId="0" applyNumberFormat="1" applyAlignment="1">
      <alignment horizontal="center" wrapText="1"/>
    </xf>
    <xf numFmtId="0" fontId="10" fillId="0" borderId="0" xfId="0" applyFont="1"/>
    <xf numFmtId="8" fontId="11" fillId="16" borderId="17" xfId="0" applyNumberFormat="1" applyFont="1" applyFill="1" applyBorder="1" applyAlignment="1">
      <alignment horizontal="right" vertical="center"/>
    </xf>
    <xf numFmtId="8" fontId="12" fillId="16" borderId="16" xfId="0" applyNumberFormat="1" applyFont="1" applyFill="1" applyBorder="1" applyAlignment="1">
      <alignment horizontal="right" vertical="center"/>
    </xf>
    <xf numFmtId="8" fontId="11" fillId="16" borderId="16" xfId="0" applyNumberFormat="1" applyFont="1" applyFill="1" applyBorder="1" applyAlignment="1">
      <alignment horizontal="right" vertical="center"/>
    </xf>
    <xf numFmtId="40" fontId="15" fillId="0" borderId="0" xfId="0" applyNumberFormat="1" applyFont="1" applyAlignment="1">
      <alignment horizontal="center"/>
    </xf>
    <xf numFmtId="40" fontId="0" fillId="4" borderId="4" xfId="0" applyNumberFormat="1" applyFill="1" applyBorder="1" applyAlignment="1">
      <alignment horizontal="center" wrapText="1"/>
    </xf>
    <xf numFmtId="40" fontId="0" fillId="4" borderId="5" xfId="0" applyNumberFormat="1" applyFill="1" applyBorder="1" applyAlignment="1">
      <alignment horizontal="center" wrapText="1"/>
    </xf>
    <xf numFmtId="0" fontId="3" fillId="17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17" borderId="5" xfId="0" applyFill="1" applyBorder="1" applyAlignment="1">
      <alignment horizontal="center" wrapText="1"/>
    </xf>
    <xf numFmtId="0" fontId="4" fillId="0" borderId="0" xfId="0" applyFont="1"/>
    <xf numFmtId="40" fontId="0" fillId="4" borderId="4" xfId="0" applyNumberFormat="1" applyFill="1" applyBorder="1" applyAlignment="1">
      <alignment horizontal="center" wrapText="1"/>
    </xf>
    <xf numFmtId="40" fontId="0" fillId="4" borderId="5" xfId="0" applyNumberFormat="1" applyFill="1" applyBorder="1" applyAlignment="1">
      <alignment horizontal="center" wrapText="1"/>
    </xf>
    <xf numFmtId="44" fontId="16" fillId="18" borderId="0" xfId="2" applyFont="1" applyFill="1"/>
    <xf numFmtId="44" fontId="17" fillId="18" borderId="0" xfId="2" applyFont="1" applyFill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DOSBANCOSMAYO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GADURIA/INFORMES%20PAGADURIA/flujo%20de%20caja/FLUJO%20DE%20CAJA%202025/FLUJODECAJAABRIL2025/CUADRUFLUJOABRIL20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AGADURIA/INFORMES%20PAGADURIA/flujo%20de%20caja/FLUJO%20DE%20CAJA%202024/CENTRALIZADORAS/BASECENTRABOL%2022%2005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,Bol,Cls"/>
      <sheetName val="Inversoras"/>
      <sheetName val="Liberty"/>
      <sheetName val="Otrosbancos"/>
      <sheetName val="Agencias y El Libertador"/>
    </sheetNames>
    <sheetDataSet>
      <sheetData sheetId="0">
        <row r="4">
          <cell r="B4">
            <v>542639.48329</v>
          </cell>
          <cell r="C4">
            <v>545259.45382000005</v>
          </cell>
          <cell r="D4">
            <v>538048.76083000004</v>
          </cell>
          <cell r="E4">
            <v>538930.40504999994</v>
          </cell>
          <cell r="F4">
            <v>539581.56703999999</v>
          </cell>
          <cell r="G4">
            <v>549889.30007999996</v>
          </cell>
          <cell r="H4">
            <v>536311.62783999997</v>
          </cell>
          <cell r="I4">
            <v>536893.38800000004</v>
          </cell>
          <cell r="J4">
            <v>536280.65719000006</v>
          </cell>
          <cell r="K4">
            <v>534635.4142</v>
          </cell>
          <cell r="L4">
            <v>561667.58137999999</v>
          </cell>
          <cell r="M4">
            <v>553991.36244000006</v>
          </cell>
          <cell r="N4">
            <v>533578.14200999995</v>
          </cell>
          <cell r="O4">
            <v>437436.50624999998</v>
          </cell>
          <cell r="P4">
            <v>439899.37271999998</v>
          </cell>
          <cell r="Q4">
            <v>413630.68302</v>
          </cell>
          <cell r="R4">
            <v>424443.36139999999</v>
          </cell>
          <cell r="S4">
            <v>536592.88574000006</v>
          </cell>
          <cell r="T4">
            <v>430384.81027000002</v>
          </cell>
          <cell r="U4">
            <v>427531.20205000002</v>
          </cell>
          <cell r="V4">
            <v>431115.28655999998</v>
          </cell>
        </row>
        <row r="13">
          <cell r="B13">
            <v>9761690.59509</v>
          </cell>
          <cell r="C13">
            <v>20405446.99653</v>
          </cell>
          <cell r="D13">
            <v>11874351.31955</v>
          </cell>
          <cell r="E13">
            <v>21253514.692279998</v>
          </cell>
          <cell r="F13">
            <v>14945974.93943</v>
          </cell>
          <cell r="G13">
            <v>20485260.556699999</v>
          </cell>
          <cell r="H13">
            <v>14894675.293400001</v>
          </cell>
          <cell r="I13">
            <v>12355087.83591</v>
          </cell>
          <cell r="J13">
            <v>14788481.526319999</v>
          </cell>
          <cell r="K13">
            <v>20389509.068470001</v>
          </cell>
          <cell r="L13">
            <v>25573644.334339999</v>
          </cell>
          <cell r="M13">
            <v>23197389.742929999</v>
          </cell>
          <cell r="N13">
            <v>22848920.016199999</v>
          </cell>
          <cell r="O13">
            <v>16955838.661389999</v>
          </cell>
          <cell r="P13">
            <v>14859035.052519999</v>
          </cell>
          <cell r="Q13">
            <v>7947870.3293099999</v>
          </cell>
          <cell r="R13">
            <v>49900521.402079999</v>
          </cell>
          <cell r="S13">
            <v>13199290.44884</v>
          </cell>
          <cell r="T13">
            <v>4657672.5659299996</v>
          </cell>
          <cell r="U13">
            <v>19497718.93022</v>
          </cell>
          <cell r="V13">
            <v>11601047.290239999</v>
          </cell>
        </row>
        <row r="24">
          <cell r="B24">
            <v>112610.44512</v>
          </cell>
          <cell r="C24">
            <v>112668.57866</v>
          </cell>
          <cell r="D24">
            <v>112687.96334</v>
          </cell>
          <cell r="E24">
            <v>112707.35161</v>
          </cell>
          <cell r="F24">
            <v>112726.74247</v>
          </cell>
          <cell r="G24">
            <v>112746.13691</v>
          </cell>
          <cell r="H24">
            <v>112804.34077</v>
          </cell>
          <cell r="I24">
            <v>112823.74857</v>
          </cell>
          <cell r="J24">
            <v>112843.15996</v>
          </cell>
          <cell r="K24">
            <v>112862.57494000001</v>
          </cell>
          <cell r="L24">
            <v>112881.99251</v>
          </cell>
          <cell r="M24">
            <v>112940.26678000001</v>
          </cell>
          <cell r="N24">
            <v>112959.69772</v>
          </cell>
          <cell r="O24">
            <v>112979.13226</v>
          </cell>
          <cell r="P24">
            <v>112998.57038999999</v>
          </cell>
          <cell r="Q24">
            <v>113018.01212</v>
          </cell>
          <cell r="R24">
            <v>113076.35589000001</v>
          </cell>
          <cell r="S24">
            <v>113095.81101</v>
          </cell>
          <cell r="T24">
            <v>113115.26873</v>
          </cell>
          <cell r="U24">
            <v>113134.73005</v>
          </cell>
          <cell r="V24">
            <v>113154.19497</v>
          </cell>
        </row>
        <row r="30">
          <cell r="B30">
            <v>11962196.168199999</v>
          </cell>
          <cell r="C30">
            <v>7960108.0370399999</v>
          </cell>
          <cell r="D30">
            <v>5950271.1428500004</v>
          </cell>
          <cell r="E30">
            <v>5090850.3423699997</v>
          </cell>
          <cell r="F30">
            <v>6992130.7760899998</v>
          </cell>
          <cell r="G30">
            <v>7953615.9201300004</v>
          </cell>
          <cell r="H30">
            <v>8880175.3948800005</v>
          </cell>
          <cell r="I30">
            <v>6990660.6485700002</v>
          </cell>
          <cell r="J30">
            <v>24078099.050670002</v>
          </cell>
          <cell r="K30">
            <v>7433030.2937899996</v>
          </cell>
          <cell r="L30">
            <v>9439322.7604099996</v>
          </cell>
          <cell r="M30">
            <v>42919609.144879997</v>
          </cell>
          <cell r="N30">
            <v>5119174.6760400003</v>
          </cell>
          <cell r="O30">
            <v>9502125.7183999997</v>
          </cell>
          <cell r="P30">
            <v>18764277.178950001</v>
          </cell>
          <cell r="Q30">
            <v>13023010.376329999</v>
          </cell>
          <cell r="R30">
            <v>7294814.7121299999</v>
          </cell>
          <cell r="S30">
            <v>8029470.2854399998</v>
          </cell>
          <cell r="T30">
            <v>6974198.0136000002</v>
          </cell>
          <cell r="U30">
            <v>28490851.634950001</v>
          </cell>
          <cell r="V30">
            <v>18506103.928229999</v>
          </cell>
        </row>
      </sheetData>
      <sheetData sheetId="1">
        <row r="56">
          <cell r="B56">
            <v>45808232.358240001</v>
          </cell>
          <cell r="C56">
            <v>45821810.04541</v>
          </cell>
          <cell r="D56">
            <v>45829687.386629999</v>
          </cell>
          <cell r="E56">
            <v>45837566.083159998</v>
          </cell>
          <cell r="F56">
            <v>37299526.474090002</v>
          </cell>
          <cell r="G56">
            <v>37305937.555849999</v>
          </cell>
          <cell r="H56">
            <v>7189336.5794899995</v>
          </cell>
          <cell r="I56">
            <v>7190567.2031199997</v>
          </cell>
          <cell r="J56">
            <v>7191798.0384200001</v>
          </cell>
          <cell r="K56">
            <v>7184220.2052699998</v>
          </cell>
          <cell r="L56">
            <v>3138866.53052</v>
          </cell>
          <cell r="M56">
            <v>3140468.02777</v>
          </cell>
          <cell r="N56">
            <v>3141002.04372</v>
          </cell>
          <cell r="O56">
            <v>3141536.1514599998</v>
          </cell>
          <cell r="P56">
            <v>2189413.68285</v>
          </cell>
          <cell r="Q56">
            <v>22175991.213059999</v>
          </cell>
          <cell r="R56">
            <v>21876543.56402</v>
          </cell>
          <cell r="S56">
            <v>21880301.121940002</v>
          </cell>
          <cell r="T56">
            <v>21759860.767390002</v>
          </cell>
          <cell r="U56">
            <v>21605866.10977</v>
          </cell>
          <cell r="V56">
            <v>21576152.444680002</v>
          </cell>
        </row>
        <row r="57">
          <cell r="B57">
            <v>59156998.796379</v>
          </cell>
          <cell r="C57">
            <v>59195286.066210002</v>
          </cell>
          <cell r="D57">
            <v>59203277.706010006</v>
          </cell>
          <cell r="E57">
            <v>59212765.577350006</v>
          </cell>
          <cell r="F57">
            <v>59222255.080930002</v>
          </cell>
          <cell r="G57">
            <v>59231746.217070006</v>
          </cell>
          <cell r="H57">
            <v>59260229.424849994</v>
          </cell>
          <cell r="I57">
            <v>59269727.095229998</v>
          </cell>
          <cell r="J57">
            <v>59279226.397679999</v>
          </cell>
          <cell r="K57">
            <v>59288314.623190001</v>
          </cell>
          <cell r="L57">
            <v>59297817.126340002</v>
          </cell>
          <cell r="M57">
            <v>59326334.444800004</v>
          </cell>
          <cell r="N57">
            <v>59335843.489629991</v>
          </cell>
          <cell r="O57">
            <v>59339753.856630005</v>
          </cell>
          <cell r="P57">
            <v>59349240.064269997</v>
          </cell>
          <cell r="Q57">
            <v>59358334.268040009</v>
          </cell>
          <cell r="R57">
            <v>59660133.990799993</v>
          </cell>
          <cell r="S57">
            <v>59618483.002509996</v>
          </cell>
          <cell r="T57">
            <v>59628043.739879996</v>
          </cell>
          <cell r="U57">
            <v>59522220.593100004</v>
          </cell>
          <cell r="V57">
            <v>59734561.023040004</v>
          </cell>
        </row>
        <row r="58">
          <cell r="B58">
            <v>6399996.8207200002</v>
          </cell>
          <cell r="C58">
            <v>6398212.9252000004</v>
          </cell>
          <cell r="D58">
            <v>6469185.3133100001</v>
          </cell>
          <cell r="E58">
            <v>6470296.4759800006</v>
          </cell>
          <cell r="F58">
            <v>6450818.7122200001</v>
          </cell>
          <cell r="G58">
            <v>6451807.0359700006</v>
          </cell>
          <cell r="H58">
            <v>6672036.2974199997</v>
          </cell>
          <cell r="I58">
            <v>6672729.9663399998</v>
          </cell>
          <cell r="J58">
            <v>6502671.4809899991</v>
          </cell>
          <cell r="K58">
            <v>6501275.6235199999</v>
          </cell>
          <cell r="L58">
            <v>6477775.5114200003</v>
          </cell>
          <cell r="M58">
            <v>6478287.4220099989</v>
          </cell>
          <cell r="N58">
            <v>6753391.1907000002</v>
          </cell>
          <cell r="O58">
            <v>6754553.1573200002</v>
          </cell>
          <cell r="P58">
            <v>6642633.6160600008</v>
          </cell>
          <cell r="Q58">
            <v>6609525.69771</v>
          </cell>
          <cell r="R58">
            <v>6480050.7739899997</v>
          </cell>
          <cell r="S58">
            <v>6334096.5216399999</v>
          </cell>
          <cell r="T58">
            <v>6279067.7873999998</v>
          </cell>
          <cell r="U58">
            <v>6211479.1519999998</v>
          </cell>
          <cell r="V58">
            <v>6276507.6849999996</v>
          </cell>
        </row>
        <row r="59">
          <cell r="B59">
            <v>809966.40899999999</v>
          </cell>
          <cell r="C59">
            <v>752912.13074000005</v>
          </cell>
          <cell r="D59">
            <v>758943.84860999999</v>
          </cell>
          <cell r="E59">
            <v>898160.19767000002</v>
          </cell>
          <cell r="F59">
            <v>874498.94140999997</v>
          </cell>
          <cell r="G59">
            <v>882007.60201000003</v>
          </cell>
          <cell r="H59">
            <v>943857.96348000003</v>
          </cell>
          <cell r="I59">
            <v>816314.76301</v>
          </cell>
          <cell r="J59">
            <v>942403.78619999997</v>
          </cell>
          <cell r="K59">
            <v>790790.37034000002</v>
          </cell>
          <cell r="L59">
            <v>772338.20663000003</v>
          </cell>
          <cell r="M59">
            <v>822811.44961000001</v>
          </cell>
          <cell r="N59">
            <v>829995.56866999995</v>
          </cell>
          <cell r="O59">
            <v>1043224.82023</v>
          </cell>
          <cell r="P59">
            <v>1208667.1524100001</v>
          </cell>
          <cell r="Q59">
            <v>1301715.18613</v>
          </cell>
          <cell r="R59">
            <v>957527.65222000005</v>
          </cell>
          <cell r="S59">
            <v>939671.92590999999</v>
          </cell>
          <cell r="T59">
            <v>971587.82830000005</v>
          </cell>
          <cell r="U59">
            <v>1012435.35</v>
          </cell>
          <cell r="V59">
            <v>1091269.3929999999</v>
          </cell>
        </row>
        <row r="60">
          <cell r="B60">
            <v>5341594.3416299997</v>
          </cell>
          <cell r="C60">
            <v>11585734.242380003</v>
          </cell>
          <cell r="D60">
            <v>9494492.8564599995</v>
          </cell>
          <cell r="E60">
            <v>9367664.3469000012</v>
          </cell>
          <cell r="F60">
            <v>9154654.1606799997</v>
          </cell>
          <cell r="G60">
            <v>8564689.3907599989</v>
          </cell>
          <cell r="H60">
            <v>8933109.1136000007</v>
          </cell>
          <cell r="I60">
            <v>9296830.8247400001</v>
          </cell>
          <cell r="J60">
            <v>7819236.7285200013</v>
          </cell>
          <cell r="K60">
            <v>8195351.9200600013</v>
          </cell>
          <cell r="L60">
            <v>8202740.3018400008</v>
          </cell>
          <cell r="M60">
            <v>8310631.0016500009</v>
          </cell>
          <cell r="N60">
            <v>8718854.9605400003</v>
          </cell>
          <cell r="O60">
            <v>9253761.2913900018</v>
          </cell>
          <cell r="P60">
            <v>9430867.395130001</v>
          </cell>
          <cell r="Q60">
            <v>9335825.6675600037</v>
          </cell>
          <cell r="R60">
            <v>8463067.4248799998</v>
          </cell>
          <cell r="S60">
            <v>8779162.0456799995</v>
          </cell>
          <cell r="T60">
            <v>8640755.7409900017</v>
          </cell>
          <cell r="U60">
            <v>8994325.8303900026</v>
          </cell>
          <cell r="V60">
            <v>5285267.3101399997</v>
          </cell>
        </row>
        <row r="61">
          <cell r="B61">
            <v>3239657.2005599998</v>
          </cell>
          <cell r="C61">
            <v>2008646.7412399999</v>
          </cell>
          <cell r="D61">
            <v>1997745.5676200001</v>
          </cell>
          <cell r="E61">
            <v>2035405.2117999999</v>
          </cell>
          <cell r="F61">
            <v>1758361.4837400001</v>
          </cell>
          <cell r="G61">
            <v>1778540.4343600001</v>
          </cell>
          <cell r="H61">
            <v>1613872.3632799999</v>
          </cell>
          <cell r="I61">
            <v>1625238.5652600001</v>
          </cell>
          <cell r="J61">
            <v>1749035.1938499999</v>
          </cell>
          <cell r="K61">
            <v>1241927.05675</v>
          </cell>
          <cell r="L61">
            <v>1435427.07911</v>
          </cell>
          <cell r="M61">
            <v>619577.40061000001</v>
          </cell>
          <cell r="N61">
            <v>612910.58955999999</v>
          </cell>
          <cell r="O61">
            <v>3301395.3858400001</v>
          </cell>
          <cell r="P61">
            <v>3309145.6309500001</v>
          </cell>
          <cell r="Q61">
            <v>2110308.6492499998</v>
          </cell>
          <cell r="R61">
            <v>1734762.6184400001</v>
          </cell>
          <cell r="S61">
            <v>1735363.55388</v>
          </cell>
          <cell r="T61">
            <v>2252849.1964099999</v>
          </cell>
          <cell r="U61">
            <v>2385213.9278199999</v>
          </cell>
          <cell r="V61">
            <v>2357744.21</v>
          </cell>
        </row>
      </sheetData>
      <sheetData sheetId="2"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</row>
        <row r="6">
          <cell r="B6">
            <v>79545.214000000007</v>
          </cell>
          <cell r="C6">
            <v>79545.214000000007</v>
          </cell>
          <cell r="D6">
            <v>79545.214000000007</v>
          </cell>
          <cell r="E6">
            <v>79545.214000000007</v>
          </cell>
          <cell r="F6">
            <v>79545.214000000007</v>
          </cell>
          <cell r="G6">
            <v>79545.214000000007</v>
          </cell>
          <cell r="H6">
            <v>79545.214000000007</v>
          </cell>
          <cell r="I6">
            <v>79545.214000000007</v>
          </cell>
          <cell r="J6">
            <v>79545.214000000007</v>
          </cell>
          <cell r="K6">
            <v>79545.214000000007</v>
          </cell>
          <cell r="L6">
            <v>79545.214000000007</v>
          </cell>
          <cell r="M6">
            <v>79545.214000000007</v>
          </cell>
          <cell r="N6">
            <v>79545.214000000007</v>
          </cell>
          <cell r="O6">
            <v>79545.214000000007</v>
          </cell>
          <cell r="P6">
            <v>79545.214000000007</v>
          </cell>
          <cell r="Q6">
            <v>79545.214000000007</v>
          </cell>
          <cell r="R6">
            <v>79545.214000000007</v>
          </cell>
          <cell r="S6">
            <v>79545.214000000007</v>
          </cell>
          <cell r="T6">
            <v>79545.214000000007</v>
          </cell>
          <cell r="U6">
            <v>79545.214000000007</v>
          </cell>
          <cell r="V6">
            <v>79545.214000000007</v>
          </cell>
        </row>
        <row r="8">
          <cell r="B8">
            <v>662631.23607999994</v>
          </cell>
          <cell r="C8">
            <v>662631.23607999994</v>
          </cell>
          <cell r="D8">
            <v>662631.23607999994</v>
          </cell>
          <cell r="E8">
            <v>662631.23607999994</v>
          </cell>
          <cell r="F8">
            <v>662749.23600000003</v>
          </cell>
          <cell r="G8">
            <v>662749.23600000003</v>
          </cell>
          <cell r="H8">
            <v>662749.23600000003</v>
          </cell>
          <cell r="I8">
            <v>662749.23600000003</v>
          </cell>
          <cell r="J8">
            <v>662749.23600000003</v>
          </cell>
          <cell r="K8">
            <v>662749.23600000003</v>
          </cell>
          <cell r="L8">
            <v>662749.23600000003</v>
          </cell>
          <cell r="M8">
            <v>662749.23600000003</v>
          </cell>
          <cell r="N8">
            <v>662749.23600000003</v>
          </cell>
          <cell r="O8">
            <v>662749.23600000003</v>
          </cell>
          <cell r="P8">
            <v>662749.23600000003</v>
          </cell>
          <cell r="Q8">
            <v>662749.23600000003</v>
          </cell>
          <cell r="R8">
            <v>662749.23600000003</v>
          </cell>
          <cell r="S8">
            <v>662749.23600000003</v>
          </cell>
          <cell r="T8">
            <v>662749.23600000003</v>
          </cell>
          <cell r="U8">
            <v>662749.23600000003</v>
          </cell>
          <cell r="V8">
            <v>662749.23600000003</v>
          </cell>
        </row>
        <row r="10">
          <cell r="B10">
            <v>736440.24595999997</v>
          </cell>
          <cell r="C10">
            <v>736440.24595999997</v>
          </cell>
          <cell r="D10">
            <v>736440.24595999997</v>
          </cell>
          <cell r="E10">
            <v>736440.24595999997</v>
          </cell>
          <cell r="F10">
            <v>736440.24595999997</v>
          </cell>
          <cell r="G10">
            <v>736440.24595999997</v>
          </cell>
          <cell r="H10">
            <v>736440.24595999997</v>
          </cell>
          <cell r="I10">
            <v>736440.24595999997</v>
          </cell>
          <cell r="J10">
            <v>736440.24595999997</v>
          </cell>
          <cell r="K10">
            <v>736440.24595999997</v>
          </cell>
          <cell r="L10">
            <v>736440.24595999997</v>
          </cell>
          <cell r="M10">
            <v>736440.24595999997</v>
          </cell>
          <cell r="N10">
            <v>736440.24595999997</v>
          </cell>
          <cell r="O10">
            <v>736440.24595999997</v>
          </cell>
          <cell r="P10">
            <v>736440.24595999997</v>
          </cell>
          <cell r="Q10">
            <v>736440.24595999997</v>
          </cell>
          <cell r="R10">
            <v>736440.24595999997</v>
          </cell>
          <cell r="S10">
            <v>736440.24595999997</v>
          </cell>
          <cell r="T10">
            <v>736440.24595999997</v>
          </cell>
          <cell r="U10">
            <v>736440.24595999997</v>
          </cell>
          <cell r="V10">
            <v>736446.43900000001</v>
          </cell>
        </row>
        <row r="12">
          <cell r="B12">
            <v>9152723.6699999999</v>
          </cell>
          <cell r="C12">
            <v>9152723.6699999999</v>
          </cell>
          <cell r="D12">
            <v>9152723.6699999999</v>
          </cell>
          <cell r="E12">
            <v>9152723.6699999999</v>
          </cell>
          <cell r="F12">
            <v>9152723.6699999999</v>
          </cell>
          <cell r="G12">
            <v>9152723.6699999999</v>
          </cell>
          <cell r="H12">
            <v>9152723.6699999999</v>
          </cell>
          <cell r="I12">
            <v>9152723.6699999999</v>
          </cell>
          <cell r="J12">
            <v>9152723.6699999999</v>
          </cell>
          <cell r="K12">
            <v>9152723.6699999999</v>
          </cell>
          <cell r="L12">
            <v>9152723.6699999999</v>
          </cell>
          <cell r="M12">
            <v>9152723.6699999999</v>
          </cell>
          <cell r="N12">
            <v>9152723.6699999999</v>
          </cell>
          <cell r="O12">
            <v>9152723.6699999999</v>
          </cell>
          <cell r="P12">
            <v>9152723.6699999999</v>
          </cell>
          <cell r="Q12">
            <v>9152723.6699999999</v>
          </cell>
          <cell r="R12">
            <v>9152723.6699999999</v>
          </cell>
          <cell r="S12">
            <v>9152723.6699999999</v>
          </cell>
          <cell r="T12">
            <v>9152723.6699999999</v>
          </cell>
          <cell r="U12">
            <v>9152723.6699999999</v>
          </cell>
          <cell r="V12">
            <v>9152723.6699999999</v>
          </cell>
        </row>
        <row r="13">
          <cell r="B13">
            <v>378135.14942999999</v>
          </cell>
          <cell r="C13">
            <v>378135.14942999999</v>
          </cell>
          <cell r="D13">
            <v>378135.14942999999</v>
          </cell>
          <cell r="E13">
            <v>378135.14942999999</v>
          </cell>
          <cell r="F13">
            <v>378135.14942999999</v>
          </cell>
          <cell r="G13">
            <v>378135.14942999999</v>
          </cell>
          <cell r="H13">
            <v>378135.14942999999</v>
          </cell>
          <cell r="I13">
            <v>378135.14942999999</v>
          </cell>
          <cell r="J13">
            <v>378135.14942999999</v>
          </cell>
          <cell r="K13">
            <v>378135.14942999999</v>
          </cell>
          <cell r="L13">
            <v>378135.14942999999</v>
          </cell>
          <cell r="M13">
            <v>378135.14942999999</v>
          </cell>
          <cell r="N13">
            <v>378135.14942999999</v>
          </cell>
          <cell r="O13">
            <v>378135.14942999999</v>
          </cell>
          <cell r="P13">
            <v>378135.14942999999</v>
          </cell>
          <cell r="Q13">
            <v>378135.14942999999</v>
          </cell>
          <cell r="R13">
            <v>378135.14942999999</v>
          </cell>
          <cell r="S13">
            <v>378135.14942999999</v>
          </cell>
          <cell r="T13">
            <v>378135.14942999999</v>
          </cell>
          <cell r="U13">
            <v>378135.14942999999</v>
          </cell>
          <cell r="V13">
            <v>378135.14942999999</v>
          </cell>
        </row>
      </sheetData>
      <sheetData sheetId="3">
        <row r="5">
          <cell r="B5">
            <v>658125.71100000001</v>
          </cell>
          <cell r="C5">
            <v>684544.22</v>
          </cell>
          <cell r="D5">
            <v>679961.16599999997</v>
          </cell>
          <cell r="E5">
            <v>680216.62399999995</v>
          </cell>
          <cell r="F5">
            <v>674192.62424000003</v>
          </cell>
          <cell r="G5">
            <v>674234.40399999998</v>
          </cell>
          <cell r="H5">
            <v>674599.91899999999</v>
          </cell>
          <cell r="I5">
            <v>663635.478</v>
          </cell>
          <cell r="J5">
            <v>659797.26899999997</v>
          </cell>
          <cell r="K5">
            <v>655788.01500000001</v>
          </cell>
          <cell r="L5">
            <v>775828.00399999996</v>
          </cell>
          <cell r="M5">
            <v>620168.16599999997</v>
          </cell>
          <cell r="N5">
            <v>785919.06499999994</v>
          </cell>
          <cell r="O5">
            <v>779549.701</v>
          </cell>
          <cell r="P5">
            <v>770800.53599999996</v>
          </cell>
          <cell r="Q5">
            <v>770736.027</v>
          </cell>
          <cell r="R5">
            <v>777104.51563000004</v>
          </cell>
          <cell r="S5">
            <v>751011.74399999995</v>
          </cell>
          <cell r="T5">
            <v>746018.19200000004</v>
          </cell>
          <cell r="U5">
            <v>737878.9</v>
          </cell>
          <cell r="V5">
            <v>715716.821</v>
          </cell>
        </row>
        <row r="6">
          <cell r="B6">
            <v>0</v>
          </cell>
          <cell r="C6">
            <v>0</v>
          </cell>
          <cell r="D6">
            <v>-143.089</v>
          </cell>
          <cell r="E6">
            <v>-887.12099999999998</v>
          </cell>
          <cell r="F6">
            <v>-1581.4090000000001</v>
          </cell>
          <cell r="G6">
            <v>0</v>
          </cell>
          <cell r="H6">
            <v>-3578.7870000000003</v>
          </cell>
          <cell r="I6">
            <v>-10.285</v>
          </cell>
          <cell r="K6">
            <v>-857.56299999999999</v>
          </cell>
          <cell r="M6">
            <v>-2642.828</v>
          </cell>
          <cell r="O6">
            <v>-12.748000000000001</v>
          </cell>
          <cell r="Q6">
            <v>-15191.586000000001</v>
          </cell>
          <cell r="R6">
            <v>-123.215</v>
          </cell>
          <cell r="T6">
            <v>0</v>
          </cell>
          <cell r="U6">
            <v>0</v>
          </cell>
          <cell r="V6">
            <v>0</v>
          </cell>
        </row>
        <row r="7">
          <cell r="B7">
            <v>-74.811000000000007</v>
          </cell>
          <cell r="C7">
            <v>-15861.724</v>
          </cell>
          <cell r="D7">
            <v>-520.30700000000002</v>
          </cell>
          <cell r="E7">
            <v>-6000</v>
          </cell>
          <cell r="F7">
            <v>-853.02300000000002</v>
          </cell>
          <cell r="G7">
            <v>-90.460999999999999</v>
          </cell>
          <cell r="H7">
            <v>-11817.173000000001</v>
          </cell>
          <cell r="I7">
            <v>-427.71100000000001</v>
          </cell>
          <cell r="J7">
            <v>-3426</v>
          </cell>
          <cell r="K7">
            <v>-11873.123</v>
          </cell>
          <cell r="L7">
            <v>-154463.652</v>
          </cell>
          <cell r="M7">
            <v>-6074.8010000000004</v>
          </cell>
          <cell r="N7">
            <v>-3367.7660000000001</v>
          </cell>
          <cell r="O7">
            <v>-9878.5789999999997</v>
          </cell>
          <cell r="P7">
            <v>-64.251999999999995</v>
          </cell>
          <cell r="Q7">
            <v>-737.23699999999997</v>
          </cell>
          <cell r="R7">
            <v>-25976.067999999999</v>
          </cell>
          <cell r="S7">
            <v>-4842.5889999999999</v>
          </cell>
          <cell r="T7">
            <v>-8355.8690000000006</v>
          </cell>
          <cell r="U7">
            <v>-7372.9179999999997</v>
          </cell>
          <cell r="V7">
            <v>-88667.025999999998</v>
          </cell>
        </row>
        <row r="10">
          <cell r="B10">
            <v>6137787.8099999996</v>
          </cell>
          <cell r="C10">
            <v>6195508.943</v>
          </cell>
          <cell r="D10">
            <v>3514901.7170000002</v>
          </cell>
          <cell r="E10">
            <v>4751761.1878199996</v>
          </cell>
          <cell r="F10">
            <v>6001925.2873900002</v>
          </cell>
          <cell r="G10">
            <v>7281871.057</v>
          </cell>
          <cell r="H10">
            <v>5642889.8360000001</v>
          </cell>
          <cell r="I10">
            <v>2157738.8369999998</v>
          </cell>
          <cell r="J10">
            <v>4723782.7450000001</v>
          </cell>
          <cell r="K10">
            <v>4019358.26</v>
          </cell>
          <cell r="L10">
            <v>7567017.574</v>
          </cell>
          <cell r="M10">
            <v>8142256.9840000002</v>
          </cell>
          <cell r="N10">
            <v>3370156.2902600002</v>
          </cell>
          <cell r="O10">
            <v>2885980.5488200001</v>
          </cell>
          <cell r="P10">
            <v>4920976.1969999997</v>
          </cell>
          <cell r="Q10">
            <v>4832494.6780000003</v>
          </cell>
          <cell r="R10">
            <v>9547135.7597800009</v>
          </cell>
          <cell r="S10">
            <v>5762100.4440000001</v>
          </cell>
          <cell r="T10">
            <v>5347263.7927599996</v>
          </cell>
          <cell r="U10">
            <v>5991406.3619999997</v>
          </cell>
          <cell r="V10">
            <v>6592068.5250000004</v>
          </cell>
        </row>
        <row r="11">
          <cell r="B11">
            <v>-129095.545</v>
          </cell>
          <cell r="C11">
            <v>-273009.739</v>
          </cell>
          <cell r="D11">
            <v>-115348.311</v>
          </cell>
          <cell r="E11">
            <v>-72189.278999999995</v>
          </cell>
          <cell r="F11">
            <v>-405415.46300000005</v>
          </cell>
          <cell r="G11">
            <v>-35010.862000000001</v>
          </cell>
          <cell r="H11">
            <v>-74206.884000000005</v>
          </cell>
          <cell r="I11">
            <v>-22278.838</v>
          </cell>
          <cell r="J11">
            <v>-184156.367</v>
          </cell>
          <cell r="K11">
            <v>-38164.129999999997</v>
          </cell>
          <cell r="L11">
            <v>-27332.185000000001</v>
          </cell>
          <cell r="M11">
            <v>-174661.54500000001</v>
          </cell>
          <cell r="N11">
            <v>-32317.582000000002</v>
          </cell>
          <cell r="O11">
            <v>-182249.92500000002</v>
          </cell>
          <cell r="P11">
            <v>-274722.61499999999</v>
          </cell>
          <cell r="Q11">
            <v>-18753.460999999999</v>
          </cell>
          <cell r="R11">
            <v>-22558.832999999999</v>
          </cell>
          <cell r="S11">
            <v>-138856.98000000001</v>
          </cell>
          <cell r="T11">
            <v>-88910.801000000007</v>
          </cell>
          <cell r="U11">
            <v>-246533.367</v>
          </cell>
          <cell r="V11">
            <v>-14713.537</v>
          </cell>
        </row>
        <row r="12">
          <cell r="B12">
            <v>-1155489.24</v>
          </cell>
          <cell r="C12">
            <v>-3585811.5750000002</v>
          </cell>
          <cell r="D12">
            <v>-706675.03099999996</v>
          </cell>
          <cell r="E12">
            <v>-2801148.0589999999</v>
          </cell>
          <cell r="F12">
            <v>-1230127.148</v>
          </cell>
          <cell r="G12">
            <v>-1084443.3060000001</v>
          </cell>
          <cell r="H12">
            <v>-7061636.5439999998</v>
          </cell>
          <cell r="I12">
            <v>-2773336.8420000002</v>
          </cell>
          <cell r="J12">
            <v>-6932736.3570000008</v>
          </cell>
          <cell r="K12">
            <v>-739683.97200000007</v>
          </cell>
          <cell r="L12">
            <v>-2466952.2550000004</v>
          </cell>
          <cell r="M12">
            <v>-5425216.5060000001</v>
          </cell>
          <cell r="N12">
            <v>-2454794.0789999999</v>
          </cell>
          <cell r="O12">
            <v>-5116586.7149999999</v>
          </cell>
          <cell r="P12">
            <v>-1040391.9180000001</v>
          </cell>
          <cell r="Q12">
            <v>-887737.72</v>
          </cell>
          <cell r="R12">
            <v>-3641156.662</v>
          </cell>
          <cell r="S12">
            <v>-3643710.8339999998</v>
          </cell>
          <cell r="T12">
            <v>-4151849.5440000002</v>
          </cell>
          <cell r="U12">
            <v>-2459500.4050000003</v>
          </cell>
          <cell r="V12">
            <v>-4175757.4090000005</v>
          </cell>
        </row>
        <row r="15">
          <cell r="B15">
            <v>4722651.8540000003</v>
          </cell>
          <cell r="C15">
            <v>5302418.1169999996</v>
          </cell>
          <cell r="D15">
            <v>7166374.0549999997</v>
          </cell>
          <cell r="E15">
            <v>6618047.8090000004</v>
          </cell>
          <cell r="F15">
            <v>5676881.0488499999</v>
          </cell>
          <cell r="G15">
            <v>4609117.5435499996</v>
          </cell>
          <cell r="H15">
            <v>5782466.5999999996</v>
          </cell>
          <cell r="I15">
            <v>7460064.0719999997</v>
          </cell>
          <cell r="J15">
            <v>5496555.9280000003</v>
          </cell>
          <cell r="K15">
            <v>7413594.6150000002</v>
          </cell>
          <cell r="L15">
            <v>3775688.165</v>
          </cell>
          <cell r="M15">
            <v>3155259.423</v>
          </cell>
          <cell r="N15">
            <v>6556530.4605</v>
          </cell>
          <cell r="O15">
            <v>7133497.6550200004</v>
          </cell>
          <cell r="P15">
            <v>8291995.9000000004</v>
          </cell>
          <cell r="Q15">
            <v>6430520.2927700002</v>
          </cell>
          <cell r="R15">
            <v>4637808.6724100001</v>
          </cell>
          <cell r="S15">
            <v>6006807.3399499999</v>
          </cell>
          <cell r="T15">
            <v>6566617.2114500003</v>
          </cell>
          <cell r="U15">
            <v>5564159.4740000004</v>
          </cell>
          <cell r="V15">
            <v>4528677.2010000004</v>
          </cell>
        </row>
        <row r="16">
          <cell r="B16">
            <v>-245422.223</v>
          </cell>
          <cell r="C16">
            <v>-38490.186000000002</v>
          </cell>
          <cell r="D16">
            <v>-39363.993999999999</v>
          </cell>
          <cell r="E16">
            <v>-203009.753</v>
          </cell>
          <cell r="F16">
            <v>-196794.43900000001</v>
          </cell>
          <cell r="G16">
            <v>-5980.1329999999998</v>
          </cell>
          <cell r="H16">
            <v>-271920.098</v>
          </cell>
          <cell r="I16">
            <v>-8011.973</v>
          </cell>
          <cell r="J16">
            <v>-54574.175999999999</v>
          </cell>
          <cell r="K16">
            <v>-167492.62700000001</v>
          </cell>
          <cell r="L16">
            <v>-35513.307000000001</v>
          </cell>
          <cell r="M16">
            <v>-33698.305999999997</v>
          </cell>
          <cell r="N16">
            <v>-27655.682000000001</v>
          </cell>
          <cell r="O16">
            <v>-86954.619000000006</v>
          </cell>
          <cell r="P16">
            <v>-102781.79999999999</v>
          </cell>
          <cell r="Q16">
            <v>-14740.129000000001</v>
          </cell>
          <cell r="R16">
            <v>-203824.28099999999</v>
          </cell>
          <cell r="S16">
            <v>-132058.467</v>
          </cell>
          <cell r="T16">
            <v>-33687.819000000003</v>
          </cell>
          <cell r="U16">
            <v>-8463.0770000000011</v>
          </cell>
          <cell r="V16">
            <v>-47659.579999999994</v>
          </cell>
        </row>
        <row r="17">
          <cell r="B17">
            <v>-2688434.5780000002</v>
          </cell>
          <cell r="C17">
            <v>-1988074.219</v>
          </cell>
          <cell r="D17">
            <v>-626307.72900000005</v>
          </cell>
          <cell r="E17">
            <v>-1031081.4669999999</v>
          </cell>
          <cell r="F17">
            <v>-2302854.2850000001</v>
          </cell>
          <cell r="G17">
            <v>-2948098.79</v>
          </cell>
          <cell r="H17">
            <v>-2564969.0510000004</v>
          </cell>
          <cell r="I17">
            <v>-1910354.672</v>
          </cell>
          <cell r="J17">
            <v>-1414162.672</v>
          </cell>
          <cell r="K17">
            <v>-3633691.4920000001</v>
          </cell>
          <cell r="L17">
            <v>-2151798.344</v>
          </cell>
          <cell r="M17">
            <v>-1447802.3230000001</v>
          </cell>
          <cell r="N17">
            <v>-3723307.0320000001</v>
          </cell>
          <cell r="O17">
            <v>-2495797.608</v>
          </cell>
          <cell r="P17">
            <v>-4617707.8820000002</v>
          </cell>
          <cell r="Q17">
            <v>-1967525.2630000003</v>
          </cell>
          <cell r="R17">
            <v>-1181447.862</v>
          </cell>
          <cell r="S17">
            <v>-3970578.2779999999</v>
          </cell>
          <cell r="T17">
            <v>-1523259.3360000001</v>
          </cell>
          <cell r="U17">
            <v>-1515458.5090000001</v>
          </cell>
          <cell r="V17">
            <v>-1000222.1370000001</v>
          </cell>
        </row>
        <row r="23">
          <cell r="B23">
            <v>18618.565999999999</v>
          </cell>
          <cell r="C23">
            <v>18618.565999999999</v>
          </cell>
          <cell r="D23">
            <v>18618.565999999999</v>
          </cell>
          <cell r="E23">
            <v>18618.565999999999</v>
          </cell>
          <cell r="F23">
            <v>18618.565999999999</v>
          </cell>
          <cell r="G23">
            <v>18618.565999999999</v>
          </cell>
          <cell r="H23">
            <v>18618.565999999999</v>
          </cell>
          <cell r="I23">
            <v>18618.565999999999</v>
          </cell>
          <cell r="J23">
            <v>18618.565999999999</v>
          </cell>
          <cell r="K23">
            <v>18618.565999999999</v>
          </cell>
          <cell r="L23">
            <v>18618.565999999999</v>
          </cell>
          <cell r="M23">
            <v>18618.565999999999</v>
          </cell>
          <cell r="N23">
            <v>18918.565999999999</v>
          </cell>
          <cell r="O23">
            <v>18918.565999999999</v>
          </cell>
          <cell r="P23">
            <v>18918.565999999999</v>
          </cell>
          <cell r="Q23">
            <v>18918.565999999999</v>
          </cell>
          <cell r="R23">
            <v>18918.565999999999</v>
          </cell>
          <cell r="S23">
            <v>18918.565999999999</v>
          </cell>
          <cell r="T23">
            <v>18918.565999999999</v>
          </cell>
          <cell r="U23">
            <v>18918.565999999999</v>
          </cell>
          <cell r="V23">
            <v>18918.565999999999</v>
          </cell>
        </row>
        <row r="26">
          <cell r="B26">
            <v>850464.08299999998</v>
          </cell>
          <cell r="C26">
            <v>879494.85400000005</v>
          </cell>
          <cell r="D26">
            <v>879494.85400000005</v>
          </cell>
          <cell r="E26">
            <v>881178.36499999999</v>
          </cell>
          <cell r="F26">
            <v>881178.36499999999</v>
          </cell>
          <cell r="G26">
            <v>881986.64800000004</v>
          </cell>
          <cell r="H26">
            <v>881986.64800000004</v>
          </cell>
          <cell r="I26">
            <v>885121.66399999999</v>
          </cell>
          <cell r="J26">
            <v>885121.66399999999</v>
          </cell>
          <cell r="K26">
            <v>886127.652</v>
          </cell>
          <cell r="L26">
            <v>886127.652</v>
          </cell>
          <cell r="M26">
            <v>886127.652</v>
          </cell>
          <cell r="N26">
            <v>894827.473</v>
          </cell>
          <cell r="O26">
            <v>894827.473</v>
          </cell>
          <cell r="P26">
            <v>896273.37600000005</v>
          </cell>
          <cell r="Q26">
            <v>896273.37600000005</v>
          </cell>
          <cell r="R26">
            <v>899809.02500000002</v>
          </cell>
          <cell r="S26">
            <v>899809.02500000002</v>
          </cell>
          <cell r="T26">
            <v>899809.02500000002</v>
          </cell>
          <cell r="U26">
            <v>903876.72199999995</v>
          </cell>
          <cell r="V26">
            <v>905567.04599999997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3">
          <cell r="B33">
            <v>17497.673999999999</v>
          </cell>
          <cell r="C33">
            <v>21654.544000000002</v>
          </cell>
          <cell r="D33">
            <v>21654.544000000002</v>
          </cell>
          <cell r="E33">
            <v>21640.922999999999</v>
          </cell>
          <cell r="F33">
            <v>21640.922999999999</v>
          </cell>
          <cell r="G33">
            <v>22129.573</v>
          </cell>
          <cell r="H33">
            <v>22129.573</v>
          </cell>
          <cell r="I33">
            <v>23120.492999999999</v>
          </cell>
          <cell r="J33">
            <v>23120.492999999999</v>
          </cell>
          <cell r="K33">
            <v>23113.683000000001</v>
          </cell>
          <cell r="L33">
            <v>23113.683000000001</v>
          </cell>
          <cell r="M33">
            <v>23113.683000000001</v>
          </cell>
          <cell r="N33">
            <v>27059.202000000001</v>
          </cell>
          <cell r="O33">
            <v>27059.202000000001</v>
          </cell>
          <cell r="P33">
            <v>27036.502</v>
          </cell>
          <cell r="Q33">
            <v>27036.502</v>
          </cell>
          <cell r="R33">
            <v>27020.612000000001</v>
          </cell>
          <cell r="S33">
            <v>27020.612000000001</v>
          </cell>
          <cell r="T33">
            <v>28204.722000000002</v>
          </cell>
          <cell r="U33">
            <v>28204.722000000002</v>
          </cell>
          <cell r="V33">
            <v>28452.452000000001</v>
          </cell>
        </row>
        <row r="37">
          <cell r="B37">
            <v>943662.87558999995</v>
          </cell>
          <cell r="C37">
            <v>1136921.9855899999</v>
          </cell>
          <cell r="D37">
            <v>1169486.4125900001</v>
          </cell>
          <cell r="E37">
            <v>1225599.6175899999</v>
          </cell>
          <cell r="F37">
            <v>1226691.1815899999</v>
          </cell>
          <cell r="G37">
            <v>1236631.8045900001</v>
          </cell>
          <cell r="H37">
            <v>1281598.71059</v>
          </cell>
          <cell r="I37">
            <v>1314904.5105900001</v>
          </cell>
          <cell r="J37">
            <v>1314904.5105900001</v>
          </cell>
          <cell r="K37">
            <v>479099.36158999999</v>
          </cell>
          <cell r="L37">
            <v>479269.96159000002</v>
          </cell>
          <cell r="M37">
            <v>479343.21659000003</v>
          </cell>
          <cell r="N37">
            <v>511997.48559</v>
          </cell>
          <cell r="O37">
            <v>511997.48559</v>
          </cell>
          <cell r="P37">
            <v>528153.19958999997</v>
          </cell>
          <cell r="Q37">
            <v>528153.19958999997</v>
          </cell>
          <cell r="R37">
            <v>554227.89859</v>
          </cell>
          <cell r="S37">
            <v>554227.89859</v>
          </cell>
          <cell r="T37">
            <v>603257.49459000002</v>
          </cell>
          <cell r="U37">
            <v>696346.19658999995</v>
          </cell>
          <cell r="V37">
            <v>696622.45958999998</v>
          </cell>
        </row>
        <row r="41">
          <cell r="B41">
            <v>162748.57699999999</v>
          </cell>
          <cell r="C41">
            <v>162748.57699999999</v>
          </cell>
          <cell r="D41">
            <v>162748.57699999999</v>
          </cell>
          <cell r="E41">
            <v>162748.57699999999</v>
          </cell>
          <cell r="F41">
            <v>162748.57699999999</v>
          </cell>
          <cell r="G41">
            <v>184196.101</v>
          </cell>
          <cell r="H41">
            <v>184196.101</v>
          </cell>
          <cell r="I41">
            <v>187664.606</v>
          </cell>
          <cell r="J41">
            <v>187664.606</v>
          </cell>
          <cell r="K41">
            <v>187664.606</v>
          </cell>
          <cell r="L41">
            <v>187664.606</v>
          </cell>
          <cell r="M41">
            <v>187664.606</v>
          </cell>
          <cell r="N41">
            <v>189284.829</v>
          </cell>
          <cell r="O41">
            <v>192171.21</v>
          </cell>
          <cell r="P41">
            <v>192171.21</v>
          </cell>
          <cell r="Q41">
            <v>193030.94500000001</v>
          </cell>
          <cell r="R41">
            <v>193030.94500000001</v>
          </cell>
          <cell r="S41">
            <v>193030.94500000001</v>
          </cell>
          <cell r="T41">
            <v>193901.16</v>
          </cell>
          <cell r="U41">
            <v>193901.16</v>
          </cell>
          <cell r="V41">
            <v>194020.59</v>
          </cell>
        </row>
        <row r="46">
          <cell r="B46">
            <v>2.9318200000000001</v>
          </cell>
          <cell r="C46">
            <v>2.9318200000000001</v>
          </cell>
          <cell r="D46">
            <v>2.9318200000000001</v>
          </cell>
          <cell r="E46">
            <v>2.9318200000000001</v>
          </cell>
          <cell r="F46">
            <v>2.9318200000000001</v>
          </cell>
          <cell r="G46">
            <v>2.9318200000000001</v>
          </cell>
          <cell r="H46">
            <v>2.9318200000000001</v>
          </cell>
          <cell r="I46">
            <v>2.9318200000000001</v>
          </cell>
          <cell r="J46">
            <v>2.9318200000000001</v>
          </cell>
          <cell r="K46">
            <v>2.9318200000000001</v>
          </cell>
          <cell r="L46">
            <v>2.9318200000000001</v>
          </cell>
          <cell r="M46">
            <v>2.9318200000000001</v>
          </cell>
          <cell r="N46">
            <v>2.9318200000000001</v>
          </cell>
          <cell r="O46">
            <v>2.9318200000000001</v>
          </cell>
          <cell r="P46">
            <v>2.9318200000000001</v>
          </cell>
          <cell r="Q46">
            <v>2.9318200000000001</v>
          </cell>
          <cell r="R46">
            <v>2.9318200000000001</v>
          </cell>
          <cell r="S46">
            <v>2.9318200000000001</v>
          </cell>
          <cell r="T46">
            <v>2.9318200000000001</v>
          </cell>
          <cell r="U46">
            <v>2.9318200000000001</v>
          </cell>
          <cell r="V46">
            <v>2.9318200000000001</v>
          </cell>
        </row>
        <row r="49">
          <cell r="B49">
            <v>2823952.5</v>
          </cell>
          <cell r="C49">
            <v>2875399.57</v>
          </cell>
          <cell r="D49">
            <v>2723100.65</v>
          </cell>
          <cell r="E49">
            <v>2723100.65</v>
          </cell>
          <cell r="F49">
            <v>2723100.65</v>
          </cell>
          <cell r="G49">
            <v>2723100.65</v>
          </cell>
          <cell r="H49">
            <v>2723100.65</v>
          </cell>
          <cell r="I49">
            <v>2723100.65</v>
          </cell>
          <cell r="J49">
            <v>645623.82000000007</v>
          </cell>
          <cell r="K49">
            <v>645623.82000000007</v>
          </cell>
          <cell r="L49">
            <v>645623.82000000007</v>
          </cell>
          <cell r="M49">
            <v>645623.82000000007</v>
          </cell>
          <cell r="N49">
            <v>645623.82000000007</v>
          </cell>
          <cell r="O49">
            <v>645623.82000000007</v>
          </cell>
          <cell r="P49">
            <v>645623.82000000007</v>
          </cell>
          <cell r="Q49">
            <v>645623.82000000007</v>
          </cell>
          <cell r="R49">
            <v>645623.82000000007</v>
          </cell>
          <cell r="S49">
            <v>645623.81999999995</v>
          </cell>
          <cell r="T49">
            <v>645776.53</v>
          </cell>
          <cell r="U49">
            <v>645776.53</v>
          </cell>
          <cell r="V49">
            <v>645484.53</v>
          </cell>
        </row>
        <row r="51">
          <cell r="B51">
            <v>698632.06</v>
          </cell>
          <cell r="C51">
            <v>728516.08</v>
          </cell>
          <cell r="D51">
            <v>407611.79</v>
          </cell>
          <cell r="E51">
            <v>407611.79</v>
          </cell>
          <cell r="F51">
            <v>407611.79</v>
          </cell>
          <cell r="G51">
            <v>407611.79</v>
          </cell>
          <cell r="H51">
            <v>346528.85</v>
          </cell>
          <cell r="I51">
            <v>346528.85</v>
          </cell>
          <cell r="J51">
            <v>36664</v>
          </cell>
          <cell r="K51">
            <v>54664</v>
          </cell>
          <cell r="L51">
            <v>54664</v>
          </cell>
          <cell r="M51">
            <v>54896.26</v>
          </cell>
          <cell r="N51">
            <v>1086840.93</v>
          </cell>
          <cell r="O51">
            <v>1087022.54</v>
          </cell>
          <cell r="P51">
            <v>1087022.54</v>
          </cell>
          <cell r="Q51">
            <v>1087022.54</v>
          </cell>
          <cell r="R51">
            <v>1087022.54</v>
          </cell>
          <cell r="S51">
            <v>213481.18</v>
          </cell>
          <cell r="T51">
            <v>693481.18</v>
          </cell>
          <cell r="U51">
            <v>693481.18</v>
          </cell>
          <cell r="V51">
            <v>415477.68</v>
          </cell>
        </row>
        <row r="54">
          <cell r="B54">
            <v>818703.37100000004</v>
          </cell>
          <cell r="C54">
            <v>891031.01899999997</v>
          </cell>
          <cell r="D54">
            <v>892377.15928999998</v>
          </cell>
          <cell r="E54">
            <v>897705.84100000001</v>
          </cell>
          <cell r="F54">
            <v>898204.40595000004</v>
          </cell>
          <cell r="G54">
            <v>898996.723</v>
          </cell>
          <cell r="H54">
            <v>900709.777</v>
          </cell>
          <cell r="I54">
            <v>901281.97600000002</v>
          </cell>
          <cell r="J54">
            <v>905739.74100000004</v>
          </cell>
          <cell r="K54">
            <v>905754.32200000004</v>
          </cell>
          <cell r="L54">
            <v>928309.41099999996</v>
          </cell>
          <cell r="M54">
            <v>929602.88500000001</v>
          </cell>
          <cell r="N54">
            <v>932861.46200000006</v>
          </cell>
          <cell r="O54">
            <v>938020.81200000003</v>
          </cell>
          <cell r="P54">
            <v>939948.73</v>
          </cell>
          <cell r="Q54">
            <v>979650.76</v>
          </cell>
          <cell r="R54">
            <v>981611.56250999996</v>
          </cell>
          <cell r="S54">
            <v>806872.45799999998</v>
          </cell>
          <cell r="T54">
            <v>809200.12800000003</v>
          </cell>
          <cell r="U54">
            <v>810114.94200000004</v>
          </cell>
          <cell r="V54">
            <v>813161.96100000001</v>
          </cell>
        </row>
        <row r="56">
          <cell r="B56">
            <v>140162.48300000001</v>
          </cell>
          <cell r="C56">
            <v>34243.196000000004</v>
          </cell>
          <cell r="D56">
            <v>63586.314789999997</v>
          </cell>
          <cell r="E56">
            <v>64459.147499999999</v>
          </cell>
          <cell r="F56">
            <v>71338.282999999996</v>
          </cell>
          <cell r="G56">
            <v>84653.464999999997</v>
          </cell>
          <cell r="H56">
            <v>137400.65900000001</v>
          </cell>
          <cell r="I56">
            <v>143738.94</v>
          </cell>
          <cell r="J56">
            <v>178334.95499999999</v>
          </cell>
          <cell r="K56">
            <v>186078.05600000001</v>
          </cell>
          <cell r="L56">
            <v>195997.04</v>
          </cell>
          <cell r="M56">
            <v>229296.27299999999</v>
          </cell>
          <cell r="N56">
            <v>248565.318</v>
          </cell>
          <cell r="O56">
            <v>273126.11300000001</v>
          </cell>
          <cell r="P56">
            <v>296598.98904000001</v>
          </cell>
          <cell r="Q56">
            <v>312752.69799999997</v>
          </cell>
          <cell r="R56">
            <v>336947.23775999999</v>
          </cell>
          <cell r="S56">
            <v>9975.6980000000003</v>
          </cell>
          <cell r="T56">
            <v>50938.294000000002</v>
          </cell>
          <cell r="U56">
            <v>86164.433999999994</v>
          </cell>
          <cell r="V56">
            <v>201938.84700000001</v>
          </cell>
        </row>
        <row r="58">
          <cell r="B58">
            <v>2701872.3746799999</v>
          </cell>
          <cell r="C58">
            <v>2701872.3746799999</v>
          </cell>
          <cell r="D58">
            <v>2701872.3746799999</v>
          </cell>
          <cell r="E58">
            <v>2701872.3746799999</v>
          </cell>
          <cell r="F58">
            <v>2701872.3746799999</v>
          </cell>
          <cell r="G58">
            <v>2701872.3746799999</v>
          </cell>
          <cell r="H58">
            <v>2701872.3746799999</v>
          </cell>
          <cell r="I58">
            <v>2701872.3746799999</v>
          </cell>
          <cell r="J58">
            <v>2701872.3746799999</v>
          </cell>
          <cell r="K58">
            <v>20872.374</v>
          </cell>
          <cell r="L58">
            <v>20872.374</v>
          </cell>
          <cell r="M58">
            <v>20872.374</v>
          </cell>
          <cell r="N58">
            <v>20872.374</v>
          </cell>
          <cell r="O58">
            <v>20872.374</v>
          </cell>
          <cell r="P58">
            <v>20872.374</v>
          </cell>
          <cell r="Q58">
            <v>20872.374</v>
          </cell>
          <cell r="R58">
            <v>20872.374</v>
          </cell>
          <cell r="S58">
            <v>20872.374</v>
          </cell>
          <cell r="T58">
            <v>20872.374</v>
          </cell>
          <cell r="U58">
            <v>20872.374</v>
          </cell>
          <cell r="V58">
            <v>877844.96200000006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r, 01"/>
      <sheetName val="Abr, 02"/>
      <sheetName val="Abr, 03"/>
      <sheetName val="Abr, 04"/>
      <sheetName val="Abr, 07"/>
      <sheetName val="Abr, 08"/>
      <sheetName val="Abr, 09"/>
      <sheetName val="Abr, 10"/>
      <sheetName val="Abr, 11"/>
      <sheetName val="Abr, 14"/>
      <sheetName val="Abr, 15"/>
      <sheetName val="Abr, 16"/>
      <sheetName val="Abr, 21"/>
      <sheetName val="Abr, 22"/>
      <sheetName val="Abr, 23"/>
      <sheetName val="Abr, 24"/>
      <sheetName val="Abr, 25"/>
      <sheetName val="Abr, 28"/>
      <sheetName val="Abr, 29"/>
      <sheetName val="Abr, 30"/>
      <sheetName val="CONSOLID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0">
          <cell r="D40">
            <v>560466.00620000041</v>
          </cell>
          <cell r="E40">
            <v>31495361.868164565</v>
          </cell>
          <cell r="F40">
            <v>11946071.556641512</v>
          </cell>
          <cell r="G40">
            <v>0</v>
          </cell>
          <cell r="H40">
            <v>0</v>
          </cell>
          <cell r="I40">
            <v>112590.34109999426</v>
          </cell>
          <cell r="J40">
            <v>0</v>
          </cell>
          <cell r="K40">
            <v>103742.76066214308</v>
          </cell>
          <cell r="L40">
            <v>211772.73476328666</v>
          </cell>
          <cell r="M40">
            <v>139300.65666486631</v>
          </cell>
          <cell r="N40">
            <v>177310.5199999999</v>
          </cell>
          <cell r="O40">
            <v>743248.15264999995</v>
          </cell>
          <cell r="P40">
            <v>34720769.030000009</v>
          </cell>
          <cell r="Q40">
            <v>148205796.96908727</v>
          </cell>
          <cell r="R40">
            <v>195996.65999999995</v>
          </cell>
          <cell r="S40">
            <v>1127799.1013787994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9662.5274983807467</v>
          </cell>
          <cell r="AA40">
            <v>40503.29</v>
          </cell>
          <cell r="AB40">
            <v>7542.7499999967404</v>
          </cell>
          <cell r="AC40">
            <v>31617.62</v>
          </cell>
          <cell r="AD40">
            <v>5155</v>
          </cell>
          <cell r="AE40">
            <v>21608.68</v>
          </cell>
          <cell r="AF40">
            <v>7956.8699999451637</v>
          </cell>
          <cell r="AG40">
            <v>33353.53</v>
          </cell>
          <cell r="AH40">
            <v>203175.47999999719</v>
          </cell>
          <cell r="AI40">
            <v>851645.451214</v>
          </cell>
          <cell r="AJ40">
            <v>673596.71999999823</v>
          </cell>
          <cell r="AK40">
            <v>2823324.1679230896</v>
          </cell>
          <cell r="AL40">
            <v>45808232.364840075</v>
          </cell>
          <cell r="AM40">
            <v>59156998.799813539</v>
          </cell>
          <cell r="AN40">
            <v>6399996.8199400008</v>
          </cell>
          <cell r="AO40">
            <v>809966.41413143976</v>
          </cell>
          <cell r="AP40">
            <v>12118432.359733757</v>
          </cell>
          <cell r="AQ40">
            <v>2167313.3240721608</v>
          </cell>
          <cell r="AR40">
            <v>33752.683643993005</v>
          </cell>
          <cell r="AS40">
            <v>6.2719079996137461</v>
          </cell>
          <cell r="AT40">
            <v>11.210432002509913</v>
          </cell>
          <cell r="AU40">
            <v>70709.869203997281</v>
          </cell>
          <cell r="AV40">
            <v>523662.90839880263</v>
          </cell>
          <cell r="AW40">
            <v>85667.9885699968</v>
          </cell>
          <cell r="AX40">
            <v>1041.3974240010875</v>
          </cell>
          <cell r="AY40">
            <v>1337263.6933119979</v>
          </cell>
          <cell r="AZ40">
            <v>23267.345377323236</v>
          </cell>
          <cell r="BA40">
            <v>201752.54172400691</v>
          </cell>
          <cell r="BB40">
            <v>69865.738219991152</v>
          </cell>
          <cell r="BC40">
            <v>266514.85684799874</v>
          </cell>
          <cell r="BD40">
            <v>17028.486599989839</v>
          </cell>
          <cell r="BE40">
            <v>256577.02355368057</v>
          </cell>
          <cell r="BF40">
            <v>321936.33416035993</v>
          </cell>
          <cell r="BG40">
            <v>35109.232018882758</v>
          </cell>
          <cell r="BH40">
            <v>27273.514880002102</v>
          </cell>
          <cell r="BI40">
            <v>630661.83776839031</v>
          </cell>
          <cell r="BJ40">
            <v>197783.28604456017</v>
          </cell>
          <cell r="BK40">
            <v>2995393.833886012</v>
          </cell>
          <cell r="BL40">
            <v>112584.33442244606</v>
          </cell>
          <cell r="BM40">
            <v>1067341.2298871509</v>
          </cell>
          <cell r="BN40">
            <v>4092012.9800073812</v>
          </cell>
          <cell r="BO40">
            <v>3.4691202304202307E-3</v>
          </cell>
          <cell r="BP40">
            <v>254.83625932906548</v>
          </cell>
          <cell r="BQ40">
            <v>4.0128798844989433E-3</v>
          </cell>
          <cell r="BR40">
            <v>2875399.5660000034</v>
          </cell>
          <cell r="BS40">
            <v>12073313.981113592</v>
          </cell>
          <cell r="BT40">
            <v>728516.08493201912</v>
          </cell>
          <cell r="BU40">
            <v>3058915.173014292</v>
          </cell>
          <cell r="BV40">
            <v>8507.7518600000003</v>
          </cell>
          <cell r="BW40">
            <v>1086756.8999900005</v>
          </cell>
          <cell r="BX40">
            <v>12663.664475599246</v>
          </cell>
          <cell r="BY40">
            <v>658125.70799999998</v>
          </cell>
          <cell r="BZ40">
            <v>6127827.4040000001</v>
          </cell>
          <cell r="CA40">
            <v>4660959.6960000005</v>
          </cell>
          <cell r="CB40">
            <v>18618.56624</v>
          </cell>
          <cell r="CC40">
            <v>850464.0871799998</v>
          </cell>
          <cell r="CD40">
            <v>0</v>
          </cell>
          <cell r="CE40">
            <v>17497.673999999999</v>
          </cell>
          <cell r="CF40">
            <v>943662.87558999995</v>
          </cell>
          <cell r="CG40">
            <v>162748.57699999999</v>
          </cell>
          <cell r="CH40">
            <v>2.9318200000000001</v>
          </cell>
          <cell r="CI40">
            <v>821321.81099999999</v>
          </cell>
          <cell r="CJ40">
            <v>140162.48335000002</v>
          </cell>
          <cell r="CK40">
            <v>0</v>
          </cell>
          <cell r="CL40">
            <v>0</v>
          </cell>
          <cell r="CM40">
            <v>79545.21415</v>
          </cell>
          <cell r="CN40">
            <v>662731.23896999995</v>
          </cell>
          <cell r="CO40">
            <v>736440.24131999968</v>
          </cell>
          <cell r="CP40">
            <v>9152723.6727600005</v>
          </cell>
          <cell r="CQ40">
            <v>378020.05339999998</v>
          </cell>
          <cell r="CR40">
            <v>2701872.374679999</v>
          </cell>
          <cell r="CS40">
            <v>5000</v>
          </cell>
          <cell r="CT40">
            <v>20468.599999999999</v>
          </cell>
          <cell r="CU40">
            <v>5000</v>
          </cell>
          <cell r="CV40">
            <v>20468.599999999999</v>
          </cell>
        </row>
      </sheetData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7">
          <cell r="D27">
            <v>1411949435.71</v>
          </cell>
        </row>
        <row r="28">
          <cell r="E28">
            <v>1032317</v>
          </cell>
        </row>
        <row r="33">
          <cell r="D33">
            <v>699618776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7.bin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8.bin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9.bin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0.bin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3"/>
  <sheetViews>
    <sheetView topLeftCell="A2" zoomScale="112" zoomScaleNormal="112" workbookViewId="0">
      <selection activeCell="BS5" sqref="BS5"/>
    </sheetView>
  </sheetViews>
  <sheetFormatPr baseColWidth="10" defaultRowHeight="15" outlineLevelCol="2" x14ac:dyDescent="0.25"/>
  <cols>
    <col min="1" max="1" width="8.5703125" style="10" customWidth="1"/>
    <col min="2" max="2" width="10" style="10" bestFit="1" customWidth="1"/>
    <col min="3" max="3" width="43" style="10" bestFit="1" customWidth="1"/>
    <col min="4" max="5" width="19.42578125" style="10" bestFit="1" customWidth="1"/>
    <col min="6" max="6" width="21.85546875" style="10" bestFit="1" customWidth="1"/>
    <col min="7" max="7" width="19.5703125" style="10" customWidth="1" outlineLevel="1"/>
    <col min="8" max="8" width="17.85546875" style="10" customWidth="1" outlineLevel="1"/>
    <col min="9" max="9" width="17.85546875" style="66" bestFit="1" customWidth="1"/>
    <col min="10" max="10" width="17.85546875" style="66" customWidth="1" outlineLevel="2"/>
    <col min="11" max="13" width="16.42578125" style="66" customWidth="1" outlineLevel="2"/>
    <col min="14" max="14" width="18.85546875" style="66" customWidth="1" outlineLevel="2"/>
    <col min="15" max="15" width="21" style="66" customWidth="1" outlineLevel="2"/>
    <col min="16" max="17" width="14.140625" style="66" customWidth="1" outlineLevel="2"/>
    <col min="18" max="18" width="16.42578125" style="66" customWidth="1" outlineLevel="2"/>
    <col min="19" max="25" width="18.42578125" style="66" customWidth="1" outlineLevel="2"/>
    <col min="26" max="26" width="18.85546875" style="66" customWidth="1" outlineLevel="2"/>
    <col min="27" max="27" width="21" style="66" customWidth="1" outlineLevel="2"/>
    <col min="28" max="29" width="14.5703125" style="66" customWidth="1" outlineLevel="2"/>
    <col min="30" max="30" width="16.42578125" style="66" customWidth="1" outlineLevel="2"/>
    <col min="31" max="31" width="18.42578125" style="66" customWidth="1" outlineLevel="2"/>
    <col min="32" max="32" width="18.140625" style="66" customWidth="1" outlineLevel="2"/>
    <col min="33" max="33" width="20.140625" style="66" customWidth="1" outlineLevel="2"/>
    <col min="34" max="37" width="14.5703125" style="66" customWidth="1" outlineLevel="2"/>
    <col min="38" max="38" width="14.42578125" style="66" bestFit="1" customWidth="1"/>
    <col min="39" max="40" width="13.42578125" style="66" bestFit="1" customWidth="1"/>
    <col min="41" max="41" width="12.42578125" style="66" bestFit="1" customWidth="1"/>
    <col min="42" max="42" width="17.140625" style="66" bestFit="1" customWidth="1"/>
    <col min="43" max="43" width="17.140625" style="66" customWidth="1"/>
    <col min="44" max="48" width="17.42578125" style="66" customWidth="1" outlineLevel="1"/>
    <col min="49" max="49" width="15.140625" style="66" customWidth="1" outlineLevel="1"/>
    <col min="50" max="50" width="9.85546875" style="66" customWidth="1" outlineLevel="1"/>
    <col min="51" max="51" width="12.5703125" style="66" customWidth="1" outlineLevel="1"/>
    <col min="52" max="52" width="14.42578125" style="66" customWidth="1" outlineLevel="1"/>
    <col min="53" max="53" width="15.140625" style="66" customWidth="1" outlineLevel="1"/>
    <col min="54" max="55" width="11.85546875" style="66" customWidth="1" outlineLevel="1"/>
    <col min="56" max="56" width="12.5703125" style="66" customWidth="1" outlineLevel="1"/>
    <col min="57" max="59" width="16.5703125" style="66" customWidth="1" outlineLevel="1"/>
    <col min="60" max="60" width="15.140625" style="66" customWidth="1" outlineLevel="1"/>
    <col min="61" max="62" width="13.5703125" style="66" customWidth="1" outlineLevel="1"/>
    <col min="63" max="63" width="14.42578125" style="66" customWidth="1" outlineLevel="1"/>
    <col min="64" max="64" width="19.5703125" style="66" customWidth="1" outlineLevel="1"/>
    <col min="65" max="66" width="17.85546875" style="66" customWidth="1" outlineLevel="1"/>
    <col min="67" max="67" width="12.85546875" style="66" customWidth="1" outlineLevel="1"/>
    <col min="68" max="68" width="13.5703125" style="66" customWidth="1" outlineLevel="1"/>
    <col min="69" max="69" width="18.85546875" style="66" customWidth="1" outlineLevel="1"/>
    <col min="70" max="70" width="20.140625" style="66" customWidth="1" outlineLevel="1"/>
    <col min="71" max="73" width="20.140625" style="66" bestFit="1" customWidth="1"/>
    <col min="74" max="76" width="17.42578125" style="66" bestFit="1" customWidth="1"/>
    <col min="77" max="77" width="15.140625" style="66" bestFit="1" customWidth="1"/>
    <col min="78" max="79" width="14.42578125" style="66" bestFit="1" customWidth="1"/>
    <col min="80" max="80" width="15.140625" style="66" bestFit="1" customWidth="1"/>
    <col min="81" max="82" width="15" style="66" bestFit="1" customWidth="1"/>
    <col min="83" max="83" width="15.140625" style="66" bestFit="1" customWidth="1"/>
    <col min="84" max="84" width="10.42578125" style="66" bestFit="1" customWidth="1"/>
    <col min="85" max="85" width="12.5703125" style="66" bestFit="1" customWidth="1"/>
    <col min="86" max="86" width="16.5703125" style="66" bestFit="1" customWidth="1"/>
    <col min="87" max="88" width="19.7109375" style="66" bestFit="1" customWidth="1"/>
    <col min="89" max="89" width="15.5703125" style="66" customWidth="1"/>
    <col min="90" max="90" width="11.28515625" style="66" customWidth="1"/>
    <col min="91" max="91" width="17.85546875" style="66" bestFit="1" customWidth="1"/>
    <col min="92" max="92" width="14.42578125" style="66" customWidth="1"/>
    <col min="93" max="93" width="14.28515625" style="66" bestFit="1" customWidth="1"/>
    <col min="94" max="95" width="19.7109375" style="66" bestFit="1" customWidth="1"/>
    <col min="96" max="96" width="16.5703125" style="66" bestFit="1" customWidth="1"/>
    <col min="97" max="97" width="22" style="66" bestFit="1" customWidth="1"/>
    <col min="98" max="98" width="12" bestFit="1" customWidth="1"/>
    <col min="99" max="99" width="11.5703125" bestFit="1" customWidth="1"/>
    <col min="100" max="100" width="12" bestFit="1" customWidth="1"/>
    <col min="101" max="101" width="15.28515625" bestFit="1" customWidth="1"/>
  </cols>
  <sheetData>
    <row r="1" spans="1:101" ht="28.5" x14ac:dyDescent="0.45">
      <c r="A1" s="1"/>
      <c r="B1" s="1"/>
      <c r="C1" s="1"/>
      <c r="D1" s="2"/>
      <c r="E1" s="3"/>
      <c r="F1" s="3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5"/>
      <c r="AN1" s="5"/>
      <c r="AO1" s="5"/>
      <c r="AP1" s="5"/>
      <c r="AQ1" s="5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6"/>
      <c r="BM1" s="4"/>
      <c r="BN1" s="4"/>
      <c r="BO1" s="4"/>
      <c r="BP1" s="4"/>
      <c r="BQ1" s="4"/>
      <c r="BR1" s="7"/>
      <c r="BS1" s="7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8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spans="1:101" ht="15" customHeight="1" x14ac:dyDescent="0.25">
      <c r="D2" s="11" t="s">
        <v>0</v>
      </c>
      <c r="E2" s="11" t="s">
        <v>1</v>
      </c>
      <c r="F2" s="11" t="s">
        <v>2</v>
      </c>
      <c r="G2" s="12" t="s">
        <v>3</v>
      </c>
      <c r="H2" s="12" t="s">
        <v>4</v>
      </c>
      <c r="I2" s="13" t="s">
        <v>5</v>
      </c>
      <c r="J2" s="12" t="s">
        <v>6</v>
      </c>
      <c r="K2" s="12" t="s">
        <v>0</v>
      </c>
      <c r="L2" s="12" t="s">
        <v>1</v>
      </c>
      <c r="M2" s="12" t="s">
        <v>2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12" t="s">
        <v>12</v>
      </c>
      <c r="T2" s="16" t="s">
        <v>7</v>
      </c>
      <c r="U2" s="16" t="s">
        <v>8</v>
      </c>
      <c r="V2" s="16" t="s">
        <v>134</v>
      </c>
      <c r="W2" s="16" t="s">
        <v>135</v>
      </c>
      <c r="X2" s="16" t="s">
        <v>11</v>
      </c>
      <c r="Y2" s="16" t="s">
        <v>12</v>
      </c>
      <c r="Z2" s="12" t="s">
        <v>7</v>
      </c>
      <c r="AA2" s="12" t="s">
        <v>8</v>
      </c>
      <c r="AB2" s="12" t="s">
        <v>9</v>
      </c>
      <c r="AC2" s="12" t="s">
        <v>10</v>
      </c>
      <c r="AD2" s="12" t="s">
        <v>11</v>
      </c>
      <c r="AE2" s="12" t="s">
        <v>12</v>
      </c>
      <c r="AF2" s="12" t="s">
        <v>13</v>
      </c>
      <c r="AG2" s="12" t="s">
        <v>14</v>
      </c>
      <c r="AH2" s="12" t="s">
        <v>15</v>
      </c>
      <c r="AI2" s="12" t="s">
        <v>16</v>
      </c>
      <c r="AJ2" s="12" t="s">
        <v>17</v>
      </c>
      <c r="AK2" s="12" t="s">
        <v>18</v>
      </c>
      <c r="AL2" s="14" t="s">
        <v>19</v>
      </c>
      <c r="AM2" s="14" t="s">
        <v>20</v>
      </c>
      <c r="AN2" s="15" t="s">
        <v>21</v>
      </c>
      <c r="AO2" s="15" t="s">
        <v>22</v>
      </c>
      <c r="AP2" s="89" t="s">
        <v>23</v>
      </c>
      <c r="AQ2" s="83"/>
      <c r="AR2" s="16" t="s">
        <v>0</v>
      </c>
      <c r="AS2" s="16" t="s">
        <v>24</v>
      </c>
      <c r="AT2" s="12" t="s">
        <v>5</v>
      </c>
      <c r="AU2" s="12" t="s">
        <v>2</v>
      </c>
      <c r="AV2" s="12" t="s">
        <v>19</v>
      </c>
      <c r="AW2" s="12" t="s">
        <v>0</v>
      </c>
      <c r="AX2" s="12" t="s">
        <v>24</v>
      </c>
      <c r="AY2" s="12" t="s">
        <v>2</v>
      </c>
      <c r="AZ2" s="12" t="s">
        <v>19</v>
      </c>
      <c r="BA2" s="12" t="s">
        <v>0</v>
      </c>
      <c r="BB2" s="12" t="s">
        <v>24</v>
      </c>
      <c r="BC2" s="12" t="s">
        <v>5</v>
      </c>
      <c r="BD2" s="12" t="s">
        <v>2</v>
      </c>
      <c r="BE2" s="12" t="s">
        <v>0</v>
      </c>
      <c r="BF2" s="12" t="s">
        <v>24</v>
      </c>
      <c r="BG2" s="17" t="s">
        <v>2</v>
      </c>
      <c r="BH2" s="17" t="s">
        <v>0</v>
      </c>
      <c r="BI2" s="17" t="s">
        <v>24</v>
      </c>
      <c r="BJ2" s="17" t="s">
        <v>2</v>
      </c>
      <c r="BK2" s="17" t="s">
        <v>19</v>
      </c>
      <c r="BL2" s="18" t="s">
        <v>3</v>
      </c>
      <c r="BM2" s="18" t="s">
        <v>4</v>
      </c>
      <c r="BN2" s="18" t="s">
        <v>6</v>
      </c>
      <c r="BO2" s="18" t="s">
        <v>25</v>
      </c>
      <c r="BP2" s="18" t="s">
        <v>26</v>
      </c>
      <c r="BQ2" s="18" t="s">
        <v>27</v>
      </c>
      <c r="BR2" s="14" t="s">
        <v>28</v>
      </c>
      <c r="BS2" s="14" t="s">
        <v>10</v>
      </c>
      <c r="BT2" s="14" t="s">
        <v>29</v>
      </c>
      <c r="BU2" s="14" t="s">
        <v>12</v>
      </c>
      <c r="BV2" s="14" t="s">
        <v>0</v>
      </c>
      <c r="BW2" s="14" t="s">
        <v>1</v>
      </c>
      <c r="BX2" s="14" t="s">
        <v>2</v>
      </c>
      <c r="BY2" s="14" t="s">
        <v>0</v>
      </c>
      <c r="BZ2" s="14" t="s">
        <v>1</v>
      </c>
      <c r="CA2" s="14" t="s">
        <v>2</v>
      </c>
      <c r="CB2" s="14" t="s">
        <v>0</v>
      </c>
      <c r="CC2" s="14" t="s">
        <v>1</v>
      </c>
      <c r="CD2" s="14" t="s">
        <v>2</v>
      </c>
      <c r="CE2" s="14" t="s">
        <v>0</v>
      </c>
      <c r="CF2" s="14" t="s">
        <v>1</v>
      </c>
      <c r="CG2" s="14" t="s">
        <v>2</v>
      </c>
      <c r="CH2" s="14" t="s">
        <v>2</v>
      </c>
      <c r="CI2" s="14" t="s">
        <v>1</v>
      </c>
      <c r="CJ2" s="14" t="s">
        <v>2</v>
      </c>
      <c r="CK2" s="14" t="s">
        <v>1</v>
      </c>
      <c r="CL2" s="14" t="s">
        <v>1</v>
      </c>
      <c r="CM2" s="14" t="s">
        <v>1</v>
      </c>
      <c r="CN2" s="14" t="s">
        <v>1</v>
      </c>
      <c r="CO2" s="14" t="s">
        <v>1</v>
      </c>
      <c r="CP2" s="14" t="s">
        <v>1</v>
      </c>
      <c r="CQ2" s="14" t="s">
        <v>1</v>
      </c>
      <c r="CR2" s="19" t="s">
        <v>30</v>
      </c>
      <c r="CS2" s="85" t="s">
        <v>136</v>
      </c>
      <c r="CT2" s="85" t="s">
        <v>135</v>
      </c>
      <c r="CU2" s="85" t="s">
        <v>29</v>
      </c>
      <c r="CV2" s="85" t="s">
        <v>12</v>
      </c>
      <c r="CW2" s="20" t="s">
        <v>31</v>
      </c>
    </row>
    <row r="3" spans="1:101" ht="60" x14ac:dyDescent="0.25">
      <c r="D3" s="21" t="s">
        <v>32</v>
      </c>
      <c r="E3" s="21" t="s">
        <v>32</v>
      </c>
      <c r="F3" s="21" t="s">
        <v>32</v>
      </c>
      <c r="G3" s="22" t="s">
        <v>32</v>
      </c>
      <c r="H3" s="22" t="s">
        <v>32</v>
      </c>
      <c r="I3" s="23" t="s">
        <v>32</v>
      </c>
      <c r="J3" s="22" t="s">
        <v>32</v>
      </c>
      <c r="K3" s="22" t="s">
        <v>33</v>
      </c>
      <c r="L3" s="22" t="s">
        <v>33</v>
      </c>
      <c r="M3" s="22" t="s">
        <v>33</v>
      </c>
      <c r="N3" s="22" t="s">
        <v>34</v>
      </c>
      <c r="O3" s="22" t="s">
        <v>34</v>
      </c>
      <c r="P3" s="22" t="s">
        <v>34</v>
      </c>
      <c r="Q3" s="22" t="s">
        <v>34</v>
      </c>
      <c r="R3" s="22" t="s">
        <v>34</v>
      </c>
      <c r="S3" s="22" t="s">
        <v>34</v>
      </c>
      <c r="T3" s="24" t="s">
        <v>137</v>
      </c>
      <c r="U3" s="24" t="s">
        <v>137</v>
      </c>
      <c r="V3" s="24" t="s">
        <v>137</v>
      </c>
      <c r="W3" s="24" t="s">
        <v>137</v>
      </c>
      <c r="X3" s="24" t="s">
        <v>137</v>
      </c>
      <c r="Y3" s="24" t="s">
        <v>137</v>
      </c>
      <c r="Z3" s="22" t="s">
        <v>35</v>
      </c>
      <c r="AA3" s="22" t="s">
        <v>35</v>
      </c>
      <c r="AB3" s="22" t="s">
        <v>35</v>
      </c>
      <c r="AC3" s="22" t="s">
        <v>35</v>
      </c>
      <c r="AD3" s="22" t="s">
        <v>35</v>
      </c>
      <c r="AE3" s="22" t="s">
        <v>35</v>
      </c>
      <c r="AF3" s="22" t="s">
        <v>35</v>
      </c>
      <c r="AG3" s="22" t="s">
        <v>35</v>
      </c>
      <c r="AH3" s="22" t="s">
        <v>35</v>
      </c>
      <c r="AI3" s="22" t="s">
        <v>35</v>
      </c>
      <c r="AJ3" s="22" t="s">
        <v>35</v>
      </c>
      <c r="AK3" s="22" t="s">
        <v>35</v>
      </c>
      <c r="AL3" s="23" t="s">
        <v>36</v>
      </c>
      <c r="AM3" s="23" t="s">
        <v>36</v>
      </c>
      <c r="AN3" s="23"/>
      <c r="AO3" s="23"/>
      <c r="AP3" s="90"/>
      <c r="AQ3" s="84" t="s">
        <v>37</v>
      </c>
      <c r="AR3" s="24" t="s">
        <v>38</v>
      </c>
      <c r="AS3" s="24" t="s">
        <v>38</v>
      </c>
      <c r="AT3" s="22" t="s">
        <v>38</v>
      </c>
      <c r="AU3" s="22" t="s">
        <v>38</v>
      </c>
      <c r="AV3" s="22" t="s">
        <v>38</v>
      </c>
      <c r="AW3" s="22" t="s">
        <v>39</v>
      </c>
      <c r="AX3" s="22" t="s">
        <v>39</v>
      </c>
      <c r="AY3" s="22" t="s">
        <v>39</v>
      </c>
      <c r="AZ3" s="22" t="s">
        <v>39</v>
      </c>
      <c r="BA3" s="22" t="s">
        <v>40</v>
      </c>
      <c r="BB3" s="22" t="s">
        <v>40</v>
      </c>
      <c r="BC3" s="22" t="s">
        <v>40</v>
      </c>
      <c r="BD3" s="22" t="s">
        <v>40</v>
      </c>
      <c r="BE3" s="22" t="s">
        <v>41</v>
      </c>
      <c r="BF3" s="22" t="s">
        <v>41</v>
      </c>
      <c r="BG3" s="22" t="s">
        <v>41</v>
      </c>
      <c r="BH3" s="22" t="s">
        <v>42</v>
      </c>
      <c r="BI3" s="22" t="s">
        <v>42</v>
      </c>
      <c r="BJ3" s="22" t="s">
        <v>42</v>
      </c>
      <c r="BK3" s="22" t="s">
        <v>42</v>
      </c>
      <c r="BL3" s="24" t="s">
        <v>32</v>
      </c>
      <c r="BM3" s="24" t="s">
        <v>32</v>
      </c>
      <c r="BN3" s="24" t="s">
        <v>32</v>
      </c>
      <c r="BO3" s="25" t="s">
        <v>4</v>
      </c>
      <c r="BP3" s="25" t="s">
        <v>4</v>
      </c>
      <c r="BQ3" s="25" t="s">
        <v>4</v>
      </c>
      <c r="BR3" s="84" t="s">
        <v>43</v>
      </c>
      <c r="BS3" s="84" t="s">
        <v>43</v>
      </c>
      <c r="BT3" s="84" t="s">
        <v>43</v>
      </c>
      <c r="BU3" s="84" t="s">
        <v>43</v>
      </c>
      <c r="BV3" s="84" t="s">
        <v>38</v>
      </c>
      <c r="BW3" s="84" t="s">
        <v>38</v>
      </c>
      <c r="BX3" s="84" t="s">
        <v>38</v>
      </c>
      <c r="BY3" s="84" t="s">
        <v>42</v>
      </c>
      <c r="BZ3" s="84" t="s">
        <v>42</v>
      </c>
      <c r="CA3" s="84" t="s">
        <v>42</v>
      </c>
      <c r="CB3" s="84" t="s">
        <v>44</v>
      </c>
      <c r="CC3" s="84" t="s">
        <v>44</v>
      </c>
      <c r="CD3" s="84" t="s">
        <v>44</v>
      </c>
      <c r="CE3" s="84" t="s">
        <v>45</v>
      </c>
      <c r="CF3" s="84" t="s">
        <v>45</v>
      </c>
      <c r="CG3" s="84" t="s">
        <v>45</v>
      </c>
      <c r="CH3" s="84" t="s">
        <v>41</v>
      </c>
      <c r="CI3" s="84" t="s">
        <v>46</v>
      </c>
      <c r="CJ3" s="84" t="s">
        <v>46</v>
      </c>
      <c r="CK3" s="26" t="s">
        <v>47</v>
      </c>
      <c r="CL3" s="26" t="s">
        <v>47</v>
      </c>
      <c r="CM3" s="26" t="s">
        <v>32</v>
      </c>
      <c r="CN3" s="26" t="s">
        <v>42</v>
      </c>
      <c r="CO3" s="26" t="s">
        <v>48</v>
      </c>
      <c r="CP3" s="26" t="s">
        <v>46</v>
      </c>
      <c r="CQ3" s="26" t="s">
        <v>46</v>
      </c>
      <c r="CR3" s="86" t="s">
        <v>49</v>
      </c>
      <c r="CS3" s="87" t="s">
        <v>138</v>
      </c>
      <c r="CT3" s="87" t="s">
        <v>138</v>
      </c>
      <c r="CU3" s="87" t="s">
        <v>138</v>
      </c>
      <c r="CV3" s="87" t="s">
        <v>138</v>
      </c>
      <c r="CW3" s="27"/>
    </row>
    <row r="4" spans="1:101" x14ac:dyDescent="0.25">
      <c r="A4" s="28"/>
      <c r="B4" s="29" t="s">
        <v>50</v>
      </c>
      <c r="C4" s="30" t="s">
        <v>51</v>
      </c>
      <c r="D4" s="31" t="s">
        <v>52</v>
      </c>
      <c r="E4" s="31" t="s">
        <v>53</v>
      </c>
      <c r="F4" s="31" t="s">
        <v>54</v>
      </c>
      <c r="G4" s="32">
        <v>482800001265</v>
      </c>
      <c r="H4" s="32">
        <v>482800001273</v>
      </c>
      <c r="I4" s="32">
        <v>482800002024</v>
      </c>
      <c r="J4" s="32">
        <v>482800001257</v>
      </c>
      <c r="K4" s="32" t="s">
        <v>55</v>
      </c>
      <c r="L4" s="32" t="s">
        <v>56</v>
      </c>
      <c r="M4" s="32" t="s">
        <v>57</v>
      </c>
      <c r="N4" s="32">
        <v>36203301</v>
      </c>
      <c r="O4" s="32">
        <v>36203301</v>
      </c>
      <c r="P4" s="32">
        <v>36203328</v>
      </c>
      <c r="Q4" s="32">
        <v>36203328</v>
      </c>
      <c r="R4" s="32">
        <v>36025015</v>
      </c>
      <c r="S4" s="32">
        <v>36025015</v>
      </c>
      <c r="T4" s="32"/>
      <c r="U4" s="32"/>
      <c r="V4" s="32"/>
      <c r="W4" s="32"/>
      <c r="X4" s="32"/>
      <c r="Y4" s="32"/>
      <c r="Z4" s="32">
        <v>865784010</v>
      </c>
      <c r="AA4" s="32">
        <v>865784010</v>
      </c>
      <c r="AB4" s="32">
        <v>865804010</v>
      </c>
      <c r="AC4" s="32">
        <v>865804010</v>
      </c>
      <c r="AD4" s="32">
        <v>865794010</v>
      </c>
      <c r="AE4" s="32">
        <v>865794010</v>
      </c>
      <c r="AF4" s="32" t="s">
        <v>58</v>
      </c>
      <c r="AG4" s="32" t="s">
        <v>58</v>
      </c>
      <c r="AH4" s="32" t="s">
        <v>59</v>
      </c>
      <c r="AI4" s="32" t="s">
        <v>59</v>
      </c>
      <c r="AJ4" s="32" t="s">
        <v>60</v>
      </c>
      <c r="AK4" s="32" t="s">
        <v>60</v>
      </c>
      <c r="AL4" s="33"/>
      <c r="AM4" s="33"/>
      <c r="AN4" s="33"/>
      <c r="AO4" s="33"/>
      <c r="AP4" s="33"/>
      <c r="AQ4" s="33">
        <v>3642</v>
      </c>
      <c r="AR4" s="33" t="s">
        <v>61</v>
      </c>
      <c r="AS4" s="33" t="s">
        <v>62</v>
      </c>
      <c r="AT4" s="33" t="s">
        <v>63</v>
      </c>
      <c r="AU4" s="33" t="s">
        <v>64</v>
      </c>
      <c r="AV4" s="33" t="s">
        <v>65</v>
      </c>
      <c r="AW4" s="33" t="s">
        <v>66</v>
      </c>
      <c r="AX4" s="33" t="s">
        <v>67</v>
      </c>
      <c r="AY4" s="33" t="s">
        <v>68</v>
      </c>
      <c r="AZ4" s="33" t="s">
        <v>69</v>
      </c>
      <c r="BA4" s="33" t="s">
        <v>70</v>
      </c>
      <c r="BB4" s="33" t="s">
        <v>71</v>
      </c>
      <c r="BC4" s="33" t="s">
        <v>72</v>
      </c>
      <c r="BD4" s="33" t="s">
        <v>73</v>
      </c>
      <c r="BE4" s="33" t="s">
        <v>74</v>
      </c>
      <c r="BF4" s="33" t="s">
        <v>75</v>
      </c>
      <c r="BG4" s="33" t="s">
        <v>76</v>
      </c>
      <c r="BH4" s="33" t="s">
        <v>77</v>
      </c>
      <c r="BI4" s="33" t="s">
        <v>78</v>
      </c>
      <c r="BJ4" s="33" t="s">
        <v>79</v>
      </c>
      <c r="BK4" s="33" t="s">
        <v>80</v>
      </c>
      <c r="BL4" s="34">
        <v>482800007882</v>
      </c>
      <c r="BM4" s="34">
        <v>482800007908</v>
      </c>
      <c r="BN4" s="34">
        <v>482800007890</v>
      </c>
      <c r="BO4" s="34">
        <v>482800010001</v>
      </c>
      <c r="BP4" s="34">
        <v>482800010019</v>
      </c>
      <c r="BQ4" s="34">
        <v>482800010027</v>
      </c>
      <c r="BR4" s="33">
        <v>36024995</v>
      </c>
      <c r="BS4" s="33">
        <v>36024995</v>
      </c>
      <c r="BT4" s="33">
        <v>36903922</v>
      </c>
      <c r="BU4" s="33">
        <v>36903922</v>
      </c>
      <c r="BV4" s="33">
        <v>36294346</v>
      </c>
      <c r="BW4" s="33" t="s">
        <v>81</v>
      </c>
      <c r="BX4" s="33">
        <v>36294353</v>
      </c>
      <c r="BY4" s="33" t="s">
        <v>82</v>
      </c>
      <c r="BZ4" s="33" t="s">
        <v>83</v>
      </c>
      <c r="CA4" s="33" t="s">
        <v>84</v>
      </c>
      <c r="CB4" s="33" t="s">
        <v>85</v>
      </c>
      <c r="CC4" s="33" t="s">
        <v>86</v>
      </c>
      <c r="CD4" s="33" t="s">
        <v>87</v>
      </c>
      <c r="CE4" s="33" t="s">
        <v>88</v>
      </c>
      <c r="CF4" s="33" t="s">
        <v>89</v>
      </c>
      <c r="CG4" s="33" t="s">
        <v>90</v>
      </c>
      <c r="CH4" s="33" t="s">
        <v>91</v>
      </c>
      <c r="CI4" s="33">
        <v>221816614</v>
      </c>
      <c r="CJ4" s="33">
        <v>221816598</v>
      </c>
      <c r="CK4" s="33">
        <v>60193029</v>
      </c>
      <c r="CL4" s="33">
        <v>60193401</v>
      </c>
      <c r="CM4" s="33">
        <v>1011143807</v>
      </c>
      <c r="CN4" s="33">
        <v>4801736642</v>
      </c>
      <c r="CO4" s="33">
        <v>65005340</v>
      </c>
      <c r="CP4" s="33">
        <v>288086051</v>
      </c>
      <c r="CQ4" s="33">
        <v>288049109</v>
      </c>
      <c r="CR4" s="33">
        <v>411166042</v>
      </c>
      <c r="CS4" s="33">
        <v>865804015</v>
      </c>
      <c r="CT4" s="33">
        <v>865804015</v>
      </c>
      <c r="CU4" s="33">
        <v>865794015</v>
      </c>
      <c r="CV4" s="33">
        <v>865794015</v>
      </c>
      <c r="CW4" s="35"/>
    </row>
    <row r="5" spans="1:101" x14ac:dyDescent="0.25">
      <c r="B5" s="36"/>
      <c r="C5" s="37" t="s">
        <v>92</v>
      </c>
      <c r="D5" s="38"/>
      <c r="E5" s="38" t="s">
        <v>93</v>
      </c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9"/>
      <c r="AI5" s="39"/>
      <c r="AJ5" s="39"/>
      <c r="AK5" s="39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>
        <v>4.2222499999999998</v>
      </c>
      <c r="BT5" s="37"/>
      <c r="BU5" s="37">
        <f>+BS5</f>
        <v>4.2222499999999998</v>
      </c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40"/>
    </row>
    <row r="6" spans="1:101" x14ac:dyDescent="0.25">
      <c r="B6" s="36"/>
      <c r="C6" s="37" t="s">
        <v>94</v>
      </c>
      <c r="D6" s="37">
        <f>+D7-D8</f>
        <v>-17826.522910000407</v>
      </c>
      <c r="E6" s="37">
        <f>+E7-E8</f>
        <v>-21733671.273074567</v>
      </c>
      <c r="F6" s="37">
        <f>+F7-F8</f>
        <v>16124.611558487639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9"/>
      <c r="AI6" s="39"/>
      <c r="AJ6" s="39"/>
      <c r="AK6" s="39"/>
      <c r="AL6" s="37">
        <f t="shared" ref="AL6:BQ6" si="0">+AL7-AL8</f>
        <v>-6.6000744700431824E-3</v>
      </c>
      <c r="AM6" s="37">
        <f t="shared" si="0"/>
        <v>-3.4345388412475586E-3</v>
      </c>
      <c r="AN6" s="37">
        <f t="shared" si="0"/>
        <v>7.7999942004680634E-4</v>
      </c>
      <c r="AO6" s="37">
        <f t="shared" si="0"/>
        <v>-5.1314397715032101E-3</v>
      </c>
      <c r="AP6" s="37">
        <f t="shared" si="0"/>
        <v>-6776838.0181037569</v>
      </c>
      <c r="AQ6" s="37">
        <f t="shared" si="0"/>
        <v>1072343.876487839</v>
      </c>
      <c r="AR6" s="37">
        <f t="shared" si="0"/>
        <v>0</v>
      </c>
      <c r="AS6" s="37">
        <f t="shared" si="0"/>
        <v>0</v>
      </c>
      <c r="AT6" s="37">
        <f t="shared" si="0"/>
        <v>0</v>
      </c>
      <c r="AU6" s="37">
        <f t="shared" si="0"/>
        <v>0</v>
      </c>
      <c r="AV6" s="37">
        <f t="shared" si="0"/>
        <v>0</v>
      </c>
      <c r="AW6" s="37">
        <f t="shared" si="0"/>
        <v>0</v>
      </c>
      <c r="AX6" s="37">
        <f t="shared" si="0"/>
        <v>0</v>
      </c>
      <c r="AY6" s="37">
        <f t="shared" si="0"/>
        <v>0</v>
      </c>
      <c r="AZ6" s="37">
        <f t="shared" si="0"/>
        <v>0</v>
      </c>
      <c r="BA6" s="37">
        <f t="shared" si="0"/>
        <v>0</v>
      </c>
      <c r="BB6" s="37">
        <f t="shared" si="0"/>
        <v>0</v>
      </c>
      <c r="BC6" s="37">
        <f t="shared" si="0"/>
        <v>0</v>
      </c>
      <c r="BD6" s="37">
        <f t="shared" si="0"/>
        <v>0</v>
      </c>
      <c r="BE6" s="37">
        <f t="shared" si="0"/>
        <v>0</v>
      </c>
      <c r="BF6" s="37">
        <f t="shared" si="0"/>
        <v>0</v>
      </c>
      <c r="BG6" s="37">
        <f t="shared" si="0"/>
        <v>0</v>
      </c>
      <c r="BH6" s="37">
        <f t="shared" si="0"/>
        <v>0</v>
      </c>
      <c r="BI6" s="37">
        <f t="shared" si="0"/>
        <v>0</v>
      </c>
      <c r="BJ6" s="37">
        <f t="shared" si="0"/>
        <v>0</v>
      </c>
      <c r="BK6" s="37">
        <f t="shared" si="0"/>
        <v>0</v>
      </c>
      <c r="BL6" s="37">
        <f t="shared" si="0"/>
        <v>0</v>
      </c>
      <c r="BM6" s="37">
        <f t="shared" si="0"/>
        <v>0</v>
      </c>
      <c r="BN6" s="37">
        <f t="shared" si="0"/>
        <v>0</v>
      </c>
      <c r="BO6" s="37">
        <f t="shared" si="0"/>
        <v>0</v>
      </c>
      <c r="BP6" s="37">
        <f t="shared" si="0"/>
        <v>0</v>
      </c>
      <c r="BQ6" s="37">
        <f t="shared" si="0"/>
        <v>0</v>
      </c>
      <c r="BR6" s="37"/>
      <c r="BS6" s="37"/>
      <c r="BT6" s="37"/>
      <c r="BU6" s="37"/>
      <c r="BV6" s="37">
        <f>+BV7-BV8-422.17</f>
        <v>-422.17</v>
      </c>
      <c r="BW6" s="37">
        <f t="shared" ref="BW6:CR6" si="1">+BW7-BW8</f>
        <v>0</v>
      </c>
      <c r="BX6" s="37">
        <f t="shared" si="1"/>
        <v>0</v>
      </c>
      <c r="BY6" s="37">
        <f t="shared" si="1"/>
        <v>3.0000000260770321E-3</v>
      </c>
      <c r="BZ6" s="37">
        <f t="shared" si="1"/>
        <v>9960.4059999994934</v>
      </c>
      <c r="CA6" s="37">
        <f t="shared" si="1"/>
        <v>61692.157999999821</v>
      </c>
      <c r="CB6" s="37">
        <f t="shared" si="1"/>
        <v>-2.4000000121304765E-4</v>
      </c>
      <c r="CC6" s="37">
        <f t="shared" si="1"/>
        <v>-4.1799998143687844E-3</v>
      </c>
      <c r="CD6" s="37">
        <f>+[1]Otrosbancos!$B$29</f>
        <v>0</v>
      </c>
      <c r="CE6" s="37">
        <f t="shared" si="1"/>
        <v>0</v>
      </c>
      <c r="CF6" s="37">
        <f t="shared" si="1"/>
        <v>0</v>
      </c>
      <c r="CG6" s="37">
        <f t="shared" si="1"/>
        <v>0</v>
      </c>
      <c r="CH6" s="37">
        <f t="shared" si="1"/>
        <v>0</v>
      </c>
      <c r="CI6" s="37">
        <f t="shared" si="1"/>
        <v>-2618.4399999999441</v>
      </c>
      <c r="CJ6" s="37">
        <f t="shared" si="1"/>
        <v>-3.5000001662410796E-4</v>
      </c>
      <c r="CK6" s="37">
        <f t="shared" si="1"/>
        <v>0</v>
      </c>
      <c r="CL6" s="37">
        <f t="shared" si="1"/>
        <v>0</v>
      </c>
      <c r="CM6" s="37">
        <f t="shared" si="1"/>
        <v>-1.4999999257270247E-4</v>
      </c>
      <c r="CN6" s="37">
        <f t="shared" si="1"/>
        <v>-100.00289000000339</v>
      </c>
      <c r="CO6" s="37">
        <f t="shared" si="1"/>
        <v>4.6400002902373672E-3</v>
      </c>
      <c r="CP6" s="37">
        <f t="shared" si="1"/>
        <v>-2.7600005269050598E-3</v>
      </c>
      <c r="CQ6" s="37">
        <f t="shared" si="1"/>
        <v>115.09603000001516</v>
      </c>
      <c r="CR6" s="37">
        <f t="shared" si="1"/>
        <v>0</v>
      </c>
      <c r="CS6" s="37">
        <f>+CS7-CS8</f>
        <v>-5000</v>
      </c>
      <c r="CT6" s="37">
        <f>+CT7-CT8</f>
        <v>-20468.599999999999</v>
      </c>
      <c r="CU6" s="37">
        <f>+CU7-CU8</f>
        <v>-5000</v>
      </c>
      <c r="CV6" s="37">
        <f>+CV7-CV8</f>
        <v>-20468.599999999999</v>
      </c>
      <c r="CW6" s="37"/>
    </row>
    <row r="7" spans="1:101" x14ac:dyDescent="0.25">
      <c r="A7" s="41"/>
      <c r="B7" s="42"/>
      <c r="C7" s="43" t="s">
        <v>95</v>
      </c>
      <c r="D7" s="43">
        <f>+'[1]Cap,Bol,Cls'!$B$4</f>
        <v>542639.48329</v>
      </c>
      <c r="E7" s="43">
        <f>+'[1]Cap,Bol,Cls'!$B$13</f>
        <v>9761690.59509</v>
      </c>
      <c r="F7" s="43">
        <f>+'[1]Cap,Bol,Cls'!$B$30</f>
        <v>11962196.168199999</v>
      </c>
      <c r="G7" s="43">
        <f>+G8</f>
        <v>0</v>
      </c>
      <c r="H7" s="43">
        <f>+H8</f>
        <v>0</v>
      </c>
      <c r="I7" s="43">
        <f>+'[1]Cap,Bol,Cls'!$B$24</f>
        <v>112610.44512</v>
      </c>
      <c r="J7" s="43">
        <f>+J8</f>
        <v>0</v>
      </c>
      <c r="K7" s="43">
        <f>+K8</f>
        <v>103742.76066214308</v>
      </c>
      <c r="L7" s="43">
        <f>+L8</f>
        <v>211772.73476328666</v>
      </c>
      <c r="M7" s="43">
        <f>+M8</f>
        <v>139300.65666486631</v>
      </c>
      <c r="N7" s="43">
        <f>+N8</f>
        <v>177310.5199999999</v>
      </c>
      <c r="O7" s="43">
        <f t="shared" ref="O7:AK7" si="2">+O8</f>
        <v>743248.15264999995</v>
      </c>
      <c r="P7" s="43">
        <f t="shared" si="2"/>
        <v>34720769.030000009</v>
      </c>
      <c r="Q7" s="43">
        <f t="shared" si="2"/>
        <v>148205796.96908727</v>
      </c>
      <c r="R7" s="43">
        <f t="shared" si="2"/>
        <v>195996.65999999995</v>
      </c>
      <c r="S7" s="43">
        <f t="shared" si="2"/>
        <v>1127799.1013787994</v>
      </c>
      <c r="T7" s="43"/>
      <c r="U7" s="43"/>
      <c r="V7" s="43"/>
      <c r="W7" s="43"/>
      <c r="X7" s="43"/>
      <c r="Y7" s="43"/>
      <c r="Z7" s="43">
        <f t="shared" si="2"/>
        <v>9662.5274983807467</v>
      </c>
      <c r="AA7" s="43">
        <f t="shared" si="2"/>
        <v>40503.29</v>
      </c>
      <c r="AB7" s="43">
        <f t="shared" si="2"/>
        <v>7542.7499999967404</v>
      </c>
      <c r="AC7" s="43">
        <f t="shared" si="2"/>
        <v>31617.62</v>
      </c>
      <c r="AD7" s="43">
        <f t="shared" si="2"/>
        <v>5155</v>
      </c>
      <c r="AE7" s="43">
        <f t="shared" si="2"/>
        <v>21608.68</v>
      </c>
      <c r="AF7" s="43">
        <f t="shared" si="2"/>
        <v>7956.8699999451637</v>
      </c>
      <c r="AG7" s="43">
        <f t="shared" si="2"/>
        <v>33353.53</v>
      </c>
      <c r="AH7" s="43">
        <f t="shared" si="2"/>
        <v>203175.47999999719</v>
      </c>
      <c r="AI7" s="43">
        <f t="shared" si="2"/>
        <v>851645.451214</v>
      </c>
      <c r="AJ7" s="43">
        <f t="shared" si="2"/>
        <v>673596.71999999823</v>
      </c>
      <c r="AK7" s="43">
        <f t="shared" si="2"/>
        <v>2823324.1679230896</v>
      </c>
      <c r="AL7" s="43">
        <f>+[1]Inversoras!$B$56</f>
        <v>45808232.358240001</v>
      </c>
      <c r="AM7" s="43">
        <f>+[1]Inversoras!$B$57</f>
        <v>59156998.796379</v>
      </c>
      <c r="AN7" s="43">
        <f>+[1]Inversoras!$B$58</f>
        <v>6399996.8207200002</v>
      </c>
      <c r="AO7" s="43">
        <f>+[1]Inversoras!$B$59</f>
        <v>809966.40899999999</v>
      </c>
      <c r="AP7" s="43">
        <f>+[1]Inversoras!$B$60</f>
        <v>5341594.3416299997</v>
      </c>
      <c r="AQ7" s="43">
        <f>+[1]Inversoras!$B$61</f>
        <v>3239657.2005599998</v>
      </c>
      <c r="AR7" s="43">
        <f>+AR8</f>
        <v>33752.683643993005</v>
      </c>
      <c r="AS7" s="43">
        <f t="shared" ref="AS7:BQ7" si="3">+AS8</f>
        <v>6.2719079996137461</v>
      </c>
      <c r="AT7" s="43">
        <f t="shared" si="3"/>
        <v>11.210432002509913</v>
      </c>
      <c r="AU7" s="43">
        <f t="shared" si="3"/>
        <v>70709.869203997281</v>
      </c>
      <c r="AV7" s="43">
        <f t="shared" si="3"/>
        <v>523662.90839880263</v>
      </c>
      <c r="AW7" s="43">
        <f t="shared" si="3"/>
        <v>85667.9885699968</v>
      </c>
      <c r="AX7" s="43">
        <f t="shared" si="3"/>
        <v>1041.3974240010875</v>
      </c>
      <c r="AY7" s="43">
        <f t="shared" si="3"/>
        <v>1337263.6933119979</v>
      </c>
      <c r="AZ7" s="43">
        <f t="shared" si="3"/>
        <v>23267.345377323236</v>
      </c>
      <c r="BA7" s="43">
        <f t="shared" si="3"/>
        <v>201752.54172400691</v>
      </c>
      <c r="BB7" s="43">
        <f t="shared" si="3"/>
        <v>69865.738219991152</v>
      </c>
      <c r="BC7" s="43">
        <f t="shared" si="3"/>
        <v>266514.85684799874</v>
      </c>
      <c r="BD7" s="43">
        <f t="shared" si="3"/>
        <v>17028.486599989839</v>
      </c>
      <c r="BE7" s="43">
        <f t="shared" si="3"/>
        <v>256577.02355368057</v>
      </c>
      <c r="BF7" s="43">
        <f t="shared" si="3"/>
        <v>321936.33416035993</v>
      </c>
      <c r="BG7" s="43">
        <f t="shared" si="3"/>
        <v>35109.232018882758</v>
      </c>
      <c r="BH7" s="43">
        <f t="shared" si="3"/>
        <v>27273.514880002102</v>
      </c>
      <c r="BI7" s="43">
        <f t="shared" si="3"/>
        <v>630661.83776839031</v>
      </c>
      <c r="BJ7" s="43">
        <f t="shared" si="3"/>
        <v>197783.28604456017</v>
      </c>
      <c r="BK7" s="43">
        <f t="shared" si="3"/>
        <v>2995393.833886012</v>
      </c>
      <c r="BL7" s="43">
        <f t="shared" si="3"/>
        <v>112584.33442244606</v>
      </c>
      <c r="BM7" s="43">
        <f t="shared" si="3"/>
        <v>1067341.2298871509</v>
      </c>
      <c r="BN7" s="43">
        <f t="shared" si="3"/>
        <v>4092012.9800073812</v>
      </c>
      <c r="BO7" s="43">
        <f t="shared" si="3"/>
        <v>3.4691202304202307E-3</v>
      </c>
      <c r="BP7" s="43">
        <f t="shared" si="3"/>
        <v>254.83625932906548</v>
      </c>
      <c r="BQ7" s="43">
        <f t="shared" si="3"/>
        <v>4.0128798844989433E-3</v>
      </c>
      <c r="BR7" s="43">
        <f>+[1]Otrosbancos!$B$49</f>
        <v>2823952.5</v>
      </c>
      <c r="BS7" s="43">
        <f>+BS8</f>
        <v>12073313.981113592</v>
      </c>
      <c r="BT7" s="43">
        <f>+[1]Otrosbancos!$B$51</f>
        <v>698632.06</v>
      </c>
      <c r="BU7" s="43">
        <f>+BU8</f>
        <v>3058915.173014292</v>
      </c>
      <c r="BV7" s="43">
        <f>+BV8+BV5</f>
        <v>8507.7518600000003</v>
      </c>
      <c r="BW7" s="43">
        <f>+BW8+BW5</f>
        <v>1086756.8999900005</v>
      </c>
      <c r="BX7" s="43">
        <f>+BX8+BX5</f>
        <v>12663.664475599246</v>
      </c>
      <c r="BY7" s="43">
        <f>+[1]Otrosbancos!$B$5</f>
        <v>658125.71100000001</v>
      </c>
      <c r="BZ7" s="43">
        <f>+[1]Otrosbancos!$B$10</f>
        <v>6137787.8099999996</v>
      </c>
      <c r="CA7" s="43">
        <f>+[1]Otrosbancos!$B$15</f>
        <v>4722651.8540000003</v>
      </c>
      <c r="CB7" s="43">
        <f>+[1]Otrosbancos!$B$23</f>
        <v>18618.565999999999</v>
      </c>
      <c r="CC7" s="43">
        <f>+[1]Otrosbancos!$B$26</f>
        <v>850464.08299999998</v>
      </c>
      <c r="CD7" s="43">
        <f>+[1]Otrosbancos!$B$29</f>
        <v>0</v>
      </c>
      <c r="CE7" s="43">
        <f>+[1]Otrosbancos!$B$33</f>
        <v>17497.673999999999</v>
      </c>
      <c r="CF7" s="43">
        <f>+[1]Otrosbancos!$B$37</f>
        <v>943662.87558999995</v>
      </c>
      <c r="CG7" s="43">
        <f>+[1]Otrosbancos!$B$41</f>
        <v>162748.57699999999</v>
      </c>
      <c r="CH7" s="43">
        <f>+[1]Otrosbancos!$B$46</f>
        <v>2.9318200000000001</v>
      </c>
      <c r="CI7" s="43">
        <f>+[1]Otrosbancos!$B$54</f>
        <v>818703.37100000004</v>
      </c>
      <c r="CJ7" s="43">
        <f>+[1]Otrosbancos!$B$56</f>
        <v>140162.48300000001</v>
      </c>
      <c r="CK7" s="43">
        <f>+[1]Liberty!$B$3</f>
        <v>0</v>
      </c>
      <c r="CL7" s="43">
        <f>+[1]Liberty!$B$4</f>
        <v>0</v>
      </c>
      <c r="CM7" s="43">
        <f>+[1]Liberty!$B$6</f>
        <v>79545.214000000007</v>
      </c>
      <c r="CN7" s="43">
        <f>+[1]Liberty!$B$8</f>
        <v>662631.23607999994</v>
      </c>
      <c r="CO7" s="43">
        <f>+[1]Liberty!$B$10</f>
        <v>736440.24595999997</v>
      </c>
      <c r="CP7" s="43">
        <f>+[1]Liberty!$B$12</f>
        <v>9152723.6699999999</v>
      </c>
      <c r="CQ7" s="43">
        <f>+[1]Liberty!$B$13</f>
        <v>378135.14942999999</v>
      </c>
      <c r="CR7" s="43">
        <f>+[1]Otrosbancos!$B$58</f>
        <v>2701872.3746799999</v>
      </c>
      <c r="CS7" s="43">
        <v>0</v>
      </c>
      <c r="CT7" s="43">
        <v>0</v>
      </c>
      <c r="CU7" s="43">
        <v>0</v>
      </c>
      <c r="CV7" s="43">
        <v>0</v>
      </c>
      <c r="CW7" s="43">
        <f>SUM(D7:CV7)</f>
        <v>393782450.58911651</v>
      </c>
    </row>
    <row r="8" spans="1:101" x14ac:dyDescent="0.25">
      <c r="A8" s="41"/>
      <c r="B8" s="44" t="s">
        <v>96</v>
      </c>
      <c r="C8" s="45" t="s">
        <v>97</v>
      </c>
      <c r="D8" s="45">
        <f>+'[2]Abr, 30'!D40</f>
        <v>560466.00620000041</v>
      </c>
      <c r="E8" s="45">
        <f>+'[2]Abr, 30'!E40</f>
        <v>31495361.868164565</v>
      </c>
      <c r="F8" s="45">
        <f>+'[2]Abr, 30'!F40</f>
        <v>11946071.556641512</v>
      </c>
      <c r="G8" s="45">
        <f>+'[2]Abr, 30'!G40</f>
        <v>0</v>
      </c>
      <c r="H8" s="45">
        <f>+'[2]Abr, 30'!H40</f>
        <v>0</v>
      </c>
      <c r="I8" s="45">
        <f>+'[2]Abr, 30'!I40</f>
        <v>112590.34109999426</v>
      </c>
      <c r="J8" s="45">
        <f>+'[2]Abr, 30'!J40</f>
        <v>0</v>
      </c>
      <c r="K8" s="45">
        <f>+'[2]Abr, 30'!K40</f>
        <v>103742.76066214308</v>
      </c>
      <c r="L8" s="45">
        <f>+'[2]Abr, 30'!L40</f>
        <v>211772.73476328666</v>
      </c>
      <c r="M8" s="45">
        <f>+'[2]Abr, 30'!M40</f>
        <v>139300.65666486631</v>
      </c>
      <c r="N8" s="45">
        <f>+'[2]Abr, 30'!N40</f>
        <v>177310.5199999999</v>
      </c>
      <c r="O8" s="45">
        <f>+'[2]Abr, 30'!O40</f>
        <v>743248.15264999995</v>
      </c>
      <c r="P8" s="45">
        <f>+'[2]Abr, 30'!P40</f>
        <v>34720769.030000009</v>
      </c>
      <c r="Q8" s="45">
        <f>+'[2]Abr, 30'!Q40</f>
        <v>148205796.96908727</v>
      </c>
      <c r="R8" s="45">
        <f>+'[2]Abr, 30'!R40</f>
        <v>195996.65999999995</v>
      </c>
      <c r="S8" s="45">
        <f>+'[2]Abr, 30'!S40</f>
        <v>1127799.1013787994</v>
      </c>
      <c r="T8" s="45">
        <f>+'[2]Abr, 30'!T40</f>
        <v>0</v>
      </c>
      <c r="U8" s="45">
        <f>+'[2]Abr, 30'!U40</f>
        <v>0</v>
      </c>
      <c r="V8" s="45">
        <f>+'[2]Abr, 30'!V40</f>
        <v>0</v>
      </c>
      <c r="W8" s="45">
        <f>+'[2]Abr, 30'!W40</f>
        <v>0</v>
      </c>
      <c r="X8" s="45">
        <f>+'[2]Abr, 30'!X40</f>
        <v>0</v>
      </c>
      <c r="Y8" s="45">
        <f>+'[2]Abr, 30'!Y40</f>
        <v>0</v>
      </c>
      <c r="Z8" s="45">
        <f>+'[2]Abr, 30'!Z40</f>
        <v>9662.5274983807467</v>
      </c>
      <c r="AA8" s="45">
        <f>+'[2]Abr, 30'!AA40</f>
        <v>40503.29</v>
      </c>
      <c r="AB8" s="45">
        <f>+'[2]Abr, 30'!AB40</f>
        <v>7542.7499999967404</v>
      </c>
      <c r="AC8" s="45">
        <f>+'[2]Abr, 30'!AC40</f>
        <v>31617.62</v>
      </c>
      <c r="AD8" s="45">
        <f>+'[2]Abr, 30'!AD40</f>
        <v>5155</v>
      </c>
      <c r="AE8" s="45">
        <f>+'[2]Abr, 30'!AE40</f>
        <v>21608.68</v>
      </c>
      <c r="AF8" s="45">
        <f>+'[2]Abr, 30'!AF40</f>
        <v>7956.8699999451637</v>
      </c>
      <c r="AG8" s="45">
        <f>+'[2]Abr, 30'!AG40</f>
        <v>33353.53</v>
      </c>
      <c r="AH8" s="45">
        <f>+'[2]Abr, 30'!AH40</f>
        <v>203175.47999999719</v>
      </c>
      <c r="AI8" s="45">
        <f>+'[2]Abr, 30'!AI40</f>
        <v>851645.451214</v>
      </c>
      <c r="AJ8" s="45">
        <f>+'[2]Abr, 30'!AJ40</f>
        <v>673596.71999999823</v>
      </c>
      <c r="AK8" s="45">
        <f>+'[2]Abr, 30'!AK40</f>
        <v>2823324.1679230896</v>
      </c>
      <c r="AL8" s="45">
        <f>+'[2]Abr, 30'!AL40</f>
        <v>45808232.364840075</v>
      </c>
      <c r="AM8" s="45">
        <f>+'[2]Abr, 30'!AM40</f>
        <v>59156998.799813539</v>
      </c>
      <c r="AN8" s="45">
        <f>+'[2]Abr, 30'!AN40</f>
        <v>6399996.8199400008</v>
      </c>
      <c r="AO8" s="45">
        <f>+'[2]Abr, 30'!AO40</f>
        <v>809966.41413143976</v>
      </c>
      <c r="AP8" s="45">
        <f>+'[2]Abr, 30'!AP40</f>
        <v>12118432.359733757</v>
      </c>
      <c r="AQ8" s="45">
        <f>+'[2]Abr, 30'!AQ40</f>
        <v>2167313.3240721608</v>
      </c>
      <c r="AR8" s="45">
        <f>+'[2]Abr, 30'!AR40</f>
        <v>33752.683643993005</v>
      </c>
      <c r="AS8" s="45">
        <f>+'[2]Abr, 30'!AS40</f>
        <v>6.2719079996137461</v>
      </c>
      <c r="AT8" s="45">
        <f>+'[2]Abr, 30'!AT40</f>
        <v>11.210432002509913</v>
      </c>
      <c r="AU8" s="45">
        <f>+'[2]Abr, 30'!AU40</f>
        <v>70709.869203997281</v>
      </c>
      <c r="AV8" s="45">
        <f>+'[2]Abr, 30'!AV40</f>
        <v>523662.90839880263</v>
      </c>
      <c r="AW8" s="45">
        <f>+'[2]Abr, 30'!AW40</f>
        <v>85667.9885699968</v>
      </c>
      <c r="AX8" s="45">
        <f>+'[2]Abr, 30'!AX40</f>
        <v>1041.3974240010875</v>
      </c>
      <c r="AY8" s="45">
        <f>+'[2]Abr, 30'!AY40</f>
        <v>1337263.6933119979</v>
      </c>
      <c r="AZ8" s="45">
        <f>+'[2]Abr, 30'!AZ40</f>
        <v>23267.345377323236</v>
      </c>
      <c r="BA8" s="45">
        <f>+'[2]Abr, 30'!BA40</f>
        <v>201752.54172400691</v>
      </c>
      <c r="BB8" s="45">
        <f>+'[2]Abr, 30'!BB40</f>
        <v>69865.738219991152</v>
      </c>
      <c r="BC8" s="45">
        <f>+'[2]Abr, 30'!BC40</f>
        <v>266514.85684799874</v>
      </c>
      <c r="BD8" s="45">
        <f>+'[2]Abr, 30'!BD40</f>
        <v>17028.486599989839</v>
      </c>
      <c r="BE8" s="45">
        <f>+'[2]Abr, 30'!BE40</f>
        <v>256577.02355368057</v>
      </c>
      <c r="BF8" s="45">
        <f>+'[2]Abr, 30'!BF40</f>
        <v>321936.33416035993</v>
      </c>
      <c r="BG8" s="45">
        <f>+'[2]Abr, 30'!BG40</f>
        <v>35109.232018882758</v>
      </c>
      <c r="BH8" s="45">
        <f>+'[2]Abr, 30'!BH40</f>
        <v>27273.514880002102</v>
      </c>
      <c r="BI8" s="45">
        <f>+'[2]Abr, 30'!BI40</f>
        <v>630661.83776839031</v>
      </c>
      <c r="BJ8" s="45">
        <f>+'[2]Abr, 30'!BJ40</f>
        <v>197783.28604456017</v>
      </c>
      <c r="BK8" s="45">
        <f>+'[2]Abr, 30'!BK40</f>
        <v>2995393.833886012</v>
      </c>
      <c r="BL8" s="45">
        <f>+'[2]Abr, 30'!BL40</f>
        <v>112584.33442244606</v>
      </c>
      <c r="BM8" s="45">
        <f>+'[2]Abr, 30'!BM40</f>
        <v>1067341.2298871509</v>
      </c>
      <c r="BN8" s="45">
        <f>+'[2]Abr, 30'!BN40</f>
        <v>4092012.9800073812</v>
      </c>
      <c r="BO8" s="45">
        <f>+'[2]Abr, 30'!BO40</f>
        <v>3.4691202304202307E-3</v>
      </c>
      <c r="BP8" s="45">
        <f>+'[2]Abr, 30'!BP40</f>
        <v>254.83625932906548</v>
      </c>
      <c r="BQ8" s="45">
        <f>+'[2]Abr, 30'!BQ40</f>
        <v>4.0128798844989433E-3</v>
      </c>
      <c r="BR8" s="45">
        <f>+'[2]Abr, 30'!BR40</f>
        <v>2875399.5660000034</v>
      </c>
      <c r="BS8" s="45">
        <f>+'[2]Abr, 30'!BS40</f>
        <v>12073313.981113592</v>
      </c>
      <c r="BT8" s="45">
        <f>+'[2]Abr, 30'!BT40</f>
        <v>728516.08493201912</v>
      </c>
      <c r="BU8" s="45">
        <f>+'[2]Abr, 30'!BU40</f>
        <v>3058915.173014292</v>
      </c>
      <c r="BV8" s="45">
        <f>+'[2]Abr, 30'!BV40</f>
        <v>8507.7518600000003</v>
      </c>
      <c r="BW8" s="45">
        <f>+'[2]Abr, 30'!BW40</f>
        <v>1086756.8999900005</v>
      </c>
      <c r="BX8" s="45">
        <f>+'[2]Abr, 30'!BX40</f>
        <v>12663.664475599246</v>
      </c>
      <c r="BY8" s="45">
        <f>+'[2]Abr, 30'!BY40</f>
        <v>658125.70799999998</v>
      </c>
      <c r="BZ8" s="45">
        <f>+'[2]Abr, 30'!BZ40</f>
        <v>6127827.4040000001</v>
      </c>
      <c r="CA8" s="45">
        <f>+'[2]Abr, 30'!CA40</f>
        <v>4660959.6960000005</v>
      </c>
      <c r="CB8" s="45">
        <f>+'[2]Abr, 30'!CB40</f>
        <v>18618.56624</v>
      </c>
      <c r="CC8" s="45">
        <f>+'[2]Abr, 30'!CC40</f>
        <v>850464.0871799998</v>
      </c>
      <c r="CD8" s="45">
        <f>+'[2]Abr, 30'!CD40</f>
        <v>0</v>
      </c>
      <c r="CE8" s="45">
        <f>+'[2]Abr, 30'!CE40</f>
        <v>17497.673999999999</v>
      </c>
      <c r="CF8" s="45">
        <f>+'[2]Abr, 30'!CF40</f>
        <v>943662.87558999995</v>
      </c>
      <c r="CG8" s="45">
        <f>+'[2]Abr, 30'!CG40</f>
        <v>162748.57699999999</v>
      </c>
      <c r="CH8" s="45">
        <f>+'[2]Abr, 30'!CH40</f>
        <v>2.9318200000000001</v>
      </c>
      <c r="CI8" s="45">
        <f>+'[2]Abr, 30'!CI40</f>
        <v>821321.81099999999</v>
      </c>
      <c r="CJ8" s="45">
        <f>+'[2]Abr, 30'!CJ40</f>
        <v>140162.48335000002</v>
      </c>
      <c r="CK8" s="45">
        <f>+'[2]Abr, 30'!CK40</f>
        <v>0</v>
      </c>
      <c r="CL8" s="45">
        <f>+'[2]Abr, 30'!CL40</f>
        <v>0</v>
      </c>
      <c r="CM8" s="45">
        <f>+'[2]Abr, 30'!CM40</f>
        <v>79545.21415</v>
      </c>
      <c r="CN8" s="45">
        <f>+'[2]Abr, 30'!CN40</f>
        <v>662731.23896999995</v>
      </c>
      <c r="CO8" s="45">
        <f>+'[2]Abr, 30'!CO40</f>
        <v>736440.24131999968</v>
      </c>
      <c r="CP8" s="45">
        <f>+'[2]Abr, 30'!CP40</f>
        <v>9152723.6727600005</v>
      </c>
      <c r="CQ8" s="45">
        <f>+'[2]Abr, 30'!CQ40</f>
        <v>378020.05339999998</v>
      </c>
      <c r="CR8" s="45">
        <f>+'[2]Abr, 30'!CR40</f>
        <v>2701872.374679999</v>
      </c>
      <c r="CS8" s="45">
        <f>+'[2]Abr, 30'!CS40</f>
        <v>5000</v>
      </c>
      <c r="CT8" s="45">
        <f>+'[2]Abr, 30'!CT40</f>
        <v>20468.599999999999</v>
      </c>
      <c r="CU8" s="45">
        <f>+'[2]Abr, 30'!CU40</f>
        <v>5000</v>
      </c>
      <c r="CV8" s="45">
        <f>+'[2]Abr, 30'!CV40</f>
        <v>20468.599999999999</v>
      </c>
      <c r="CW8" s="43">
        <f t="shared" ref="CW8:CW40" si="4">SUM(D8:CV8)</f>
        <v>421285516.89935666</v>
      </c>
    </row>
    <row r="9" spans="1:101" x14ac:dyDescent="0.25">
      <c r="B9" s="46" t="s">
        <v>96</v>
      </c>
      <c r="C9" s="47" t="s">
        <v>98</v>
      </c>
      <c r="D9" s="47">
        <v>30150</v>
      </c>
      <c r="E9" s="48">
        <v>14021764.906789999</v>
      </c>
      <c r="F9" s="48">
        <v>7807589.1146799996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>
        <v>13395.041999999999</v>
      </c>
      <c r="BX9" s="47"/>
      <c r="BY9" s="47">
        <f>IF(BY6&gt;0,BY6,0)</f>
        <v>3.0000000260770321E-3</v>
      </c>
      <c r="BZ9" s="47">
        <f>IF(BZ6&gt;0,BZ6,0)</f>
        <v>9960.4059999994934</v>
      </c>
      <c r="CA9" s="47">
        <f>IF(CA6&gt;0,CA6,0)</f>
        <v>61692.157999999821</v>
      </c>
      <c r="CB9" s="47"/>
      <c r="CC9" s="47">
        <v>29030.771000000001</v>
      </c>
      <c r="CD9" s="47"/>
      <c r="CE9" s="47">
        <f>IF(CE6&gt;0,CE6,0)</f>
        <v>0</v>
      </c>
      <c r="CF9" s="47">
        <f>IF(CF6&gt;0,CF6,0)</f>
        <v>0</v>
      </c>
      <c r="CG9" s="47">
        <f>IF(CG6&gt;0,CG6,0)</f>
        <v>0</v>
      </c>
      <c r="CH9" s="47"/>
      <c r="CI9" s="47">
        <f>IF(CI6&gt;0,CI6,0)</f>
        <v>0</v>
      </c>
      <c r="CJ9" s="47">
        <f>IF(CJ6&gt;0,CJ6,0)</f>
        <v>0</v>
      </c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3">
        <f t="shared" si="4"/>
        <v>21973582.401469998</v>
      </c>
    </row>
    <row r="10" spans="1:101" x14ac:dyDescent="0.25">
      <c r="B10" s="46" t="s">
        <v>99</v>
      </c>
      <c r="C10" s="47" t="s">
        <v>100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>
        <v>-84.25</v>
      </c>
      <c r="BW10" s="47">
        <v>-39.362000000000002</v>
      </c>
      <c r="BX10" s="47"/>
      <c r="BY10" s="47">
        <f>IF(BY6&lt;0,BY6,0)</f>
        <v>0</v>
      </c>
      <c r="BZ10" s="47">
        <f>IF(BZ6&lt;0,BZ6,0)</f>
        <v>0</v>
      </c>
      <c r="CA10" s="47">
        <f>IF(CA6&lt;0,CA6,0)</f>
        <v>0</v>
      </c>
      <c r="CB10" s="47"/>
      <c r="CC10" s="47"/>
      <c r="CD10" s="47"/>
      <c r="CE10" s="47">
        <f>IF(CE6&lt;0,CE6,0)</f>
        <v>0</v>
      </c>
      <c r="CF10" s="47">
        <f>IF(CF6&lt;0,CF6,0)</f>
        <v>0</v>
      </c>
      <c r="CG10" s="47">
        <f>IF(CG6&lt;0,CG6,0)</f>
        <v>0</v>
      </c>
      <c r="CH10" s="47"/>
      <c r="CI10" s="47">
        <f>IF(CI6&lt;0,CI6,0)</f>
        <v>-2618.4399999999441</v>
      </c>
      <c r="CJ10" s="47">
        <f>IF(CJ6&lt;0,CJ6,0)</f>
        <v>-3.5000001662410796E-4</v>
      </c>
      <c r="CK10" s="47"/>
      <c r="CL10" s="47"/>
      <c r="CM10" s="47"/>
      <c r="CN10" s="47"/>
      <c r="CO10" s="47"/>
      <c r="CP10" s="47"/>
      <c r="CQ10" s="47">
        <v>-101.554</v>
      </c>
      <c r="CR10" s="47"/>
      <c r="CS10" s="47"/>
      <c r="CT10" s="47"/>
      <c r="CU10" s="47"/>
      <c r="CV10" s="47"/>
      <c r="CW10" s="43">
        <f t="shared" si="4"/>
        <v>-2843.6063499999609</v>
      </c>
    </row>
    <row r="11" spans="1:101" x14ac:dyDescent="0.25">
      <c r="A11" s="41"/>
      <c r="B11" s="49" t="s">
        <v>99</v>
      </c>
      <c r="C11" s="50" t="s">
        <v>101</v>
      </c>
      <c r="D11" s="50">
        <v>-1367.7813200000001</v>
      </c>
      <c r="E11" s="50">
        <v>-184522.9945400022</v>
      </c>
      <c r="F11" s="50">
        <v>-15266.8691599998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>
        <f>+[1]Otrosbancos!$B$6+[1]Otrosbancos!$B$7</f>
        <v>-74.811000000000007</v>
      </c>
      <c r="BZ11" s="50">
        <f>+[1]Otrosbancos!$B$11+[1]Otrosbancos!$B$12</f>
        <v>-1284584.7849999999</v>
      </c>
      <c r="CA11" s="50">
        <f>+[1]Otrosbancos!$B$16+[1]Otrosbancos!$B$17</f>
        <v>-2933856.801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43">
        <f t="shared" si="4"/>
        <v>-4419674.0420200024</v>
      </c>
    </row>
    <row r="12" spans="1:101" x14ac:dyDescent="0.25">
      <c r="B12" s="46" t="s">
        <v>96</v>
      </c>
      <c r="C12" s="47" t="s">
        <v>102</v>
      </c>
      <c r="D12" s="47">
        <v>1971.0005900000001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1"/>
      <c r="AS12" s="51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3">
        <f t="shared" si="4"/>
        <v>1971.0005900000001</v>
      </c>
    </row>
    <row r="13" spans="1:101" x14ac:dyDescent="0.25">
      <c r="B13" s="46" t="s">
        <v>96</v>
      </c>
      <c r="C13" s="47" t="s">
        <v>103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51"/>
      <c r="AS13" s="51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3">
        <f t="shared" si="4"/>
        <v>0</v>
      </c>
    </row>
    <row r="14" spans="1:101" x14ac:dyDescent="0.25">
      <c r="B14" s="46" t="s">
        <v>96</v>
      </c>
      <c r="C14" s="47" t="s">
        <v>104</v>
      </c>
      <c r="D14" s="47"/>
      <c r="E14" s="47"/>
      <c r="F14" s="47">
        <v>193685.22099999999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51"/>
      <c r="AS14" s="51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3">
        <f t="shared" si="4"/>
        <v>193685.22099999999</v>
      </c>
    </row>
    <row r="15" spans="1:101" x14ac:dyDescent="0.25">
      <c r="B15" s="46" t="s">
        <v>96</v>
      </c>
      <c r="C15" s="47" t="s">
        <v>105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51"/>
      <c r="AS15" s="51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3">
        <f t="shared" si="4"/>
        <v>0</v>
      </c>
    </row>
    <row r="16" spans="1:101" x14ac:dyDescent="0.25">
      <c r="B16" s="46" t="s">
        <v>96</v>
      </c>
      <c r="C16" s="47" t="s">
        <v>106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51"/>
      <c r="AS16" s="51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3">
        <f t="shared" si="4"/>
        <v>0</v>
      </c>
    </row>
    <row r="17" spans="1:101" x14ac:dyDescent="0.25">
      <c r="B17" s="46" t="s">
        <v>99</v>
      </c>
      <c r="C17" s="47" t="s">
        <v>107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51"/>
      <c r="AS17" s="51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3">
        <f t="shared" si="4"/>
        <v>0</v>
      </c>
    </row>
    <row r="18" spans="1:101" x14ac:dyDescent="0.25">
      <c r="B18" s="46" t="s">
        <v>96</v>
      </c>
      <c r="C18" s="47" t="s">
        <v>108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1"/>
      <c r="AS18" s="51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3">
        <f t="shared" si="4"/>
        <v>0</v>
      </c>
    </row>
    <row r="19" spans="1:101" x14ac:dyDescent="0.25">
      <c r="B19" s="46" t="s">
        <v>99</v>
      </c>
      <c r="C19" s="47" t="s">
        <v>109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51"/>
      <c r="AS19" s="51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3">
        <f t="shared" si="4"/>
        <v>0</v>
      </c>
    </row>
    <row r="20" spans="1:101" x14ac:dyDescent="0.25">
      <c r="B20" s="46" t="s">
        <v>99</v>
      </c>
      <c r="C20" s="47" t="s">
        <v>110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51"/>
      <c r="AS20" s="51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3">
        <f t="shared" si="4"/>
        <v>0</v>
      </c>
    </row>
    <row r="21" spans="1:101" x14ac:dyDescent="0.25">
      <c r="B21" s="46" t="s">
        <v>96</v>
      </c>
      <c r="C21" s="47" t="s">
        <v>111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51"/>
      <c r="AS21" s="51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3">
        <f t="shared" si="4"/>
        <v>0</v>
      </c>
    </row>
    <row r="22" spans="1:101" x14ac:dyDescent="0.25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51"/>
      <c r="AS22" s="51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3">
        <f t="shared" si="4"/>
        <v>0</v>
      </c>
    </row>
    <row r="23" spans="1:101" x14ac:dyDescent="0.25">
      <c r="B23" s="46" t="s">
        <v>99</v>
      </c>
      <c r="C23" s="47" t="s">
        <v>112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51"/>
      <c r="AS23" s="51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3">
        <f t="shared" si="4"/>
        <v>0</v>
      </c>
    </row>
    <row r="24" spans="1:101" x14ac:dyDescent="0.25">
      <c r="B24" s="46" t="s">
        <v>99</v>
      </c>
      <c r="C24" s="47" t="s">
        <v>113</v>
      </c>
      <c r="D24" s="47">
        <f>-5.25-1.02</f>
        <v>-6.27</v>
      </c>
      <c r="E24" s="47"/>
      <c r="F24" s="47">
        <v>-18.23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51"/>
      <c r="AS24" s="51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3">
        <f t="shared" si="4"/>
        <v>-24.5</v>
      </c>
    </row>
    <row r="25" spans="1:101" x14ac:dyDescent="0.25">
      <c r="A25" s="41"/>
      <c r="B25" s="52" t="s">
        <v>99</v>
      </c>
      <c r="C25" s="53" t="s">
        <v>114</v>
      </c>
      <c r="D25" s="53">
        <v>-35247.818050000002</v>
      </c>
      <c r="E25" s="53">
        <v>-2988676.0639800001</v>
      </c>
      <c r="F25" s="53">
        <v>-2023902.7561600001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43">
        <f t="shared" si="4"/>
        <v>-5047826.6381900003</v>
      </c>
    </row>
    <row r="26" spans="1:101" x14ac:dyDescent="0.25">
      <c r="B26" s="46"/>
      <c r="C26" s="47" t="s">
        <v>115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51"/>
      <c r="AS26" s="51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3">
        <f t="shared" si="4"/>
        <v>0</v>
      </c>
    </row>
    <row r="27" spans="1:101" x14ac:dyDescent="0.25">
      <c r="B27" s="46" t="s">
        <v>99</v>
      </c>
      <c r="C27" s="47" t="s">
        <v>116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51"/>
      <c r="AS27" s="51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3">
        <f t="shared" si="4"/>
        <v>0</v>
      </c>
    </row>
    <row r="28" spans="1:101" x14ac:dyDescent="0.25">
      <c r="B28" s="47" t="s">
        <v>99</v>
      </c>
      <c r="C28" s="47" t="s">
        <v>117</v>
      </c>
      <c r="D28" s="48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51"/>
      <c r="AS28" s="51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3">
        <f t="shared" si="4"/>
        <v>0</v>
      </c>
    </row>
    <row r="29" spans="1:101" x14ac:dyDescent="0.25">
      <c r="B29" s="47"/>
      <c r="C29" s="47" t="s">
        <v>118</v>
      </c>
      <c r="D29" s="48">
        <v>150</v>
      </c>
      <c r="E29" s="47">
        <v>237.934</v>
      </c>
      <c r="F29" s="47">
        <v>7315.5970100000004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51"/>
      <c r="AS29" s="51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3">
        <f t="shared" si="4"/>
        <v>7703.5310100000006</v>
      </c>
    </row>
    <row r="30" spans="1:101" x14ac:dyDescent="0.25">
      <c r="B30" s="47"/>
      <c r="C30" s="47" t="s">
        <v>119</v>
      </c>
      <c r="D30" s="47"/>
      <c r="E30" s="47">
        <f>-7801241.476-14469976.529</f>
        <v>-22271218.004999999</v>
      </c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51"/>
      <c r="AS30" s="51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3">
        <f t="shared" si="4"/>
        <v>-22271218.004999999</v>
      </c>
    </row>
    <row r="31" spans="1:101" x14ac:dyDescent="0.25">
      <c r="B31" s="47" t="s">
        <v>99</v>
      </c>
      <c r="C31" s="47" t="s">
        <v>120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51"/>
      <c r="AS31" s="51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3">
        <f t="shared" si="4"/>
        <v>0</v>
      </c>
    </row>
    <row r="32" spans="1:101" x14ac:dyDescent="0.25">
      <c r="B32" s="47" t="s">
        <v>99</v>
      </c>
      <c r="C32" s="47" t="s">
        <v>121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51"/>
      <c r="AS32" s="51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3">
        <f t="shared" si="4"/>
        <v>0</v>
      </c>
    </row>
    <row r="33" spans="2:101" x14ac:dyDescent="0.25">
      <c r="B33" s="47" t="s">
        <v>99</v>
      </c>
      <c r="C33" s="47" t="s">
        <v>122</v>
      </c>
      <c r="D33" s="47"/>
      <c r="E33" s="47"/>
      <c r="F33" s="47">
        <f>-4410.4-73.6-73.6</f>
        <v>-4557.6000000000004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51"/>
      <c r="AS33" s="51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3">
        <f t="shared" si="4"/>
        <v>-4557.6000000000004</v>
      </c>
    </row>
    <row r="34" spans="2:101" x14ac:dyDescent="0.25">
      <c r="B34" s="54" t="s">
        <v>99</v>
      </c>
      <c r="C34" s="55" t="s">
        <v>123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43">
        <f t="shared" si="4"/>
        <v>0</v>
      </c>
    </row>
    <row r="35" spans="2:101" x14ac:dyDescent="0.25">
      <c r="B35" s="54" t="s">
        <v>99</v>
      </c>
      <c r="C35" s="55" t="s">
        <v>124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43">
        <f t="shared" si="4"/>
        <v>0</v>
      </c>
    </row>
    <row r="36" spans="2:101" ht="15.75" thickBot="1" x14ac:dyDescent="0.3">
      <c r="B36" s="56"/>
      <c r="C36" s="57" t="s">
        <v>125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43">
        <f t="shared" si="4"/>
        <v>0</v>
      </c>
    </row>
    <row r="37" spans="2:101" x14ac:dyDescent="0.25">
      <c r="B37" s="58"/>
      <c r="C37" s="59" t="s">
        <v>126</v>
      </c>
      <c r="D37" s="59">
        <f>SUM(D9:D36)</f>
        <v>-4350.8687800000043</v>
      </c>
      <c r="E37" s="59">
        <f>SUM(E9:E36)</f>
        <v>-11422414.222730001</v>
      </c>
      <c r="F37" s="59">
        <f>SUM(F9:F35)</f>
        <v>5964844.4773699986</v>
      </c>
      <c r="G37" s="59">
        <f t="shared" ref="G37" si="5">SUM(G9:G36)</f>
        <v>0</v>
      </c>
      <c r="H37" s="59">
        <f t="shared" ref="H37:BS37" si="6">SUM(H9:H36)</f>
        <v>0</v>
      </c>
      <c r="I37" s="59">
        <f t="shared" si="6"/>
        <v>0</v>
      </c>
      <c r="J37" s="59">
        <f t="shared" si="6"/>
        <v>0</v>
      </c>
      <c r="K37" s="59">
        <f t="shared" si="6"/>
        <v>0</v>
      </c>
      <c r="L37" s="59">
        <f t="shared" si="6"/>
        <v>0</v>
      </c>
      <c r="M37" s="59">
        <f t="shared" si="6"/>
        <v>0</v>
      </c>
      <c r="N37" s="59">
        <f t="shared" si="6"/>
        <v>0</v>
      </c>
      <c r="O37" s="59">
        <f t="shared" si="6"/>
        <v>0</v>
      </c>
      <c r="P37" s="59">
        <f t="shared" si="6"/>
        <v>0</v>
      </c>
      <c r="Q37" s="59">
        <f t="shared" si="6"/>
        <v>0</v>
      </c>
      <c r="R37" s="59">
        <f t="shared" si="6"/>
        <v>0</v>
      </c>
      <c r="S37" s="59">
        <f t="shared" si="6"/>
        <v>0</v>
      </c>
      <c r="T37" s="59">
        <f t="shared" si="6"/>
        <v>0</v>
      </c>
      <c r="U37" s="59">
        <f t="shared" si="6"/>
        <v>0</v>
      </c>
      <c r="V37" s="59">
        <f t="shared" si="6"/>
        <v>0</v>
      </c>
      <c r="W37" s="59">
        <f t="shared" si="6"/>
        <v>0</v>
      </c>
      <c r="X37" s="59">
        <f t="shared" si="6"/>
        <v>0</v>
      </c>
      <c r="Y37" s="59">
        <f t="shared" si="6"/>
        <v>0</v>
      </c>
      <c r="Z37" s="59">
        <f t="shared" si="6"/>
        <v>0</v>
      </c>
      <c r="AA37" s="59">
        <f t="shared" si="6"/>
        <v>0</v>
      </c>
      <c r="AB37" s="59">
        <f t="shared" si="6"/>
        <v>0</v>
      </c>
      <c r="AC37" s="59">
        <f t="shared" si="6"/>
        <v>0</v>
      </c>
      <c r="AD37" s="59">
        <f t="shared" si="6"/>
        <v>0</v>
      </c>
      <c r="AE37" s="59">
        <f t="shared" si="6"/>
        <v>0</v>
      </c>
      <c r="AF37" s="59">
        <f t="shared" si="6"/>
        <v>0</v>
      </c>
      <c r="AG37" s="59">
        <f t="shared" si="6"/>
        <v>0</v>
      </c>
      <c r="AH37" s="59">
        <f t="shared" si="6"/>
        <v>0</v>
      </c>
      <c r="AI37" s="59">
        <f t="shared" si="6"/>
        <v>0</v>
      </c>
      <c r="AJ37" s="59">
        <f t="shared" si="6"/>
        <v>0</v>
      </c>
      <c r="AK37" s="59">
        <f t="shared" si="6"/>
        <v>0</v>
      </c>
      <c r="AL37" s="59">
        <f t="shared" si="6"/>
        <v>0</v>
      </c>
      <c r="AM37" s="59">
        <f t="shared" si="6"/>
        <v>0</v>
      </c>
      <c r="AN37" s="59">
        <f t="shared" si="6"/>
        <v>0</v>
      </c>
      <c r="AO37" s="59">
        <f t="shared" si="6"/>
        <v>0</v>
      </c>
      <c r="AP37" s="59">
        <f t="shared" si="6"/>
        <v>0</v>
      </c>
      <c r="AQ37" s="59">
        <f t="shared" si="6"/>
        <v>0</v>
      </c>
      <c r="AR37" s="59">
        <f t="shared" si="6"/>
        <v>0</v>
      </c>
      <c r="AS37" s="59">
        <f t="shared" si="6"/>
        <v>0</v>
      </c>
      <c r="AT37" s="59">
        <f t="shared" si="6"/>
        <v>0</v>
      </c>
      <c r="AU37" s="59">
        <f t="shared" si="6"/>
        <v>0</v>
      </c>
      <c r="AV37" s="59">
        <f t="shared" si="6"/>
        <v>0</v>
      </c>
      <c r="AW37" s="59">
        <f t="shared" si="6"/>
        <v>0</v>
      </c>
      <c r="AX37" s="59">
        <f t="shared" si="6"/>
        <v>0</v>
      </c>
      <c r="AY37" s="59">
        <f t="shared" si="6"/>
        <v>0</v>
      </c>
      <c r="AZ37" s="59">
        <f t="shared" si="6"/>
        <v>0</v>
      </c>
      <c r="BA37" s="59">
        <f t="shared" si="6"/>
        <v>0</v>
      </c>
      <c r="BB37" s="59">
        <f t="shared" si="6"/>
        <v>0</v>
      </c>
      <c r="BC37" s="59">
        <f t="shared" si="6"/>
        <v>0</v>
      </c>
      <c r="BD37" s="59">
        <f t="shared" si="6"/>
        <v>0</v>
      </c>
      <c r="BE37" s="59">
        <f t="shared" si="6"/>
        <v>0</v>
      </c>
      <c r="BF37" s="59">
        <f t="shared" si="6"/>
        <v>0</v>
      </c>
      <c r="BG37" s="59">
        <f t="shared" si="6"/>
        <v>0</v>
      </c>
      <c r="BH37" s="59">
        <f t="shared" si="6"/>
        <v>0</v>
      </c>
      <c r="BI37" s="59">
        <f t="shared" si="6"/>
        <v>0</v>
      </c>
      <c r="BJ37" s="59">
        <f t="shared" si="6"/>
        <v>0</v>
      </c>
      <c r="BK37" s="59">
        <f t="shared" si="6"/>
        <v>0</v>
      </c>
      <c r="BL37" s="59">
        <f t="shared" si="6"/>
        <v>0</v>
      </c>
      <c r="BM37" s="59">
        <f t="shared" si="6"/>
        <v>0</v>
      </c>
      <c r="BN37" s="59">
        <f t="shared" si="6"/>
        <v>0</v>
      </c>
      <c r="BO37" s="59">
        <f t="shared" si="6"/>
        <v>0</v>
      </c>
      <c r="BP37" s="59">
        <f t="shared" si="6"/>
        <v>0</v>
      </c>
      <c r="BQ37" s="59">
        <f t="shared" si="6"/>
        <v>0</v>
      </c>
      <c r="BR37" s="59">
        <f t="shared" si="6"/>
        <v>0</v>
      </c>
      <c r="BS37" s="59">
        <f t="shared" si="6"/>
        <v>0</v>
      </c>
      <c r="BT37" s="59">
        <f t="shared" ref="BT37:CV37" si="7">SUM(BT9:BT36)</f>
        <v>0</v>
      </c>
      <c r="BU37" s="59">
        <f t="shared" si="7"/>
        <v>0</v>
      </c>
      <c r="BV37" s="59">
        <f t="shared" si="7"/>
        <v>-84.25</v>
      </c>
      <c r="BW37" s="59">
        <f t="shared" si="7"/>
        <v>13355.68</v>
      </c>
      <c r="BX37" s="59">
        <f t="shared" si="7"/>
        <v>0</v>
      </c>
      <c r="BY37" s="59">
        <f t="shared" si="7"/>
        <v>-74.80799999997393</v>
      </c>
      <c r="BZ37" s="59">
        <f t="shared" si="7"/>
        <v>-1274624.3790000004</v>
      </c>
      <c r="CA37" s="59">
        <f t="shared" si="7"/>
        <v>-2872164.6430000002</v>
      </c>
      <c r="CB37" s="59">
        <f t="shared" si="7"/>
        <v>0</v>
      </c>
      <c r="CC37" s="59">
        <f t="shared" si="7"/>
        <v>29030.771000000001</v>
      </c>
      <c r="CD37" s="59">
        <f t="shared" si="7"/>
        <v>0</v>
      </c>
      <c r="CE37" s="59">
        <f t="shared" si="7"/>
        <v>0</v>
      </c>
      <c r="CF37" s="59">
        <f t="shared" si="7"/>
        <v>0</v>
      </c>
      <c r="CG37" s="59">
        <f t="shared" si="7"/>
        <v>0</v>
      </c>
      <c r="CH37" s="59">
        <f t="shared" si="7"/>
        <v>0</v>
      </c>
      <c r="CI37" s="59">
        <f t="shared" si="7"/>
        <v>-2618.4399999999441</v>
      </c>
      <c r="CJ37" s="59">
        <f t="shared" si="7"/>
        <v>-3.5000001662410796E-4</v>
      </c>
      <c r="CK37" s="59">
        <f t="shared" si="7"/>
        <v>0</v>
      </c>
      <c r="CL37" s="59">
        <f t="shared" si="7"/>
        <v>0</v>
      </c>
      <c r="CM37" s="59">
        <f t="shared" si="7"/>
        <v>0</v>
      </c>
      <c r="CN37" s="59">
        <f t="shared" si="7"/>
        <v>0</v>
      </c>
      <c r="CO37" s="59">
        <f t="shared" si="7"/>
        <v>0</v>
      </c>
      <c r="CP37" s="59">
        <f t="shared" si="7"/>
        <v>0</v>
      </c>
      <c r="CQ37" s="59">
        <f t="shared" si="7"/>
        <v>-101.554</v>
      </c>
      <c r="CR37" s="59">
        <f t="shared" si="7"/>
        <v>0</v>
      </c>
      <c r="CS37" s="59">
        <f t="shared" si="7"/>
        <v>0</v>
      </c>
      <c r="CT37" s="59">
        <f t="shared" si="7"/>
        <v>0</v>
      </c>
      <c r="CU37" s="59">
        <f t="shared" si="7"/>
        <v>0</v>
      </c>
      <c r="CV37" s="59">
        <f t="shared" si="7"/>
        <v>0</v>
      </c>
      <c r="CW37" s="43">
        <f t="shared" si="4"/>
        <v>-9569202.2374900039</v>
      </c>
    </row>
    <row r="38" spans="2:101" x14ac:dyDescent="0.25">
      <c r="B38" s="60"/>
      <c r="C38" s="61" t="s">
        <v>127</v>
      </c>
      <c r="D38" s="61">
        <f>+D37+D8</f>
        <v>556115.13742000039</v>
      </c>
      <c r="E38" s="61">
        <f>+E37+E8</f>
        <v>20072947.645434566</v>
      </c>
      <c r="F38" s="61">
        <f>+F37+F8</f>
        <v>17910916.034011509</v>
      </c>
      <c r="G38" s="61">
        <f t="shared" ref="G38" si="8">+G37+G8</f>
        <v>0</v>
      </c>
      <c r="H38" s="61">
        <f t="shared" ref="H38:BS38" si="9">+H37+H8</f>
        <v>0</v>
      </c>
      <c r="I38" s="61">
        <f t="shared" si="9"/>
        <v>112590.34109999426</v>
      </c>
      <c r="J38" s="61">
        <f t="shared" si="9"/>
        <v>0</v>
      </c>
      <c r="K38" s="61">
        <f t="shared" si="9"/>
        <v>103742.76066214308</v>
      </c>
      <c r="L38" s="61">
        <f t="shared" si="9"/>
        <v>211772.73476328666</v>
      </c>
      <c r="M38" s="61">
        <f t="shared" si="9"/>
        <v>139300.65666486631</v>
      </c>
      <c r="N38" s="61">
        <f t="shared" si="9"/>
        <v>177310.5199999999</v>
      </c>
      <c r="O38" s="61">
        <f t="shared" si="9"/>
        <v>743248.15264999995</v>
      </c>
      <c r="P38" s="61">
        <f t="shared" si="9"/>
        <v>34720769.030000009</v>
      </c>
      <c r="Q38" s="61">
        <f t="shared" si="9"/>
        <v>148205796.96908727</v>
      </c>
      <c r="R38" s="61">
        <f t="shared" si="9"/>
        <v>195996.65999999995</v>
      </c>
      <c r="S38" s="61">
        <f t="shared" si="9"/>
        <v>1127799.1013787994</v>
      </c>
      <c r="T38" s="61">
        <f t="shared" si="9"/>
        <v>0</v>
      </c>
      <c r="U38" s="61">
        <f t="shared" si="9"/>
        <v>0</v>
      </c>
      <c r="V38" s="61">
        <f t="shared" si="9"/>
        <v>0</v>
      </c>
      <c r="W38" s="61">
        <f t="shared" si="9"/>
        <v>0</v>
      </c>
      <c r="X38" s="61">
        <f t="shared" si="9"/>
        <v>0</v>
      </c>
      <c r="Y38" s="61">
        <f t="shared" si="9"/>
        <v>0</v>
      </c>
      <c r="Z38" s="61">
        <f t="shared" si="9"/>
        <v>9662.5274983807467</v>
      </c>
      <c r="AA38" s="61">
        <f t="shared" si="9"/>
        <v>40503.29</v>
      </c>
      <c r="AB38" s="61">
        <f t="shared" si="9"/>
        <v>7542.7499999967404</v>
      </c>
      <c r="AC38" s="61">
        <f t="shared" si="9"/>
        <v>31617.62</v>
      </c>
      <c r="AD38" s="61">
        <f t="shared" si="9"/>
        <v>5155</v>
      </c>
      <c r="AE38" s="61">
        <f t="shared" si="9"/>
        <v>21608.68</v>
      </c>
      <c r="AF38" s="61">
        <f t="shared" si="9"/>
        <v>7956.8699999451637</v>
      </c>
      <c r="AG38" s="61">
        <f t="shared" si="9"/>
        <v>33353.53</v>
      </c>
      <c r="AH38" s="61">
        <f t="shared" si="9"/>
        <v>203175.47999999719</v>
      </c>
      <c r="AI38" s="61">
        <f t="shared" si="9"/>
        <v>851645.451214</v>
      </c>
      <c r="AJ38" s="61">
        <f t="shared" si="9"/>
        <v>673596.71999999823</v>
      </c>
      <c r="AK38" s="61">
        <f t="shared" si="9"/>
        <v>2823324.1679230896</v>
      </c>
      <c r="AL38" s="61">
        <f t="shared" si="9"/>
        <v>45808232.364840075</v>
      </c>
      <c r="AM38" s="61">
        <f t="shared" si="9"/>
        <v>59156998.799813539</v>
      </c>
      <c r="AN38" s="61">
        <f t="shared" si="9"/>
        <v>6399996.8199400008</v>
      </c>
      <c r="AO38" s="61">
        <f t="shared" si="9"/>
        <v>809966.41413143976</v>
      </c>
      <c r="AP38" s="61">
        <f t="shared" si="9"/>
        <v>12118432.359733757</v>
      </c>
      <c r="AQ38" s="61">
        <f t="shared" si="9"/>
        <v>2167313.3240721608</v>
      </c>
      <c r="AR38" s="61">
        <f t="shared" si="9"/>
        <v>33752.683643993005</v>
      </c>
      <c r="AS38" s="61">
        <f t="shared" si="9"/>
        <v>6.2719079996137461</v>
      </c>
      <c r="AT38" s="61">
        <f t="shared" si="9"/>
        <v>11.210432002509913</v>
      </c>
      <c r="AU38" s="61">
        <f t="shared" si="9"/>
        <v>70709.869203997281</v>
      </c>
      <c r="AV38" s="61">
        <f t="shared" si="9"/>
        <v>523662.90839880263</v>
      </c>
      <c r="AW38" s="61">
        <f t="shared" si="9"/>
        <v>85667.9885699968</v>
      </c>
      <c r="AX38" s="61">
        <f t="shared" si="9"/>
        <v>1041.3974240010875</v>
      </c>
      <c r="AY38" s="61">
        <f t="shared" si="9"/>
        <v>1337263.6933119979</v>
      </c>
      <c r="AZ38" s="61">
        <f t="shared" si="9"/>
        <v>23267.345377323236</v>
      </c>
      <c r="BA38" s="61">
        <f t="shared" si="9"/>
        <v>201752.54172400691</v>
      </c>
      <c r="BB38" s="61">
        <f t="shared" si="9"/>
        <v>69865.738219991152</v>
      </c>
      <c r="BC38" s="61">
        <f t="shared" si="9"/>
        <v>266514.85684799874</v>
      </c>
      <c r="BD38" s="61">
        <f t="shared" si="9"/>
        <v>17028.486599989839</v>
      </c>
      <c r="BE38" s="61">
        <f t="shared" si="9"/>
        <v>256577.02355368057</v>
      </c>
      <c r="BF38" s="61">
        <f t="shared" si="9"/>
        <v>321936.33416035993</v>
      </c>
      <c r="BG38" s="61">
        <f t="shared" si="9"/>
        <v>35109.232018882758</v>
      </c>
      <c r="BH38" s="61">
        <f t="shared" si="9"/>
        <v>27273.514880002102</v>
      </c>
      <c r="BI38" s="61">
        <f t="shared" si="9"/>
        <v>630661.83776839031</v>
      </c>
      <c r="BJ38" s="61">
        <f t="shared" si="9"/>
        <v>197783.28604456017</v>
      </c>
      <c r="BK38" s="61">
        <f t="shared" si="9"/>
        <v>2995393.833886012</v>
      </c>
      <c r="BL38" s="61">
        <f t="shared" si="9"/>
        <v>112584.33442244606</v>
      </c>
      <c r="BM38" s="61">
        <f t="shared" si="9"/>
        <v>1067341.2298871509</v>
      </c>
      <c r="BN38" s="61">
        <f t="shared" si="9"/>
        <v>4092012.9800073812</v>
      </c>
      <c r="BO38" s="61">
        <f t="shared" si="9"/>
        <v>3.4691202304202307E-3</v>
      </c>
      <c r="BP38" s="61">
        <f t="shared" si="9"/>
        <v>254.83625932906548</v>
      </c>
      <c r="BQ38" s="61">
        <f t="shared" si="9"/>
        <v>4.0128798844989433E-3</v>
      </c>
      <c r="BR38" s="61">
        <f t="shared" si="9"/>
        <v>2875399.5660000034</v>
      </c>
      <c r="BS38" s="61">
        <f t="shared" si="9"/>
        <v>12073313.981113592</v>
      </c>
      <c r="BT38" s="61">
        <f t="shared" ref="BT38:CV38" si="10">+BT37+BT8</f>
        <v>728516.08493201912</v>
      </c>
      <c r="BU38" s="61">
        <f t="shared" si="10"/>
        <v>3058915.173014292</v>
      </c>
      <c r="BV38" s="61">
        <f t="shared" si="10"/>
        <v>8423.5018600000003</v>
      </c>
      <c r="BW38" s="61">
        <f t="shared" si="10"/>
        <v>1100112.5799900005</v>
      </c>
      <c r="BX38" s="61">
        <f t="shared" si="10"/>
        <v>12663.664475599246</v>
      </c>
      <c r="BY38" s="61">
        <f t="shared" si="10"/>
        <v>658050.9</v>
      </c>
      <c r="BZ38" s="61">
        <f t="shared" si="10"/>
        <v>4853203.0249999994</v>
      </c>
      <c r="CA38" s="61">
        <f t="shared" si="10"/>
        <v>1788795.0530000003</v>
      </c>
      <c r="CB38" s="61">
        <f t="shared" si="10"/>
        <v>18618.56624</v>
      </c>
      <c r="CC38" s="61">
        <f t="shared" si="10"/>
        <v>879494.85817999975</v>
      </c>
      <c r="CD38" s="61">
        <f t="shared" si="10"/>
        <v>0</v>
      </c>
      <c r="CE38" s="61">
        <f t="shared" si="10"/>
        <v>17497.673999999999</v>
      </c>
      <c r="CF38" s="61">
        <f t="shared" si="10"/>
        <v>943662.87558999995</v>
      </c>
      <c r="CG38" s="61">
        <f t="shared" si="10"/>
        <v>162748.57699999999</v>
      </c>
      <c r="CH38" s="61">
        <f t="shared" si="10"/>
        <v>2.9318200000000001</v>
      </c>
      <c r="CI38" s="61">
        <f t="shared" si="10"/>
        <v>818703.37100000004</v>
      </c>
      <c r="CJ38" s="61">
        <f t="shared" si="10"/>
        <v>140162.48300000001</v>
      </c>
      <c r="CK38" s="61">
        <f t="shared" si="10"/>
        <v>0</v>
      </c>
      <c r="CL38" s="61">
        <f t="shared" si="10"/>
        <v>0</v>
      </c>
      <c r="CM38" s="61">
        <f t="shared" si="10"/>
        <v>79545.21415</v>
      </c>
      <c r="CN38" s="61">
        <f t="shared" si="10"/>
        <v>662731.23896999995</v>
      </c>
      <c r="CO38" s="61">
        <f t="shared" si="10"/>
        <v>736440.24131999968</v>
      </c>
      <c r="CP38" s="61">
        <f t="shared" si="10"/>
        <v>9152723.6727600005</v>
      </c>
      <c r="CQ38" s="61">
        <f t="shared" si="10"/>
        <v>377918.49939999997</v>
      </c>
      <c r="CR38" s="61">
        <f t="shared" si="10"/>
        <v>2701872.374679999</v>
      </c>
      <c r="CS38" s="61">
        <f t="shared" si="10"/>
        <v>5000</v>
      </c>
      <c r="CT38" s="61">
        <f t="shared" si="10"/>
        <v>20468.599999999999</v>
      </c>
      <c r="CU38" s="61">
        <f t="shared" si="10"/>
        <v>5000</v>
      </c>
      <c r="CV38" s="61">
        <f t="shared" si="10"/>
        <v>20468.599999999999</v>
      </c>
      <c r="CW38" s="43">
        <f t="shared" si="4"/>
        <v>411716314.66186661</v>
      </c>
    </row>
    <row r="39" spans="2:101" x14ac:dyDescent="0.25">
      <c r="B39" s="62"/>
      <c r="C39" s="63" t="s">
        <v>128</v>
      </c>
      <c r="D39" s="63">
        <v>7000</v>
      </c>
      <c r="E39" s="63">
        <v>-154153.58199999999</v>
      </c>
      <c r="F39" s="63">
        <v>-9987000</v>
      </c>
      <c r="G39" s="63">
        <v>0</v>
      </c>
      <c r="H39" s="63">
        <v>0</v>
      </c>
      <c r="I39" s="63">
        <v>40.204819999999998</v>
      </c>
      <c r="J39" s="63">
        <v>0</v>
      </c>
      <c r="K39" s="63">
        <v>7141.2943840000007</v>
      </c>
      <c r="L39" s="63">
        <v>-7995.314300003567</v>
      </c>
      <c r="M39" s="63">
        <v>3959.7875279999998</v>
      </c>
      <c r="N39" s="63">
        <v>0</v>
      </c>
      <c r="O39" s="63">
        <v>0</v>
      </c>
      <c r="P39" s="63">
        <v>5267606.43</v>
      </c>
      <c r="Q39" s="63">
        <v>22241151.2490675</v>
      </c>
      <c r="R39" s="63">
        <v>619041.36</v>
      </c>
      <c r="S39" s="63">
        <v>2613747.3822599999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40187.06</v>
      </c>
      <c r="AZ39" s="63">
        <v>0</v>
      </c>
      <c r="BA39" s="63">
        <v>67.406999999999996</v>
      </c>
      <c r="BB39" s="63">
        <v>23.353000000000002</v>
      </c>
      <c r="BC39" s="63">
        <v>89.045000000000002</v>
      </c>
      <c r="BD39" s="63">
        <v>5.6890000000000001</v>
      </c>
      <c r="BE39" s="63">
        <v>9.7893399999999993</v>
      </c>
      <c r="BF39" s="63">
        <v>13.215070000000001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40.202520000000007</v>
      </c>
      <c r="BM39" s="63">
        <v>381.13443000000001</v>
      </c>
      <c r="BN39" s="63">
        <v>1461.2087100000001</v>
      </c>
      <c r="BO39" s="63">
        <v>0</v>
      </c>
      <c r="BP39" s="63">
        <v>8.7849999999999998E-2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0</v>
      </c>
      <c r="BX39" s="63">
        <v>0</v>
      </c>
      <c r="BY39" s="63">
        <v>0</v>
      </c>
      <c r="BZ39" s="63">
        <v>650000</v>
      </c>
      <c r="CA39" s="63">
        <v>3200000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43">
        <f t="shared" si="4"/>
        <v>24502817.003679499</v>
      </c>
    </row>
    <row r="40" spans="2:101" ht="15.75" thickBot="1" x14ac:dyDescent="0.3">
      <c r="B40" s="64"/>
      <c r="C40" s="65" t="s">
        <v>129</v>
      </c>
      <c r="D40" s="65">
        <f>+D39+D38</f>
        <v>563115.13742000039</v>
      </c>
      <c r="E40" s="65">
        <f>+E39+E38</f>
        <v>19918794.063434567</v>
      </c>
      <c r="F40" s="65">
        <f>+F39+F38</f>
        <v>7923916.0340115093</v>
      </c>
      <c r="G40" s="65">
        <f t="shared" ref="G40" si="11">+G39+G38</f>
        <v>0</v>
      </c>
      <c r="H40" s="65">
        <f t="shared" ref="H40:BS40" si="12">+H39+H38</f>
        <v>0</v>
      </c>
      <c r="I40" s="65">
        <f t="shared" si="12"/>
        <v>112630.54591999426</v>
      </c>
      <c r="J40" s="65">
        <f t="shared" si="12"/>
        <v>0</v>
      </c>
      <c r="K40" s="65">
        <f t="shared" si="12"/>
        <v>110884.05504614307</v>
      </c>
      <c r="L40" s="65">
        <f t="shared" si="12"/>
        <v>203777.42046328308</v>
      </c>
      <c r="M40" s="65">
        <f t="shared" si="12"/>
        <v>143260.4441928663</v>
      </c>
      <c r="N40" s="65">
        <f t="shared" si="12"/>
        <v>177310.5199999999</v>
      </c>
      <c r="O40" s="65">
        <f t="shared" si="12"/>
        <v>743248.15264999995</v>
      </c>
      <c r="P40" s="65">
        <f t="shared" si="12"/>
        <v>39988375.460000008</v>
      </c>
      <c r="Q40" s="65">
        <f t="shared" si="12"/>
        <v>170446948.21815479</v>
      </c>
      <c r="R40" s="65">
        <f t="shared" si="12"/>
        <v>815038.0199999999</v>
      </c>
      <c r="S40" s="65">
        <f t="shared" si="12"/>
        <v>3741546.4836387993</v>
      </c>
      <c r="T40" s="65">
        <f t="shared" si="12"/>
        <v>0</v>
      </c>
      <c r="U40" s="65">
        <f t="shared" si="12"/>
        <v>0</v>
      </c>
      <c r="V40" s="65">
        <f t="shared" si="12"/>
        <v>0</v>
      </c>
      <c r="W40" s="65">
        <f t="shared" si="12"/>
        <v>0</v>
      </c>
      <c r="X40" s="65">
        <f t="shared" si="12"/>
        <v>0</v>
      </c>
      <c r="Y40" s="65">
        <f t="shared" si="12"/>
        <v>0</v>
      </c>
      <c r="Z40" s="65">
        <f t="shared" si="12"/>
        <v>9662.5274983807467</v>
      </c>
      <c r="AA40" s="65">
        <f t="shared" si="12"/>
        <v>40503.29</v>
      </c>
      <c r="AB40" s="65">
        <f t="shared" si="12"/>
        <v>7542.7499999967404</v>
      </c>
      <c r="AC40" s="65">
        <f t="shared" si="12"/>
        <v>31617.62</v>
      </c>
      <c r="AD40" s="65">
        <f t="shared" si="12"/>
        <v>5155</v>
      </c>
      <c r="AE40" s="65">
        <f t="shared" si="12"/>
        <v>21608.68</v>
      </c>
      <c r="AF40" s="65">
        <f t="shared" si="12"/>
        <v>7956.8699999451637</v>
      </c>
      <c r="AG40" s="65">
        <f t="shared" si="12"/>
        <v>33353.53</v>
      </c>
      <c r="AH40" s="65">
        <f t="shared" si="12"/>
        <v>203175.47999999719</v>
      </c>
      <c r="AI40" s="65">
        <f t="shared" si="12"/>
        <v>851645.451214</v>
      </c>
      <c r="AJ40" s="65">
        <f t="shared" si="12"/>
        <v>673596.71999999823</v>
      </c>
      <c r="AK40" s="65">
        <f t="shared" si="12"/>
        <v>2823324.1679230896</v>
      </c>
      <c r="AL40" s="65">
        <f t="shared" si="12"/>
        <v>45808232.364840075</v>
      </c>
      <c r="AM40" s="65">
        <f t="shared" si="12"/>
        <v>59156998.799813539</v>
      </c>
      <c r="AN40" s="65">
        <f t="shared" si="12"/>
        <v>6399996.8199400008</v>
      </c>
      <c r="AO40" s="65">
        <f t="shared" si="12"/>
        <v>809966.41413143976</v>
      </c>
      <c r="AP40" s="65">
        <f t="shared" si="12"/>
        <v>12118432.359733757</v>
      </c>
      <c r="AQ40" s="65">
        <f t="shared" si="12"/>
        <v>2167313.3240721608</v>
      </c>
      <c r="AR40" s="65">
        <f t="shared" si="12"/>
        <v>33752.683643993005</v>
      </c>
      <c r="AS40" s="65">
        <f t="shared" si="12"/>
        <v>6.2719079996137461</v>
      </c>
      <c r="AT40" s="65">
        <f t="shared" si="12"/>
        <v>11.210432002509913</v>
      </c>
      <c r="AU40" s="65">
        <f t="shared" si="12"/>
        <v>70709.869203997281</v>
      </c>
      <c r="AV40" s="65">
        <f t="shared" si="12"/>
        <v>523662.90839880263</v>
      </c>
      <c r="AW40" s="65">
        <f t="shared" si="12"/>
        <v>85667.9885699968</v>
      </c>
      <c r="AX40" s="65">
        <f t="shared" si="12"/>
        <v>1041.3974240010875</v>
      </c>
      <c r="AY40" s="65">
        <f t="shared" si="12"/>
        <v>1377450.753311998</v>
      </c>
      <c r="AZ40" s="65">
        <f t="shared" si="12"/>
        <v>23267.345377323236</v>
      </c>
      <c r="BA40" s="65">
        <f t="shared" si="12"/>
        <v>201819.94872400691</v>
      </c>
      <c r="BB40" s="65">
        <f t="shared" si="12"/>
        <v>69889.091219991155</v>
      </c>
      <c r="BC40" s="65">
        <f t="shared" si="12"/>
        <v>266603.90184799873</v>
      </c>
      <c r="BD40" s="65">
        <f t="shared" si="12"/>
        <v>17034.175599989838</v>
      </c>
      <c r="BE40" s="65">
        <f t="shared" si="12"/>
        <v>256586.81289368056</v>
      </c>
      <c r="BF40" s="65">
        <f t="shared" si="12"/>
        <v>321949.5492303599</v>
      </c>
      <c r="BG40" s="65">
        <f t="shared" si="12"/>
        <v>35109.232018882758</v>
      </c>
      <c r="BH40" s="65">
        <f t="shared" si="12"/>
        <v>27273.514880002102</v>
      </c>
      <c r="BI40" s="65">
        <f t="shared" si="12"/>
        <v>630661.83776839031</v>
      </c>
      <c r="BJ40" s="65">
        <f t="shared" si="12"/>
        <v>197783.28604456017</v>
      </c>
      <c r="BK40" s="65">
        <f t="shared" si="12"/>
        <v>2995393.833886012</v>
      </c>
      <c r="BL40" s="65">
        <f t="shared" si="12"/>
        <v>112624.53694244607</v>
      </c>
      <c r="BM40" s="65">
        <f t="shared" si="12"/>
        <v>1067722.364317151</v>
      </c>
      <c r="BN40" s="65">
        <f t="shared" si="12"/>
        <v>4093474.1887173811</v>
      </c>
      <c r="BO40" s="65">
        <f t="shared" si="12"/>
        <v>3.4691202304202307E-3</v>
      </c>
      <c r="BP40" s="65">
        <f t="shared" si="12"/>
        <v>254.92410932906549</v>
      </c>
      <c r="BQ40" s="65">
        <f t="shared" si="12"/>
        <v>4.0128798844989433E-3</v>
      </c>
      <c r="BR40" s="65">
        <f t="shared" si="12"/>
        <v>2875399.5660000034</v>
      </c>
      <c r="BS40" s="65">
        <f t="shared" si="12"/>
        <v>12073313.981113592</v>
      </c>
      <c r="BT40" s="65">
        <f t="shared" ref="BT40:CV40" si="13">+BT39+BT38</f>
        <v>728516.08493201912</v>
      </c>
      <c r="BU40" s="65">
        <f t="shared" si="13"/>
        <v>3058915.173014292</v>
      </c>
      <c r="BV40" s="65">
        <f t="shared" si="13"/>
        <v>8423.5018600000003</v>
      </c>
      <c r="BW40" s="65">
        <f t="shared" si="13"/>
        <v>1100112.5799900005</v>
      </c>
      <c r="BX40" s="65">
        <f t="shared" si="13"/>
        <v>12663.664475599246</v>
      </c>
      <c r="BY40" s="65">
        <f t="shared" si="13"/>
        <v>658050.9</v>
      </c>
      <c r="BZ40" s="65">
        <f t="shared" si="13"/>
        <v>5503203.0249999994</v>
      </c>
      <c r="CA40" s="65">
        <f t="shared" si="13"/>
        <v>4988795.0530000003</v>
      </c>
      <c r="CB40" s="65">
        <f t="shared" si="13"/>
        <v>18618.56624</v>
      </c>
      <c r="CC40" s="65">
        <f t="shared" si="13"/>
        <v>879494.85817999975</v>
      </c>
      <c r="CD40" s="65">
        <f t="shared" si="13"/>
        <v>0</v>
      </c>
      <c r="CE40" s="65">
        <f t="shared" si="13"/>
        <v>17497.673999999999</v>
      </c>
      <c r="CF40" s="65">
        <f t="shared" si="13"/>
        <v>943662.87558999995</v>
      </c>
      <c r="CG40" s="65">
        <f t="shared" si="13"/>
        <v>162748.57699999999</v>
      </c>
      <c r="CH40" s="65">
        <f>+CH39+CH38</f>
        <v>2.9318200000000001</v>
      </c>
      <c r="CI40" s="65">
        <f t="shared" si="13"/>
        <v>818703.37100000004</v>
      </c>
      <c r="CJ40" s="65">
        <f t="shared" si="13"/>
        <v>140162.48300000001</v>
      </c>
      <c r="CK40" s="65">
        <f t="shared" si="13"/>
        <v>0</v>
      </c>
      <c r="CL40" s="65">
        <f t="shared" si="13"/>
        <v>0</v>
      </c>
      <c r="CM40" s="65">
        <f t="shared" si="13"/>
        <v>79545.21415</v>
      </c>
      <c r="CN40" s="65">
        <f t="shared" si="13"/>
        <v>662731.23896999995</v>
      </c>
      <c r="CO40" s="65">
        <f t="shared" si="13"/>
        <v>736440.24131999968</v>
      </c>
      <c r="CP40" s="65">
        <f t="shared" si="13"/>
        <v>9152723.6727600005</v>
      </c>
      <c r="CQ40" s="65">
        <f t="shared" si="13"/>
        <v>377918.49939999997</v>
      </c>
      <c r="CR40" s="65">
        <f t="shared" si="13"/>
        <v>2701872.374679999</v>
      </c>
      <c r="CS40" s="65">
        <f t="shared" si="13"/>
        <v>5000</v>
      </c>
      <c r="CT40" s="65">
        <f t="shared" si="13"/>
        <v>20468.599999999999</v>
      </c>
      <c r="CU40" s="65">
        <f t="shared" si="13"/>
        <v>5000</v>
      </c>
      <c r="CV40" s="65">
        <f t="shared" si="13"/>
        <v>20468.599999999999</v>
      </c>
      <c r="CW40" s="43">
        <f t="shared" si="4"/>
        <v>436219131.66554618</v>
      </c>
    </row>
    <row r="41" spans="2:101" ht="15.75" thickBot="1" x14ac:dyDescent="0.3"/>
    <row r="42" spans="2:101" x14ac:dyDescent="0.25">
      <c r="C42" s="67" t="s">
        <v>130</v>
      </c>
      <c r="D42" s="68">
        <f>+D37+D39</f>
        <v>2649.1312199999957</v>
      </c>
      <c r="E42" s="68">
        <f>+E37+E39</f>
        <v>-11576567.804730002</v>
      </c>
      <c r="F42" s="69">
        <f>+F37+F39</f>
        <v>-4022155.5226300014</v>
      </c>
      <c r="G42" s="88">
        <v>20375.599999999999</v>
      </c>
      <c r="H42" s="88">
        <v>20376.599999999999</v>
      </c>
      <c r="I42" s="88">
        <v>20377.599999999999</v>
      </c>
      <c r="J42" s="88">
        <v>20378.599999999999</v>
      </c>
      <c r="K42" s="88">
        <v>20379.599999999999</v>
      </c>
      <c r="L42" s="88">
        <v>20380.599999999999</v>
      </c>
      <c r="M42" s="88">
        <v>20381.599999999999</v>
      </c>
      <c r="N42" s="88">
        <v>20382.599999999999</v>
      </c>
      <c r="O42" s="88">
        <v>20383.599999999999</v>
      </c>
      <c r="P42" s="88">
        <v>20384.599999999999</v>
      </c>
      <c r="Q42" s="88">
        <v>20385.599999999999</v>
      </c>
      <c r="R42" s="88">
        <v>20386.599999999999</v>
      </c>
      <c r="S42" s="88">
        <v>20387.599999999999</v>
      </c>
      <c r="T42" s="88">
        <v>20388.599999999999</v>
      </c>
      <c r="U42" s="88">
        <v>20389.599999999999</v>
      </c>
      <c r="V42" s="88">
        <v>20390.599999999999</v>
      </c>
      <c r="W42" s="88">
        <v>20391.599999999999</v>
      </c>
      <c r="X42" s="88">
        <v>20392.599999999999</v>
      </c>
      <c r="Y42" s="88">
        <v>20393.599999999999</v>
      </c>
      <c r="Z42" s="88">
        <v>20394.599999999999</v>
      </c>
      <c r="AA42" s="88">
        <v>20395.599999999999</v>
      </c>
      <c r="AB42" s="88">
        <v>20396.599999999999</v>
      </c>
      <c r="AC42" s="88">
        <v>20397.599999999999</v>
      </c>
      <c r="AD42" s="88">
        <v>20398.599999999999</v>
      </c>
      <c r="AE42" s="88">
        <v>20399.599999999999</v>
      </c>
      <c r="AF42" s="88">
        <v>20400.599999999999</v>
      </c>
      <c r="AG42" s="88">
        <v>20401.599999999999</v>
      </c>
      <c r="AH42" s="88">
        <v>20402.599999999999</v>
      </c>
      <c r="AI42" s="88">
        <v>20403.599999999999</v>
      </c>
      <c r="AJ42" s="88">
        <v>20404.599999999999</v>
      </c>
      <c r="AK42" s="88">
        <v>20405.599999999999</v>
      </c>
      <c r="AL42" s="88">
        <v>20406.599999999999</v>
      </c>
      <c r="AM42" s="88">
        <v>20407.599999999999</v>
      </c>
      <c r="AN42" s="88">
        <v>20408.599999999999</v>
      </c>
      <c r="AO42" s="88">
        <v>20409.599999999999</v>
      </c>
      <c r="AP42" s="88">
        <v>20410.599999999999</v>
      </c>
      <c r="AQ42" s="88">
        <v>20411.599999999999</v>
      </c>
      <c r="AR42" s="88">
        <v>20412.599999999999</v>
      </c>
      <c r="AS42" s="88">
        <v>20413.599999999999</v>
      </c>
      <c r="AT42" s="88">
        <v>20414.599999999999</v>
      </c>
      <c r="AU42" s="88">
        <v>20415.599999999999</v>
      </c>
      <c r="AV42" s="88">
        <v>20416.599999999999</v>
      </c>
      <c r="AW42" s="88">
        <v>20417.599999999999</v>
      </c>
      <c r="AX42" s="88">
        <v>20418.599999999999</v>
      </c>
      <c r="AY42" s="88">
        <v>20419.599999999999</v>
      </c>
      <c r="AZ42" s="88">
        <v>20420.599999999999</v>
      </c>
      <c r="BA42" s="88">
        <v>20421.599999999999</v>
      </c>
      <c r="BB42" s="88">
        <v>20422.599999999999</v>
      </c>
      <c r="BC42" s="88">
        <v>20423.599999999999</v>
      </c>
      <c r="BD42" s="88">
        <v>20424.599999999999</v>
      </c>
      <c r="BE42" s="88">
        <v>20425.599999999999</v>
      </c>
      <c r="BF42" s="88">
        <v>20426.599999999999</v>
      </c>
      <c r="BG42" s="88">
        <v>20427.599999999999</v>
      </c>
      <c r="BH42" s="88">
        <v>20428.599999999999</v>
      </c>
      <c r="BI42" s="88">
        <v>20429.599999999999</v>
      </c>
      <c r="BJ42" s="88">
        <v>20430.599999999999</v>
      </c>
      <c r="BK42" s="88">
        <v>20431.599999999999</v>
      </c>
      <c r="BL42" s="88">
        <v>20432.599999999999</v>
      </c>
      <c r="BM42" s="88">
        <v>20433.599999999999</v>
      </c>
      <c r="BN42" s="88">
        <v>20434.599999999999</v>
      </c>
      <c r="BO42" s="88">
        <v>20435.599999999999</v>
      </c>
      <c r="BP42" s="88">
        <v>20436.599999999999</v>
      </c>
      <c r="BQ42" s="88">
        <v>20437.599999999999</v>
      </c>
      <c r="BR42" s="88">
        <v>20438.599999999999</v>
      </c>
      <c r="BS42" s="88">
        <v>20439.599999999999</v>
      </c>
      <c r="BT42" s="88">
        <v>20440.599999999999</v>
      </c>
      <c r="BU42" s="88">
        <v>20441.599999999999</v>
      </c>
      <c r="BV42" s="88">
        <v>20442.599999999999</v>
      </c>
      <c r="BW42" s="88">
        <v>20443.599999999999</v>
      </c>
      <c r="BX42" s="88">
        <v>20444.599999999999</v>
      </c>
      <c r="BY42" s="88">
        <v>20445.599999999999</v>
      </c>
      <c r="BZ42" s="88">
        <v>20446.599999999999</v>
      </c>
      <c r="CA42" s="88">
        <v>20447.599999999999</v>
      </c>
      <c r="CB42" s="88">
        <v>20448.599999999999</v>
      </c>
      <c r="CC42" s="88">
        <v>20449.599999999999</v>
      </c>
      <c r="CD42" s="88">
        <v>20450.599999999999</v>
      </c>
      <c r="CE42" s="88">
        <v>20451.599999999999</v>
      </c>
      <c r="CF42" s="88">
        <v>20452.599999999999</v>
      </c>
      <c r="CG42" s="88">
        <v>20453.599999999999</v>
      </c>
      <c r="CH42" s="88">
        <v>20454.599999999999</v>
      </c>
      <c r="CI42" s="88">
        <v>20455.599999999999</v>
      </c>
      <c r="CJ42" s="88">
        <v>20456.599999999999</v>
      </c>
      <c r="CK42" s="88">
        <v>20457.599999999999</v>
      </c>
      <c r="CL42" s="88">
        <v>20458.599999999999</v>
      </c>
      <c r="CM42" s="88">
        <v>20459.599999999999</v>
      </c>
      <c r="CN42" s="88">
        <v>20460.599999999999</v>
      </c>
      <c r="CO42" s="88">
        <v>20461.599999999999</v>
      </c>
      <c r="CP42" s="88">
        <v>20462.599999999999</v>
      </c>
      <c r="CQ42" s="88">
        <v>20463.599999999999</v>
      </c>
      <c r="CR42" s="88">
        <v>20464.599999999999</v>
      </c>
      <c r="CS42" s="88">
        <v>20465.599999999999</v>
      </c>
      <c r="CT42" s="88">
        <v>20466.599999999999</v>
      </c>
      <c r="CU42" s="88">
        <v>20467.599999999999</v>
      </c>
      <c r="CV42" s="88">
        <v>20468.599999999999</v>
      </c>
    </row>
    <row r="43" spans="2:101" x14ac:dyDescent="0.25">
      <c r="C43" s="70" t="s">
        <v>131</v>
      </c>
      <c r="D43" s="71">
        <v>2649.1282300000098</v>
      </c>
      <c r="E43" s="71">
        <v>-11576567.80473</v>
      </c>
      <c r="F43" s="71">
        <v>-4022155.5230299998</v>
      </c>
      <c r="G43" s="66"/>
      <c r="H43" s="66"/>
      <c r="CT43" s="66"/>
      <c r="CU43" s="66"/>
      <c r="CV43" s="66"/>
    </row>
    <row r="44" spans="2:101" ht="15.75" thickBot="1" x14ac:dyDescent="0.3">
      <c r="C44" s="73" t="s">
        <v>132</v>
      </c>
      <c r="D44" s="74">
        <f>+D42-D43</f>
        <v>2.9899999858571391E-3</v>
      </c>
      <c r="E44" s="74">
        <f>+E42-E43</f>
        <v>0</v>
      </c>
      <c r="F44" s="75">
        <f>+F42-F43</f>
        <v>3.9999838918447495E-4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</row>
    <row r="45" spans="2:101" x14ac:dyDescent="0.25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</row>
    <row r="46" spans="2:101" x14ac:dyDescent="0.25">
      <c r="D46" s="10">
        <v>9610</v>
      </c>
      <c r="E46" s="10">
        <v>8028327100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2:101" x14ac:dyDescent="0.25">
      <c r="D47" s="10">
        <v>8236</v>
      </c>
      <c r="E47" s="10">
        <v>873238428</v>
      </c>
      <c r="I47" s="66" t="s">
        <v>133</v>
      </c>
      <c r="AL47" s="76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</row>
    <row r="48" spans="2:101" x14ac:dyDescent="0.25">
      <c r="D48" s="10">
        <v>9594</v>
      </c>
      <c r="E48" s="77">
        <v>4380222993.1999998</v>
      </c>
      <c r="AL48" s="76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</row>
    <row r="49" spans="2:97" x14ac:dyDescent="0.25">
      <c r="C49" s="78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</row>
    <row r="50" spans="2:97" x14ac:dyDescent="0.25"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/>
    </row>
    <row r="51" spans="2:97" x14ac:dyDescent="0.25">
      <c r="CS51"/>
    </row>
    <row r="52" spans="2:97" x14ac:dyDescent="0.25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/>
    </row>
    <row r="53" spans="2:97" x14ac:dyDescent="0.25">
      <c r="CS53"/>
    </row>
    <row r="54" spans="2:97" x14ac:dyDescent="0.25">
      <c r="CS54"/>
    </row>
    <row r="55" spans="2:97" x14ac:dyDescent="0.25">
      <c r="CS55"/>
    </row>
    <row r="58" spans="2:97" x14ac:dyDescent="0.25">
      <c r="B58" s="66"/>
      <c r="C58" s="66"/>
      <c r="D58" s="66"/>
      <c r="E58" s="66"/>
      <c r="F58" s="66"/>
      <c r="G58" s="66"/>
      <c r="H58" s="66"/>
      <c r="CM58"/>
      <c r="CN58"/>
      <c r="CO58"/>
      <c r="CP58"/>
      <c r="CQ58"/>
      <c r="CR58"/>
    </row>
    <row r="59" spans="2:97" x14ac:dyDescent="0.25">
      <c r="B59" s="66"/>
      <c r="C59" s="66"/>
      <c r="D59" s="66"/>
      <c r="E59" s="66"/>
      <c r="F59" s="66"/>
      <c r="G59" s="66"/>
      <c r="H59" s="66"/>
      <c r="CM59"/>
      <c r="CN59"/>
      <c r="CO59"/>
      <c r="CP59"/>
      <c r="CQ59"/>
      <c r="CR59"/>
    </row>
    <row r="60" spans="2:97" x14ac:dyDescent="0.25">
      <c r="B60" s="66"/>
      <c r="C60" s="66"/>
      <c r="D60" s="66"/>
      <c r="E60" s="66"/>
      <c r="F60" s="66"/>
      <c r="G60" s="66"/>
      <c r="H60" s="66"/>
      <c r="CM60"/>
      <c r="CN60"/>
      <c r="CO60"/>
      <c r="CP60"/>
      <c r="CQ60"/>
      <c r="CR60"/>
    </row>
    <row r="61" spans="2:97" x14ac:dyDescent="0.25">
      <c r="B61" s="66"/>
      <c r="C61" s="66"/>
      <c r="D61" s="66"/>
      <c r="E61" s="66"/>
      <c r="F61" s="66"/>
      <c r="G61" s="66"/>
      <c r="H61" s="66"/>
      <c r="CM61"/>
      <c r="CN61"/>
      <c r="CO61"/>
      <c r="CP61"/>
      <c r="CQ61"/>
      <c r="CR61"/>
    </row>
    <row r="62" spans="2:97" x14ac:dyDescent="0.25">
      <c r="B62" s="66"/>
      <c r="C62" s="66"/>
      <c r="D62" s="66"/>
      <c r="E62" s="66"/>
      <c r="F62" s="66"/>
      <c r="G62" s="66"/>
      <c r="H62" s="66"/>
      <c r="CM62"/>
      <c r="CN62"/>
      <c r="CO62"/>
      <c r="CP62"/>
      <c r="CQ62"/>
      <c r="CR62"/>
    </row>
    <row r="63" spans="2:97" x14ac:dyDescent="0.25">
      <c r="B63" s="66"/>
      <c r="C63" s="66"/>
      <c r="D63" s="66"/>
      <c r="E63" s="66"/>
      <c r="F63" s="66"/>
      <c r="G63" s="66"/>
      <c r="H63" s="66"/>
      <c r="CM63"/>
      <c r="CN63"/>
      <c r="CO63"/>
      <c r="CP63"/>
      <c r="CQ63"/>
      <c r="CR63"/>
    </row>
  </sheetData>
  <mergeCells count="1">
    <mergeCell ref="AP2:AP3"/>
  </mergeCells>
  <pageMargins left="0.7" right="0.7" top="0.75" bottom="0.75" header="0.3" footer="0.3"/>
  <pageSetup orientation="portrait" r:id="rId1"/>
  <customProperties>
    <customPr name="QAA_DRILLPATH_NODE_ID" r:id="rId2"/>
  </customProperties>
  <ignoredErrors>
    <ignoredError sqref="I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3"/>
  <sheetViews>
    <sheetView zoomScale="112" zoomScaleNormal="112" workbookViewId="0">
      <selection activeCell="BS5" sqref="BS5"/>
    </sheetView>
  </sheetViews>
  <sheetFormatPr baseColWidth="10" defaultRowHeight="15" outlineLevelCol="2" x14ac:dyDescent="0.25"/>
  <cols>
    <col min="1" max="1" width="8.5703125" style="10" customWidth="1"/>
    <col min="2" max="2" width="10" style="10" bestFit="1" customWidth="1"/>
    <col min="3" max="3" width="43" style="10" bestFit="1" customWidth="1"/>
    <col min="4" max="5" width="19.42578125" style="10" bestFit="1" customWidth="1"/>
    <col min="6" max="6" width="21.85546875" style="10" bestFit="1" customWidth="1"/>
    <col min="7" max="7" width="19.5703125" style="10" customWidth="1" outlineLevel="1"/>
    <col min="8" max="8" width="17.85546875" style="10" customWidth="1" outlineLevel="1"/>
    <col min="9" max="9" width="17.85546875" style="66" bestFit="1" customWidth="1"/>
    <col min="10" max="10" width="17.85546875" style="66" customWidth="1" outlineLevel="2"/>
    <col min="11" max="13" width="16.42578125" style="66" customWidth="1" outlineLevel="2"/>
    <col min="14" max="14" width="18.85546875" style="66" customWidth="1" outlineLevel="2"/>
    <col min="15" max="15" width="21" style="66" customWidth="1" outlineLevel="2"/>
    <col min="16" max="17" width="14.140625" style="66" customWidth="1" outlineLevel="2"/>
    <col min="18" max="18" width="16.42578125" style="66" customWidth="1" outlineLevel="2"/>
    <col min="19" max="25" width="18.42578125" style="66" customWidth="1" outlineLevel="2"/>
    <col min="26" max="26" width="18.85546875" style="66" customWidth="1" outlineLevel="2"/>
    <col min="27" max="27" width="21" style="66" customWidth="1" outlineLevel="2"/>
    <col min="28" max="29" width="14.5703125" style="66" customWidth="1" outlineLevel="2"/>
    <col min="30" max="30" width="16.42578125" style="66" customWidth="1" outlineLevel="2"/>
    <col min="31" max="31" width="18.42578125" style="66" customWidth="1" outlineLevel="2"/>
    <col min="32" max="32" width="18.140625" style="66" customWidth="1" outlineLevel="2"/>
    <col min="33" max="33" width="20.140625" style="66" customWidth="1" outlineLevel="2"/>
    <col min="34" max="37" width="14.5703125" style="66" customWidth="1" outlineLevel="2"/>
    <col min="38" max="38" width="14.42578125" style="66" bestFit="1" customWidth="1"/>
    <col min="39" max="40" width="13.42578125" style="66" bestFit="1" customWidth="1"/>
    <col min="41" max="41" width="12.42578125" style="66" bestFit="1" customWidth="1"/>
    <col min="42" max="42" width="17.140625" style="66" bestFit="1" customWidth="1"/>
    <col min="43" max="43" width="17.140625" style="66" customWidth="1"/>
    <col min="44" max="48" width="17.42578125" style="66" customWidth="1" outlineLevel="1"/>
    <col min="49" max="49" width="15.140625" style="66" customWidth="1" outlineLevel="1"/>
    <col min="50" max="50" width="9.85546875" style="66" customWidth="1" outlineLevel="1"/>
    <col min="51" max="51" width="12.5703125" style="66" customWidth="1" outlineLevel="1"/>
    <col min="52" max="52" width="14.42578125" style="66" customWidth="1" outlineLevel="1"/>
    <col min="53" max="53" width="15.140625" style="66" customWidth="1" outlineLevel="1"/>
    <col min="54" max="55" width="11.85546875" style="66" customWidth="1" outlineLevel="1"/>
    <col min="56" max="56" width="12.5703125" style="66" customWidth="1" outlineLevel="1"/>
    <col min="57" max="59" width="16.5703125" style="66" customWidth="1" outlineLevel="1"/>
    <col min="60" max="60" width="15.140625" style="66" customWidth="1" outlineLevel="1"/>
    <col min="61" max="62" width="13.5703125" style="66" customWidth="1" outlineLevel="1"/>
    <col min="63" max="63" width="14.42578125" style="66" customWidth="1" outlineLevel="1"/>
    <col min="64" max="64" width="19.5703125" style="66" customWidth="1" outlineLevel="1"/>
    <col min="65" max="66" width="17.85546875" style="66" customWidth="1" outlineLevel="1"/>
    <col min="67" max="67" width="12.85546875" style="66" customWidth="1" outlineLevel="1"/>
    <col min="68" max="68" width="13.5703125" style="66" customWidth="1" outlineLevel="1"/>
    <col min="69" max="69" width="18.85546875" style="66" customWidth="1" outlineLevel="1"/>
    <col min="70" max="70" width="20.140625" style="66" customWidth="1" outlineLevel="1"/>
    <col min="71" max="73" width="20.140625" style="66" bestFit="1" customWidth="1"/>
    <col min="74" max="76" width="17.42578125" style="66" bestFit="1" customWidth="1"/>
    <col min="77" max="77" width="15.140625" style="66" bestFit="1" customWidth="1"/>
    <col min="78" max="79" width="14.42578125" style="66" bestFit="1" customWidth="1"/>
    <col min="80" max="80" width="15.140625" style="66" bestFit="1" customWidth="1"/>
    <col min="81" max="82" width="15" style="66" bestFit="1" customWidth="1"/>
    <col min="83" max="83" width="15.140625" style="66" bestFit="1" customWidth="1"/>
    <col min="84" max="84" width="10.42578125" style="66" bestFit="1" customWidth="1"/>
    <col min="85" max="85" width="12.5703125" style="66" bestFit="1" customWidth="1"/>
    <col min="86" max="86" width="16.5703125" style="66" bestFit="1" customWidth="1"/>
    <col min="87" max="88" width="19.7109375" style="66" bestFit="1" customWidth="1"/>
    <col min="89" max="89" width="15.5703125" style="66" customWidth="1"/>
    <col min="90" max="90" width="11.28515625" style="66" customWidth="1"/>
    <col min="91" max="91" width="17.85546875" style="66" bestFit="1" customWidth="1"/>
    <col min="92" max="92" width="14.42578125" style="66" customWidth="1"/>
    <col min="93" max="93" width="14.28515625" style="66" bestFit="1" customWidth="1"/>
    <col min="94" max="95" width="19.7109375" style="66" bestFit="1" customWidth="1"/>
    <col min="96" max="96" width="16.5703125" style="66" bestFit="1" customWidth="1"/>
    <col min="97" max="97" width="22" style="66" bestFit="1" customWidth="1"/>
    <col min="98" max="98" width="12" bestFit="1" customWidth="1"/>
    <col min="99" max="99" width="11.5703125" bestFit="1" customWidth="1"/>
    <col min="100" max="100" width="12" bestFit="1" customWidth="1"/>
    <col min="101" max="101" width="15.28515625" bestFit="1" customWidth="1"/>
  </cols>
  <sheetData>
    <row r="1" spans="1:101" ht="28.5" x14ac:dyDescent="0.45">
      <c r="A1" s="1"/>
      <c r="B1" s="1"/>
      <c r="C1" s="1"/>
      <c r="D1" s="2"/>
      <c r="E1" s="3"/>
      <c r="F1" s="3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5"/>
      <c r="AN1" s="5"/>
      <c r="AO1" s="5"/>
      <c r="AP1" s="5"/>
      <c r="AQ1" s="5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6"/>
      <c r="BM1" s="4"/>
      <c r="BN1" s="4"/>
      <c r="BO1" s="4"/>
      <c r="BP1" s="4"/>
      <c r="BQ1" s="4"/>
      <c r="BR1" s="7"/>
      <c r="BS1" s="7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8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spans="1:101" ht="15" customHeight="1" x14ac:dyDescent="0.25">
      <c r="D2" s="11" t="s">
        <v>0</v>
      </c>
      <c r="E2" s="11" t="s">
        <v>1</v>
      </c>
      <c r="F2" s="11" t="s">
        <v>2</v>
      </c>
      <c r="G2" s="12" t="s">
        <v>3</v>
      </c>
      <c r="H2" s="12" t="s">
        <v>4</v>
      </c>
      <c r="I2" s="13" t="s">
        <v>5</v>
      </c>
      <c r="J2" s="12" t="s">
        <v>6</v>
      </c>
      <c r="K2" s="12" t="s">
        <v>0</v>
      </c>
      <c r="L2" s="12" t="s">
        <v>1</v>
      </c>
      <c r="M2" s="12" t="s">
        <v>2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12" t="s">
        <v>12</v>
      </c>
      <c r="T2" s="16" t="s">
        <v>7</v>
      </c>
      <c r="U2" s="16" t="s">
        <v>8</v>
      </c>
      <c r="V2" s="16" t="s">
        <v>134</v>
      </c>
      <c r="W2" s="16" t="s">
        <v>135</v>
      </c>
      <c r="X2" s="16" t="s">
        <v>11</v>
      </c>
      <c r="Y2" s="16" t="s">
        <v>12</v>
      </c>
      <c r="Z2" s="12" t="s">
        <v>7</v>
      </c>
      <c r="AA2" s="12" t="s">
        <v>8</v>
      </c>
      <c r="AB2" s="12" t="s">
        <v>9</v>
      </c>
      <c r="AC2" s="12" t="s">
        <v>10</v>
      </c>
      <c r="AD2" s="12" t="s">
        <v>11</v>
      </c>
      <c r="AE2" s="12" t="s">
        <v>12</v>
      </c>
      <c r="AF2" s="12" t="s">
        <v>13</v>
      </c>
      <c r="AG2" s="12" t="s">
        <v>14</v>
      </c>
      <c r="AH2" s="12" t="s">
        <v>15</v>
      </c>
      <c r="AI2" s="12" t="s">
        <v>16</v>
      </c>
      <c r="AJ2" s="12" t="s">
        <v>17</v>
      </c>
      <c r="AK2" s="12" t="s">
        <v>18</v>
      </c>
      <c r="AL2" s="14" t="s">
        <v>19</v>
      </c>
      <c r="AM2" s="14" t="s">
        <v>20</v>
      </c>
      <c r="AN2" s="15" t="s">
        <v>21</v>
      </c>
      <c r="AO2" s="15" t="s">
        <v>22</v>
      </c>
      <c r="AP2" s="89" t="s">
        <v>23</v>
      </c>
      <c r="AQ2" s="83"/>
      <c r="AR2" s="16" t="s">
        <v>0</v>
      </c>
      <c r="AS2" s="16" t="s">
        <v>24</v>
      </c>
      <c r="AT2" s="12" t="s">
        <v>5</v>
      </c>
      <c r="AU2" s="12" t="s">
        <v>2</v>
      </c>
      <c r="AV2" s="12" t="s">
        <v>19</v>
      </c>
      <c r="AW2" s="12" t="s">
        <v>0</v>
      </c>
      <c r="AX2" s="12" t="s">
        <v>24</v>
      </c>
      <c r="AY2" s="12" t="s">
        <v>2</v>
      </c>
      <c r="AZ2" s="12" t="s">
        <v>19</v>
      </c>
      <c r="BA2" s="12" t="s">
        <v>0</v>
      </c>
      <c r="BB2" s="12" t="s">
        <v>24</v>
      </c>
      <c r="BC2" s="12" t="s">
        <v>5</v>
      </c>
      <c r="BD2" s="12" t="s">
        <v>2</v>
      </c>
      <c r="BE2" s="12" t="s">
        <v>0</v>
      </c>
      <c r="BF2" s="12" t="s">
        <v>24</v>
      </c>
      <c r="BG2" s="17" t="s">
        <v>2</v>
      </c>
      <c r="BH2" s="17" t="s">
        <v>0</v>
      </c>
      <c r="BI2" s="17" t="s">
        <v>24</v>
      </c>
      <c r="BJ2" s="17" t="s">
        <v>2</v>
      </c>
      <c r="BK2" s="17" t="s">
        <v>19</v>
      </c>
      <c r="BL2" s="18" t="s">
        <v>3</v>
      </c>
      <c r="BM2" s="18" t="s">
        <v>4</v>
      </c>
      <c r="BN2" s="18" t="s">
        <v>6</v>
      </c>
      <c r="BO2" s="18" t="s">
        <v>25</v>
      </c>
      <c r="BP2" s="18" t="s">
        <v>26</v>
      </c>
      <c r="BQ2" s="18" t="s">
        <v>27</v>
      </c>
      <c r="BR2" s="14" t="s">
        <v>28</v>
      </c>
      <c r="BS2" s="14" t="s">
        <v>10</v>
      </c>
      <c r="BT2" s="14" t="s">
        <v>29</v>
      </c>
      <c r="BU2" s="14" t="s">
        <v>12</v>
      </c>
      <c r="BV2" s="14" t="s">
        <v>0</v>
      </c>
      <c r="BW2" s="14" t="s">
        <v>1</v>
      </c>
      <c r="BX2" s="14" t="s">
        <v>2</v>
      </c>
      <c r="BY2" s="14" t="s">
        <v>0</v>
      </c>
      <c r="BZ2" s="14" t="s">
        <v>1</v>
      </c>
      <c r="CA2" s="14" t="s">
        <v>2</v>
      </c>
      <c r="CB2" s="14" t="s">
        <v>0</v>
      </c>
      <c r="CC2" s="14" t="s">
        <v>1</v>
      </c>
      <c r="CD2" s="14" t="s">
        <v>2</v>
      </c>
      <c r="CE2" s="14" t="s">
        <v>0</v>
      </c>
      <c r="CF2" s="14" t="s">
        <v>1</v>
      </c>
      <c r="CG2" s="14" t="s">
        <v>2</v>
      </c>
      <c r="CH2" s="14" t="s">
        <v>2</v>
      </c>
      <c r="CI2" s="14" t="s">
        <v>1</v>
      </c>
      <c r="CJ2" s="14" t="s">
        <v>2</v>
      </c>
      <c r="CK2" s="14" t="s">
        <v>1</v>
      </c>
      <c r="CL2" s="14" t="s">
        <v>1</v>
      </c>
      <c r="CM2" s="14" t="s">
        <v>1</v>
      </c>
      <c r="CN2" s="14" t="s">
        <v>1</v>
      </c>
      <c r="CO2" s="14" t="s">
        <v>1</v>
      </c>
      <c r="CP2" s="14" t="s">
        <v>1</v>
      </c>
      <c r="CQ2" s="14" t="s">
        <v>1</v>
      </c>
      <c r="CR2" s="19" t="s">
        <v>30</v>
      </c>
      <c r="CS2" s="85" t="s">
        <v>136</v>
      </c>
      <c r="CT2" s="85" t="s">
        <v>135</v>
      </c>
      <c r="CU2" s="85" t="s">
        <v>29</v>
      </c>
      <c r="CV2" s="85" t="s">
        <v>12</v>
      </c>
      <c r="CW2" s="20" t="s">
        <v>31</v>
      </c>
    </row>
    <row r="3" spans="1:101" ht="60" x14ac:dyDescent="0.25">
      <c r="D3" s="21" t="s">
        <v>32</v>
      </c>
      <c r="E3" s="21" t="s">
        <v>32</v>
      </c>
      <c r="F3" s="21" t="s">
        <v>32</v>
      </c>
      <c r="G3" s="22" t="s">
        <v>32</v>
      </c>
      <c r="H3" s="22" t="s">
        <v>32</v>
      </c>
      <c r="I3" s="23" t="s">
        <v>32</v>
      </c>
      <c r="J3" s="22" t="s">
        <v>32</v>
      </c>
      <c r="K3" s="22" t="s">
        <v>33</v>
      </c>
      <c r="L3" s="22" t="s">
        <v>33</v>
      </c>
      <c r="M3" s="22" t="s">
        <v>33</v>
      </c>
      <c r="N3" s="22" t="s">
        <v>34</v>
      </c>
      <c r="O3" s="22" t="s">
        <v>34</v>
      </c>
      <c r="P3" s="22" t="s">
        <v>34</v>
      </c>
      <c r="Q3" s="22" t="s">
        <v>34</v>
      </c>
      <c r="R3" s="22" t="s">
        <v>34</v>
      </c>
      <c r="S3" s="22" t="s">
        <v>34</v>
      </c>
      <c r="T3" s="24" t="s">
        <v>137</v>
      </c>
      <c r="U3" s="24" t="s">
        <v>137</v>
      </c>
      <c r="V3" s="24" t="s">
        <v>137</v>
      </c>
      <c r="W3" s="24" t="s">
        <v>137</v>
      </c>
      <c r="X3" s="24" t="s">
        <v>137</v>
      </c>
      <c r="Y3" s="24" t="s">
        <v>137</v>
      </c>
      <c r="Z3" s="22" t="s">
        <v>35</v>
      </c>
      <c r="AA3" s="22" t="s">
        <v>35</v>
      </c>
      <c r="AB3" s="22" t="s">
        <v>35</v>
      </c>
      <c r="AC3" s="22" t="s">
        <v>35</v>
      </c>
      <c r="AD3" s="22" t="s">
        <v>35</v>
      </c>
      <c r="AE3" s="22" t="s">
        <v>35</v>
      </c>
      <c r="AF3" s="22" t="s">
        <v>35</v>
      </c>
      <c r="AG3" s="22" t="s">
        <v>35</v>
      </c>
      <c r="AH3" s="22" t="s">
        <v>35</v>
      </c>
      <c r="AI3" s="22" t="s">
        <v>35</v>
      </c>
      <c r="AJ3" s="22" t="s">
        <v>35</v>
      </c>
      <c r="AK3" s="22" t="s">
        <v>35</v>
      </c>
      <c r="AL3" s="23" t="s">
        <v>36</v>
      </c>
      <c r="AM3" s="23" t="s">
        <v>36</v>
      </c>
      <c r="AN3" s="23"/>
      <c r="AO3" s="23"/>
      <c r="AP3" s="90"/>
      <c r="AQ3" s="84" t="s">
        <v>37</v>
      </c>
      <c r="AR3" s="24" t="s">
        <v>38</v>
      </c>
      <c r="AS3" s="24" t="s">
        <v>38</v>
      </c>
      <c r="AT3" s="22" t="s">
        <v>38</v>
      </c>
      <c r="AU3" s="22" t="s">
        <v>38</v>
      </c>
      <c r="AV3" s="22" t="s">
        <v>38</v>
      </c>
      <c r="AW3" s="22" t="s">
        <v>39</v>
      </c>
      <c r="AX3" s="22" t="s">
        <v>39</v>
      </c>
      <c r="AY3" s="22" t="s">
        <v>39</v>
      </c>
      <c r="AZ3" s="22" t="s">
        <v>39</v>
      </c>
      <c r="BA3" s="22" t="s">
        <v>40</v>
      </c>
      <c r="BB3" s="22" t="s">
        <v>40</v>
      </c>
      <c r="BC3" s="22" t="s">
        <v>40</v>
      </c>
      <c r="BD3" s="22" t="s">
        <v>40</v>
      </c>
      <c r="BE3" s="22" t="s">
        <v>41</v>
      </c>
      <c r="BF3" s="22" t="s">
        <v>41</v>
      </c>
      <c r="BG3" s="22" t="s">
        <v>41</v>
      </c>
      <c r="BH3" s="22" t="s">
        <v>42</v>
      </c>
      <c r="BI3" s="22" t="s">
        <v>42</v>
      </c>
      <c r="BJ3" s="22" t="s">
        <v>42</v>
      </c>
      <c r="BK3" s="22" t="s">
        <v>42</v>
      </c>
      <c r="BL3" s="24" t="s">
        <v>32</v>
      </c>
      <c r="BM3" s="24" t="s">
        <v>32</v>
      </c>
      <c r="BN3" s="24" t="s">
        <v>32</v>
      </c>
      <c r="BO3" s="25" t="s">
        <v>4</v>
      </c>
      <c r="BP3" s="25" t="s">
        <v>4</v>
      </c>
      <c r="BQ3" s="25" t="s">
        <v>4</v>
      </c>
      <c r="BR3" s="84" t="s">
        <v>43</v>
      </c>
      <c r="BS3" s="84" t="s">
        <v>43</v>
      </c>
      <c r="BT3" s="84" t="s">
        <v>43</v>
      </c>
      <c r="BU3" s="84" t="s">
        <v>43</v>
      </c>
      <c r="BV3" s="84" t="s">
        <v>38</v>
      </c>
      <c r="BW3" s="84" t="s">
        <v>38</v>
      </c>
      <c r="BX3" s="84" t="s">
        <v>38</v>
      </c>
      <c r="BY3" s="84" t="s">
        <v>42</v>
      </c>
      <c r="BZ3" s="84" t="s">
        <v>42</v>
      </c>
      <c r="CA3" s="84" t="s">
        <v>42</v>
      </c>
      <c r="CB3" s="84" t="s">
        <v>44</v>
      </c>
      <c r="CC3" s="84" t="s">
        <v>44</v>
      </c>
      <c r="CD3" s="84" t="s">
        <v>44</v>
      </c>
      <c r="CE3" s="84" t="s">
        <v>45</v>
      </c>
      <c r="CF3" s="84" t="s">
        <v>45</v>
      </c>
      <c r="CG3" s="84" t="s">
        <v>45</v>
      </c>
      <c r="CH3" s="84" t="s">
        <v>41</v>
      </c>
      <c r="CI3" s="84" t="s">
        <v>46</v>
      </c>
      <c r="CJ3" s="84" t="s">
        <v>46</v>
      </c>
      <c r="CK3" s="26" t="s">
        <v>47</v>
      </c>
      <c r="CL3" s="26" t="s">
        <v>47</v>
      </c>
      <c r="CM3" s="26" t="s">
        <v>32</v>
      </c>
      <c r="CN3" s="26" t="s">
        <v>42</v>
      </c>
      <c r="CO3" s="26" t="s">
        <v>48</v>
      </c>
      <c r="CP3" s="26" t="s">
        <v>46</v>
      </c>
      <c r="CQ3" s="26" t="s">
        <v>46</v>
      </c>
      <c r="CR3" s="86" t="s">
        <v>49</v>
      </c>
      <c r="CS3" s="87" t="s">
        <v>138</v>
      </c>
      <c r="CT3" s="87" t="s">
        <v>138</v>
      </c>
      <c r="CU3" s="87" t="s">
        <v>138</v>
      </c>
      <c r="CV3" s="87" t="s">
        <v>138</v>
      </c>
      <c r="CW3" s="27"/>
    </row>
    <row r="4" spans="1:101" x14ac:dyDescent="0.25">
      <c r="A4" s="28"/>
      <c r="B4" s="29" t="s">
        <v>50</v>
      </c>
      <c r="C4" s="30" t="s">
        <v>51</v>
      </c>
      <c r="D4" s="31" t="s">
        <v>52</v>
      </c>
      <c r="E4" s="31" t="s">
        <v>53</v>
      </c>
      <c r="F4" s="31" t="s">
        <v>54</v>
      </c>
      <c r="G4" s="32">
        <v>482800001265</v>
      </c>
      <c r="H4" s="32">
        <v>482800001273</v>
      </c>
      <c r="I4" s="32">
        <v>482800002024</v>
      </c>
      <c r="J4" s="32">
        <v>482800001257</v>
      </c>
      <c r="K4" s="32" t="s">
        <v>55</v>
      </c>
      <c r="L4" s="32" t="s">
        <v>56</v>
      </c>
      <c r="M4" s="32" t="s">
        <v>57</v>
      </c>
      <c r="N4" s="32">
        <v>36203301</v>
      </c>
      <c r="O4" s="32">
        <v>36203301</v>
      </c>
      <c r="P4" s="32">
        <v>36203328</v>
      </c>
      <c r="Q4" s="32">
        <v>36203328</v>
      </c>
      <c r="R4" s="32">
        <v>36025015</v>
      </c>
      <c r="S4" s="32">
        <v>36025015</v>
      </c>
      <c r="T4" s="32"/>
      <c r="U4" s="32"/>
      <c r="V4" s="32"/>
      <c r="W4" s="32"/>
      <c r="X4" s="32"/>
      <c r="Y4" s="32"/>
      <c r="Z4" s="32">
        <v>865784010</v>
      </c>
      <c r="AA4" s="32">
        <v>865784010</v>
      </c>
      <c r="AB4" s="32">
        <v>865804010</v>
      </c>
      <c r="AC4" s="32">
        <v>865804010</v>
      </c>
      <c r="AD4" s="32">
        <v>865794010</v>
      </c>
      <c r="AE4" s="32">
        <v>865794010</v>
      </c>
      <c r="AF4" s="32" t="s">
        <v>58</v>
      </c>
      <c r="AG4" s="32" t="s">
        <v>58</v>
      </c>
      <c r="AH4" s="32" t="s">
        <v>59</v>
      </c>
      <c r="AI4" s="32" t="s">
        <v>59</v>
      </c>
      <c r="AJ4" s="32" t="s">
        <v>60</v>
      </c>
      <c r="AK4" s="32" t="s">
        <v>60</v>
      </c>
      <c r="AL4" s="33"/>
      <c r="AM4" s="33"/>
      <c r="AN4" s="33"/>
      <c r="AO4" s="33"/>
      <c r="AP4" s="33"/>
      <c r="AQ4" s="33">
        <v>3642</v>
      </c>
      <c r="AR4" s="33" t="s">
        <v>61</v>
      </c>
      <c r="AS4" s="33" t="s">
        <v>62</v>
      </c>
      <c r="AT4" s="33" t="s">
        <v>63</v>
      </c>
      <c r="AU4" s="33" t="s">
        <v>64</v>
      </c>
      <c r="AV4" s="33" t="s">
        <v>65</v>
      </c>
      <c r="AW4" s="33" t="s">
        <v>66</v>
      </c>
      <c r="AX4" s="33" t="s">
        <v>67</v>
      </c>
      <c r="AY4" s="33" t="s">
        <v>68</v>
      </c>
      <c r="AZ4" s="33" t="s">
        <v>69</v>
      </c>
      <c r="BA4" s="33" t="s">
        <v>70</v>
      </c>
      <c r="BB4" s="33" t="s">
        <v>71</v>
      </c>
      <c r="BC4" s="33" t="s">
        <v>72</v>
      </c>
      <c r="BD4" s="33" t="s">
        <v>73</v>
      </c>
      <c r="BE4" s="33" t="s">
        <v>74</v>
      </c>
      <c r="BF4" s="33" t="s">
        <v>75</v>
      </c>
      <c r="BG4" s="33" t="s">
        <v>76</v>
      </c>
      <c r="BH4" s="33" t="s">
        <v>77</v>
      </c>
      <c r="BI4" s="33" t="s">
        <v>78</v>
      </c>
      <c r="BJ4" s="33" t="s">
        <v>79</v>
      </c>
      <c r="BK4" s="33" t="s">
        <v>80</v>
      </c>
      <c r="BL4" s="34">
        <v>482800007882</v>
      </c>
      <c r="BM4" s="34">
        <v>482800007908</v>
      </c>
      <c r="BN4" s="34">
        <v>482800007890</v>
      </c>
      <c r="BO4" s="34">
        <v>482800010001</v>
      </c>
      <c r="BP4" s="34">
        <v>482800010019</v>
      </c>
      <c r="BQ4" s="34">
        <v>482800010027</v>
      </c>
      <c r="BR4" s="33">
        <v>36024995</v>
      </c>
      <c r="BS4" s="33">
        <v>36024995</v>
      </c>
      <c r="BT4" s="33">
        <v>36903922</v>
      </c>
      <c r="BU4" s="33">
        <v>36903922</v>
      </c>
      <c r="BV4" s="33">
        <v>36294346</v>
      </c>
      <c r="BW4" s="33" t="s">
        <v>81</v>
      </c>
      <c r="BX4" s="33">
        <v>36294353</v>
      </c>
      <c r="BY4" s="33" t="s">
        <v>82</v>
      </c>
      <c r="BZ4" s="33" t="s">
        <v>83</v>
      </c>
      <c r="CA4" s="33" t="s">
        <v>84</v>
      </c>
      <c r="CB4" s="33" t="s">
        <v>85</v>
      </c>
      <c r="CC4" s="33" t="s">
        <v>86</v>
      </c>
      <c r="CD4" s="33" t="s">
        <v>87</v>
      </c>
      <c r="CE4" s="33" t="s">
        <v>88</v>
      </c>
      <c r="CF4" s="33" t="s">
        <v>89</v>
      </c>
      <c r="CG4" s="33" t="s">
        <v>90</v>
      </c>
      <c r="CH4" s="33" t="s">
        <v>91</v>
      </c>
      <c r="CI4" s="33">
        <v>221816614</v>
      </c>
      <c r="CJ4" s="33">
        <v>221816598</v>
      </c>
      <c r="CK4" s="33">
        <v>60193029</v>
      </c>
      <c r="CL4" s="33">
        <v>60193401</v>
      </c>
      <c r="CM4" s="33">
        <v>1011143807</v>
      </c>
      <c r="CN4" s="33">
        <v>4801736642</v>
      </c>
      <c r="CO4" s="33">
        <v>65005340</v>
      </c>
      <c r="CP4" s="33">
        <v>288086051</v>
      </c>
      <c r="CQ4" s="33">
        <v>288049109</v>
      </c>
      <c r="CR4" s="33">
        <v>411166042</v>
      </c>
      <c r="CS4" s="33">
        <v>865804015</v>
      </c>
      <c r="CT4" s="33">
        <v>865804015</v>
      </c>
      <c r="CU4" s="33">
        <v>865794015</v>
      </c>
      <c r="CV4" s="33">
        <v>865794015</v>
      </c>
      <c r="CW4" s="35"/>
    </row>
    <row r="5" spans="1:101" x14ac:dyDescent="0.25">
      <c r="B5" s="36"/>
      <c r="C5" s="37" t="s">
        <v>92</v>
      </c>
      <c r="D5" s="38"/>
      <c r="E5" s="38" t="s">
        <v>93</v>
      </c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9"/>
      <c r="AI5" s="39"/>
      <c r="AJ5" s="39"/>
      <c r="AK5" s="39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>
        <v>4.1941800000000002</v>
      </c>
      <c r="BT5" s="37"/>
      <c r="BU5" s="37">
        <f>+BS5</f>
        <v>4.1941800000000002</v>
      </c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40"/>
    </row>
    <row r="6" spans="1:101" x14ac:dyDescent="0.25">
      <c r="B6" s="36"/>
      <c r="C6" s="37" t="s">
        <v>94</v>
      </c>
      <c r="D6" s="37">
        <f>+D7-D8</f>
        <v>-17936.425780000514</v>
      </c>
      <c r="E6" s="37">
        <f>+E7-E8</f>
        <v>855259.60987545177</v>
      </c>
      <c r="F6" s="37">
        <f>+F7-F8</f>
        <v>300162.18821849488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9"/>
      <c r="AI6" s="39"/>
      <c r="AJ6" s="39"/>
      <c r="AK6" s="39"/>
      <c r="AL6" s="37">
        <f t="shared" ref="AL6:BQ6" si="0">+AL7-AL8</f>
        <v>-12057.487480074167</v>
      </c>
      <c r="AM6" s="37">
        <f t="shared" si="0"/>
        <v>27738.692206464708</v>
      </c>
      <c r="AN6" s="37">
        <f t="shared" si="0"/>
        <v>-170778.92071000114</v>
      </c>
      <c r="AO6" s="37">
        <f t="shared" si="0"/>
        <v>-153049.83658143971</v>
      </c>
      <c r="AP6" s="37">
        <f t="shared" si="0"/>
        <v>-735002.09547375329</v>
      </c>
      <c r="AQ6" s="37">
        <f t="shared" si="0"/>
        <v>-372054.61327216076</v>
      </c>
      <c r="AR6" s="37">
        <f t="shared" si="0"/>
        <v>0</v>
      </c>
      <c r="AS6" s="37">
        <f t="shared" si="0"/>
        <v>0</v>
      </c>
      <c r="AT6" s="37">
        <f t="shared" si="0"/>
        <v>0</v>
      </c>
      <c r="AU6" s="37">
        <f t="shared" si="0"/>
        <v>0</v>
      </c>
      <c r="AV6" s="37">
        <f t="shared" si="0"/>
        <v>0</v>
      </c>
      <c r="AW6" s="37">
        <f t="shared" si="0"/>
        <v>0</v>
      </c>
      <c r="AX6" s="37">
        <f t="shared" si="0"/>
        <v>0</v>
      </c>
      <c r="AY6" s="37">
        <f t="shared" si="0"/>
        <v>0</v>
      </c>
      <c r="AZ6" s="37">
        <f t="shared" si="0"/>
        <v>0</v>
      </c>
      <c r="BA6" s="37">
        <f t="shared" si="0"/>
        <v>0</v>
      </c>
      <c r="BB6" s="37">
        <f t="shared" si="0"/>
        <v>0</v>
      </c>
      <c r="BC6" s="37">
        <f t="shared" si="0"/>
        <v>0</v>
      </c>
      <c r="BD6" s="37">
        <f t="shared" si="0"/>
        <v>0</v>
      </c>
      <c r="BE6" s="37">
        <f t="shared" si="0"/>
        <v>0</v>
      </c>
      <c r="BF6" s="37">
        <f t="shared" si="0"/>
        <v>0</v>
      </c>
      <c r="BG6" s="37">
        <f t="shared" si="0"/>
        <v>0</v>
      </c>
      <c r="BH6" s="37">
        <f t="shared" si="0"/>
        <v>0</v>
      </c>
      <c r="BI6" s="37">
        <f t="shared" si="0"/>
        <v>0</v>
      </c>
      <c r="BJ6" s="37">
        <f t="shared" si="0"/>
        <v>0</v>
      </c>
      <c r="BK6" s="37">
        <f t="shared" si="0"/>
        <v>0</v>
      </c>
      <c r="BL6" s="37">
        <f t="shared" si="0"/>
        <v>0</v>
      </c>
      <c r="BM6" s="37">
        <f t="shared" si="0"/>
        <v>0</v>
      </c>
      <c r="BN6" s="37">
        <f t="shared" si="0"/>
        <v>0</v>
      </c>
      <c r="BO6" s="37">
        <f t="shared" si="0"/>
        <v>0</v>
      </c>
      <c r="BP6" s="37">
        <f t="shared" si="0"/>
        <v>0</v>
      </c>
      <c r="BQ6" s="37">
        <f t="shared" si="0"/>
        <v>0</v>
      </c>
      <c r="BR6" s="37"/>
      <c r="BS6" s="37"/>
      <c r="BT6" s="37"/>
      <c r="BU6" s="37"/>
      <c r="BV6" s="37">
        <f>+BV7-BV8-422.17</f>
        <v>-422.17</v>
      </c>
      <c r="BW6" s="37">
        <f t="shared" ref="BW6:CR6" si="1">+BW7-BW8</f>
        <v>0</v>
      </c>
      <c r="BX6" s="37">
        <f t="shared" si="1"/>
        <v>0</v>
      </c>
      <c r="BY6" s="37">
        <f t="shared" si="1"/>
        <v>-583.25399999995716</v>
      </c>
      <c r="BZ6" s="37">
        <f t="shared" si="1"/>
        <v>312468.23900000006</v>
      </c>
      <c r="CA6" s="37">
        <f t="shared" si="1"/>
        <v>185775.53500000015</v>
      </c>
      <c r="CB6" s="37">
        <f t="shared" si="1"/>
        <v>-2.4000000121304765E-4</v>
      </c>
      <c r="CC6" s="37">
        <f t="shared" si="1"/>
        <v>-4.1799998143687844E-3</v>
      </c>
      <c r="CD6" s="37">
        <f>+[1]Otrosbancos!$K$29</f>
        <v>0</v>
      </c>
      <c r="CE6" s="37">
        <f t="shared" si="1"/>
        <v>-6.8099999999976717</v>
      </c>
      <c r="CF6" s="37">
        <f t="shared" si="1"/>
        <v>16194.850999999908</v>
      </c>
      <c r="CG6" s="37">
        <f t="shared" si="1"/>
        <v>0</v>
      </c>
      <c r="CH6" s="37">
        <f t="shared" si="1"/>
        <v>0</v>
      </c>
      <c r="CI6" s="37">
        <f t="shared" si="1"/>
        <v>14.581000000005588</v>
      </c>
      <c r="CJ6" s="37">
        <f t="shared" si="1"/>
        <v>7743.1010000000242</v>
      </c>
      <c r="CK6" s="37">
        <f t="shared" si="1"/>
        <v>0</v>
      </c>
      <c r="CL6" s="37">
        <f t="shared" si="1"/>
        <v>0</v>
      </c>
      <c r="CM6" s="37">
        <f t="shared" si="1"/>
        <v>-1.4999999257270247E-4</v>
      </c>
      <c r="CN6" s="37">
        <f t="shared" si="1"/>
        <v>-2.9699999140575528E-3</v>
      </c>
      <c r="CO6" s="37">
        <f t="shared" si="1"/>
        <v>4.6400002902373672E-3</v>
      </c>
      <c r="CP6" s="37">
        <f t="shared" si="1"/>
        <v>-2.7600005269050598E-3</v>
      </c>
      <c r="CQ6" s="37">
        <f t="shared" si="1"/>
        <v>216.65003000001889</v>
      </c>
      <c r="CR6" s="37">
        <f t="shared" si="1"/>
        <v>-6.7999896054971032E-4</v>
      </c>
      <c r="CS6" s="37">
        <f>+CS7-CS8</f>
        <v>-5000</v>
      </c>
      <c r="CT6" s="37">
        <f>+CT7-CT8</f>
        <v>-20468.599999999999</v>
      </c>
      <c r="CU6" s="37">
        <f>+CU7-CU8</f>
        <v>-5000</v>
      </c>
      <c r="CV6" s="37">
        <f>+CV7-CV8</f>
        <v>-20468.599999999999</v>
      </c>
      <c r="CW6" s="37"/>
    </row>
    <row r="7" spans="1:101" x14ac:dyDescent="0.25">
      <c r="A7" s="41"/>
      <c r="B7" s="42"/>
      <c r="C7" s="43" t="s">
        <v>95</v>
      </c>
      <c r="D7" s="43">
        <f>+'[1]Cap,Bol,Cls'!$K$4</f>
        <v>534635.4142</v>
      </c>
      <c r="E7" s="43">
        <f>+'[1]Cap,Bol,Cls'!$K$13</f>
        <v>20389509.068470001</v>
      </c>
      <c r="F7" s="43">
        <f>+'[1]Cap,Bol,Cls'!$K$30</f>
        <v>7433030.2937899996</v>
      </c>
      <c r="G7" s="43">
        <f>+G8</f>
        <v>0</v>
      </c>
      <c r="H7" s="43">
        <f>+H8</f>
        <v>0</v>
      </c>
      <c r="I7" s="43">
        <f>+'[1]Cap,Bol,Cls'!$K$24</f>
        <v>112862.57494000001</v>
      </c>
      <c r="J7" s="43">
        <f>+J8</f>
        <v>0</v>
      </c>
      <c r="K7" s="43">
        <f>+K8</f>
        <v>143709.39457214306</v>
      </c>
      <c r="L7" s="43">
        <f>+L8</f>
        <v>202603.36751482866</v>
      </c>
      <c r="M7" s="43">
        <f>+M8</f>
        <v>105400.73820886645</v>
      </c>
      <c r="N7" s="43">
        <f>+N8</f>
        <v>177310.5199999999</v>
      </c>
      <c r="O7" s="43">
        <f t="shared" ref="O7:AK7" si="2">+O8</f>
        <v>743248.15264999995</v>
      </c>
      <c r="P7" s="43">
        <f t="shared" si="2"/>
        <v>20794904.480000008</v>
      </c>
      <c r="Q7" s="43">
        <f t="shared" si="2"/>
        <v>120335376.32341588</v>
      </c>
      <c r="R7" s="43">
        <f t="shared" si="2"/>
        <v>994242.19</v>
      </c>
      <c r="S7" s="43">
        <f t="shared" si="2"/>
        <v>4499409.247208599</v>
      </c>
      <c r="T7" s="43"/>
      <c r="U7" s="43"/>
      <c r="V7" s="43"/>
      <c r="W7" s="43"/>
      <c r="X7" s="43"/>
      <c r="Y7" s="43"/>
      <c r="Z7" s="43">
        <f t="shared" si="2"/>
        <v>9662.5274983807467</v>
      </c>
      <c r="AA7" s="43">
        <f t="shared" si="2"/>
        <v>40503.29</v>
      </c>
      <c r="AB7" s="43">
        <f t="shared" si="2"/>
        <v>7542.7499999967404</v>
      </c>
      <c r="AC7" s="43">
        <f t="shared" si="2"/>
        <v>31617.62</v>
      </c>
      <c r="AD7" s="43">
        <f t="shared" si="2"/>
        <v>5155</v>
      </c>
      <c r="AE7" s="43">
        <f t="shared" si="2"/>
        <v>21608.68</v>
      </c>
      <c r="AF7" s="43">
        <f t="shared" si="2"/>
        <v>7956.8699999451637</v>
      </c>
      <c r="AG7" s="43">
        <f t="shared" si="2"/>
        <v>33353.53</v>
      </c>
      <c r="AH7" s="43">
        <f t="shared" si="2"/>
        <v>202018.84999999718</v>
      </c>
      <c r="AI7" s="43">
        <f t="shared" si="2"/>
        <v>846664.08869630005</v>
      </c>
      <c r="AJ7" s="43">
        <f t="shared" si="2"/>
        <v>673596.71999999823</v>
      </c>
      <c r="AK7" s="43">
        <f t="shared" si="2"/>
        <v>2823324.1679230896</v>
      </c>
      <c r="AL7" s="43">
        <f>+[1]Inversoras!$K$56</f>
        <v>7184220.2052699998</v>
      </c>
      <c r="AM7" s="43">
        <f>+[1]Inversoras!$K$57</f>
        <v>59288314.623190001</v>
      </c>
      <c r="AN7" s="43">
        <f>+[1]Inversoras!$K$58</f>
        <v>6501275.6235199999</v>
      </c>
      <c r="AO7" s="43">
        <f>+[1]Inversoras!$K$59</f>
        <v>790790.37034000002</v>
      </c>
      <c r="AP7" s="43">
        <f>+[1]Inversoras!$K$60</f>
        <v>8195351.9200600013</v>
      </c>
      <c r="AQ7" s="43">
        <f>+[1]Inversoras!$K$61</f>
        <v>1241927.05675</v>
      </c>
      <c r="AR7" s="43">
        <f>+AR8</f>
        <v>33752.683643993005</v>
      </c>
      <c r="AS7" s="43">
        <f t="shared" ref="AS7:BQ7" si="3">+AS8</f>
        <v>6.2719079996137461</v>
      </c>
      <c r="AT7" s="43">
        <f t="shared" si="3"/>
        <v>11.210432002509913</v>
      </c>
      <c r="AU7" s="43">
        <f t="shared" si="3"/>
        <v>70709.869203997281</v>
      </c>
      <c r="AV7" s="43">
        <f t="shared" si="3"/>
        <v>523662.90839880263</v>
      </c>
      <c r="AW7" s="43">
        <f t="shared" si="3"/>
        <v>85667.9885699968</v>
      </c>
      <c r="AX7" s="43">
        <f t="shared" si="3"/>
        <v>1041.3974240010875</v>
      </c>
      <c r="AY7" s="43">
        <f t="shared" si="3"/>
        <v>22742.072311997978</v>
      </c>
      <c r="AZ7" s="43">
        <f t="shared" si="3"/>
        <v>23267.345377323236</v>
      </c>
      <c r="BA7" s="43">
        <f t="shared" si="3"/>
        <v>202217.62172400692</v>
      </c>
      <c r="BB7" s="43">
        <f t="shared" si="3"/>
        <v>70026.80221999115</v>
      </c>
      <c r="BC7" s="43">
        <f t="shared" si="3"/>
        <v>267129.24084799865</v>
      </c>
      <c r="BD7" s="43">
        <f t="shared" si="3"/>
        <v>17067.749599989831</v>
      </c>
      <c r="BE7" s="43">
        <f t="shared" si="3"/>
        <v>256586.81289368056</v>
      </c>
      <c r="BF7" s="43">
        <f t="shared" si="3"/>
        <v>321949.5492303599</v>
      </c>
      <c r="BG7" s="43">
        <f t="shared" si="3"/>
        <v>35109.232018882758</v>
      </c>
      <c r="BH7" s="43">
        <f t="shared" si="3"/>
        <v>27273.514880002102</v>
      </c>
      <c r="BI7" s="43">
        <f t="shared" si="3"/>
        <v>630661.83776839031</v>
      </c>
      <c r="BJ7" s="43">
        <f t="shared" si="3"/>
        <v>197783.28604456017</v>
      </c>
      <c r="BK7" s="43">
        <f t="shared" si="3"/>
        <v>11501590.157326013</v>
      </c>
      <c r="BL7" s="43">
        <f t="shared" si="3"/>
        <v>112857.23879244606</v>
      </c>
      <c r="BM7" s="43">
        <f t="shared" si="3"/>
        <v>1069928.4447171511</v>
      </c>
      <c r="BN7" s="43">
        <f t="shared" si="3"/>
        <v>4101931.9467673809</v>
      </c>
      <c r="BO7" s="43">
        <f t="shared" si="3"/>
        <v>3.4691202304202307E-3</v>
      </c>
      <c r="BP7" s="43">
        <f t="shared" si="3"/>
        <v>255.50048932906549</v>
      </c>
      <c r="BQ7" s="43">
        <f t="shared" si="3"/>
        <v>4.0128798844989433E-3</v>
      </c>
      <c r="BR7" s="43">
        <f>+[1]Otrosbancos!$K$49</f>
        <v>645623.82000000007</v>
      </c>
      <c r="BS7" s="43">
        <f>+BS8</f>
        <v>2662944.0693795886</v>
      </c>
      <c r="BT7" s="43">
        <f>+[1]Otrosbancos!$K$51</f>
        <v>54664</v>
      </c>
      <c r="BU7" s="43">
        <f>+BU8</f>
        <v>199256.26825549096</v>
      </c>
      <c r="BV7" s="43">
        <f>+BV8+BV5</f>
        <v>8400.1908600000006</v>
      </c>
      <c r="BW7" s="43">
        <f>+BW8+BW5</f>
        <v>377417.50199000072</v>
      </c>
      <c r="BX7" s="43">
        <f>+BX8+BX5</f>
        <v>12663.664475599246</v>
      </c>
      <c r="BY7" s="43">
        <f>+[1]Otrosbancos!$K$5</f>
        <v>655788.01500000001</v>
      </c>
      <c r="BZ7" s="43">
        <f>+[1]Otrosbancos!$K$10</f>
        <v>4019358.26</v>
      </c>
      <c r="CA7" s="43">
        <f>+[1]Otrosbancos!$K$15</f>
        <v>7413594.6150000002</v>
      </c>
      <c r="CB7" s="43">
        <f>+[1]Otrosbancos!$K$23</f>
        <v>18618.565999999999</v>
      </c>
      <c r="CC7" s="43">
        <f>+[1]Otrosbancos!$K$26</f>
        <v>886127.652</v>
      </c>
      <c r="CD7" s="43">
        <f>+[1]Otrosbancos!$K$29</f>
        <v>0</v>
      </c>
      <c r="CE7" s="43">
        <f>+[1]Otrosbancos!$K$33</f>
        <v>23113.683000000001</v>
      </c>
      <c r="CF7" s="43">
        <f>+[1]Otrosbancos!$K$37</f>
        <v>479099.36158999999</v>
      </c>
      <c r="CG7" s="43">
        <f>+[1]Otrosbancos!$K$41</f>
        <v>187664.606</v>
      </c>
      <c r="CH7" s="43">
        <f>+[1]Otrosbancos!$K$46</f>
        <v>2.9318200000000001</v>
      </c>
      <c r="CI7" s="43">
        <f>+[1]Otrosbancos!$K$54</f>
        <v>905754.32200000004</v>
      </c>
      <c r="CJ7" s="43">
        <f>+[1]Otrosbancos!$K$56</f>
        <v>186078.05600000001</v>
      </c>
      <c r="CK7" s="43">
        <f>+[1]Liberty!$K$3</f>
        <v>0</v>
      </c>
      <c r="CL7" s="43">
        <f>+[1]Liberty!$K$4</f>
        <v>0</v>
      </c>
      <c r="CM7" s="43">
        <f>+[1]Liberty!$K$6</f>
        <v>79545.214000000007</v>
      </c>
      <c r="CN7" s="43">
        <f>+[1]Liberty!$K$8</f>
        <v>662749.23600000003</v>
      </c>
      <c r="CO7" s="43">
        <f>+[1]Liberty!$K$10</f>
        <v>736440.24595999997</v>
      </c>
      <c r="CP7" s="43">
        <f>+[1]Liberty!$K$12</f>
        <v>9152723.6699999999</v>
      </c>
      <c r="CQ7" s="43">
        <f>+[1]Liberty!$K$13</f>
        <v>378135.14942999999</v>
      </c>
      <c r="CR7" s="43">
        <f>+[1]Otrosbancos!$K$58</f>
        <v>20872.374</v>
      </c>
      <c r="CS7" s="43">
        <v>0</v>
      </c>
      <c r="CT7" s="43">
        <v>0</v>
      </c>
      <c r="CU7" s="43">
        <v>0</v>
      </c>
      <c r="CV7" s="43">
        <v>0</v>
      </c>
      <c r="CW7" s="43">
        <f>SUM(D7:CV7)</f>
        <v>313710991.821051</v>
      </c>
    </row>
    <row r="8" spans="1:101" x14ac:dyDescent="0.25">
      <c r="A8" s="41"/>
      <c r="B8" s="44" t="s">
        <v>96</v>
      </c>
      <c r="C8" s="45" t="s">
        <v>97</v>
      </c>
      <c r="D8" s="45">
        <f>+'May, 14'!D40</f>
        <v>552571.83998000051</v>
      </c>
      <c r="E8" s="45">
        <f>+'May, 14'!E40</f>
        <v>19534249.458594549</v>
      </c>
      <c r="F8" s="45">
        <f>+'May, 14'!F40</f>
        <v>7132868.1055715047</v>
      </c>
      <c r="G8" s="45">
        <f>+'May, 14'!G40</f>
        <v>0</v>
      </c>
      <c r="H8" s="45">
        <f>+'May, 14'!H40</f>
        <v>0</v>
      </c>
      <c r="I8" s="45">
        <f>+'May, 14'!I40</f>
        <v>112863.25716999423</v>
      </c>
      <c r="J8" s="45">
        <f>+'May, 14'!J40</f>
        <v>0</v>
      </c>
      <c r="K8" s="45">
        <f>+'May, 14'!K40</f>
        <v>143709.39457214306</v>
      </c>
      <c r="L8" s="45">
        <f>+'May, 14'!L40</f>
        <v>202603.36751482866</v>
      </c>
      <c r="M8" s="45">
        <f>+'May, 14'!M40</f>
        <v>105400.73820886645</v>
      </c>
      <c r="N8" s="45">
        <f>+'May, 14'!N40</f>
        <v>177310.5199999999</v>
      </c>
      <c r="O8" s="45">
        <f>+'May, 14'!O40</f>
        <v>743248.15264999995</v>
      </c>
      <c r="P8" s="45">
        <f>+'May, 14'!P40</f>
        <v>20794904.480000008</v>
      </c>
      <c r="Q8" s="45">
        <f>+'May, 14'!Q40</f>
        <v>120335376.32341588</v>
      </c>
      <c r="R8" s="45">
        <f>+'May, 14'!R40</f>
        <v>994242.19</v>
      </c>
      <c r="S8" s="45">
        <f>+'May, 14'!S40</f>
        <v>4499409.247208599</v>
      </c>
      <c r="T8" s="45">
        <f>+'May, 14'!T40</f>
        <v>0</v>
      </c>
      <c r="U8" s="45">
        <f>+'May, 14'!U40</f>
        <v>0</v>
      </c>
      <c r="V8" s="45">
        <f>+'May, 14'!V40</f>
        <v>0</v>
      </c>
      <c r="W8" s="45">
        <f>+'May, 14'!W40</f>
        <v>0</v>
      </c>
      <c r="X8" s="45">
        <f>+'May, 14'!X40</f>
        <v>0</v>
      </c>
      <c r="Y8" s="45">
        <f>+'May, 14'!Y40</f>
        <v>0</v>
      </c>
      <c r="Z8" s="45">
        <f>+'May, 14'!Z40</f>
        <v>9662.5274983807467</v>
      </c>
      <c r="AA8" s="45">
        <f>+'May, 14'!AA40</f>
        <v>40503.29</v>
      </c>
      <c r="AB8" s="45">
        <f>+'May, 14'!AB40</f>
        <v>7542.7499999967404</v>
      </c>
      <c r="AC8" s="45">
        <f>+'May, 14'!AC40</f>
        <v>31617.62</v>
      </c>
      <c r="AD8" s="45">
        <f>+'May, 14'!AD40</f>
        <v>5155</v>
      </c>
      <c r="AE8" s="45">
        <f>+'May, 14'!AE40</f>
        <v>21608.68</v>
      </c>
      <c r="AF8" s="45">
        <f>+'May, 14'!AF40</f>
        <v>7956.8699999451637</v>
      </c>
      <c r="AG8" s="45">
        <f>+'May, 14'!AG40</f>
        <v>33353.53</v>
      </c>
      <c r="AH8" s="45">
        <f>+'May, 14'!AH40</f>
        <v>202018.84999999718</v>
      </c>
      <c r="AI8" s="45">
        <f>+'May, 14'!AI40</f>
        <v>846664.08869630005</v>
      </c>
      <c r="AJ8" s="45">
        <f>+'May, 14'!AJ40</f>
        <v>673596.71999999823</v>
      </c>
      <c r="AK8" s="45">
        <f>+'May, 14'!AK40</f>
        <v>2823324.1679230896</v>
      </c>
      <c r="AL8" s="45">
        <f>+'May, 14'!AL40</f>
        <v>7196277.692750074</v>
      </c>
      <c r="AM8" s="45">
        <f>+'May, 14'!AM40</f>
        <v>59260575.930983536</v>
      </c>
      <c r="AN8" s="45">
        <f>+'May, 14'!AN40</f>
        <v>6672054.544230001</v>
      </c>
      <c r="AO8" s="45">
        <f>+'May, 14'!AO40</f>
        <v>943840.20692143973</v>
      </c>
      <c r="AP8" s="45">
        <f>+'May, 14'!AP40</f>
        <v>8930354.0155337546</v>
      </c>
      <c r="AQ8" s="45">
        <f>+'May, 14'!AQ40</f>
        <v>1613981.6700221607</v>
      </c>
      <c r="AR8" s="45">
        <f>+'May, 14'!AR40</f>
        <v>33752.683643993005</v>
      </c>
      <c r="AS8" s="45">
        <f>+'May, 14'!AS40</f>
        <v>6.2719079996137461</v>
      </c>
      <c r="AT8" s="45">
        <f>+'May, 14'!AT40</f>
        <v>11.210432002509913</v>
      </c>
      <c r="AU8" s="45">
        <f>+'May, 14'!AU40</f>
        <v>70709.869203997281</v>
      </c>
      <c r="AV8" s="45">
        <f>+'May, 14'!AV40</f>
        <v>523662.90839880263</v>
      </c>
      <c r="AW8" s="45">
        <f>+'May, 14'!AW40</f>
        <v>85667.9885699968</v>
      </c>
      <c r="AX8" s="45">
        <f>+'May, 14'!AX40</f>
        <v>1041.3974240010875</v>
      </c>
      <c r="AY8" s="45">
        <f>+'May, 14'!AY40</f>
        <v>22742.072311997978</v>
      </c>
      <c r="AZ8" s="45">
        <f>+'May, 14'!AZ40</f>
        <v>23267.345377323236</v>
      </c>
      <c r="BA8" s="45">
        <f>+'May, 14'!BA40</f>
        <v>202217.62172400692</v>
      </c>
      <c r="BB8" s="45">
        <f>+'May, 14'!BB40</f>
        <v>70026.80221999115</v>
      </c>
      <c r="BC8" s="45">
        <f>+'May, 14'!BC40</f>
        <v>267129.24084799865</v>
      </c>
      <c r="BD8" s="45">
        <f>+'May, 14'!BD40</f>
        <v>17067.749599989831</v>
      </c>
      <c r="BE8" s="45">
        <f>+'May, 14'!BE40</f>
        <v>256586.81289368056</v>
      </c>
      <c r="BF8" s="45">
        <f>+'May, 14'!BF40</f>
        <v>321949.5492303599</v>
      </c>
      <c r="BG8" s="45">
        <f>+'May, 14'!BG40</f>
        <v>35109.232018882758</v>
      </c>
      <c r="BH8" s="45">
        <f>+'May, 14'!BH40</f>
        <v>27273.514880002102</v>
      </c>
      <c r="BI8" s="45">
        <f>+'May, 14'!BI40</f>
        <v>630661.83776839031</v>
      </c>
      <c r="BJ8" s="45">
        <f>+'May, 14'!BJ40</f>
        <v>197783.28604456017</v>
      </c>
      <c r="BK8" s="45">
        <f>+'May, 14'!BK40</f>
        <v>11501590.157326013</v>
      </c>
      <c r="BL8" s="45">
        <f>+'May, 14'!BL40</f>
        <v>112857.23879244606</v>
      </c>
      <c r="BM8" s="45">
        <f>+'May, 14'!BM40</f>
        <v>1069928.4447171511</v>
      </c>
      <c r="BN8" s="45">
        <f>+'May, 14'!BN40</f>
        <v>4101931.9467673809</v>
      </c>
      <c r="BO8" s="45">
        <f>+'May, 14'!BO40</f>
        <v>3.4691202304202307E-3</v>
      </c>
      <c r="BP8" s="45">
        <f>+'May, 14'!BP40</f>
        <v>255.50048932906549</v>
      </c>
      <c r="BQ8" s="45">
        <f>+'May, 14'!BQ40</f>
        <v>4.0128798844989433E-3</v>
      </c>
      <c r="BR8" s="45">
        <f>+'May, 14'!BR40</f>
        <v>645623.81600000313</v>
      </c>
      <c r="BS8" s="45">
        <f>+'May, 14'!BS40</f>
        <v>2662944.0693795886</v>
      </c>
      <c r="BT8" s="45">
        <f>+'May, 14'!BT40</f>
        <v>54664.004932018986</v>
      </c>
      <c r="BU8" s="45">
        <f>+'May, 14'!BU40</f>
        <v>199256.26825549096</v>
      </c>
      <c r="BV8" s="45">
        <f>+'May, 14'!BV40</f>
        <v>8400.1908600000006</v>
      </c>
      <c r="BW8" s="45">
        <f>+'May, 14'!BW40</f>
        <v>377417.50199000072</v>
      </c>
      <c r="BX8" s="45">
        <f>+'May, 14'!BX40</f>
        <v>12663.664475599246</v>
      </c>
      <c r="BY8" s="45">
        <f>+'May, 14'!BY40</f>
        <v>656371.26899999997</v>
      </c>
      <c r="BZ8" s="45">
        <f>+'May, 14'!BZ40</f>
        <v>3706890.0209999997</v>
      </c>
      <c r="CA8" s="45">
        <f>+'May, 14'!CA40</f>
        <v>7227819.0800000001</v>
      </c>
      <c r="CB8" s="45">
        <f>+'May, 14'!CB40</f>
        <v>18618.56624</v>
      </c>
      <c r="CC8" s="45">
        <f>+'May, 14'!CC40</f>
        <v>886127.65617999982</v>
      </c>
      <c r="CD8" s="45">
        <f>+'May, 14'!CD40</f>
        <v>0</v>
      </c>
      <c r="CE8" s="45">
        <f>+'May, 14'!CE40</f>
        <v>23120.492999999999</v>
      </c>
      <c r="CF8" s="45">
        <f>+'May, 14'!CF40</f>
        <v>462904.51059000008</v>
      </c>
      <c r="CG8" s="45">
        <f>+'May, 14'!CG40</f>
        <v>187664.606</v>
      </c>
      <c r="CH8" s="45">
        <f>+'May, 14'!CH40</f>
        <v>2.9318200000000001</v>
      </c>
      <c r="CI8" s="45">
        <f>+'May, 14'!CI40</f>
        <v>905739.74100000004</v>
      </c>
      <c r="CJ8" s="45">
        <f>+'May, 14'!CJ40</f>
        <v>178334.95499999999</v>
      </c>
      <c r="CK8" s="45">
        <f>+'May, 14'!CK40</f>
        <v>0</v>
      </c>
      <c r="CL8" s="45">
        <f>+'May, 14'!CL40</f>
        <v>0</v>
      </c>
      <c r="CM8" s="45">
        <f>+'May, 14'!CM40</f>
        <v>79545.21415</v>
      </c>
      <c r="CN8" s="45">
        <f>+'May, 14'!CN40</f>
        <v>662749.23896999995</v>
      </c>
      <c r="CO8" s="45">
        <f>+'May, 14'!CO40</f>
        <v>736440.24131999968</v>
      </c>
      <c r="CP8" s="45">
        <f>+'May, 14'!CP40</f>
        <v>9152723.6727600005</v>
      </c>
      <c r="CQ8" s="45">
        <f>+'May, 14'!CQ40</f>
        <v>377918.49939999997</v>
      </c>
      <c r="CR8" s="45">
        <f>+'May, 14'!CR40</f>
        <v>20872.37467999896</v>
      </c>
      <c r="CS8" s="45">
        <f>+'May, 14'!CS40</f>
        <v>5000</v>
      </c>
      <c r="CT8" s="45">
        <f>+'May, 14'!CT40</f>
        <v>20468.599999999999</v>
      </c>
      <c r="CU8" s="45">
        <f>+'May, 14'!CU40</f>
        <v>5000</v>
      </c>
      <c r="CV8" s="45">
        <f>+'May, 14'!CV40</f>
        <v>20468.599999999999</v>
      </c>
      <c r="CW8" s="43">
        <f t="shared" ref="CW8:CW40" si="4">SUM(D8:CV8)</f>
        <v>313517825.70652014</v>
      </c>
    </row>
    <row r="9" spans="1:101" x14ac:dyDescent="0.25">
      <c r="B9" s="46" t="s">
        <v>96</v>
      </c>
      <c r="C9" s="47" t="s">
        <v>98</v>
      </c>
      <c r="D9" s="47">
        <v>12900</v>
      </c>
      <c r="E9" s="48">
        <v>14319491.730699999</v>
      </c>
      <c r="F9" s="48">
        <v>6560837.56116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>
        <f>IF(BY6&gt;0,BY6,0)</f>
        <v>0</v>
      </c>
      <c r="BZ9" s="47">
        <f>IF(BZ6&gt;0,BZ6,0)</f>
        <v>312468.23900000006</v>
      </c>
      <c r="CA9" s="47">
        <f>IF(CA6&gt;0,CA6,0)</f>
        <v>185775.53500000015</v>
      </c>
      <c r="CB9" s="47"/>
      <c r="CC9" s="47"/>
      <c r="CD9" s="47"/>
      <c r="CE9" s="47">
        <f>IF(CE6&gt;0,CE6,0)</f>
        <v>0</v>
      </c>
      <c r="CF9" s="47">
        <f>IF(CF6&gt;0,CF6,0)</f>
        <v>16194.850999999908</v>
      </c>
      <c r="CG9" s="47">
        <f>IF(CG6&gt;0,CG6,0)</f>
        <v>0</v>
      </c>
      <c r="CH9" s="47"/>
      <c r="CI9" s="47">
        <f>IF(CI6&gt;0,CI6,0)</f>
        <v>14.581000000005588</v>
      </c>
      <c r="CJ9" s="47">
        <f>IF(CJ6&gt;0,CJ6,0)</f>
        <v>7743.1010000000242</v>
      </c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3">
        <f t="shared" si="4"/>
        <v>21415425.598859999</v>
      </c>
    </row>
    <row r="10" spans="1:101" x14ac:dyDescent="0.25">
      <c r="B10" s="46" t="s">
        <v>99</v>
      </c>
      <c r="C10" s="47" t="s">
        <v>100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>
        <v>-1.7569999999999999</v>
      </c>
      <c r="BX10" s="47"/>
      <c r="BY10" s="47">
        <f>IF(BY6&lt;0,BY6,0)</f>
        <v>-583.25399999995716</v>
      </c>
      <c r="BZ10" s="47">
        <f>IF(BZ6&lt;0,BZ6,0)</f>
        <v>0</v>
      </c>
      <c r="CA10" s="47">
        <f>IF(CA6&lt;0,CA6,0)</f>
        <v>0</v>
      </c>
      <c r="CB10" s="47"/>
      <c r="CC10" s="47"/>
      <c r="CD10" s="47"/>
      <c r="CE10" s="47">
        <f>IF(CE6&lt;0,CE6,0)</f>
        <v>-6.8099999999976717</v>
      </c>
      <c r="CF10" s="47">
        <f>IF(CF6&lt;0,CF6,0)</f>
        <v>0</v>
      </c>
      <c r="CG10" s="47">
        <f>IF(CG6&lt;0,CG6,0)</f>
        <v>0</v>
      </c>
      <c r="CH10" s="47"/>
      <c r="CI10" s="47">
        <f>IF(CI6&lt;0,CI6,0)</f>
        <v>0</v>
      </c>
      <c r="CJ10" s="47">
        <f>IF(CJ6&lt;0,CJ6,0)</f>
        <v>0</v>
      </c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3">
        <f t="shared" si="4"/>
        <v>-591.82099999995478</v>
      </c>
    </row>
    <row r="11" spans="1:101" x14ac:dyDescent="0.25">
      <c r="A11" s="41"/>
      <c r="B11" s="49" t="s">
        <v>99</v>
      </c>
      <c r="C11" s="50" t="s">
        <v>101</v>
      </c>
      <c r="D11" s="50">
        <v>-6.024</v>
      </c>
      <c r="E11" s="50">
        <v>-11751.6683899994</v>
      </c>
      <c r="F11" s="50">
        <v>-6235.8018199996905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>
        <f>+[1]Otrosbancos!$K$6+[1]Otrosbancos!$K$7</f>
        <v>-12730.686</v>
      </c>
      <c r="BZ11" s="50">
        <f>+[1]Otrosbancos!$K$11+[1]Otrosbancos!$K$12</f>
        <v>-777848.10200000007</v>
      </c>
      <c r="CA11" s="50">
        <f>+[1]Otrosbancos!$K$16+[1]Otrosbancos!$K$17</f>
        <v>-3801184.1189999999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43">
        <f t="shared" si="4"/>
        <v>-4609756.4012099989</v>
      </c>
    </row>
    <row r="12" spans="1:101" x14ac:dyDescent="0.25">
      <c r="B12" s="46" t="s">
        <v>96</v>
      </c>
      <c r="C12" s="47" t="s">
        <v>102</v>
      </c>
      <c r="D12" s="47">
        <v>46176.489000000001</v>
      </c>
      <c r="E12" s="47">
        <f>1767993.317-1767993.317</f>
        <v>0</v>
      </c>
      <c r="F12" s="47">
        <f>4460661.477-4460661.477</f>
        <v>0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1"/>
      <c r="AS12" s="51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3">
        <f t="shared" si="4"/>
        <v>46176.489000000001</v>
      </c>
    </row>
    <row r="13" spans="1:101" x14ac:dyDescent="0.25">
      <c r="B13" s="46" t="s">
        <v>96</v>
      </c>
      <c r="C13" s="47" t="s">
        <v>103</v>
      </c>
      <c r="D13" s="47"/>
      <c r="E13" s="47">
        <f>1767993.317-368659.762</f>
        <v>1399333.5550000002</v>
      </c>
      <c r="F13" s="47">
        <f>4460661.477-692456.85</f>
        <v>3768204.6269999999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51"/>
      <c r="AS13" s="51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3">
        <f t="shared" si="4"/>
        <v>5167538.182</v>
      </c>
    </row>
    <row r="14" spans="1:101" x14ac:dyDescent="0.25">
      <c r="B14" s="46" t="s">
        <v>96</v>
      </c>
      <c r="C14" s="47" t="s">
        <v>104</v>
      </c>
      <c r="D14" s="47"/>
      <c r="E14" s="47"/>
      <c r="F14" s="47">
        <v>80913.002999999997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51"/>
      <c r="AS14" s="51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3">
        <f t="shared" si="4"/>
        <v>80913.002999999997</v>
      </c>
    </row>
    <row r="15" spans="1:101" x14ac:dyDescent="0.25">
      <c r="B15" s="46" t="s">
        <v>96</v>
      </c>
      <c r="C15" s="47" t="s">
        <v>105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51"/>
      <c r="AS15" s="51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3">
        <f t="shared" si="4"/>
        <v>0</v>
      </c>
    </row>
    <row r="16" spans="1:101" x14ac:dyDescent="0.25">
      <c r="B16" s="46" t="s">
        <v>96</v>
      </c>
      <c r="C16" s="47" t="s">
        <v>106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51"/>
      <c r="AS16" s="51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3">
        <f t="shared" si="4"/>
        <v>0</v>
      </c>
    </row>
    <row r="17" spans="1:101" x14ac:dyDescent="0.25">
      <c r="B17" s="46" t="s">
        <v>99</v>
      </c>
      <c r="C17" s="47" t="s">
        <v>107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51"/>
      <c r="AS17" s="51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3">
        <f t="shared" si="4"/>
        <v>0</v>
      </c>
    </row>
    <row r="18" spans="1:101" x14ac:dyDescent="0.25">
      <c r="B18" s="46" t="s">
        <v>96</v>
      </c>
      <c r="C18" s="47" t="s">
        <v>108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1"/>
      <c r="AS18" s="51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3">
        <f t="shared" si="4"/>
        <v>0</v>
      </c>
    </row>
    <row r="19" spans="1:101" x14ac:dyDescent="0.25">
      <c r="B19" s="46" t="s">
        <v>99</v>
      </c>
      <c r="C19" s="47" t="s">
        <v>109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51"/>
      <c r="AS19" s="51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3">
        <f t="shared" si="4"/>
        <v>0</v>
      </c>
    </row>
    <row r="20" spans="1:101" x14ac:dyDescent="0.25">
      <c r="B20" s="46" t="s">
        <v>99</v>
      </c>
      <c r="C20" s="47" t="s">
        <v>110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51"/>
      <c r="AS20" s="51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3">
        <f t="shared" si="4"/>
        <v>0</v>
      </c>
    </row>
    <row r="21" spans="1:101" x14ac:dyDescent="0.25">
      <c r="B21" s="46" t="s">
        <v>96</v>
      </c>
      <c r="C21" s="47" t="s">
        <v>111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51"/>
      <c r="AS21" s="51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3">
        <f t="shared" si="4"/>
        <v>0</v>
      </c>
    </row>
    <row r="22" spans="1:101" x14ac:dyDescent="0.25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51"/>
      <c r="AS22" s="51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3">
        <f t="shared" si="4"/>
        <v>0</v>
      </c>
    </row>
    <row r="23" spans="1:101" x14ac:dyDescent="0.25">
      <c r="B23" s="46" t="s">
        <v>99</v>
      </c>
      <c r="C23" s="47" t="s">
        <v>112</v>
      </c>
      <c r="D23" s="47">
        <v>-1210.021</v>
      </c>
      <c r="E23" s="47">
        <f>-257.99-594.442-1245.859-172.091-12140.954</f>
        <v>-14411.335999999999</v>
      </c>
      <c r="F23" s="47">
        <f>-539.12-522.503-513.133-2011.874</f>
        <v>-3586.63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51"/>
      <c r="AS23" s="51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3">
        <f t="shared" si="4"/>
        <v>-19207.987000000001</v>
      </c>
    </row>
    <row r="24" spans="1:101" x14ac:dyDescent="0.25">
      <c r="B24" s="46" t="s">
        <v>99</v>
      </c>
      <c r="C24" s="47" t="s">
        <v>113</v>
      </c>
      <c r="D24" s="47">
        <f>-33.108-5.02</f>
        <v>-38.128</v>
      </c>
      <c r="E24" s="47">
        <f>-18626.379-92059.209-2100.67-59.2-379.162-1918.536-6188-213.87-281.567-6.403-760.78</f>
        <v>-122593.77599999998</v>
      </c>
      <c r="F24" s="47">
        <f>-13802115.2-4096360.747-328.812-71613.3</f>
        <v>-17970418.059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51"/>
      <c r="AS24" s="51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3">
        <f t="shared" si="4"/>
        <v>-18093049.963</v>
      </c>
    </row>
    <row r="25" spans="1:101" x14ac:dyDescent="0.25">
      <c r="A25" s="41"/>
      <c r="B25" s="52" t="s">
        <v>99</v>
      </c>
      <c r="C25" s="53" t="s">
        <v>114</v>
      </c>
      <c r="D25" s="53">
        <v>-25156.06496</v>
      </c>
      <c r="E25" s="53">
        <f>-3577878.1871+368659.762</f>
        <v>-3209218.4251000001</v>
      </c>
      <c r="F25" s="53">
        <f>-3744253.06848+692456.85</f>
        <v>-3051796.2184799998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43">
        <f t="shared" si="4"/>
        <v>-6286170.70854</v>
      </c>
    </row>
    <row r="26" spans="1:101" x14ac:dyDescent="0.25">
      <c r="B26" s="46"/>
      <c r="C26" s="47" t="s">
        <v>115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51"/>
      <c r="AS26" s="51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3">
        <f t="shared" si="4"/>
        <v>0</v>
      </c>
    </row>
    <row r="27" spans="1:101" x14ac:dyDescent="0.25">
      <c r="B27" s="46" t="s">
        <v>99</v>
      </c>
      <c r="C27" s="47" t="s">
        <v>116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51"/>
      <c r="AS27" s="51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3">
        <f t="shared" si="4"/>
        <v>0</v>
      </c>
    </row>
    <row r="28" spans="1:101" x14ac:dyDescent="0.25">
      <c r="B28" s="47" t="s">
        <v>99</v>
      </c>
      <c r="C28" s="47" t="s">
        <v>117</v>
      </c>
      <c r="D28" s="48">
        <v>-29336.69325</v>
      </c>
      <c r="E28" s="47">
        <v>-7836974.5548999999</v>
      </c>
      <c r="F28" s="47">
        <v>-7503628.1628799997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51"/>
      <c r="AS28" s="51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3">
        <f t="shared" si="4"/>
        <v>-15369939.411029998</v>
      </c>
    </row>
    <row r="29" spans="1:101" x14ac:dyDescent="0.25">
      <c r="B29" s="47"/>
      <c r="C29" s="47" t="s">
        <v>118</v>
      </c>
      <c r="D29" s="48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51"/>
      <c r="AS29" s="51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3">
        <f t="shared" si="4"/>
        <v>0</v>
      </c>
    </row>
    <row r="30" spans="1:101" x14ac:dyDescent="0.25">
      <c r="B30" s="47"/>
      <c r="C30" s="47" t="s">
        <v>119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51"/>
      <c r="AS30" s="51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3">
        <f t="shared" si="4"/>
        <v>0</v>
      </c>
    </row>
    <row r="31" spans="1:101" x14ac:dyDescent="0.25">
      <c r="B31" s="47" t="s">
        <v>99</v>
      </c>
      <c r="C31" s="47" t="s">
        <v>120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51"/>
      <c r="AS31" s="51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3">
        <f t="shared" si="4"/>
        <v>0</v>
      </c>
    </row>
    <row r="32" spans="1:101" x14ac:dyDescent="0.25">
      <c r="B32" s="47" t="s">
        <v>99</v>
      </c>
      <c r="C32" s="47" t="s">
        <v>121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51"/>
      <c r="AS32" s="51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3">
        <f t="shared" si="4"/>
        <v>0</v>
      </c>
    </row>
    <row r="33" spans="2:101" x14ac:dyDescent="0.25">
      <c r="B33" s="47" t="s">
        <v>99</v>
      </c>
      <c r="C33" s="47" t="s">
        <v>122</v>
      </c>
      <c r="D33" s="47">
        <v>-13</v>
      </c>
      <c r="E33" s="47">
        <f>-47229-5943-779.872</f>
        <v>-53951.872000000003</v>
      </c>
      <c r="F33" s="47">
        <f>-1288-397.753</f>
        <v>-1685.7529999999999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51"/>
      <c r="AS33" s="51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3">
        <f t="shared" si="4"/>
        <v>-55650.625</v>
      </c>
    </row>
    <row r="34" spans="2:101" x14ac:dyDescent="0.25">
      <c r="B34" s="54" t="s">
        <v>99</v>
      </c>
      <c r="C34" s="55" t="s">
        <v>123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43">
        <f t="shared" si="4"/>
        <v>0</v>
      </c>
    </row>
    <row r="35" spans="2:101" x14ac:dyDescent="0.25">
      <c r="B35" s="54" t="s">
        <v>99</v>
      </c>
      <c r="C35" s="55" t="s">
        <v>124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43">
        <f t="shared" si="4"/>
        <v>0</v>
      </c>
    </row>
    <row r="36" spans="2:101" ht="15.75" thickBot="1" x14ac:dyDescent="0.3">
      <c r="B36" s="56"/>
      <c r="C36" s="57" t="s">
        <v>125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43">
        <f t="shared" si="4"/>
        <v>0</v>
      </c>
    </row>
    <row r="37" spans="2:101" x14ac:dyDescent="0.25">
      <c r="B37" s="58"/>
      <c r="C37" s="59" t="s">
        <v>126</v>
      </c>
      <c r="D37" s="59">
        <f>SUM(D9:D36)</f>
        <v>3316.5577900000062</v>
      </c>
      <c r="E37" s="59">
        <f>SUM(E9:E36)</f>
        <v>4469923.6533099981</v>
      </c>
      <c r="F37" s="59">
        <f>SUM(F9:F35)</f>
        <v>-18127395.434019998</v>
      </c>
      <c r="G37" s="59">
        <f t="shared" ref="G37:BR37" si="5">SUM(G9:G36)</f>
        <v>0</v>
      </c>
      <c r="H37" s="59">
        <f t="shared" si="5"/>
        <v>0</v>
      </c>
      <c r="I37" s="59">
        <f t="shared" si="5"/>
        <v>0</v>
      </c>
      <c r="J37" s="59">
        <f t="shared" si="5"/>
        <v>0</v>
      </c>
      <c r="K37" s="59">
        <f t="shared" si="5"/>
        <v>0</v>
      </c>
      <c r="L37" s="59">
        <f t="shared" si="5"/>
        <v>0</v>
      </c>
      <c r="M37" s="59">
        <f t="shared" si="5"/>
        <v>0</v>
      </c>
      <c r="N37" s="59">
        <f t="shared" si="5"/>
        <v>0</v>
      </c>
      <c r="O37" s="59">
        <f t="shared" si="5"/>
        <v>0</v>
      </c>
      <c r="P37" s="59">
        <f t="shared" si="5"/>
        <v>0</v>
      </c>
      <c r="Q37" s="59">
        <f t="shared" si="5"/>
        <v>0</v>
      </c>
      <c r="R37" s="59">
        <f t="shared" si="5"/>
        <v>0</v>
      </c>
      <c r="S37" s="59">
        <f t="shared" si="5"/>
        <v>0</v>
      </c>
      <c r="T37" s="59">
        <f t="shared" si="5"/>
        <v>0</v>
      </c>
      <c r="U37" s="59">
        <f t="shared" si="5"/>
        <v>0</v>
      </c>
      <c r="V37" s="59">
        <f t="shared" si="5"/>
        <v>0</v>
      </c>
      <c r="W37" s="59">
        <f t="shared" si="5"/>
        <v>0</v>
      </c>
      <c r="X37" s="59">
        <f t="shared" si="5"/>
        <v>0</v>
      </c>
      <c r="Y37" s="59">
        <f t="shared" si="5"/>
        <v>0</v>
      </c>
      <c r="Z37" s="59">
        <f t="shared" si="5"/>
        <v>0</v>
      </c>
      <c r="AA37" s="59">
        <f t="shared" si="5"/>
        <v>0</v>
      </c>
      <c r="AB37" s="59">
        <f t="shared" si="5"/>
        <v>0</v>
      </c>
      <c r="AC37" s="59">
        <f t="shared" si="5"/>
        <v>0</v>
      </c>
      <c r="AD37" s="59">
        <f t="shared" si="5"/>
        <v>0</v>
      </c>
      <c r="AE37" s="59">
        <f t="shared" si="5"/>
        <v>0</v>
      </c>
      <c r="AF37" s="59">
        <f t="shared" si="5"/>
        <v>0</v>
      </c>
      <c r="AG37" s="59">
        <f t="shared" si="5"/>
        <v>0</v>
      </c>
      <c r="AH37" s="59">
        <f t="shared" si="5"/>
        <v>0</v>
      </c>
      <c r="AI37" s="59">
        <f t="shared" si="5"/>
        <v>0</v>
      </c>
      <c r="AJ37" s="59">
        <f t="shared" si="5"/>
        <v>0</v>
      </c>
      <c r="AK37" s="59">
        <f t="shared" si="5"/>
        <v>0</v>
      </c>
      <c r="AL37" s="59">
        <f t="shared" si="5"/>
        <v>0</v>
      </c>
      <c r="AM37" s="59">
        <f t="shared" si="5"/>
        <v>0</v>
      </c>
      <c r="AN37" s="59">
        <f t="shared" si="5"/>
        <v>0</v>
      </c>
      <c r="AO37" s="59">
        <f t="shared" si="5"/>
        <v>0</v>
      </c>
      <c r="AP37" s="59">
        <f t="shared" si="5"/>
        <v>0</v>
      </c>
      <c r="AQ37" s="59">
        <f t="shared" si="5"/>
        <v>0</v>
      </c>
      <c r="AR37" s="59">
        <f t="shared" si="5"/>
        <v>0</v>
      </c>
      <c r="AS37" s="59">
        <f t="shared" si="5"/>
        <v>0</v>
      </c>
      <c r="AT37" s="59">
        <f t="shared" si="5"/>
        <v>0</v>
      </c>
      <c r="AU37" s="59">
        <f t="shared" si="5"/>
        <v>0</v>
      </c>
      <c r="AV37" s="59">
        <f t="shared" si="5"/>
        <v>0</v>
      </c>
      <c r="AW37" s="59">
        <f t="shared" si="5"/>
        <v>0</v>
      </c>
      <c r="AX37" s="59">
        <f t="shared" si="5"/>
        <v>0</v>
      </c>
      <c r="AY37" s="59">
        <f t="shared" si="5"/>
        <v>0</v>
      </c>
      <c r="AZ37" s="59">
        <f t="shared" si="5"/>
        <v>0</v>
      </c>
      <c r="BA37" s="59">
        <f t="shared" si="5"/>
        <v>0</v>
      </c>
      <c r="BB37" s="59">
        <f t="shared" si="5"/>
        <v>0</v>
      </c>
      <c r="BC37" s="59">
        <f t="shared" si="5"/>
        <v>0</v>
      </c>
      <c r="BD37" s="59">
        <f t="shared" si="5"/>
        <v>0</v>
      </c>
      <c r="BE37" s="59">
        <f t="shared" si="5"/>
        <v>0</v>
      </c>
      <c r="BF37" s="59">
        <f t="shared" si="5"/>
        <v>0</v>
      </c>
      <c r="BG37" s="59">
        <f t="shared" si="5"/>
        <v>0</v>
      </c>
      <c r="BH37" s="59">
        <f t="shared" si="5"/>
        <v>0</v>
      </c>
      <c r="BI37" s="59">
        <f t="shared" si="5"/>
        <v>0</v>
      </c>
      <c r="BJ37" s="59">
        <f t="shared" si="5"/>
        <v>0</v>
      </c>
      <c r="BK37" s="59">
        <f t="shared" si="5"/>
        <v>0</v>
      </c>
      <c r="BL37" s="59">
        <f t="shared" si="5"/>
        <v>0</v>
      </c>
      <c r="BM37" s="59">
        <f t="shared" si="5"/>
        <v>0</v>
      </c>
      <c r="BN37" s="59">
        <f t="shared" si="5"/>
        <v>0</v>
      </c>
      <c r="BO37" s="59">
        <f t="shared" si="5"/>
        <v>0</v>
      </c>
      <c r="BP37" s="59">
        <f t="shared" si="5"/>
        <v>0</v>
      </c>
      <c r="BQ37" s="59">
        <f t="shared" si="5"/>
        <v>0</v>
      </c>
      <c r="BR37" s="59">
        <f t="shared" si="5"/>
        <v>0</v>
      </c>
      <c r="BS37" s="59">
        <f t="shared" ref="BS37:CV37" si="6">SUM(BS9:BS36)</f>
        <v>0</v>
      </c>
      <c r="BT37" s="59">
        <f t="shared" si="6"/>
        <v>0</v>
      </c>
      <c r="BU37" s="59">
        <f t="shared" si="6"/>
        <v>0</v>
      </c>
      <c r="BV37" s="59">
        <f t="shared" si="6"/>
        <v>0</v>
      </c>
      <c r="BW37" s="59">
        <f t="shared" si="6"/>
        <v>-1.7569999999999999</v>
      </c>
      <c r="BX37" s="59">
        <f t="shared" si="6"/>
        <v>0</v>
      </c>
      <c r="BY37" s="59">
        <f t="shared" si="6"/>
        <v>-13313.939999999957</v>
      </c>
      <c r="BZ37" s="59">
        <f t="shared" si="6"/>
        <v>-465379.86300000001</v>
      </c>
      <c r="CA37" s="59">
        <f t="shared" si="6"/>
        <v>-3615408.5839999998</v>
      </c>
      <c r="CB37" s="59">
        <f t="shared" si="6"/>
        <v>0</v>
      </c>
      <c r="CC37" s="59">
        <f t="shared" si="6"/>
        <v>0</v>
      </c>
      <c r="CD37" s="59">
        <f t="shared" si="6"/>
        <v>0</v>
      </c>
      <c r="CE37" s="59">
        <f t="shared" si="6"/>
        <v>-6.8099999999976717</v>
      </c>
      <c r="CF37" s="59">
        <f t="shared" si="6"/>
        <v>16194.850999999908</v>
      </c>
      <c r="CG37" s="59">
        <f t="shared" si="6"/>
        <v>0</v>
      </c>
      <c r="CH37" s="59">
        <f t="shared" si="6"/>
        <v>0</v>
      </c>
      <c r="CI37" s="59">
        <f t="shared" si="6"/>
        <v>14.581000000005588</v>
      </c>
      <c r="CJ37" s="59">
        <f t="shared" si="6"/>
        <v>7743.1010000000242</v>
      </c>
      <c r="CK37" s="59">
        <f t="shared" si="6"/>
        <v>0</v>
      </c>
      <c r="CL37" s="59">
        <f t="shared" si="6"/>
        <v>0</v>
      </c>
      <c r="CM37" s="59">
        <f t="shared" si="6"/>
        <v>0</v>
      </c>
      <c r="CN37" s="59">
        <f t="shared" si="6"/>
        <v>0</v>
      </c>
      <c r="CO37" s="59">
        <f t="shared" si="6"/>
        <v>0</v>
      </c>
      <c r="CP37" s="59">
        <f t="shared" si="6"/>
        <v>0</v>
      </c>
      <c r="CQ37" s="59">
        <f t="shared" si="6"/>
        <v>0</v>
      </c>
      <c r="CR37" s="59">
        <f t="shared" si="6"/>
        <v>0</v>
      </c>
      <c r="CS37" s="59">
        <f t="shared" si="6"/>
        <v>0</v>
      </c>
      <c r="CT37" s="59">
        <f t="shared" si="6"/>
        <v>0</v>
      </c>
      <c r="CU37" s="59">
        <f t="shared" si="6"/>
        <v>0</v>
      </c>
      <c r="CV37" s="59">
        <f t="shared" si="6"/>
        <v>0</v>
      </c>
      <c r="CW37" s="43">
        <f t="shared" si="4"/>
        <v>-17724313.643919997</v>
      </c>
    </row>
    <row r="38" spans="2:101" x14ac:dyDescent="0.25">
      <c r="B38" s="60"/>
      <c r="C38" s="61" t="s">
        <v>127</v>
      </c>
      <c r="D38" s="61">
        <f>+D37+D8</f>
        <v>555888.39777000051</v>
      </c>
      <c r="E38" s="61">
        <f>+E37+E8</f>
        <v>24004173.111904547</v>
      </c>
      <c r="F38" s="61">
        <f>+F37+F8</f>
        <v>-10994527.328448493</v>
      </c>
      <c r="G38" s="61">
        <f t="shared" ref="G38:BR38" si="7">+G37+G8</f>
        <v>0</v>
      </c>
      <c r="H38" s="61">
        <f t="shared" si="7"/>
        <v>0</v>
      </c>
      <c r="I38" s="61">
        <f t="shared" si="7"/>
        <v>112863.25716999423</v>
      </c>
      <c r="J38" s="61">
        <f t="shared" si="7"/>
        <v>0</v>
      </c>
      <c r="K38" s="61">
        <f t="shared" si="7"/>
        <v>143709.39457214306</v>
      </c>
      <c r="L38" s="61">
        <f t="shared" si="7"/>
        <v>202603.36751482866</v>
      </c>
      <c r="M38" s="61">
        <f t="shared" si="7"/>
        <v>105400.73820886645</v>
      </c>
      <c r="N38" s="61">
        <f t="shared" si="7"/>
        <v>177310.5199999999</v>
      </c>
      <c r="O38" s="61">
        <f t="shared" si="7"/>
        <v>743248.15264999995</v>
      </c>
      <c r="P38" s="61">
        <f t="shared" si="7"/>
        <v>20794904.480000008</v>
      </c>
      <c r="Q38" s="61">
        <f t="shared" si="7"/>
        <v>120335376.32341588</v>
      </c>
      <c r="R38" s="61">
        <f t="shared" si="7"/>
        <v>994242.19</v>
      </c>
      <c r="S38" s="61">
        <f t="shared" si="7"/>
        <v>4499409.247208599</v>
      </c>
      <c r="T38" s="61">
        <f t="shared" si="7"/>
        <v>0</v>
      </c>
      <c r="U38" s="61">
        <f t="shared" si="7"/>
        <v>0</v>
      </c>
      <c r="V38" s="61">
        <f t="shared" si="7"/>
        <v>0</v>
      </c>
      <c r="W38" s="61">
        <f t="shared" si="7"/>
        <v>0</v>
      </c>
      <c r="X38" s="61">
        <f t="shared" si="7"/>
        <v>0</v>
      </c>
      <c r="Y38" s="61">
        <f t="shared" si="7"/>
        <v>0</v>
      </c>
      <c r="Z38" s="61">
        <f t="shared" si="7"/>
        <v>9662.5274983807467</v>
      </c>
      <c r="AA38" s="61">
        <f t="shared" si="7"/>
        <v>40503.29</v>
      </c>
      <c r="AB38" s="61">
        <f t="shared" si="7"/>
        <v>7542.7499999967404</v>
      </c>
      <c r="AC38" s="61">
        <f t="shared" si="7"/>
        <v>31617.62</v>
      </c>
      <c r="AD38" s="61">
        <f t="shared" si="7"/>
        <v>5155</v>
      </c>
      <c r="AE38" s="61">
        <f t="shared" si="7"/>
        <v>21608.68</v>
      </c>
      <c r="AF38" s="61">
        <f t="shared" si="7"/>
        <v>7956.8699999451637</v>
      </c>
      <c r="AG38" s="61">
        <f t="shared" si="7"/>
        <v>33353.53</v>
      </c>
      <c r="AH38" s="61">
        <f t="shared" si="7"/>
        <v>202018.84999999718</v>
      </c>
      <c r="AI38" s="61">
        <f t="shared" si="7"/>
        <v>846664.08869630005</v>
      </c>
      <c r="AJ38" s="61">
        <f t="shared" si="7"/>
        <v>673596.71999999823</v>
      </c>
      <c r="AK38" s="61">
        <f t="shared" si="7"/>
        <v>2823324.1679230896</v>
      </c>
      <c r="AL38" s="61">
        <f t="shared" si="7"/>
        <v>7196277.692750074</v>
      </c>
      <c r="AM38" s="61">
        <f t="shared" si="7"/>
        <v>59260575.930983536</v>
      </c>
      <c r="AN38" s="61">
        <f t="shared" si="7"/>
        <v>6672054.544230001</v>
      </c>
      <c r="AO38" s="61">
        <f t="shared" si="7"/>
        <v>943840.20692143973</v>
      </c>
      <c r="AP38" s="61">
        <f t="shared" si="7"/>
        <v>8930354.0155337546</v>
      </c>
      <c r="AQ38" s="61">
        <f t="shared" si="7"/>
        <v>1613981.6700221607</v>
      </c>
      <c r="AR38" s="61">
        <f t="shared" si="7"/>
        <v>33752.683643993005</v>
      </c>
      <c r="AS38" s="61">
        <f t="shared" si="7"/>
        <v>6.2719079996137461</v>
      </c>
      <c r="AT38" s="61">
        <f t="shared" si="7"/>
        <v>11.210432002509913</v>
      </c>
      <c r="AU38" s="61">
        <f t="shared" si="7"/>
        <v>70709.869203997281</v>
      </c>
      <c r="AV38" s="61">
        <f t="shared" si="7"/>
        <v>523662.90839880263</v>
      </c>
      <c r="AW38" s="61">
        <f t="shared" si="7"/>
        <v>85667.9885699968</v>
      </c>
      <c r="AX38" s="61">
        <f t="shared" si="7"/>
        <v>1041.3974240010875</v>
      </c>
      <c r="AY38" s="61">
        <f t="shared" si="7"/>
        <v>22742.072311997978</v>
      </c>
      <c r="AZ38" s="61">
        <f t="shared" si="7"/>
        <v>23267.345377323236</v>
      </c>
      <c r="BA38" s="61">
        <f t="shared" si="7"/>
        <v>202217.62172400692</v>
      </c>
      <c r="BB38" s="61">
        <f t="shared" si="7"/>
        <v>70026.80221999115</v>
      </c>
      <c r="BC38" s="61">
        <f t="shared" si="7"/>
        <v>267129.24084799865</v>
      </c>
      <c r="BD38" s="61">
        <f t="shared" si="7"/>
        <v>17067.749599989831</v>
      </c>
      <c r="BE38" s="61">
        <f t="shared" si="7"/>
        <v>256586.81289368056</v>
      </c>
      <c r="BF38" s="61">
        <f t="shared" si="7"/>
        <v>321949.5492303599</v>
      </c>
      <c r="BG38" s="61">
        <f t="shared" si="7"/>
        <v>35109.232018882758</v>
      </c>
      <c r="BH38" s="61">
        <f t="shared" si="7"/>
        <v>27273.514880002102</v>
      </c>
      <c r="BI38" s="61">
        <f t="shared" si="7"/>
        <v>630661.83776839031</v>
      </c>
      <c r="BJ38" s="61">
        <f t="shared" si="7"/>
        <v>197783.28604456017</v>
      </c>
      <c r="BK38" s="61">
        <f t="shared" si="7"/>
        <v>11501590.157326013</v>
      </c>
      <c r="BL38" s="61">
        <f t="shared" si="7"/>
        <v>112857.23879244606</v>
      </c>
      <c r="BM38" s="61">
        <f t="shared" si="7"/>
        <v>1069928.4447171511</v>
      </c>
      <c r="BN38" s="61">
        <f t="shared" si="7"/>
        <v>4101931.9467673809</v>
      </c>
      <c r="BO38" s="61">
        <f t="shared" si="7"/>
        <v>3.4691202304202307E-3</v>
      </c>
      <c r="BP38" s="61">
        <f t="shared" si="7"/>
        <v>255.50048932906549</v>
      </c>
      <c r="BQ38" s="61">
        <f t="shared" si="7"/>
        <v>4.0128798844989433E-3</v>
      </c>
      <c r="BR38" s="61">
        <f t="shared" si="7"/>
        <v>645623.81600000313</v>
      </c>
      <c r="BS38" s="61">
        <f t="shared" ref="BS38:CV38" si="8">+BS37+BS8</f>
        <v>2662944.0693795886</v>
      </c>
      <c r="BT38" s="61">
        <f t="shared" si="8"/>
        <v>54664.004932018986</v>
      </c>
      <c r="BU38" s="61">
        <f t="shared" si="8"/>
        <v>199256.26825549096</v>
      </c>
      <c r="BV38" s="61">
        <f t="shared" si="8"/>
        <v>8400.1908600000006</v>
      </c>
      <c r="BW38" s="61">
        <f t="shared" si="8"/>
        <v>377415.74499000073</v>
      </c>
      <c r="BX38" s="61">
        <f t="shared" si="8"/>
        <v>12663.664475599246</v>
      </c>
      <c r="BY38" s="61">
        <f t="shared" si="8"/>
        <v>643057.32900000003</v>
      </c>
      <c r="BZ38" s="61">
        <f t="shared" si="8"/>
        <v>3241510.1579999998</v>
      </c>
      <c r="CA38" s="61">
        <f t="shared" si="8"/>
        <v>3612410.4960000003</v>
      </c>
      <c r="CB38" s="61">
        <f t="shared" si="8"/>
        <v>18618.56624</v>
      </c>
      <c r="CC38" s="61">
        <f t="shared" si="8"/>
        <v>886127.65617999982</v>
      </c>
      <c r="CD38" s="61">
        <f t="shared" si="8"/>
        <v>0</v>
      </c>
      <c r="CE38" s="61">
        <f t="shared" si="8"/>
        <v>23113.683000000001</v>
      </c>
      <c r="CF38" s="61">
        <f t="shared" si="8"/>
        <v>479099.36158999999</v>
      </c>
      <c r="CG38" s="61">
        <f t="shared" si="8"/>
        <v>187664.606</v>
      </c>
      <c r="CH38" s="61">
        <f t="shared" si="8"/>
        <v>2.9318200000000001</v>
      </c>
      <c r="CI38" s="61">
        <f t="shared" si="8"/>
        <v>905754.32200000004</v>
      </c>
      <c r="CJ38" s="61">
        <f t="shared" si="8"/>
        <v>186078.05600000001</v>
      </c>
      <c r="CK38" s="61">
        <f t="shared" si="8"/>
        <v>0</v>
      </c>
      <c r="CL38" s="61">
        <f t="shared" si="8"/>
        <v>0</v>
      </c>
      <c r="CM38" s="61">
        <f t="shared" si="8"/>
        <v>79545.21415</v>
      </c>
      <c r="CN38" s="61">
        <f t="shared" si="8"/>
        <v>662749.23896999995</v>
      </c>
      <c r="CO38" s="61">
        <f t="shared" si="8"/>
        <v>736440.24131999968</v>
      </c>
      <c r="CP38" s="61">
        <f t="shared" si="8"/>
        <v>9152723.6727600005</v>
      </c>
      <c r="CQ38" s="61">
        <f t="shared" si="8"/>
        <v>377918.49939999997</v>
      </c>
      <c r="CR38" s="61">
        <f t="shared" si="8"/>
        <v>20872.37467999896</v>
      </c>
      <c r="CS38" s="61">
        <f t="shared" si="8"/>
        <v>5000</v>
      </c>
      <c r="CT38" s="61">
        <f t="shared" si="8"/>
        <v>20468.599999999999</v>
      </c>
      <c r="CU38" s="61">
        <f t="shared" si="8"/>
        <v>5000</v>
      </c>
      <c r="CV38" s="61">
        <f t="shared" si="8"/>
        <v>20468.599999999999</v>
      </c>
      <c r="CW38" s="43">
        <f t="shared" si="4"/>
        <v>295793512.06260014</v>
      </c>
    </row>
    <row r="39" spans="2:101" x14ac:dyDescent="0.25">
      <c r="B39" s="62"/>
      <c r="C39" s="63" t="s">
        <v>128</v>
      </c>
      <c r="D39" s="63">
        <v>23735.8</v>
      </c>
      <c r="E39" s="63">
        <v>771211.20709000004</v>
      </c>
      <c r="F39" s="63">
        <v>20025756.779180001</v>
      </c>
      <c r="G39" s="63">
        <v>0</v>
      </c>
      <c r="H39" s="63">
        <v>0</v>
      </c>
      <c r="I39" s="63">
        <v>19.41498</v>
      </c>
      <c r="J39" s="63">
        <v>0</v>
      </c>
      <c r="K39" s="63">
        <v>19099.724999999999</v>
      </c>
      <c r="L39" s="63">
        <v>1803148.722086001</v>
      </c>
      <c r="M39" s="63">
        <v>230615.24215400004</v>
      </c>
      <c r="N39" s="63">
        <v>0</v>
      </c>
      <c r="O39" s="63">
        <v>0</v>
      </c>
      <c r="P39" s="63">
        <v>4058400</v>
      </c>
      <c r="Q39" s="63">
        <v>17021660.112000007</v>
      </c>
      <c r="R39" s="63">
        <v>75.66</v>
      </c>
      <c r="S39" s="63">
        <v>317.33165880000001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5000000</v>
      </c>
      <c r="AM39" s="63">
        <v>0</v>
      </c>
      <c r="AN39" s="63">
        <v>0</v>
      </c>
      <c r="AO39" s="63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33.174999999999997</v>
      </c>
      <c r="BB39" s="63">
        <v>11.488</v>
      </c>
      <c r="BC39" s="63">
        <v>43.823999999999998</v>
      </c>
      <c r="BD39" s="63">
        <v>2.8000000000000003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-8092719.5365040004</v>
      </c>
      <c r="BL39" s="63">
        <v>19.413860000000003</v>
      </c>
      <c r="BM39" s="63">
        <v>184.04850999999999</v>
      </c>
      <c r="BN39" s="63">
        <v>705.61127999999997</v>
      </c>
      <c r="BO39" s="63">
        <v>0</v>
      </c>
      <c r="BP39" s="63">
        <v>4.7259999999999996E-2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0</v>
      </c>
      <c r="BX39" s="63">
        <v>0</v>
      </c>
      <c r="BY39" s="63">
        <v>150000</v>
      </c>
      <c r="BZ39" s="63">
        <v>4400000</v>
      </c>
      <c r="CA39" s="63">
        <v>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43">
        <f t="shared" si="4"/>
        <v>45412320.86555481</v>
      </c>
    </row>
    <row r="40" spans="2:101" ht="15.75" thickBot="1" x14ac:dyDescent="0.3">
      <c r="B40" s="64"/>
      <c r="C40" s="65" t="s">
        <v>129</v>
      </c>
      <c r="D40" s="65">
        <f>+D39+D38</f>
        <v>579624.19777000055</v>
      </c>
      <c r="E40" s="65">
        <f>+E39+E38</f>
        <v>24775384.318994548</v>
      </c>
      <c r="F40" s="65">
        <f>+F39+F38</f>
        <v>9031229.4507315084</v>
      </c>
      <c r="G40" s="65">
        <f t="shared" ref="G40:BR40" si="9">+G39+G38</f>
        <v>0</v>
      </c>
      <c r="H40" s="65">
        <f t="shared" si="9"/>
        <v>0</v>
      </c>
      <c r="I40" s="65">
        <f t="shared" si="9"/>
        <v>112882.67214999424</v>
      </c>
      <c r="J40" s="65">
        <f t="shared" si="9"/>
        <v>0</v>
      </c>
      <c r="K40" s="65">
        <f t="shared" si="9"/>
        <v>162809.11957214307</v>
      </c>
      <c r="L40" s="65">
        <f t="shared" si="9"/>
        <v>2005752.0896008296</v>
      </c>
      <c r="M40" s="65">
        <f t="shared" si="9"/>
        <v>336015.98036286648</v>
      </c>
      <c r="N40" s="65">
        <f t="shared" si="9"/>
        <v>177310.5199999999</v>
      </c>
      <c r="O40" s="65">
        <f t="shared" si="9"/>
        <v>743248.15264999995</v>
      </c>
      <c r="P40" s="65">
        <f t="shared" si="9"/>
        <v>24853304.480000008</v>
      </c>
      <c r="Q40" s="65">
        <f t="shared" si="9"/>
        <v>137357036.43541589</v>
      </c>
      <c r="R40" s="65">
        <f t="shared" si="9"/>
        <v>994317.85</v>
      </c>
      <c r="S40" s="65">
        <f t="shared" si="9"/>
        <v>4499726.5788673991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9662.5274983807467</v>
      </c>
      <c r="AA40" s="65">
        <f t="shared" si="9"/>
        <v>40503.29</v>
      </c>
      <c r="AB40" s="65">
        <f t="shared" si="9"/>
        <v>7542.7499999967404</v>
      </c>
      <c r="AC40" s="65">
        <f t="shared" si="9"/>
        <v>31617.62</v>
      </c>
      <c r="AD40" s="65">
        <f t="shared" si="9"/>
        <v>5155</v>
      </c>
      <c r="AE40" s="65">
        <f t="shared" si="9"/>
        <v>21608.68</v>
      </c>
      <c r="AF40" s="65">
        <f t="shared" si="9"/>
        <v>7956.8699999451637</v>
      </c>
      <c r="AG40" s="65">
        <f t="shared" si="9"/>
        <v>33353.53</v>
      </c>
      <c r="AH40" s="65">
        <f t="shared" si="9"/>
        <v>202018.84999999718</v>
      </c>
      <c r="AI40" s="65">
        <f t="shared" si="9"/>
        <v>846664.08869630005</v>
      </c>
      <c r="AJ40" s="65">
        <f t="shared" si="9"/>
        <v>673596.71999999823</v>
      </c>
      <c r="AK40" s="65">
        <f t="shared" si="9"/>
        <v>2823324.1679230896</v>
      </c>
      <c r="AL40" s="65">
        <f t="shared" si="9"/>
        <v>12196277.692750074</v>
      </c>
      <c r="AM40" s="65">
        <f t="shared" si="9"/>
        <v>59260575.930983536</v>
      </c>
      <c r="AN40" s="65">
        <f t="shared" si="9"/>
        <v>6672054.544230001</v>
      </c>
      <c r="AO40" s="65">
        <f t="shared" si="9"/>
        <v>943840.20692143973</v>
      </c>
      <c r="AP40" s="65">
        <f t="shared" si="9"/>
        <v>8930354.0155337546</v>
      </c>
      <c r="AQ40" s="65">
        <f t="shared" si="9"/>
        <v>1613981.6700221607</v>
      </c>
      <c r="AR40" s="65">
        <f t="shared" si="9"/>
        <v>33752.683643993005</v>
      </c>
      <c r="AS40" s="65">
        <f t="shared" si="9"/>
        <v>6.2719079996137461</v>
      </c>
      <c r="AT40" s="65">
        <f t="shared" si="9"/>
        <v>11.210432002509913</v>
      </c>
      <c r="AU40" s="65">
        <f t="shared" si="9"/>
        <v>70709.869203997281</v>
      </c>
      <c r="AV40" s="65">
        <f t="shared" si="9"/>
        <v>523662.90839880263</v>
      </c>
      <c r="AW40" s="65">
        <f t="shared" si="9"/>
        <v>85667.9885699968</v>
      </c>
      <c r="AX40" s="65">
        <f t="shared" si="9"/>
        <v>1041.3974240010875</v>
      </c>
      <c r="AY40" s="65">
        <f t="shared" si="9"/>
        <v>22742.072311997978</v>
      </c>
      <c r="AZ40" s="65">
        <f t="shared" si="9"/>
        <v>23267.345377323236</v>
      </c>
      <c r="BA40" s="65">
        <f t="shared" si="9"/>
        <v>202250.79672400691</v>
      </c>
      <c r="BB40" s="65">
        <f t="shared" si="9"/>
        <v>70038.290219991148</v>
      </c>
      <c r="BC40" s="65">
        <f t="shared" si="9"/>
        <v>267173.06484799867</v>
      </c>
      <c r="BD40" s="65">
        <f t="shared" si="9"/>
        <v>17070.54959998983</v>
      </c>
      <c r="BE40" s="65">
        <f t="shared" si="9"/>
        <v>256586.81289368056</v>
      </c>
      <c r="BF40" s="65">
        <f t="shared" si="9"/>
        <v>321949.5492303599</v>
      </c>
      <c r="BG40" s="65">
        <f t="shared" si="9"/>
        <v>35109.232018882758</v>
      </c>
      <c r="BH40" s="65">
        <f t="shared" si="9"/>
        <v>27273.514880002102</v>
      </c>
      <c r="BI40" s="65">
        <f t="shared" si="9"/>
        <v>630661.83776839031</v>
      </c>
      <c r="BJ40" s="65">
        <f t="shared" si="9"/>
        <v>197783.28604456017</v>
      </c>
      <c r="BK40" s="65">
        <f t="shared" si="9"/>
        <v>3408870.6208220124</v>
      </c>
      <c r="BL40" s="65">
        <f t="shared" si="9"/>
        <v>112876.65265244606</v>
      </c>
      <c r="BM40" s="65">
        <f t="shared" si="9"/>
        <v>1070112.4932271512</v>
      </c>
      <c r="BN40" s="65">
        <f t="shared" si="9"/>
        <v>4102637.5580473808</v>
      </c>
      <c r="BO40" s="65">
        <f t="shared" si="9"/>
        <v>3.4691202304202307E-3</v>
      </c>
      <c r="BP40" s="65">
        <f t="shared" si="9"/>
        <v>255.54774932906548</v>
      </c>
      <c r="BQ40" s="65">
        <f t="shared" si="9"/>
        <v>4.0128798844989433E-3</v>
      </c>
      <c r="BR40" s="65">
        <f t="shared" si="9"/>
        <v>645623.81600000313</v>
      </c>
      <c r="BS40" s="65">
        <f t="shared" ref="BS40:CV40" si="10">+BS39+BS38</f>
        <v>2662944.0693795886</v>
      </c>
      <c r="BT40" s="65">
        <f t="shared" si="10"/>
        <v>54664.004932018986</v>
      </c>
      <c r="BU40" s="65">
        <f t="shared" si="10"/>
        <v>199256.26825549096</v>
      </c>
      <c r="BV40" s="65">
        <f t="shared" si="10"/>
        <v>8400.1908600000006</v>
      </c>
      <c r="BW40" s="65">
        <f t="shared" si="10"/>
        <v>377415.74499000073</v>
      </c>
      <c r="BX40" s="65">
        <f t="shared" si="10"/>
        <v>12663.664475599246</v>
      </c>
      <c r="BY40" s="65">
        <f t="shared" si="10"/>
        <v>793057.32900000003</v>
      </c>
      <c r="BZ40" s="65">
        <f t="shared" si="10"/>
        <v>7641510.1579999998</v>
      </c>
      <c r="CA40" s="65">
        <f t="shared" si="10"/>
        <v>3612410.4960000003</v>
      </c>
      <c r="CB40" s="65">
        <f t="shared" si="10"/>
        <v>18618.56624</v>
      </c>
      <c r="CC40" s="65">
        <f t="shared" si="10"/>
        <v>886127.65617999982</v>
      </c>
      <c r="CD40" s="65">
        <f t="shared" si="10"/>
        <v>0</v>
      </c>
      <c r="CE40" s="65">
        <f t="shared" si="10"/>
        <v>23113.683000000001</v>
      </c>
      <c r="CF40" s="65">
        <f t="shared" si="10"/>
        <v>479099.36158999999</v>
      </c>
      <c r="CG40" s="65">
        <f t="shared" si="10"/>
        <v>187664.606</v>
      </c>
      <c r="CH40" s="65">
        <f>+CH39+CH38</f>
        <v>2.9318200000000001</v>
      </c>
      <c r="CI40" s="65">
        <f t="shared" si="10"/>
        <v>905754.32200000004</v>
      </c>
      <c r="CJ40" s="65">
        <f t="shared" si="10"/>
        <v>186078.05600000001</v>
      </c>
      <c r="CK40" s="65">
        <f t="shared" si="10"/>
        <v>0</v>
      </c>
      <c r="CL40" s="65">
        <f t="shared" si="10"/>
        <v>0</v>
      </c>
      <c r="CM40" s="65">
        <f t="shared" si="10"/>
        <v>79545.21415</v>
      </c>
      <c r="CN40" s="65">
        <f t="shared" si="10"/>
        <v>662749.23896999995</v>
      </c>
      <c r="CO40" s="65">
        <f t="shared" si="10"/>
        <v>736440.24131999968</v>
      </c>
      <c r="CP40" s="65">
        <f t="shared" si="10"/>
        <v>9152723.6727600005</v>
      </c>
      <c r="CQ40" s="65">
        <f t="shared" si="10"/>
        <v>377918.49939999997</v>
      </c>
      <c r="CR40" s="65">
        <f t="shared" si="10"/>
        <v>20872.37467999896</v>
      </c>
      <c r="CS40" s="65">
        <f t="shared" si="10"/>
        <v>5000</v>
      </c>
      <c r="CT40" s="65">
        <f t="shared" si="10"/>
        <v>20468.599999999999</v>
      </c>
      <c r="CU40" s="65">
        <f t="shared" si="10"/>
        <v>5000</v>
      </c>
      <c r="CV40" s="65">
        <f t="shared" si="10"/>
        <v>20468.599999999999</v>
      </c>
      <c r="CW40" s="43">
        <f t="shared" si="4"/>
        <v>341205832.92815483</v>
      </c>
    </row>
    <row r="41" spans="2:101" ht="15.75" thickBot="1" x14ac:dyDescent="0.3"/>
    <row r="42" spans="2:101" x14ac:dyDescent="0.25">
      <c r="C42" s="67" t="s">
        <v>130</v>
      </c>
      <c r="D42" s="68">
        <f>+D37+D39</f>
        <v>27052.357790000005</v>
      </c>
      <c r="E42" s="68">
        <f>+E37+E39</f>
        <v>5241134.8603999978</v>
      </c>
      <c r="F42" s="69">
        <f>+F37+F39</f>
        <v>1898361.3451600038</v>
      </c>
      <c r="G42" s="88">
        <v>20375.599999999999</v>
      </c>
      <c r="H42" s="88">
        <v>20376.599999999999</v>
      </c>
      <c r="I42" s="88">
        <v>20377.599999999999</v>
      </c>
      <c r="J42" s="88">
        <v>20378.599999999999</v>
      </c>
      <c r="K42" s="88">
        <v>20379.599999999999</v>
      </c>
      <c r="L42" s="88">
        <v>20380.599999999999</v>
      </c>
      <c r="M42" s="88">
        <v>20381.599999999999</v>
      </c>
      <c r="N42" s="88">
        <v>20382.599999999999</v>
      </c>
      <c r="O42" s="88">
        <v>20383.599999999999</v>
      </c>
      <c r="P42" s="88">
        <v>20384.599999999999</v>
      </c>
      <c r="Q42" s="88">
        <v>20385.599999999999</v>
      </c>
      <c r="R42" s="88">
        <v>20386.599999999999</v>
      </c>
      <c r="S42" s="88">
        <v>20387.599999999999</v>
      </c>
      <c r="T42" s="88">
        <v>20388.599999999999</v>
      </c>
      <c r="U42" s="88">
        <v>20389.599999999999</v>
      </c>
      <c r="V42" s="88">
        <v>20390.599999999999</v>
      </c>
      <c r="W42" s="88">
        <v>20391.599999999999</v>
      </c>
      <c r="X42" s="88">
        <v>20392.599999999999</v>
      </c>
      <c r="Y42" s="88">
        <v>20393.599999999999</v>
      </c>
      <c r="Z42" s="88">
        <v>20394.599999999999</v>
      </c>
      <c r="AA42" s="88">
        <v>20395.599999999999</v>
      </c>
      <c r="AB42" s="88">
        <v>20396.599999999999</v>
      </c>
      <c r="AC42" s="88">
        <v>20397.599999999999</v>
      </c>
      <c r="AD42" s="88">
        <v>20398.599999999999</v>
      </c>
      <c r="AE42" s="88">
        <v>20399.599999999999</v>
      </c>
      <c r="AF42" s="88">
        <v>20400.599999999999</v>
      </c>
      <c r="AG42" s="88">
        <v>20401.599999999999</v>
      </c>
      <c r="AH42" s="88">
        <v>20402.599999999999</v>
      </c>
      <c r="AI42" s="88">
        <v>20403.599999999999</v>
      </c>
      <c r="AJ42" s="88">
        <v>20404.599999999999</v>
      </c>
      <c r="AK42" s="88">
        <v>20405.599999999999</v>
      </c>
      <c r="AL42" s="88">
        <v>20406.599999999999</v>
      </c>
      <c r="AM42" s="88">
        <v>20407.599999999999</v>
      </c>
      <c r="AN42" s="88">
        <v>20408.599999999999</v>
      </c>
      <c r="AO42" s="88">
        <v>20409.599999999999</v>
      </c>
      <c r="AP42" s="88">
        <v>20410.599999999999</v>
      </c>
      <c r="AQ42" s="88">
        <v>20411.599999999999</v>
      </c>
      <c r="AR42" s="88">
        <v>20412.599999999999</v>
      </c>
      <c r="AS42" s="88">
        <v>20413.599999999999</v>
      </c>
      <c r="AT42" s="88">
        <v>20414.599999999999</v>
      </c>
      <c r="AU42" s="88">
        <v>20415.599999999999</v>
      </c>
      <c r="AV42" s="88">
        <v>20416.599999999999</v>
      </c>
      <c r="AW42" s="88">
        <v>20417.599999999999</v>
      </c>
      <c r="AX42" s="88">
        <v>20418.599999999999</v>
      </c>
      <c r="AY42" s="88">
        <v>20419.599999999999</v>
      </c>
      <c r="AZ42" s="88">
        <v>20420.599999999999</v>
      </c>
      <c r="BA42" s="88">
        <v>20421.599999999999</v>
      </c>
      <c r="BB42" s="88">
        <v>20422.599999999999</v>
      </c>
      <c r="BC42" s="88">
        <v>20423.599999999999</v>
      </c>
      <c r="BD42" s="88">
        <v>20424.599999999999</v>
      </c>
      <c r="BE42" s="88">
        <v>20425.599999999999</v>
      </c>
      <c r="BF42" s="88">
        <v>20426.599999999999</v>
      </c>
      <c r="BG42" s="88">
        <v>20427.599999999999</v>
      </c>
      <c r="BH42" s="88">
        <v>20428.599999999999</v>
      </c>
      <c r="BI42" s="88">
        <v>20429.599999999999</v>
      </c>
      <c r="BJ42" s="88">
        <v>20430.599999999999</v>
      </c>
      <c r="BK42" s="88">
        <v>20431.599999999999</v>
      </c>
      <c r="BL42" s="88">
        <v>20432.599999999999</v>
      </c>
      <c r="BM42" s="88">
        <v>20433.599999999999</v>
      </c>
      <c r="BN42" s="88">
        <v>20434.599999999999</v>
      </c>
      <c r="BO42" s="88">
        <v>20435.599999999999</v>
      </c>
      <c r="BP42" s="88">
        <v>20436.599999999999</v>
      </c>
      <c r="BQ42" s="88">
        <v>20437.599999999999</v>
      </c>
      <c r="BR42" s="88">
        <v>20438.599999999999</v>
      </c>
      <c r="BS42" s="88">
        <v>20439.599999999999</v>
      </c>
      <c r="BT42" s="88">
        <v>20440.599999999999</v>
      </c>
      <c r="BU42" s="88">
        <v>20441.599999999999</v>
      </c>
      <c r="BV42" s="88">
        <v>20442.599999999999</v>
      </c>
      <c r="BW42" s="88">
        <v>20443.599999999999</v>
      </c>
      <c r="BX42" s="88">
        <v>20444.599999999999</v>
      </c>
      <c r="BY42" s="88">
        <v>20445.599999999999</v>
      </c>
      <c r="BZ42" s="88">
        <v>20446.599999999999</v>
      </c>
      <c r="CA42" s="88">
        <v>20447.599999999999</v>
      </c>
      <c r="CB42" s="88">
        <v>20448.599999999999</v>
      </c>
      <c r="CC42" s="88">
        <v>20449.599999999999</v>
      </c>
      <c r="CD42" s="88">
        <v>20450.599999999999</v>
      </c>
      <c r="CE42" s="88">
        <v>20451.599999999999</v>
      </c>
      <c r="CF42" s="88">
        <v>20452.599999999999</v>
      </c>
      <c r="CG42" s="88">
        <v>20453.599999999999</v>
      </c>
      <c r="CH42" s="88">
        <v>20454.599999999999</v>
      </c>
      <c r="CI42" s="88">
        <v>20455.599999999999</v>
      </c>
      <c r="CJ42" s="88">
        <v>20456.599999999999</v>
      </c>
      <c r="CK42" s="88">
        <v>20457.599999999999</v>
      </c>
      <c r="CL42" s="88">
        <v>20458.599999999999</v>
      </c>
      <c r="CM42" s="88">
        <v>20459.599999999999</v>
      </c>
      <c r="CN42" s="88">
        <v>20460.599999999999</v>
      </c>
      <c r="CO42" s="88">
        <v>20461.599999999999</v>
      </c>
      <c r="CP42" s="88">
        <v>20462.599999999999</v>
      </c>
      <c r="CQ42" s="88">
        <v>20463.599999999999</v>
      </c>
      <c r="CR42" s="88">
        <v>20464.599999999999</v>
      </c>
      <c r="CS42" s="88">
        <v>20465.599999999999</v>
      </c>
      <c r="CT42" s="88">
        <v>20466.599999999999</v>
      </c>
      <c r="CU42" s="88">
        <v>20467.599999999999</v>
      </c>
      <c r="CV42" s="88">
        <v>20468.599999999999</v>
      </c>
    </row>
    <row r="43" spans="2:101" x14ac:dyDescent="0.25">
      <c r="C43" s="70" t="s">
        <v>131</v>
      </c>
      <c r="D43" s="71">
        <v>27052.353279999999</v>
      </c>
      <c r="E43" s="71">
        <v>5241134.8586499998</v>
      </c>
      <c r="F43" s="71">
        <v>1898361.3486200001</v>
      </c>
      <c r="G43" s="66"/>
      <c r="H43" s="66"/>
      <c r="CT43" s="66"/>
      <c r="CU43" s="66"/>
      <c r="CV43" s="66"/>
    </row>
    <row r="44" spans="2:101" ht="15.75" thickBot="1" x14ac:dyDescent="0.3">
      <c r="C44" s="73" t="s">
        <v>132</v>
      </c>
      <c r="D44" s="74">
        <f>+D42-D43</f>
        <v>4.5100000061211176E-3</v>
      </c>
      <c r="E44" s="74">
        <f>+E42-E43</f>
        <v>1.7499979585409164E-3</v>
      </c>
      <c r="F44" s="75">
        <f>+F42-F43</f>
        <v>-3.459996310994029E-3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</row>
    <row r="45" spans="2:101" x14ac:dyDescent="0.25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</row>
    <row r="46" spans="2:101" x14ac:dyDescent="0.25">
      <c r="D46" s="10">
        <v>9610</v>
      </c>
      <c r="E46" s="10">
        <v>2531568150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2:101" x14ac:dyDescent="0.25">
      <c r="D47" s="10">
        <v>8236</v>
      </c>
      <c r="E47" s="10">
        <v>9159088767</v>
      </c>
      <c r="I47" s="66" t="s">
        <v>133</v>
      </c>
      <c r="AL47" s="76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</row>
    <row r="48" spans="2:101" x14ac:dyDescent="0.25">
      <c r="D48" s="10">
        <v>9594</v>
      </c>
      <c r="E48" s="77">
        <v>2628767816.6999998</v>
      </c>
      <c r="AL48" s="76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</row>
    <row r="49" spans="2:97" x14ac:dyDescent="0.25">
      <c r="C49" s="78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</row>
    <row r="50" spans="2:97" x14ac:dyDescent="0.25"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/>
    </row>
    <row r="51" spans="2:97" x14ac:dyDescent="0.25">
      <c r="CS51"/>
    </row>
    <row r="52" spans="2:97" x14ac:dyDescent="0.25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/>
    </row>
    <row r="53" spans="2:97" x14ac:dyDescent="0.25">
      <c r="CS53"/>
    </row>
    <row r="54" spans="2:97" x14ac:dyDescent="0.25">
      <c r="CS54"/>
    </row>
    <row r="55" spans="2:97" x14ac:dyDescent="0.25">
      <c r="CS55"/>
    </row>
    <row r="58" spans="2:97" x14ac:dyDescent="0.25">
      <c r="B58" s="66"/>
      <c r="C58" s="66"/>
      <c r="D58" s="66"/>
      <c r="E58" s="66"/>
      <c r="F58" s="66"/>
      <c r="G58" s="66"/>
      <c r="H58" s="66"/>
      <c r="CM58"/>
      <c r="CN58"/>
      <c r="CO58"/>
      <c r="CP58"/>
      <c r="CQ58"/>
      <c r="CR58"/>
    </row>
    <row r="59" spans="2:97" x14ac:dyDescent="0.25">
      <c r="B59" s="66"/>
      <c r="C59" s="66"/>
      <c r="D59" s="66"/>
      <c r="E59" s="66"/>
      <c r="F59" s="66"/>
      <c r="G59" s="66"/>
      <c r="H59" s="66"/>
      <c r="CM59"/>
      <c r="CN59"/>
      <c r="CO59"/>
      <c r="CP59"/>
      <c r="CQ59"/>
      <c r="CR59"/>
    </row>
    <row r="60" spans="2:97" x14ac:dyDescent="0.25">
      <c r="B60" s="66"/>
      <c r="C60" s="66"/>
      <c r="D60" s="66"/>
      <c r="E60" s="66"/>
      <c r="F60" s="66"/>
      <c r="G60" s="66"/>
      <c r="H60" s="66"/>
      <c r="CM60"/>
      <c r="CN60"/>
      <c r="CO60"/>
      <c r="CP60"/>
      <c r="CQ60"/>
      <c r="CR60"/>
    </row>
    <row r="61" spans="2:97" x14ac:dyDescent="0.25">
      <c r="B61" s="66"/>
      <c r="C61" s="66"/>
      <c r="D61" s="66"/>
      <c r="E61" s="66"/>
      <c r="F61" s="66"/>
      <c r="G61" s="66"/>
      <c r="H61" s="66"/>
      <c r="CM61"/>
      <c r="CN61"/>
      <c r="CO61"/>
      <c r="CP61"/>
      <c r="CQ61"/>
      <c r="CR61"/>
    </row>
    <row r="62" spans="2:97" x14ac:dyDescent="0.25">
      <c r="B62" s="66"/>
      <c r="C62" s="66"/>
      <c r="D62" s="66"/>
      <c r="E62" s="66"/>
      <c r="F62" s="66"/>
      <c r="G62" s="66"/>
      <c r="H62" s="66"/>
      <c r="CM62"/>
      <c r="CN62"/>
      <c r="CO62"/>
      <c r="CP62"/>
      <c r="CQ62"/>
      <c r="CR62"/>
    </row>
    <row r="63" spans="2:97" x14ac:dyDescent="0.25">
      <c r="B63" s="66"/>
      <c r="C63" s="66"/>
      <c r="D63" s="66"/>
      <c r="E63" s="66"/>
      <c r="F63" s="66"/>
      <c r="G63" s="66"/>
      <c r="H63" s="66"/>
      <c r="CM63"/>
      <c r="CN63"/>
      <c r="CO63"/>
      <c r="CP63"/>
      <c r="CQ63"/>
      <c r="CR63"/>
    </row>
  </sheetData>
  <mergeCells count="1">
    <mergeCell ref="AP2:AP3"/>
  </mergeCells>
  <pageMargins left="0.7" right="0.7" top="0.75" bottom="0.75" header="0.3" footer="0.3"/>
  <pageSetup orientation="portrait" r:id="rId1"/>
  <customProperties>
    <customPr name="QAA_DRILLPATH_NODE_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CW63"/>
  <sheetViews>
    <sheetView zoomScale="112" zoomScaleNormal="112" workbookViewId="0">
      <selection activeCell="AN22" sqref="AN22"/>
    </sheetView>
  </sheetViews>
  <sheetFormatPr baseColWidth="10" defaultRowHeight="15" outlineLevelCol="2" x14ac:dyDescent="0.25"/>
  <cols>
    <col min="1" max="1" width="8.5703125" style="10" customWidth="1"/>
    <col min="2" max="2" width="10" style="10" bestFit="1" customWidth="1"/>
    <col min="3" max="3" width="43" style="10" bestFit="1" customWidth="1"/>
    <col min="4" max="5" width="19.42578125" style="10" bestFit="1" customWidth="1"/>
    <col min="6" max="6" width="21.85546875" style="10" bestFit="1" customWidth="1"/>
    <col min="7" max="7" width="19.5703125" style="10" customWidth="1" outlineLevel="1"/>
    <col min="8" max="8" width="17.85546875" style="10" customWidth="1" outlineLevel="1"/>
    <col min="9" max="9" width="17.85546875" style="66" bestFit="1" customWidth="1"/>
    <col min="10" max="10" width="17.85546875" style="66" customWidth="1" outlineLevel="2"/>
    <col min="11" max="13" width="16.42578125" style="66" customWidth="1" outlineLevel="2"/>
    <col min="14" max="14" width="18.85546875" style="66" customWidth="1" outlineLevel="2"/>
    <col min="15" max="15" width="21" style="66" customWidth="1" outlineLevel="2"/>
    <col min="16" max="17" width="14.140625" style="66" customWidth="1" outlineLevel="2"/>
    <col min="18" max="18" width="16.42578125" style="66" customWidth="1" outlineLevel="2"/>
    <col min="19" max="25" width="18.42578125" style="66" customWidth="1" outlineLevel="2"/>
    <col min="26" max="26" width="18.85546875" style="66" customWidth="1" outlineLevel="2"/>
    <col min="27" max="27" width="21" style="66" customWidth="1" outlineLevel="2"/>
    <col min="28" max="29" width="14.5703125" style="66" customWidth="1" outlineLevel="2"/>
    <col min="30" max="30" width="16.42578125" style="66" customWidth="1" outlineLevel="2"/>
    <col min="31" max="31" width="18.42578125" style="66" customWidth="1" outlineLevel="2"/>
    <col min="32" max="32" width="18.140625" style="66" customWidth="1" outlineLevel="2"/>
    <col min="33" max="33" width="20.140625" style="66" customWidth="1" outlineLevel="2"/>
    <col min="34" max="37" width="14.5703125" style="66" customWidth="1" outlineLevel="2"/>
    <col min="38" max="38" width="14.42578125" style="66" bestFit="1" customWidth="1"/>
    <col min="39" max="40" width="13.42578125" style="66" bestFit="1" customWidth="1"/>
    <col min="41" max="41" width="12.42578125" style="66" bestFit="1" customWidth="1"/>
    <col min="42" max="42" width="17.140625" style="66" bestFit="1" customWidth="1"/>
    <col min="43" max="43" width="17.140625" style="66" customWidth="1"/>
    <col min="44" max="48" width="17.42578125" style="66" customWidth="1" outlineLevel="1"/>
    <col min="49" max="49" width="15.140625" style="66" customWidth="1" outlineLevel="1"/>
    <col min="50" max="50" width="9.85546875" style="66" customWidth="1" outlineLevel="1"/>
    <col min="51" max="51" width="12.5703125" style="66" customWidth="1" outlineLevel="1"/>
    <col min="52" max="52" width="14.42578125" style="66" customWidth="1" outlineLevel="1"/>
    <col min="53" max="53" width="15.140625" style="66" customWidth="1" outlineLevel="1"/>
    <col min="54" max="55" width="11.85546875" style="66" customWidth="1" outlineLevel="1"/>
    <col min="56" max="56" width="12.5703125" style="66" customWidth="1" outlineLevel="1"/>
    <col min="57" max="59" width="16.5703125" style="66" customWidth="1" outlineLevel="1"/>
    <col min="60" max="60" width="15.140625" style="66" customWidth="1" outlineLevel="1"/>
    <col min="61" max="62" width="13.5703125" style="66" customWidth="1" outlineLevel="1"/>
    <col min="63" max="63" width="14.42578125" style="66" customWidth="1" outlineLevel="1"/>
    <col min="64" max="64" width="19.5703125" style="66" customWidth="1" outlineLevel="1"/>
    <col min="65" max="66" width="17.85546875" style="66" customWidth="1" outlineLevel="1"/>
    <col min="67" max="67" width="12.85546875" style="66" customWidth="1" outlineLevel="1"/>
    <col min="68" max="68" width="13.5703125" style="66" customWidth="1" outlineLevel="1"/>
    <col min="69" max="69" width="18.85546875" style="66" customWidth="1" outlineLevel="1"/>
    <col min="70" max="70" width="20.140625" style="66" customWidth="1" outlineLevel="1"/>
    <col min="71" max="73" width="20.140625" style="66" bestFit="1" customWidth="1"/>
    <col min="74" max="76" width="17.42578125" style="66" bestFit="1" customWidth="1"/>
    <col min="77" max="77" width="15.140625" style="66" bestFit="1" customWidth="1"/>
    <col min="78" max="79" width="14.42578125" style="66" bestFit="1" customWidth="1"/>
    <col min="80" max="80" width="15.140625" style="66" bestFit="1" customWidth="1"/>
    <col min="81" max="82" width="15" style="66" bestFit="1" customWidth="1"/>
    <col min="83" max="83" width="15.140625" style="66" bestFit="1" customWidth="1"/>
    <col min="84" max="84" width="10.42578125" style="66" bestFit="1" customWidth="1"/>
    <col min="85" max="85" width="12.5703125" style="66" bestFit="1" customWidth="1"/>
    <col min="86" max="86" width="16.5703125" style="66" bestFit="1" customWidth="1"/>
    <col min="87" max="88" width="19.7109375" style="66" bestFit="1" customWidth="1"/>
    <col min="89" max="89" width="15.5703125" style="66" customWidth="1"/>
    <col min="90" max="90" width="11.28515625" style="66" customWidth="1"/>
    <col min="91" max="91" width="17.85546875" style="66" bestFit="1" customWidth="1"/>
    <col min="92" max="92" width="14.42578125" style="66" customWidth="1"/>
    <col min="93" max="93" width="14.28515625" style="66" bestFit="1" customWidth="1"/>
    <col min="94" max="95" width="19.7109375" style="66" bestFit="1" customWidth="1"/>
    <col min="96" max="96" width="16.5703125" style="66" bestFit="1" customWidth="1"/>
    <col min="97" max="97" width="22" style="66" bestFit="1" customWidth="1"/>
    <col min="98" max="98" width="12" bestFit="1" customWidth="1"/>
    <col min="99" max="99" width="11.5703125" bestFit="1" customWidth="1"/>
    <col min="100" max="100" width="12" bestFit="1" customWidth="1"/>
    <col min="101" max="101" width="15.28515625" bestFit="1" customWidth="1"/>
  </cols>
  <sheetData>
    <row r="1" spans="1:101" ht="28.5" x14ac:dyDescent="0.45">
      <c r="A1" s="1"/>
      <c r="B1" s="1"/>
      <c r="C1" s="1"/>
      <c r="D1" s="2"/>
      <c r="E1" s="3"/>
      <c r="F1" s="3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5"/>
      <c r="AN1" s="5"/>
      <c r="AO1" s="5"/>
      <c r="AP1" s="5"/>
      <c r="AQ1" s="5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6"/>
      <c r="BM1" s="4"/>
      <c r="BN1" s="4"/>
      <c r="BO1" s="4"/>
      <c r="BP1" s="4"/>
      <c r="BQ1" s="4"/>
      <c r="BR1" s="7"/>
      <c r="BS1" s="7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8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spans="1:101" ht="15" customHeight="1" x14ac:dyDescent="0.25">
      <c r="D2" s="11" t="s">
        <v>0</v>
      </c>
      <c r="E2" s="11" t="s">
        <v>1</v>
      </c>
      <c r="F2" s="11" t="s">
        <v>2</v>
      </c>
      <c r="G2" s="12" t="s">
        <v>3</v>
      </c>
      <c r="H2" s="12" t="s">
        <v>4</v>
      </c>
      <c r="I2" s="13" t="s">
        <v>5</v>
      </c>
      <c r="J2" s="12" t="s">
        <v>6</v>
      </c>
      <c r="K2" s="12" t="s">
        <v>0</v>
      </c>
      <c r="L2" s="12" t="s">
        <v>1</v>
      </c>
      <c r="M2" s="12" t="s">
        <v>2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12" t="s">
        <v>12</v>
      </c>
      <c r="T2" s="16" t="s">
        <v>7</v>
      </c>
      <c r="U2" s="16" t="s">
        <v>8</v>
      </c>
      <c r="V2" s="16" t="s">
        <v>134</v>
      </c>
      <c r="W2" s="16" t="s">
        <v>135</v>
      </c>
      <c r="X2" s="16" t="s">
        <v>11</v>
      </c>
      <c r="Y2" s="16" t="s">
        <v>12</v>
      </c>
      <c r="Z2" s="12" t="s">
        <v>7</v>
      </c>
      <c r="AA2" s="12" t="s">
        <v>8</v>
      </c>
      <c r="AB2" s="12" t="s">
        <v>9</v>
      </c>
      <c r="AC2" s="12" t="s">
        <v>10</v>
      </c>
      <c r="AD2" s="12" t="s">
        <v>11</v>
      </c>
      <c r="AE2" s="12" t="s">
        <v>12</v>
      </c>
      <c r="AF2" s="12" t="s">
        <v>13</v>
      </c>
      <c r="AG2" s="12" t="s">
        <v>14</v>
      </c>
      <c r="AH2" s="12" t="s">
        <v>15</v>
      </c>
      <c r="AI2" s="12" t="s">
        <v>16</v>
      </c>
      <c r="AJ2" s="12" t="s">
        <v>17</v>
      </c>
      <c r="AK2" s="12" t="s">
        <v>18</v>
      </c>
      <c r="AL2" s="14" t="s">
        <v>19</v>
      </c>
      <c r="AM2" s="14" t="s">
        <v>20</v>
      </c>
      <c r="AN2" s="15" t="s">
        <v>21</v>
      </c>
      <c r="AO2" s="15" t="s">
        <v>22</v>
      </c>
      <c r="AP2" s="89" t="s">
        <v>23</v>
      </c>
      <c r="AQ2" s="83"/>
      <c r="AR2" s="16" t="s">
        <v>0</v>
      </c>
      <c r="AS2" s="16" t="s">
        <v>24</v>
      </c>
      <c r="AT2" s="12" t="s">
        <v>5</v>
      </c>
      <c r="AU2" s="12" t="s">
        <v>2</v>
      </c>
      <c r="AV2" s="12" t="s">
        <v>19</v>
      </c>
      <c r="AW2" s="12" t="s">
        <v>0</v>
      </c>
      <c r="AX2" s="12" t="s">
        <v>24</v>
      </c>
      <c r="AY2" s="12" t="s">
        <v>2</v>
      </c>
      <c r="AZ2" s="12" t="s">
        <v>19</v>
      </c>
      <c r="BA2" s="12" t="s">
        <v>0</v>
      </c>
      <c r="BB2" s="12" t="s">
        <v>24</v>
      </c>
      <c r="BC2" s="12" t="s">
        <v>5</v>
      </c>
      <c r="BD2" s="12" t="s">
        <v>2</v>
      </c>
      <c r="BE2" s="12" t="s">
        <v>0</v>
      </c>
      <c r="BF2" s="12" t="s">
        <v>24</v>
      </c>
      <c r="BG2" s="17" t="s">
        <v>2</v>
      </c>
      <c r="BH2" s="17" t="s">
        <v>0</v>
      </c>
      <c r="BI2" s="17" t="s">
        <v>24</v>
      </c>
      <c r="BJ2" s="17" t="s">
        <v>2</v>
      </c>
      <c r="BK2" s="17" t="s">
        <v>19</v>
      </c>
      <c r="BL2" s="18" t="s">
        <v>3</v>
      </c>
      <c r="BM2" s="18" t="s">
        <v>4</v>
      </c>
      <c r="BN2" s="18" t="s">
        <v>6</v>
      </c>
      <c r="BO2" s="18" t="s">
        <v>25</v>
      </c>
      <c r="BP2" s="18" t="s">
        <v>26</v>
      </c>
      <c r="BQ2" s="18" t="s">
        <v>27</v>
      </c>
      <c r="BR2" s="14" t="s">
        <v>28</v>
      </c>
      <c r="BS2" s="14" t="s">
        <v>10</v>
      </c>
      <c r="BT2" s="14" t="s">
        <v>29</v>
      </c>
      <c r="BU2" s="14" t="s">
        <v>12</v>
      </c>
      <c r="BV2" s="14" t="s">
        <v>0</v>
      </c>
      <c r="BW2" s="14" t="s">
        <v>1</v>
      </c>
      <c r="BX2" s="14" t="s">
        <v>2</v>
      </c>
      <c r="BY2" s="14" t="s">
        <v>0</v>
      </c>
      <c r="BZ2" s="14" t="s">
        <v>1</v>
      </c>
      <c r="CA2" s="14" t="s">
        <v>2</v>
      </c>
      <c r="CB2" s="14" t="s">
        <v>0</v>
      </c>
      <c r="CC2" s="14" t="s">
        <v>1</v>
      </c>
      <c r="CD2" s="14" t="s">
        <v>2</v>
      </c>
      <c r="CE2" s="14" t="s">
        <v>0</v>
      </c>
      <c r="CF2" s="14" t="s">
        <v>1</v>
      </c>
      <c r="CG2" s="14" t="s">
        <v>2</v>
      </c>
      <c r="CH2" s="14" t="s">
        <v>2</v>
      </c>
      <c r="CI2" s="14" t="s">
        <v>1</v>
      </c>
      <c r="CJ2" s="14" t="s">
        <v>2</v>
      </c>
      <c r="CK2" s="14" t="s">
        <v>1</v>
      </c>
      <c r="CL2" s="14" t="s">
        <v>1</v>
      </c>
      <c r="CM2" s="14" t="s">
        <v>1</v>
      </c>
      <c r="CN2" s="14" t="s">
        <v>1</v>
      </c>
      <c r="CO2" s="14" t="s">
        <v>1</v>
      </c>
      <c r="CP2" s="14" t="s">
        <v>1</v>
      </c>
      <c r="CQ2" s="14" t="s">
        <v>1</v>
      </c>
      <c r="CR2" s="19" t="s">
        <v>30</v>
      </c>
      <c r="CS2" s="85" t="s">
        <v>136</v>
      </c>
      <c r="CT2" s="85" t="s">
        <v>135</v>
      </c>
      <c r="CU2" s="85" t="s">
        <v>29</v>
      </c>
      <c r="CV2" s="85" t="s">
        <v>12</v>
      </c>
      <c r="CW2" s="20" t="s">
        <v>31</v>
      </c>
    </row>
    <row r="3" spans="1:101" ht="60" x14ac:dyDescent="0.25">
      <c r="D3" s="21" t="s">
        <v>32</v>
      </c>
      <c r="E3" s="21" t="s">
        <v>32</v>
      </c>
      <c r="F3" s="21" t="s">
        <v>32</v>
      </c>
      <c r="G3" s="22" t="s">
        <v>32</v>
      </c>
      <c r="H3" s="22" t="s">
        <v>32</v>
      </c>
      <c r="I3" s="23" t="s">
        <v>32</v>
      </c>
      <c r="J3" s="22" t="s">
        <v>32</v>
      </c>
      <c r="K3" s="22" t="s">
        <v>33</v>
      </c>
      <c r="L3" s="22" t="s">
        <v>33</v>
      </c>
      <c r="M3" s="22" t="s">
        <v>33</v>
      </c>
      <c r="N3" s="22" t="s">
        <v>34</v>
      </c>
      <c r="O3" s="22" t="s">
        <v>34</v>
      </c>
      <c r="P3" s="22" t="s">
        <v>34</v>
      </c>
      <c r="Q3" s="22" t="s">
        <v>34</v>
      </c>
      <c r="R3" s="22" t="s">
        <v>34</v>
      </c>
      <c r="S3" s="22" t="s">
        <v>34</v>
      </c>
      <c r="T3" s="24" t="s">
        <v>137</v>
      </c>
      <c r="U3" s="24" t="s">
        <v>137</v>
      </c>
      <c r="V3" s="24" t="s">
        <v>137</v>
      </c>
      <c r="W3" s="24" t="s">
        <v>137</v>
      </c>
      <c r="X3" s="24" t="s">
        <v>137</v>
      </c>
      <c r="Y3" s="24" t="s">
        <v>137</v>
      </c>
      <c r="Z3" s="22" t="s">
        <v>35</v>
      </c>
      <c r="AA3" s="22" t="s">
        <v>35</v>
      </c>
      <c r="AB3" s="22" t="s">
        <v>35</v>
      </c>
      <c r="AC3" s="22" t="s">
        <v>35</v>
      </c>
      <c r="AD3" s="22" t="s">
        <v>35</v>
      </c>
      <c r="AE3" s="22" t="s">
        <v>35</v>
      </c>
      <c r="AF3" s="22" t="s">
        <v>35</v>
      </c>
      <c r="AG3" s="22" t="s">
        <v>35</v>
      </c>
      <c r="AH3" s="22" t="s">
        <v>35</v>
      </c>
      <c r="AI3" s="22" t="s">
        <v>35</v>
      </c>
      <c r="AJ3" s="22" t="s">
        <v>35</v>
      </c>
      <c r="AK3" s="22" t="s">
        <v>35</v>
      </c>
      <c r="AL3" s="23" t="s">
        <v>36</v>
      </c>
      <c r="AM3" s="23" t="s">
        <v>36</v>
      </c>
      <c r="AN3" s="23"/>
      <c r="AO3" s="23"/>
      <c r="AP3" s="90"/>
      <c r="AQ3" s="84" t="s">
        <v>37</v>
      </c>
      <c r="AR3" s="24" t="s">
        <v>38</v>
      </c>
      <c r="AS3" s="24" t="s">
        <v>38</v>
      </c>
      <c r="AT3" s="22" t="s">
        <v>38</v>
      </c>
      <c r="AU3" s="22" t="s">
        <v>38</v>
      </c>
      <c r="AV3" s="22" t="s">
        <v>38</v>
      </c>
      <c r="AW3" s="22" t="s">
        <v>39</v>
      </c>
      <c r="AX3" s="22" t="s">
        <v>39</v>
      </c>
      <c r="AY3" s="22" t="s">
        <v>39</v>
      </c>
      <c r="AZ3" s="22" t="s">
        <v>39</v>
      </c>
      <c r="BA3" s="22" t="s">
        <v>40</v>
      </c>
      <c r="BB3" s="22" t="s">
        <v>40</v>
      </c>
      <c r="BC3" s="22" t="s">
        <v>40</v>
      </c>
      <c r="BD3" s="22" t="s">
        <v>40</v>
      </c>
      <c r="BE3" s="22" t="s">
        <v>41</v>
      </c>
      <c r="BF3" s="22" t="s">
        <v>41</v>
      </c>
      <c r="BG3" s="22" t="s">
        <v>41</v>
      </c>
      <c r="BH3" s="22" t="s">
        <v>42</v>
      </c>
      <c r="BI3" s="22" t="s">
        <v>42</v>
      </c>
      <c r="BJ3" s="22" t="s">
        <v>42</v>
      </c>
      <c r="BK3" s="22" t="s">
        <v>42</v>
      </c>
      <c r="BL3" s="24" t="s">
        <v>32</v>
      </c>
      <c r="BM3" s="24" t="s">
        <v>32</v>
      </c>
      <c r="BN3" s="24" t="s">
        <v>32</v>
      </c>
      <c r="BO3" s="25" t="s">
        <v>4</v>
      </c>
      <c r="BP3" s="25" t="s">
        <v>4</v>
      </c>
      <c r="BQ3" s="25" t="s">
        <v>4</v>
      </c>
      <c r="BR3" s="84" t="s">
        <v>43</v>
      </c>
      <c r="BS3" s="84" t="s">
        <v>43</v>
      </c>
      <c r="BT3" s="84" t="s">
        <v>43</v>
      </c>
      <c r="BU3" s="84" t="s">
        <v>43</v>
      </c>
      <c r="BV3" s="84" t="s">
        <v>38</v>
      </c>
      <c r="BW3" s="84" t="s">
        <v>38</v>
      </c>
      <c r="BX3" s="84" t="s">
        <v>38</v>
      </c>
      <c r="BY3" s="84" t="s">
        <v>42</v>
      </c>
      <c r="BZ3" s="84" t="s">
        <v>42</v>
      </c>
      <c r="CA3" s="84" t="s">
        <v>42</v>
      </c>
      <c r="CB3" s="84" t="s">
        <v>44</v>
      </c>
      <c r="CC3" s="84" t="s">
        <v>44</v>
      </c>
      <c r="CD3" s="84" t="s">
        <v>44</v>
      </c>
      <c r="CE3" s="84" t="s">
        <v>45</v>
      </c>
      <c r="CF3" s="84" t="s">
        <v>45</v>
      </c>
      <c r="CG3" s="84" t="s">
        <v>45</v>
      </c>
      <c r="CH3" s="84" t="s">
        <v>41</v>
      </c>
      <c r="CI3" s="84" t="s">
        <v>46</v>
      </c>
      <c r="CJ3" s="84" t="s">
        <v>46</v>
      </c>
      <c r="CK3" s="26" t="s">
        <v>47</v>
      </c>
      <c r="CL3" s="26" t="s">
        <v>47</v>
      </c>
      <c r="CM3" s="26" t="s">
        <v>32</v>
      </c>
      <c r="CN3" s="26" t="s">
        <v>42</v>
      </c>
      <c r="CO3" s="26" t="s">
        <v>48</v>
      </c>
      <c r="CP3" s="26" t="s">
        <v>46</v>
      </c>
      <c r="CQ3" s="26" t="s">
        <v>46</v>
      </c>
      <c r="CR3" s="86" t="s">
        <v>49</v>
      </c>
      <c r="CS3" s="87" t="s">
        <v>138</v>
      </c>
      <c r="CT3" s="87" t="s">
        <v>138</v>
      </c>
      <c r="CU3" s="87" t="s">
        <v>138</v>
      </c>
      <c r="CV3" s="87" t="s">
        <v>138</v>
      </c>
      <c r="CW3" s="27"/>
    </row>
    <row r="4" spans="1:101" x14ac:dyDescent="0.25">
      <c r="A4" s="28"/>
      <c r="B4" s="29" t="s">
        <v>50</v>
      </c>
      <c r="C4" s="30" t="s">
        <v>51</v>
      </c>
      <c r="D4" s="31" t="s">
        <v>52</v>
      </c>
      <c r="E4" s="31" t="s">
        <v>53</v>
      </c>
      <c r="F4" s="31" t="s">
        <v>54</v>
      </c>
      <c r="G4" s="32">
        <v>482800001265</v>
      </c>
      <c r="H4" s="32">
        <v>482800001273</v>
      </c>
      <c r="I4" s="32">
        <v>482800002024</v>
      </c>
      <c r="J4" s="32">
        <v>482800001257</v>
      </c>
      <c r="K4" s="32" t="s">
        <v>55</v>
      </c>
      <c r="L4" s="32" t="s">
        <v>56</v>
      </c>
      <c r="M4" s="32" t="s">
        <v>57</v>
      </c>
      <c r="N4" s="32">
        <v>36203301</v>
      </c>
      <c r="O4" s="32">
        <v>36203301</v>
      </c>
      <c r="P4" s="32">
        <v>36203328</v>
      </c>
      <c r="Q4" s="32">
        <v>36203328</v>
      </c>
      <c r="R4" s="32">
        <v>36025015</v>
      </c>
      <c r="S4" s="32">
        <v>36025015</v>
      </c>
      <c r="T4" s="32"/>
      <c r="U4" s="32"/>
      <c r="V4" s="32"/>
      <c r="W4" s="32"/>
      <c r="X4" s="32"/>
      <c r="Y4" s="32"/>
      <c r="Z4" s="32">
        <v>865784010</v>
      </c>
      <c r="AA4" s="32">
        <v>865784010</v>
      </c>
      <c r="AB4" s="32">
        <v>865804010</v>
      </c>
      <c r="AC4" s="32">
        <v>865804010</v>
      </c>
      <c r="AD4" s="32">
        <v>865794010</v>
      </c>
      <c r="AE4" s="32">
        <v>865794010</v>
      </c>
      <c r="AF4" s="32" t="s">
        <v>58</v>
      </c>
      <c r="AG4" s="32" t="s">
        <v>58</v>
      </c>
      <c r="AH4" s="32" t="s">
        <v>59</v>
      </c>
      <c r="AI4" s="32" t="s">
        <v>59</v>
      </c>
      <c r="AJ4" s="32" t="s">
        <v>60</v>
      </c>
      <c r="AK4" s="32" t="s">
        <v>60</v>
      </c>
      <c r="AL4" s="33"/>
      <c r="AM4" s="33"/>
      <c r="AN4" s="33"/>
      <c r="AO4" s="33"/>
      <c r="AP4" s="33"/>
      <c r="AQ4" s="33">
        <v>3642</v>
      </c>
      <c r="AR4" s="33" t="s">
        <v>61</v>
      </c>
      <c r="AS4" s="33" t="s">
        <v>62</v>
      </c>
      <c r="AT4" s="33" t="s">
        <v>63</v>
      </c>
      <c r="AU4" s="33" t="s">
        <v>64</v>
      </c>
      <c r="AV4" s="33" t="s">
        <v>65</v>
      </c>
      <c r="AW4" s="33" t="s">
        <v>66</v>
      </c>
      <c r="AX4" s="33" t="s">
        <v>67</v>
      </c>
      <c r="AY4" s="33" t="s">
        <v>68</v>
      </c>
      <c r="AZ4" s="33" t="s">
        <v>69</v>
      </c>
      <c r="BA4" s="33" t="s">
        <v>70</v>
      </c>
      <c r="BB4" s="33" t="s">
        <v>71</v>
      </c>
      <c r="BC4" s="33" t="s">
        <v>72</v>
      </c>
      <c r="BD4" s="33" t="s">
        <v>73</v>
      </c>
      <c r="BE4" s="33" t="s">
        <v>74</v>
      </c>
      <c r="BF4" s="33" t="s">
        <v>75</v>
      </c>
      <c r="BG4" s="33" t="s">
        <v>76</v>
      </c>
      <c r="BH4" s="33" t="s">
        <v>77</v>
      </c>
      <c r="BI4" s="33" t="s">
        <v>78</v>
      </c>
      <c r="BJ4" s="33" t="s">
        <v>79</v>
      </c>
      <c r="BK4" s="33" t="s">
        <v>80</v>
      </c>
      <c r="BL4" s="34">
        <v>482800007882</v>
      </c>
      <c r="BM4" s="34">
        <v>482800007908</v>
      </c>
      <c r="BN4" s="34">
        <v>482800007890</v>
      </c>
      <c r="BO4" s="34">
        <v>482800010001</v>
      </c>
      <c r="BP4" s="34">
        <v>482800010019</v>
      </c>
      <c r="BQ4" s="34">
        <v>482800010027</v>
      </c>
      <c r="BR4" s="33">
        <v>36024995</v>
      </c>
      <c r="BS4" s="33">
        <v>36024995</v>
      </c>
      <c r="BT4" s="33">
        <v>36903922</v>
      </c>
      <c r="BU4" s="33">
        <v>36903922</v>
      </c>
      <c r="BV4" s="33">
        <v>36294346</v>
      </c>
      <c r="BW4" s="33" t="s">
        <v>81</v>
      </c>
      <c r="BX4" s="33">
        <v>36294353</v>
      </c>
      <c r="BY4" s="33" t="s">
        <v>82</v>
      </c>
      <c r="BZ4" s="33" t="s">
        <v>83</v>
      </c>
      <c r="CA4" s="33" t="s">
        <v>84</v>
      </c>
      <c r="CB4" s="33" t="s">
        <v>85</v>
      </c>
      <c r="CC4" s="33" t="s">
        <v>86</v>
      </c>
      <c r="CD4" s="33" t="s">
        <v>87</v>
      </c>
      <c r="CE4" s="33" t="s">
        <v>88</v>
      </c>
      <c r="CF4" s="33" t="s">
        <v>89</v>
      </c>
      <c r="CG4" s="33" t="s">
        <v>90</v>
      </c>
      <c r="CH4" s="33" t="s">
        <v>91</v>
      </c>
      <c r="CI4" s="33">
        <v>221816614</v>
      </c>
      <c r="CJ4" s="33">
        <v>221816598</v>
      </c>
      <c r="CK4" s="33">
        <v>60193029</v>
      </c>
      <c r="CL4" s="33">
        <v>60193401</v>
      </c>
      <c r="CM4" s="33">
        <v>1011143807</v>
      </c>
      <c r="CN4" s="33">
        <v>4801736642</v>
      </c>
      <c r="CO4" s="33">
        <v>65005340</v>
      </c>
      <c r="CP4" s="33">
        <v>288086051</v>
      </c>
      <c r="CQ4" s="33">
        <v>288049109</v>
      </c>
      <c r="CR4" s="33">
        <v>411166042</v>
      </c>
      <c r="CS4" s="33">
        <v>865804015</v>
      </c>
      <c r="CT4" s="33">
        <v>865804015</v>
      </c>
      <c r="CU4" s="33">
        <v>865794015</v>
      </c>
      <c r="CV4" s="33">
        <v>865794015</v>
      </c>
      <c r="CW4" s="35"/>
    </row>
    <row r="5" spans="1:101" x14ac:dyDescent="0.25">
      <c r="B5" s="36"/>
      <c r="C5" s="37" t="s">
        <v>92</v>
      </c>
      <c r="D5" s="38"/>
      <c r="E5" s="38" t="s">
        <v>93</v>
      </c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9"/>
      <c r="AI5" s="39"/>
      <c r="AJ5" s="39"/>
      <c r="AK5" s="39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>
        <v>4.1966599999999996</v>
      </c>
      <c r="BT5" s="37"/>
      <c r="BU5" s="37">
        <f>+BS5</f>
        <v>4.1966599999999996</v>
      </c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40"/>
    </row>
    <row r="6" spans="1:101" x14ac:dyDescent="0.25">
      <c r="B6" s="36"/>
      <c r="C6" s="37" t="s">
        <v>94</v>
      </c>
      <c r="D6" s="37">
        <f>+D7-D8</f>
        <v>-17956.616390000563</v>
      </c>
      <c r="E6" s="37">
        <f>+E7-E8</f>
        <v>798260.01534545049</v>
      </c>
      <c r="F6" s="37">
        <f>+F7-F8</f>
        <v>408093.3096784912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9"/>
      <c r="AI6" s="39"/>
      <c r="AJ6" s="39"/>
      <c r="AK6" s="39"/>
      <c r="AL6" s="37">
        <f t="shared" ref="AL6:BQ6" si="0">+AL7-AL8</f>
        <v>-9057411.1622300744</v>
      </c>
      <c r="AM6" s="37">
        <f t="shared" si="0"/>
        <v>37241.195356465876</v>
      </c>
      <c r="AN6" s="37">
        <f t="shared" si="0"/>
        <v>-194279.0328100007</v>
      </c>
      <c r="AO6" s="37">
        <f t="shared" si="0"/>
        <v>-171502.0002914397</v>
      </c>
      <c r="AP6" s="37">
        <f t="shared" si="0"/>
        <v>-727613.71369375382</v>
      </c>
      <c r="AQ6" s="37">
        <f t="shared" si="0"/>
        <v>-178554.5909121607</v>
      </c>
      <c r="AR6" s="37">
        <f t="shared" si="0"/>
        <v>0</v>
      </c>
      <c r="AS6" s="37">
        <f t="shared" si="0"/>
        <v>0</v>
      </c>
      <c r="AT6" s="37">
        <f t="shared" si="0"/>
        <v>0</v>
      </c>
      <c r="AU6" s="37">
        <f t="shared" si="0"/>
        <v>0</v>
      </c>
      <c r="AV6" s="37">
        <f t="shared" si="0"/>
        <v>0</v>
      </c>
      <c r="AW6" s="37">
        <f t="shared" si="0"/>
        <v>0</v>
      </c>
      <c r="AX6" s="37">
        <f t="shared" si="0"/>
        <v>0</v>
      </c>
      <c r="AY6" s="37">
        <f t="shared" si="0"/>
        <v>0</v>
      </c>
      <c r="AZ6" s="37">
        <f t="shared" si="0"/>
        <v>0</v>
      </c>
      <c r="BA6" s="37">
        <f t="shared" si="0"/>
        <v>0</v>
      </c>
      <c r="BB6" s="37">
        <f t="shared" si="0"/>
        <v>0</v>
      </c>
      <c r="BC6" s="37">
        <f t="shared" si="0"/>
        <v>0</v>
      </c>
      <c r="BD6" s="37">
        <f t="shared" si="0"/>
        <v>0</v>
      </c>
      <c r="BE6" s="37">
        <f t="shared" si="0"/>
        <v>0</v>
      </c>
      <c r="BF6" s="37">
        <f t="shared" si="0"/>
        <v>0</v>
      </c>
      <c r="BG6" s="37">
        <f t="shared" si="0"/>
        <v>0</v>
      </c>
      <c r="BH6" s="37">
        <f t="shared" si="0"/>
        <v>0</v>
      </c>
      <c r="BI6" s="37">
        <f t="shared" si="0"/>
        <v>0</v>
      </c>
      <c r="BJ6" s="37">
        <f t="shared" si="0"/>
        <v>0</v>
      </c>
      <c r="BK6" s="37">
        <f t="shared" si="0"/>
        <v>0</v>
      </c>
      <c r="BL6" s="37">
        <f t="shared" si="0"/>
        <v>0</v>
      </c>
      <c r="BM6" s="37">
        <f t="shared" si="0"/>
        <v>0</v>
      </c>
      <c r="BN6" s="37">
        <f t="shared" si="0"/>
        <v>0</v>
      </c>
      <c r="BO6" s="37">
        <f t="shared" si="0"/>
        <v>0</v>
      </c>
      <c r="BP6" s="37">
        <f t="shared" si="0"/>
        <v>0</v>
      </c>
      <c r="BQ6" s="37">
        <f t="shared" si="0"/>
        <v>0</v>
      </c>
      <c r="BR6" s="37"/>
      <c r="BS6" s="37"/>
      <c r="BT6" s="37"/>
      <c r="BU6" s="37"/>
      <c r="BV6" s="37">
        <f>+BV7-BV8-422.17</f>
        <v>-422.17</v>
      </c>
      <c r="BW6" s="37">
        <f t="shared" ref="BW6:CR6" si="1">+BW7-BW8</f>
        <v>0</v>
      </c>
      <c r="BX6" s="37">
        <f t="shared" si="1"/>
        <v>0</v>
      </c>
      <c r="BY6" s="37">
        <f t="shared" si="1"/>
        <v>-17229.32500000007</v>
      </c>
      <c r="BZ6" s="37">
        <f t="shared" si="1"/>
        <v>-74492.583999999799</v>
      </c>
      <c r="CA6" s="37">
        <f t="shared" si="1"/>
        <v>163277.66899999976</v>
      </c>
      <c r="CB6" s="37">
        <f t="shared" si="1"/>
        <v>-2.4000000121304765E-4</v>
      </c>
      <c r="CC6" s="37">
        <f t="shared" si="1"/>
        <v>-4.1799998143687844E-3</v>
      </c>
      <c r="CD6" s="37">
        <f>+[1]Otrosbancos!$L$29</f>
        <v>0</v>
      </c>
      <c r="CE6" s="37">
        <f t="shared" si="1"/>
        <v>0</v>
      </c>
      <c r="CF6" s="37">
        <f t="shared" si="1"/>
        <v>170.60000000003492</v>
      </c>
      <c r="CG6" s="37">
        <f t="shared" si="1"/>
        <v>0</v>
      </c>
      <c r="CH6" s="37">
        <f t="shared" si="1"/>
        <v>0</v>
      </c>
      <c r="CI6" s="37">
        <f t="shared" si="1"/>
        <v>22555.08899999992</v>
      </c>
      <c r="CJ6" s="37">
        <f t="shared" si="1"/>
        <v>9918.9839999999967</v>
      </c>
      <c r="CK6" s="37">
        <f t="shared" si="1"/>
        <v>0</v>
      </c>
      <c r="CL6" s="37">
        <f t="shared" si="1"/>
        <v>0</v>
      </c>
      <c r="CM6" s="37">
        <f t="shared" si="1"/>
        <v>-1.4999999257270247E-4</v>
      </c>
      <c r="CN6" s="37">
        <f t="shared" si="1"/>
        <v>-2.9699999140575528E-3</v>
      </c>
      <c r="CO6" s="37">
        <f t="shared" si="1"/>
        <v>4.6400002902373672E-3</v>
      </c>
      <c r="CP6" s="37">
        <f t="shared" si="1"/>
        <v>-2.7600005269050598E-3</v>
      </c>
      <c r="CQ6" s="37">
        <f t="shared" si="1"/>
        <v>216.65003000001889</v>
      </c>
      <c r="CR6" s="37">
        <f t="shared" si="1"/>
        <v>-6.7999896054971032E-4</v>
      </c>
      <c r="CS6" s="37">
        <f>+CS7-CS8</f>
        <v>-5000</v>
      </c>
      <c r="CT6" s="37">
        <f>+CT7-CT8</f>
        <v>-20468.599999999999</v>
      </c>
      <c r="CU6" s="37">
        <f>+CU7-CU8</f>
        <v>-5000</v>
      </c>
      <c r="CV6" s="37">
        <f>+CV7-CV8</f>
        <v>-20468.599999999999</v>
      </c>
      <c r="CW6" s="37"/>
    </row>
    <row r="7" spans="1:101" x14ac:dyDescent="0.25">
      <c r="A7" s="41"/>
      <c r="B7" s="42"/>
      <c r="C7" s="43" t="s">
        <v>95</v>
      </c>
      <c r="D7" s="43">
        <f>+'[1]Cap,Bol,Cls'!$L$4</f>
        <v>561667.58137999999</v>
      </c>
      <c r="E7" s="43">
        <f>+'[1]Cap,Bol,Cls'!$L$13</f>
        <v>25573644.334339999</v>
      </c>
      <c r="F7" s="43">
        <f>+'[1]Cap,Bol,Cls'!$L$30</f>
        <v>9439322.7604099996</v>
      </c>
      <c r="G7" s="43">
        <f>+G8</f>
        <v>0</v>
      </c>
      <c r="H7" s="43">
        <f>+H8</f>
        <v>0</v>
      </c>
      <c r="I7" s="43">
        <f>+'[1]Cap,Bol,Cls'!$L$24</f>
        <v>112881.99251</v>
      </c>
      <c r="J7" s="43">
        <f>+J8</f>
        <v>0</v>
      </c>
      <c r="K7" s="43">
        <f>+K8</f>
        <v>162809.11957214307</v>
      </c>
      <c r="L7" s="43">
        <f>+L8</f>
        <v>2005752.0896008296</v>
      </c>
      <c r="M7" s="43">
        <f>+M8</f>
        <v>336015.98036286648</v>
      </c>
      <c r="N7" s="43">
        <f>+N8</f>
        <v>177310.5199999999</v>
      </c>
      <c r="O7" s="43">
        <f t="shared" ref="O7:AK7" si="2">+O8</f>
        <v>743248.15264999995</v>
      </c>
      <c r="P7" s="43">
        <f t="shared" si="2"/>
        <v>24853304.480000008</v>
      </c>
      <c r="Q7" s="43">
        <f t="shared" si="2"/>
        <v>137357036.43541589</v>
      </c>
      <c r="R7" s="43">
        <f t="shared" si="2"/>
        <v>994317.85</v>
      </c>
      <c r="S7" s="43">
        <f t="shared" si="2"/>
        <v>4499726.5788673991</v>
      </c>
      <c r="T7" s="43"/>
      <c r="U7" s="43"/>
      <c r="V7" s="43"/>
      <c r="W7" s="43"/>
      <c r="X7" s="43"/>
      <c r="Y7" s="43"/>
      <c r="Z7" s="43">
        <f t="shared" si="2"/>
        <v>9662.5274983807467</v>
      </c>
      <c r="AA7" s="43">
        <f t="shared" si="2"/>
        <v>40503.29</v>
      </c>
      <c r="AB7" s="43">
        <f t="shared" si="2"/>
        <v>7542.7499999967404</v>
      </c>
      <c r="AC7" s="43">
        <f t="shared" si="2"/>
        <v>31617.62</v>
      </c>
      <c r="AD7" s="43">
        <f t="shared" si="2"/>
        <v>5155</v>
      </c>
      <c r="AE7" s="43">
        <f t="shared" si="2"/>
        <v>21608.68</v>
      </c>
      <c r="AF7" s="43">
        <f t="shared" si="2"/>
        <v>7956.8699999451637</v>
      </c>
      <c r="AG7" s="43">
        <f t="shared" si="2"/>
        <v>33353.53</v>
      </c>
      <c r="AH7" s="43">
        <f t="shared" si="2"/>
        <v>202018.84999999718</v>
      </c>
      <c r="AI7" s="43">
        <f t="shared" si="2"/>
        <v>846664.08869630005</v>
      </c>
      <c r="AJ7" s="43">
        <f t="shared" si="2"/>
        <v>673596.71999999823</v>
      </c>
      <c r="AK7" s="43">
        <f t="shared" si="2"/>
        <v>2823324.1679230896</v>
      </c>
      <c r="AL7" s="43">
        <f>+[1]Inversoras!$L$56</f>
        <v>3138866.53052</v>
      </c>
      <c r="AM7" s="43">
        <f>+[1]Inversoras!$L$57</f>
        <v>59297817.126340002</v>
      </c>
      <c r="AN7" s="43">
        <f>+[1]Inversoras!$L$58</f>
        <v>6477775.5114200003</v>
      </c>
      <c r="AO7" s="43">
        <f>+[1]Inversoras!$L$59</f>
        <v>772338.20663000003</v>
      </c>
      <c r="AP7" s="43">
        <f>+[1]Inversoras!$L$60</f>
        <v>8202740.3018400008</v>
      </c>
      <c r="AQ7" s="43">
        <f>+[1]Inversoras!$L$61</f>
        <v>1435427.07911</v>
      </c>
      <c r="AR7" s="43">
        <f>+AR8</f>
        <v>33752.683643993005</v>
      </c>
      <c r="AS7" s="43">
        <f t="shared" ref="AS7:BQ7" si="3">+AS8</f>
        <v>6.2719079996137461</v>
      </c>
      <c r="AT7" s="43">
        <f t="shared" si="3"/>
        <v>11.210432002509913</v>
      </c>
      <c r="AU7" s="43">
        <f t="shared" si="3"/>
        <v>70709.869203997281</v>
      </c>
      <c r="AV7" s="43">
        <f t="shared" si="3"/>
        <v>523662.90839880263</v>
      </c>
      <c r="AW7" s="43">
        <f t="shared" si="3"/>
        <v>85667.9885699968</v>
      </c>
      <c r="AX7" s="43">
        <f t="shared" si="3"/>
        <v>1041.3974240010875</v>
      </c>
      <c r="AY7" s="43">
        <f t="shared" si="3"/>
        <v>22742.072311997978</v>
      </c>
      <c r="AZ7" s="43">
        <f t="shared" si="3"/>
        <v>23267.345377323236</v>
      </c>
      <c r="BA7" s="43">
        <f t="shared" si="3"/>
        <v>202250.79672400691</v>
      </c>
      <c r="BB7" s="43">
        <f t="shared" si="3"/>
        <v>70038.290219991148</v>
      </c>
      <c r="BC7" s="43">
        <f t="shared" si="3"/>
        <v>267173.06484799867</v>
      </c>
      <c r="BD7" s="43">
        <f t="shared" si="3"/>
        <v>17070.54959998983</v>
      </c>
      <c r="BE7" s="43">
        <f t="shared" si="3"/>
        <v>256586.81289368056</v>
      </c>
      <c r="BF7" s="43">
        <f t="shared" si="3"/>
        <v>321949.5492303599</v>
      </c>
      <c r="BG7" s="43">
        <f t="shared" si="3"/>
        <v>35109.232018882758</v>
      </c>
      <c r="BH7" s="43">
        <f t="shared" si="3"/>
        <v>27273.514880002102</v>
      </c>
      <c r="BI7" s="43">
        <f t="shared" si="3"/>
        <v>630661.83776839031</v>
      </c>
      <c r="BJ7" s="43">
        <f t="shared" si="3"/>
        <v>197783.28604456017</v>
      </c>
      <c r="BK7" s="43">
        <f t="shared" si="3"/>
        <v>3408870.6208220124</v>
      </c>
      <c r="BL7" s="43">
        <f t="shared" si="3"/>
        <v>112876.65265244606</v>
      </c>
      <c r="BM7" s="43">
        <f t="shared" si="3"/>
        <v>1070112.4932271512</v>
      </c>
      <c r="BN7" s="43">
        <f t="shared" si="3"/>
        <v>4102637.5580473808</v>
      </c>
      <c r="BO7" s="43">
        <f t="shared" si="3"/>
        <v>3.4691202304202307E-3</v>
      </c>
      <c r="BP7" s="43">
        <f t="shared" si="3"/>
        <v>255.54774932906548</v>
      </c>
      <c r="BQ7" s="43">
        <f t="shared" si="3"/>
        <v>4.0128798844989433E-3</v>
      </c>
      <c r="BR7" s="43">
        <f>+[1]Otrosbancos!$L$49</f>
        <v>645623.82000000007</v>
      </c>
      <c r="BS7" s="43">
        <f>+BS8</f>
        <v>2662944.0693795886</v>
      </c>
      <c r="BT7" s="43">
        <f>+[1]Otrosbancos!$L$51</f>
        <v>54664</v>
      </c>
      <c r="BU7" s="43">
        <f>+BU8</f>
        <v>199256.26825549096</v>
      </c>
      <c r="BV7" s="43">
        <f>+BV8+BV5</f>
        <v>8400.1908600000006</v>
      </c>
      <c r="BW7" s="43">
        <f>+BW8+BW5</f>
        <v>377415.74499000073</v>
      </c>
      <c r="BX7" s="43">
        <f>+BX8+BX5</f>
        <v>12663.664475599246</v>
      </c>
      <c r="BY7" s="43">
        <f>+[1]Otrosbancos!$L$5</f>
        <v>775828.00399999996</v>
      </c>
      <c r="BZ7" s="43">
        <f>+[1]Otrosbancos!$L$10</f>
        <v>7567017.574</v>
      </c>
      <c r="CA7" s="43">
        <f>+[1]Otrosbancos!$L$15</f>
        <v>3775688.165</v>
      </c>
      <c r="CB7" s="43">
        <f>+[1]Otrosbancos!$L$23</f>
        <v>18618.565999999999</v>
      </c>
      <c r="CC7" s="43">
        <f>+[1]Otrosbancos!$L$26</f>
        <v>886127.652</v>
      </c>
      <c r="CD7" s="43">
        <f>+[1]Otrosbancos!$L$29</f>
        <v>0</v>
      </c>
      <c r="CE7" s="43">
        <f>+[1]Otrosbancos!$L$33</f>
        <v>23113.683000000001</v>
      </c>
      <c r="CF7" s="43">
        <f>+[1]Otrosbancos!$L$37</f>
        <v>479269.96159000002</v>
      </c>
      <c r="CG7" s="43">
        <f>+[1]Otrosbancos!$L$41</f>
        <v>187664.606</v>
      </c>
      <c r="CH7" s="43">
        <f>+[1]Otrosbancos!$L$46</f>
        <v>2.9318200000000001</v>
      </c>
      <c r="CI7" s="43">
        <f>+[1]Otrosbancos!$L$54</f>
        <v>928309.41099999996</v>
      </c>
      <c r="CJ7" s="43">
        <f>+[1]Otrosbancos!$L$56</f>
        <v>195997.04</v>
      </c>
      <c r="CK7" s="43">
        <f>+[1]Liberty!$L$3</f>
        <v>0</v>
      </c>
      <c r="CL7" s="43">
        <f>+[1]Liberty!$L$4</f>
        <v>0</v>
      </c>
      <c r="CM7" s="43">
        <f>+[1]Liberty!$L$6</f>
        <v>79545.214000000007</v>
      </c>
      <c r="CN7" s="43">
        <f>+[1]Liberty!$L$8</f>
        <v>662749.23600000003</v>
      </c>
      <c r="CO7" s="43">
        <f>+[1]Liberty!$L$10</f>
        <v>736440.24595999997</v>
      </c>
      <c r="CP7" s="43">
        <f>+[1]Liberty!$L$12</f>
        <v>9152723.6699999999</v>
      </c>
      <c r="CQ7" s="43">
        <f>+[1]Liberty!$L$13</f>
        <v>378135.14942999999</v>
      </c>
      <c r="CR7" s="43">
        <f>+[1]Otrosbancos!$L$58</f>
        <v>20872.374</v>
      </c>
      <c r="CS7" s="43">
        <v>0</v>
      </c>
      <c r="CT7" s="43">
        <v>0</v>
      </c>
      <c r="CU7" s="43">
        <v>0</v>
      </c>
      <c r="CV7" s="43">
        <v>0</v>
      </c>
      <c r="CW7" s="43">
        <f>SUM(D7:CV7)</f>
        <v>332155589.52832568</v>
      </c>
    </row>
    <row r="8" spans="1:101" x14ac:dyDescent="0.25">
      <c r="A8" s="41"/>
      <c r="B8" s="44" t="s">
        <v>96</v>
      </c>
      <c r="C8" s="45" t="s">
        <v>97</v>
      </c>
      <c r="D8" s="45">
        <f>+'May, 15'!D40</f>
        <v>579624.19777000055</v>
      </c>
      <c r="E8" s="45">
        <f>+'May, 15'!E40</f>
        <v>24775384.318994548</v>
      </c>
      <c r="F8" s="45">
        <f>+'May, 15'!F40</f>
        <v>9031229.4507315084</v>
      </c>
      <c r="G8" s="45">
        <f>+'May, 15'!G40</f>
        <v>0</v>
      </c>
      <c r="H8" s="45">
        <f>+'May, 15'!H40</f>
        <v>0</v>
      </c>
      <c r="I8" s="45">
        <f>+'May, 15'!I40</f>
        <v>112882.67214999424</v>
      </c>
      <c r="J8" s="45">
        <f>+'May, 15'!J40</f>
        <v>0</v>
      </c>
      <c r="K8" s="45">
        <f>+'May, 15'!K40</f>
        <v>162809.11957214307</v>
      </c>
      <c r="L8" s="45">
        <f>+'May, 15'!L40</f>
        <v>2005752.0896008296</v>
      </c>
      <c r="M8" s="45">
        <f>+'May, 15'!M40</f>
        <v>336015.98036286648</v>
      </c>
      <c r="N8" s="45">
        <f>+'May, 15'!N40</f>
        <v>177310.5199999999</v>
      </c>
      <c r="O8" s="45">
        <f>+'May, 15'!O40</f>
        <v>743248.15264999995</v>
      </c>
      <c r="P8" s="45">
        <f>+'May, 15'!P40</f>
        <v>24853304.480000008</v>
      </c>
      <c r="Q8" s="45">
        <f>+'May, 15'!Q40</f>
        <v>137357036.43541589</v>
      </c>
      <c r="R8" s="45">
        <f>+'May, 15'!R40</f>
        <v>994317.85</v>
      </c>
      <c r="S8" s="45">
        <f>+'May, 15'!S40</f>
        <v>4499726.5788673991</v>
      </c>
      <c r="T8" s="45">
        <f>+'May, 15'!T40</f>
        <v>0</v>
      </c>
      <c r="U8" s="45">
        <f>+'May, 15'!U40</f>
        <v>0</v>
      </c>
      <c r="V8" s="45">
        <f>+'May, 15'!V40</f>
        <v>0</v>
      </c>
      <c r="W8" s="45">
        <f>+'May, 15'!W40</f>
        <v>0</v>
      </c>
      <c r="X8" s="45">
        <f>+'May, 15'!X40</f>
        <v>0</v>
      </c>
      <c r="Y8" s="45">
        <f>+'May, 15'!Y40</f>
        <v>0</v>
      </c>
      <c r="Z8" s="45">
        <f>+'May, 15'!Z40</f>
        <v>9662.5274983807467</v>
      </c>
      <c r="AA8" s="45">
        <f>+'May, 15'!AA40</f>
        <v>40503.29</v>
      </c>
      <c r="AB8" s="45">
        <f>+'May, 15'!AB40</f>
        <v>7542.7499999967404</v>
      </c>
      <c r="AC8" s="45">
        <f>+'May, 15'!AC40</f>
        <v>31617.62</v>
      </c>
      <c r="AD8" s="45">
        <f>+'May, 15'!AD40</f>
        <v>5155</v>
      </c>
      <c r="AE8" s="45">
        <f>+'May, 15'!AE40</f>
        <v>21608.68</v>
      </c>
      <c r="AF8" s="45">
        <f>+'May, 15'!AF40</f>
        <v>7956.8699999451637</v>
      </c>
      <c r="AG8" s="45">
        <f>+'May, 15'!AG40</f>
        <v>33353.53</v>
      </c>
      <c r="AH8" s="45">
        <f>+'May, 15'!AH40</f>
        <v>202018.84999999718</v>
      </c>
      <c r="AI8" s="45">
        <f>+'May, 15'!AI40</f>
        <v>846664.08869630005</v>
      </c>
      <c r="AJ8" s="45">
        <f>+'May, 15'!AJ40</f>
        <v>673596.71999999823</v>
      </c>
      <c r="AK8" s="45">
        <f>+'May, 15'!AK40</f>
        <v>2823324.1679230896</v>
      </c>
      <c r="AL8" s="45">
        <f>+'May, 15'!AL40</f>
        <v>12196277.692750074</v>
      </c>
      <c r="AM8" s="45">
        <f>+'May, 15'!AM40</f>
        <v>59260575.930983536</v>
      </c>
      <c r="AN8" s="45">
        <f>+'May, 15'!AN40</f>
        <v>6672054.544230001</v>
      </c>
      <c r="AO8" s="45">
        <f>+'May, 15'!AO40</f>
        <v>943840.20692143973</v>
      </c>
      <c r="AP8" s="45">
        <f>+'May, 15'!AP40</f>
        <v>8930354.0155337546</v>
      </c>
      <c r="AQ8" s="45">
        <f>+'May, 15'!AQ40</f>
        <v>1613981.6700221607</v>
      </c>
      <c r="AR8" s="45">
        <f>+'May, 15'!AR40</f>
        <v>33752.683643993005</v>
      </c>
      <c r="AS8" s="45">
        <f>+'May, 15'!AS40</f>
        <v>6.2719079996137461</v>
      </c>
      <c r="AT8" s="45">
        <f>+'May, 15'!AT40</f>
        <v>11.210432002509913</v>
      </c>
      <c r="AU8" s="45">
        <f>+'May, 15'!AU40</f>
        <v>70709.869203997281</v>
      </c>
      <c r="AV8" s="45">
        <f>+'May, 15'!AV40</f>
        <v>523662.90839880263</v>
      </c>
      <c r="AW8" s="45">
        <f>+'May, 15'!AW40</f>
        <v>85667.9885699968</v>
      </c>
      <c r="AX8" s="45">
        <f>+'May, 15'!AX40</f>
        <v>1041.3974240010875</v>
      </c>
      <c r="AY8" s="45">
        <f>+'May, 15'!AY40</f>
        <v>22742.072311997978</v>
      </c>
      <c r="AZ8" s="45">
        <f>+'May, 15'!AZ40</f>
        <v>23267.345377323236</v>
      </c>
      <c r="BA8" s="45">
        <f>+'May, 15'!BA40</f>
        <v>202250.79672400691</v>
      </c>
      <c r="BB8" s="45">
        <f>+'May, 15'!BB40</f>
        <v>70038.290219991148</v>
      </c>
      <c r="BC8" s="45">
        <f>+'May, 15'!BC40</f>
        <v>267173.06484799867</v>
      </c>
      <c r="BD8" s="45">
        <f>+'May, 15'!BD40</f>
        <v>17070.54959998983</v>
      </c>
      <c r="BE8" s="45">
        <f>+'May, 15'!BE40</f>
        <v>256586.81289368056</v>
      </c>
      <c r="BF8" s="45">
        <f>+'May, 15'!BF40</f>
        <v>321949.5492303599</v>
      </c>
      <c r="BG8" s="45">
        <f>+'May, 15'!BG40</f>
        <v>35109.232018882758</v>
      </c>
      <c r="BH8" s="45">
        <f>+'May, 15'!BH40</f>
        <v>27273.514880002102</v>
      </c>
      <c r="BI8" s="45">
        <f>+'May, 15'!BI40</f>
        <v>630661.83776839031</v>
      </c>
      <c r="BJ8" s="45">
        <f>+'May, 15'!BJ40</f>
        <v>197783.28604456017</v>
      </c>
      <c r="BK8" s="45">
        <f>+'May, 15'!BK40</f>
        <v>3408870.6208220124</v>
      </c>
      <c r="BL8" s="45">
        <f>+'May, 15'!BL40</f>
        <v>112876.65265244606</v>
      </c>
      <c r="BM8" s="45">
        <f>+'May, 15'!BM40</f>
        <v>1070112.4932271512</v>
      </c>
      <c r="BN8" s="45">
        <f>+'May, 15'!BN40</f>
        <v>4102637.5580473808</v>
      </c>
      <c r="BO8" s="45">
        <f>+'May, 15'!BO40</f>
        <v>3.4691202304202307E-3</v>
      </c>
      <c r="BP8" s="45">
        <f>+'May, 15'!BP40</f>
        <v>255.54774932906548</v>
      </c>
      <c r="BQ8" s="45">
        <f>+'May, 15'!BQ40</f>
        <v>4.0128798844989433E-3</v>
      </c>
      <c r="BR8" s="45">
        <f>+'May, 15'!BR40</f>
        <v>645623.81600000313</v>
      </c>
      <c r="BS8" s="45">
        <f>+'May, 15'!BS40</f>
        <v>2662944.0693795886</v>
      </c>
      <c r="BT8" s="45">
        <f>+'May, 15'!BT40</f>
        <v>54664.004932018986</v>
      </c>
      <c r="BU8" s="45">
        <f>+'May, 15'!BU40</f>
        <v>199256.26825549096</v>
      </c>
      <c r="BV8" s="45">
        <f>+'May, 15'!BV40</f>
        <v>8400.1908600000006</v>
      </c>
      <c r="BW8" s="45">
        <f>+'May, 15'!BW40</f>
        <v>377415.74499000073</v>
      </c>
      <c r="BX8" s="45">
        <f>+'May, 15'!BX40</f>
        <v>12663.664475599246</v>
      </c>
      <c r="BY8" s="45">
        <f>+'May, 15'!BY40</f>
        <v>793057.32900000003</v>
      </c>
      <c r="BZ8" s="45">
        <f>+'May, 15'!BZ40</f>
        <v>7641510.1579999998</v>
      </c>
      <c r="CA8" s="45">
        <f>+'May, 15'!CA40</f>
        <v>3612410.4960000003</v>
      </c>
      <c r="CB8" s="45">
        <f>+'May, 15'!CB40</f>
        <v>18618.56624</v>
      </c>
      <c r="CC8" s="45">
        <f>+'May, 15'!CC40</f>
        <v>886127.65617999982</v>
      </c>
      <c r="CD8" s="45">
        <f>+'May, 15'!CD40</f>
        <v>0</v>
      </c>
      <c r="CE8" s="45">
        <f>+'May, 15'!CE40</f>
        <v>23113.683000000001</v>
      </c>
      <c r="CF8" s="45">
        <f>+'May, 15'!CF40</f>
        <v>479099.36158999999</v>
      </c>
      <c r="CG8" s="45">
        <f>+'May, 15'!CG40</f>
        <v>187664.606</v>
      </c>
      <c r="CH8" s="45">
        <f>+'May, 15'!CH40</f>
        <v>2.9318200000000001</v>
      </c>
      <c r="CI8" s="45">
        <f>+'May, 15'!CI40</f>
        <v>905754.32200000004</v>
      </c>
      <c r="CJ8" s="45">
        <f>+'May, 15'!CJ40</f>
        <v>186078.05600000001</v>
      </c>
      <c r="CK8" s="45">
        <f>+'May, 15'!CK40</f>
        <v>0</v>
      </c>
      <c r="CL8" s="45">
        <f>+'May, 15'!CL40</f>
        <v>0</v>
      </c>
      <c r="CM8" s="45">
        <f>+'May, 15'!CM40</f>
        <v>79545.21415</v>
      </c>
      <c r="CN8" s="45">
        <f>+'May, 15'!CN40</f>
        <v>662749.23896999995</v>
      </c>
      <c r="CO8" s="45">
        <f>+'May, 15'!CO40</f>
        <v>736440.24131999968</v>
      </c>
      <c r="CP8" s="45">
        <f>+'May, 15'!CP40</f>
        <v>9152723.6727600005</v>
      </c>
      <c r="CQ8" s="45">
        <f>+'May, 15'!CQ40</f>
        <v>377918.49939999997</v>
      </c>
      <c r="CR8" s="45">
        <f>+'May, 15'!CR40</f>
        <v>20872.37467999896</v>
      </c>
      <c r="CS8" s="45">
        <f>+'May, 15'!CS40</f>
        <v>5000</v>
      </c>
      <c r="CT8" s="45">
        <f>+'May, 15'!CT40</f>
        <v>20468.599999999999</v>
      </c>
      <c r="CU8" s="45">
        <f>+'May, 15'!CU40</f>
        <v>5000</v>
      </c>
      <c r="CV8" s="45">
        <f>+'May, 15'!CV40</f>
        <v>20468.599999999999</v>
      </c>
      <c r="CW8" s="43">
        <f t="shared" ref="CW8:CW40" si="4">SUM(D8:CV8)</f>
        <v>341205832.92815483</v>
      </c>
    </row>
    <row r="9" spans="1:101" x14ac:dyDescent="0.25">
      <c r="B9" s="46" t="s">
        <v>96</v>
      </c>
      <c r="C9" s="47" t="s">
        <v>98</v>
      </c>
      <c r="D9" s="47">
        <v>25810</v>
      </c>
      <c r="E9" s="48">
        <v>14233349.659739999</v>
      </c>
      <c r="F9" s="48">
        <v>42286933.867899999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>
        <v>0</v>
      </c>
      <c r="AM9" s="47">
        <v>0</v>
      </c>
      <c r="AN9" s="47">
        <v>207204.80064999999</v>
      </c>
      <c r="AO9" s="47">
        <v>453139.114</v>
      </c>
      <c r="AP9" s="47">
        <v>2601564.5780000002</v>
      </c>
      <c r="AQ9" s="47">
        <v>609461.82629</v>
      </c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>
        <v>2826.5120000000002</v>
      </c>
      <c r="BX9" s="47"/>
      <c r="BY9" s="47">
        <f>IF(BY6&gt;0,BY6,0)</f>
        <v>0</v>
      </c>
      <c r="BZ9" s="47">
        <f>IF(BZ6&gt;0,BZ6,0)</f>
        <v>0</v>
      </c>
      <c r="CA9" s="47">
        <f>IF(CA6&gt;0,CA6,0)</f>
        <v>163277.66899999976</v>
      </c>
      <c r="CB9" s="47"/>
      <c r="CC9" s="47"/>
      <c r="CD9" s="47"/>
      <c r="CE9" s="47">
        <f>IF(CE6&gt;0,CE6,0)</f>
        <v>0</v>
      </c>
      <c r="CF9" s="47">
        <f>IF(CF6&gt;0,CF6,0)</f>
        <v>170.60000000003492</v>
      </c>
      <c r="CG9" s="47">
        <f>IF(CG6&gt;0,CG6,0)</f>
        <v>0</v>
      </c>
      <c r="CH9" s="47"/>
      <c r="CI9" s="47">
        <f>IF(CI6&gt;0,CI6,0)</f>
        <v>22555.08899999992</v>
      </c>
      <c r="CJ9" s="47">
        <f>IF(CJ6&gt;0,CJ6,0)</f>
        <v>9918.9839999999967</v>
      </c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3">
        <f t="shared" si="4"/>
        <v>60616212.700580001</v>
      </c>
    </row>
    <row r="10" spans="1:101" x14ac:dyDescent="0.25">
      <c r="B10" s="46" t="s">
        <v>99</v>
      </c>
      <c r="C10" s="47" t="s">
        <v>100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>
        <v>0</v>
      </c>
      <c r="AM10" s="47">
        <v>0</v>
      </c>
      <c r="AN10" s="47">
        <v>0</v>
      </c>
      <c r="AO10" s="47">
        <v>0</v>
      </c>
      <c r="AP10" s="47">
        <v>0</v>
      </c>
      <c r="AQ10" s="47">
        <v>0</v>
      </c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>
        <v>-9.02</v>
      </c>
      <c r="BX10" s="47"/>
      <c r="BY10" s="47">
        <f>IF(BY6&lt;0,BY6,0)</f>
        <v>-17229.32500000007</v>
      </c>
      <c r="BZ10" s="47">
        <f>IF(BZ6&lt;0,BZ6,0)</f>
        <v>-74492.583999999799</v>
      </c>
      <c r="CA10" s="47">
        <f>IF(CA6&lt;0,CA6,0)</f>
        <v>0</v>
      </c>
      <c r="CB10" s="47"/>
      <c r="CC10" s="47"/>
      <c r="CD10" s="47"/>
      <c r="CE10" s="47">
        <f>IF(CE6&lt;0,CE6,0)</f>
        <v>0</v>
      </c>
      <c r="CF10" s="47">
        <f>IF(CF6&lt;0,CF6,0)</f>
        <v>0</v>
      </c>
      <c r="CG10" s="47">
        <f>IF(CG6&lt;0,CG6,0)</f>
        <v>0</v>
      </c>
      <c r="CH10" s="47"/>
      <c r="CI10" s="47">
        <f>IF(CI6&lt;0,CI6,0)</f>
        <v>0</v>
      </c>
      <c r="CJ10" s="47">
        <f>IF(CJ6&lt;0,CJ6,0)</f>
        <v>0</v>
      </c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3">
        <f t="shared" si="4"/>
        <v>-91730.928999999873</v>
      </c>
    </row>
    <row r="11" spans="1:101" x14ac:dyDescent="0.25">
      <c r="A11" s="41"/>
      <c r="B11" s="49" t="s">
        <v>99</v>
      </c>
      <c r="C11" s="50" t="s">
        <v>101</v>
      </c>
      <c r="D11" s="50">
        <v>-238.55040000000201</v>
      </c>
      <c r="E11" s="50">
        <v>-93366.49</v>
      </c>
      <c r="F11" s="50">
        <v>-19242.594840000202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>
        <f>+[1]Otrosbancos!$L$6+[1]Otrosbancos!$L$7</f>
        <v>-154463.652</v>
      </c>
      <c r="BZ11" s="50">
        <f>+[1]Otrosbancos!$L$11+[1]Otrosbancos!$L$12</f>
        <v>-2494284.4400000004</v>
      </c>
      <c r="CA11" s="50">
        <f>+[1]Otrosbancos!$L$16+[1]Otrosbancos!$L$17</f>
        <v>-2187311.6510000001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43">
        <f t="shared" si="4"/>
        <v>-4948907.3782400005</v>
      </c>
    </row>
    <row r="12" spans="1:101" x14ac:dyDescent="0.25">
      <c r="B12" s="46" t="s">
        <v>96</v>
      </c>
      <c r="C12" s="47" t="s">
        <v>102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1"/>
      <c r="AS12" s="51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3">
        <f t="shared" si="4"/>
        <v>0</v>
      </c>
    </row>
    <row r="13" spans="1:101" x14ac:dyDescent="0.25">
      <c r="B13" s="46" t="s">
        <v>96</v>
      </c>
      <c r="C13" s="47" t="s">
        <v>103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51"/>
      <c r="AS13" s="51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3">
        <f t="shared" si="4"/>
        <v>0</v>
      </c>
    </row>
    <row r="14" spans="1:101" x14ac:dyDescent="0.25">
      <c r="B14" s="46" t="s">
        <v>96</v>
      </c>
      <c r="C14" s="47" t="s">
        <v>104</v>
      </c>
      <c r="D14" s="47"/>
      <c r="E14" s="47"/>
      <c r="F14" s="47">
        <v>124366.899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51"/>
      <c r="AS14" s="51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3">
        <f t="shared" si="4"/>
        <v>124366.899</v>
      </c>
    </row>
    <row r="15" spans="1:101" x14ac:dyDescent="0.25">
      <c r="B15" s="46" t="s">
        <v>96</v>
      </c>
      <c r="C15" s="47" t="s">
        <v>105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>
        <v>6523.7222899999997</v>
      </c>
      <c r="AM15" s="47">
        <v>66506.292620000007</v>
      </c>
      <c r="AN15" s="47">
        <v>7859.5062099999996</v>
      </c>
      <c r="AO15" s="47">
        <v>1015.05373</v>
      </c>
      <c r="AP15" s="47">
        <v>9043.26152</v>
      </c>
      <c r="AQ15" s="47">
        <v>1531.7276199999999</v>
      </c>
      <c r="AR15" s="51"/>
      <c r="AS15" s="51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3">
        <f t="shared" si="4"/>
        <v>92479.563990000024</v>
      </c>
    </row>
    <row r="16" spans="1:101" x14ac:dyDescent="0.25">
      <c r="B16" s="46" t="s">
        <v>96</v>
      </c>
      <c r="C16" s="47" t="s">
        <v>106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51"/>
      <c r="AS16" s="51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>
        <v>232.26</v>
      </c>
      <c r="BU16" s="47">
        <f>+BT16*BU5</f>
        <v>974.71625159999985</v>
      </c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3">
        <f t="shared" si="4"/>
        <v>1206.9762515999998</v>
      </c>
    </row>
    <row r="17" spans="1:101" x14ac:dyDescent="0.25">
      <c r="B17" s="46" t="s">
        <v>99</v>
      </c>
      <c r="C17" s="47" t="s">
        <v>107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51"/>
      <c r="AS17" s="51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3">
        <f t="shared" si="4"/>
        <v>0</v>
      </c>
    </row>
    <row r="18" spans="1:101" x14ac:dyDescent="0.25">
      <c r="B18" s="46" t="s">
        <v>96</v>
      </c>
      <c r="C18" s="47" t="s">
        <v>108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1"/>
      <c r="AS18" s="51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3">
        <f t="shared" si="4"/>
        <v>0</v>
      </c>
    </row>
    <row r="19" spans="1:101" x14ac:dyDescent="0.25">
      <c r="B19" s="46" t="s">
        <v>99</v>
      </c>
      <c r="C19" s="47" t="s">
        <v>109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51"/>
      <c r="AS19" s="51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3">
        <f t="shared" si="4"/>
        <v>0</v>
      </c>
    </row>
    <row r="20" spans="1:101" x14ac:dyDescent="0.25">
      <c r="B20" s="46" t="s">
        <v>99</v>
      </c>
      <c r="C20" s="47" t="s">
        <v>110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>
        <v>0</v>
      </c>
      <c r="AM20" s="47">
        <v>0</v>
      </c>
      <c r="AN20" s="47">
        <v>0</v>
      </c>
      <c r="AO20" s="47">
        <v>0</v>
      </c>
      <c r="AP20" s="47">
        <v>-1530000</v>
      </c>
      <c r="AQ20" s="47">
        <v>0</v>
      </c>
      <c r="AR20" s="51"/>
      <c r="AS20" s="51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3">
        <f t="shared" si="4"/>
        <v>-1530000</v>
      </c>
    </row>
    <row r="21" spans="1:101" x14ac:dyDescent="0.25">
      <c r="B21" s="46" t="s">
        <v>96</v>
      </c>
      <c r="C21" s="47" t="s">
        <v>111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>
        <v>0</v>
      </c>
      <c r="AM21" s="47">
        <v>0</v>
      </c>
      <c r="AN21" s="47">
        <v>0</v>
      </c>
      <c r="AO21" s="47">
        <v>0</v>
      </c>
      <c r="AP21" s="47">
        <v>1530000</v>
      </c>
      <c r="AQ21" s="47">
        <v>0</v>
      </c>
      <c r="AR21" s="51"/>
      <c r="AS21" s="51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3">
        <f t="shared" si="4"/>
        <v>1530000</v>
      </c>
    </row>
    <row r="22" spans="1:101" x14ac:dyDescent="0.25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>
        <v>0</v>
      </c>
      <c r="AM22" s="47">
        <v>0</v>
      </c>
      <c r="AN22" s="47">
        <v>0</v>
      </c>
      <c r="AO22" s="47">
        <v>0</v>
      </c>
      <c r="AP22" s="47">
        <v>0</v>
      </c>
      <c r="AQ22" s="47">
        <v>0</v>
      </c>
      <c r="AR22" s="51"/>
      <c r="AS22" s="51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3">
        <f t="shared" si="4"/>
        <v>0</v>
      </c>
    </row>
    <row r="23" spans="1:101" x14ac:dyDescent="0.25">
      <c r="B23" s="46" t="s">
        <v>99</v>
      </c>
      <c r="C23" s="47" t="s">
        <v>112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>
        <v>0</v>
      </c>
      <c r="AM23" s="47">
        <v>0</v>
      </c>
      <c r="AN23" s="47">
        <v>0</v>
      </c>
      <c r="AO23" s="47">
        <v>0</v>
      </c>
      <c r="AP23" s="47">
        <v>0</v>
      </c>
      <c r="AQ23" s="47">
        <v>0</v>
      </c>
      <c r="AR23" s="51"/>
      <c r="AS23" s="51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3">
        <f t="shared" si="4"/>
        <v>0</v>
      </c>
    </row>
    <row r="24" spans="1:101" x14ac:dyDescent="0.25">
      <c r="B24" s="46" t="s">
        <v>99</v>
      </c>
      <c r="C24" s="47" t="s">
        <v>113</v>
      </c>
      <c r="D24" s="47">
        <v>-14.4</v>
      </c>
      <c r="E24" s="47">
        <f>-24321.37-4394-182.22</f>
        <v>-28897.59</v>
      </c>
      <c r="F24" s="47">
        <f>-123.5-1.878-151597.67-2657.64</f>
        <v>-154380.68800000002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>
        <v>-6613.835</v>
      </c>
      <c r="AM24" s="47">
        <v>0</v>
      </c>
      <c r="AN24" s="47">
        <v>-74.2209</v>
      </c>
      <c r="AO24" s="47">
        <v>-3904.37547</v>
      </c>
      <c r="AP24" s="47">
        <v>-78402.939530000003</v>
      </c>
      <c r="AQ24" s="47">
        <v>-2928.0345600000001</v>
      </c>
      <c r="AR24" s="51"/>
      <c r="AS24" s="51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3">
        <f t="shared" si="4"/>
        <v>-275216.08345999999</v>
      </c>
    </row>
    <row r="25" spans="1:101" x14ac:dyDescent="0.25">
      <c r="A25" s="41"/>
      <c r="B25" s="52" t="s">
        <v>99</v>
      </c>
      <c r="C25" s="53" t="s">
        <v>114</v>
      </c>
      <c r="D25" s="53">
        <v>-8612.0784399999993</v>
      </c>
      <c r="E25" s="53">
        <v>-5332739.9873299999</v>
      </c>
      <c r="F25" s="53">
        <v>-3310898.0377699998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>
        <v>-64694.581000000238</v>
      </c>
      <c r="AM25" s="53">
        <v>0</v>
      </c>
      <c r="AN25" s="53">
        <v>-378272.35765000002</v>
      </c>
      <c r="AO25" s="53">
        <v>-487912.86900000001</v>
      </c>
      <c r="AP25" s="53">
        <v>-1103803.4939999999</v>
      </c>
      <c r="AQ25" s="53">
        <v>-1417532.5530000001</v>
      </c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43">
        <f t="shared" si="4"/>
        <v>-12104465.958190002</v>
      </c>
    </row>
    <row r="26" spans="1:101" x14ac:dyDescent="0.25">
      <c r="B26" s="46"/>
      <c r="C26" s="47" t="s">
        <v>115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>
        <v>0</v>
      </c>
      <c r="AM26" s="47">
        <v>0</v>
      </c>
      <c r="AN26" s="47">
        <v>0</v>
      </c>
      <c r="AO26" s="47">
        <v>0</v>
      </c>
      <c r="AP26" s="47">
        <v>0</v>
      </c>
      <c r="AQ26" s="47">
        <v>0</v>
      </c>
      <c r="AR26" s="51"/>
      <c r="AS26" s="51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3">
        <f t="shared" si="4"/>
        <v>0</v>
      </c>
    </row>
    <row r="27" spans="1:101" x14ac:dyDescent="0.25">
      <c r="B27" s="46" t="s">
        <v>99</v>
      </c>
      <c r="C27" s="47" t="s">
        <v>116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51"/>
      <c r="AS27" s="51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3">
        <f t="shared" si="4"/>
        <v>0</v>
      </c>
    </row>
    <row r="28" spans="1:101" x14ac:dyDescent="0.25">
      <c r="B28" s="47" t="s">
        <v>99</v>
      </c>
      <c r="C28" s="47" t="s">
        <v>117</v>
      </c>
      <c r="D28" s="48"/>
      <c r="E28" s="47">
        <v>1148.953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51"/>
      <c r="AS28" s="51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3">
        <f t="shared" si="4"/>
        <v>1148.953</v>
      </c>
    </row>
    <row r="29" spans="1:101" x14ac:dyDescent="0.25">
      <c r="B29" s="47"/>
      <c r="C29" s="47" t="s">
        <v>118</v>
      </c>
      <c r="D29" s="48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>
        <v>0</v>
      </c>
      <c r="AM29" s="47">
        <v>0</v>
      </c>
      <c r="AN29" s="47">
        <v>0</v>
      </c>
      <c r="AO29" s="47">
        <v>0</v>
      </c>
      <c r="AP29" s="47">
        <v>0</v>
      </c>
      <c r="AQ29" s="47">
        <v>0</v>
      </c>
      <c r="AR29" s="51"/>
      <c r="AS29" s="51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3">
        <f t="shared" si="4"/>
        <v>0</v>
      </c>
    </row>
    <row r="30" spans="1:101" x14ac:dyDescent="0.25">
      <c r="B30" s="47"/>
      <c r="C30" s="47" t="s">
        <v>119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51"/>
      <c r="AS30" s="51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3">
        <f t="shared" si="4"/>
        <v>0</v>
      </c>
    </row>
    <row r="31" spans="1:101" x14ac:dyDescent="0.25">
      <c r="B31" s="47" t="s">
        <v>99</v>
      </c>
      <c r="C31" s="47" t="s">
        <v>120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>
        <v>0</v>
      </c>
      <c r="AM31" s="47">
        <v>0</v>
      </c>
      <c r="AN31" s="47">
        <v>0</v>
      </c>
      <c r="AO31" s="47">
        <v>0</v>
      </c>
      <c r="AP31" s="47">
        <v>0</v>
      </c>
      <c r="AQ31" s="47">
        <v>0</v>
      </c>
      <c r="AR31" s="51"/>
      <c r="AS31" s="51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3">
        <f t="shared" si="4"/>
        <v>0</v>
      </c>
    </row>
    <row r="32" spans="1:101" x14ac:dyDescent="0.25">
      <c r="B32" s="47" t="s">
        <v>99</v>
      </c>
      <c r="C32" s="47" t="s">
        <v>121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51"/>
      <c r="AS32" s="51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3">
        <f t="shared" si="4"/>
        <v>0</v>
      </c>
    </row>
    <row r="33" spans="2:101" x14ac:dyDescent="0.25">
      <c r="B33" s="47" t="s">
        <v>99</v>
      </c>
      <c r="C33" s="47" t="s">
        <v>122</v>
      </c>
      <c r="D33" s="47">
        <f>-733-396-2441-31</f>
        <v>-3601</v>
      </c>
      <c r="E33" s="47">
        <f>-13274-3565</f>
        <v>-16839</v>
      </c>
      <c r="F33" s="47">
        <f>-467979-2970-19152-2774-198-1947-17578</f>
        <v>-512598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>
        <v>-2421</v>
      </c>
      <c r="AM33" s="47">
        <v>-411</v>
      </c>
      <c r="AN33" s="47">
        <v>-30429</v>
      </c>
      <c r="AO33" s="47">
        <v>-81086</v>
      </c>
      <c r="AP33" s="47">
        <v>-2022713</v>
      </c>
      <c r="AQ33" s="47">
        <v>-178262</v>
      </c>
      <c r="AR33" s="51"/>
      <c r="AS33" s="51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3">
        <f t="shared" si="4"/>
        <v>-2848360</v>
      </c>
    </row>
    <row r="34" spans="2:101" x14ac:dyDescent="0.25">
      <c r="B34" s="54" t="s">
        <v>99</v>
      </c>
      <c r="C34" s="55" t="s">
        <v>123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>
        <v>-8944891.8849999998</v>
      </c>
      <c r="AM34" s="55">
        <v>0</v>
      </c>
      <c r="AN34" s="55">
        <v>0</v>
      </c>
      <c r="AO34" s="55">
        <v>0</v>
      </c>
      <c r="AP34" s="55">
        <v>0</v>
      </c>
      <c r="AQ34" s="55">
        <v>0</v>
      </c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43">
        <f t="shared" si="4"/>
        <v>-8944891.8849999998</v>
      </c>
    </row>
    <row r="35" spans="2:101" x14ac:dyDescent="0.25">
      <c r="B35" s="54" t="s">
        <v>99</v>
      </c>
      <c r="C35" s="55" t="s">
        <v>124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>
        <v>-36074.48517</v>
      </c>
      <c r="AM35" s="55">
        <v>-1.6439999999999999</v>
      </c>
      <c r="AN35" s="55">
        <v>0</v>
      </c>
      <c r="AO35" s="55">
        <v>-2291.6125999999999</v>
      </c>
      <c r="AP35" s="55">
        <v>-12818.663504640001</v>
      </c>
      <c r="AQ35" s="55">
        <v>-6394.8900999999996</v>
      </c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43">
        <f t="shared" si="4"/>
        <v>-57581.295374639994</v>
      </c>
    </row>
    <row r="36" spans="2:101" ht="15.75" thickBot="1" x14ac:dyDescent="0.3">
      <c r="B36" s="56"/>
      <c r="C36" s="57" t="s">
        <v>125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43">
        <f t="shared" si="4"/>
        <v>0</v>
      </c>
    </row>
    <row r="37" spans="2:101" x14ac:dyDescent="0.25">
      <c r="B37" s="58"/>
      <c r="C37" s="59" t="s">
        <v>126</v>
      </c>
      <c r="D37" s="59">
        <f>SUM(D9:D36)</f>
        <v>13343.971159999994</v>
      </c>
      <c r="E37" s="59">
        <f>SUM(E9:E36)</f>
        <v>8762655.5454099979</v>
      </c>
      <c r="F37" s="59">
        <f>SUM(F9:F35)</f>
        <v>38414181.446289994</v>
      </c>
      <c r="G37" s="59">
        <f t="shared" ref="G37:BR37" si="5">SUM(G9:G36)</f>
        <v>0</v>
      </c>
      <c r="H37" s="59">
        <f t="shared" si="5"/>
        <v>0</v>
      </c>
      <c r="I37" s="59">
        <f t="shared" si="5"/>
        <v>0</v>
      </c>
      <c r="J37" s="59">
        <f t="shared" si="5"/>
        <v>0</v>
      </c>
      <c r="K37" s="59">
        <f t="shared" si="5"/>
        <v>0</v>
      </c>
      <c r="L37" s="59">
        <f t="shared" si="5"/>
        <v>0</v>
      </c>
      <c r="M37" s="59">
        <f t="shared" si="5"/>
        <v>0</v>
      </c>
      <c r="N37" s="59">
        <f t="shared" si="5"/>
        <v>0</v>
      </c>
      <c r="O37" s="59">
        <f t="shared" si="5"/>
        <v>0</v>
      </c>
      <c r="P37" s="59">
        <f t="shared" si="5"/>
        <v>0</v>
      </c>
      <c r="Q37" s="59">
        <f t="shared" si="5"/>
        <v>0</v>
      </c>
      <c r="R37" s="59">
        <f t="shared" si="5"/>
        <v>0</v>
      </c>
      <c r="S37" s="59">
        <f t="shared" si="5"/>
        <v>0</v>
      </c>
      <c r="T37" s="59">
        <f t="shared" si="5"/>
        <v>0</v>
      </c>
      <c r="U37" s="59">
        <f t="shared" si="5"/>
        <v>0</v>
      </c>
      <c r="V37" s="59">
        <f t="shared" si="5"/>
        <v>0</v>
      </c>
      <c r="W37" s="59">
        <f t="shared" si="5"/>
        <v>0</v>
      </c>
      <c r="X37" s="59">
        <f t="shared" si="5"/>
        <v>0</v>
      </c>
      <c r="Y37" s="59">
        <f t="shared" si="5"/>
        <v>0</v>
      </c>
      <c r="Z37" s="59">
        <f t="shared" si="5"/>
        <v>0</v>
      </c>
      <c r="AA37" s="59">
        <f t="shared" si="5"/>
        <v>0</v>
      </c>
      <c r="AB37" s="59">
        <f t="shared" si="5"/>
        <v>0</v>
      </c>
      <c r="AC37" s="59">
        <f t="shared" si="5"/>
        <v>0</v>
      </c>
      <c r="AD37" s="59">
        <f t="shared" si="5"/>
        <v>0</v>
      </c>
      <c r="AE37" s="59">
        <f t="shared" si="5"/>
        <v>0</v>
      </c>
      <c r="AF37" s="59">
        <f t="shared" si="5"/>
        <v>0</v>
      </c>
      <c r="AG37" s="59">
        <f t="shared" si="5"/>
        <v>0</v>
      </c>
      <c r="AH37" s="59">
        <f t="shared" si="5"/>
        <v>0</v>
      </c>
      <c r="AI37" s="59">
        <f t="shared" si="5"/>
        <v>0</v>
      </c>
      <c r="AJ37" s="59">
        <f t="shared" si="5"/>
        <v>0</v>
      </c>
      <c r="AK37" s="59">
        <f t="shared" si="5"/>
        <v>0</v>
      </c>
      <c r="AL37" s="59">
        <f t="shared" si="5"/>
        <v>-9048172.0638799984</v>
      </c>
      <c r="AM37" s="59">
        <f t="shared" si="5"/>
        <v>66093.648620000007</v>
      </c>
      <c r="AN37" s="59">
        <f t="shared" si="5"/>
        <v>-193711.27169000002</v>
      </c>
      <c r="AO37" s="59">
        <f t="shared" si="5"/>
        <v>-121040.68934000004</v>
      </c>
      <c r="AP37" s="59">
        <f t="shared" si="5"/>
        <v>-607130.25751463964</v>
      </c>
      <c r="AQ37" s="59">
        <f t="shared" si="5"/>
        <v>-994123.92375000007</v>
      </c>
      <c r="AR37" s="59">
        <f t="shared" si="5"/>
        <v>0</v>
      </c>
      <c r="AS37" s="59">
        <f t="shared" si="5"/>
        <v>0</v>
      </c>
      <c r="AT37" s="59">
        <f t="shared" si="5"/>
        <v>0</v>
      </c>
      <c r="AU37" s="59">
        <f t="shared" si="5"/>
        <v>0</v>
      </c>
      <c r="AV37" s="59">
        <f t="shared" si="5"/>
        <v>0</v>
      </c>
      <c r="AW37" s="59">
        <f t="shared" si="5"/>
        <v>0</v>
      </c>
      <c r="AX37" s="59">
        <f t="shared" si="5"/>
        <v>0</v>
      </c>
      <c r="AY37" s="59">
        <f t="shared" si="5"/>
        <v>0</v>
      </c>
      <c r="AZ37" s="59">
        <f t="shared" si="5"/>
        <v>0</v>
      </c>
      <c r="BA37" s="59">
        <f t="shared" si="5"/>
        <v>0</v>
      </c>
      <c r="BB37" s="59">
        <f t="shared" si="5"/>
        <v>0</v>
      </c>
      <c r="BC37" s="59">
        <f t="shared" si="5"/>
        <v>0</v>
      </c>
      <c r="BD37" s="59">
        <f t="shared" si="5"/>
        <v>0</v>
      </c>
      <c r="BE37" s="59">
        <f t="shared" si="5"/>
        <v>0</v>
      </c>
      <c r="BF37" s="59">
        <f t="shared" si="5"/>
        <v>0</v>
      </c>
      <c r="BG37" s="59">
        <f t="shared" si="5"/>
        <v>0</v>
      </c>
      <c r="BH37" s="59">
        <f t="shared" si="5"/>
        <v>0</v>
      </c>
      <c r="BI37" s="59">
        <f t="shared" si="5"/>
        <v>0</v>
      </c>
      <c r="BJ37" s="59">
        <f t="shared" si="5"/>
        <v>0</v>
      </c>
      <c r="BK37" s="59">
        <f t="shared" si="5"/>
        <v>0</v>
      </c>
      <c r="BL37" s="59">
        <f t="shared" si="5"/>
        <v>0</v>
      </c>
      <c r="BM37" s="59">
        <f t="shared" si="5"/>
        <v>0</v>
      </c>
      <c r="BN37" s="59">
        <f t="shared" si="5"/>
        <v>0</v>
      </c>
      <c r="BO37" s="59">
        <f t="shared" si="5"/>
        <v>0</v>
      </c>
      <c r="BP37" s="59">
        <f t="shared" si="5"/>
        <v>0</v>
      </c>
      <c r="BQ37" s="59">
        <f t="shared" si="5"/>
        <v>0</v>
      </c>
      <c r="BR37" s="59">
        <f t="shared" si="5"/>
        <v>0</v>
      </c>
      <c r="BS37" s="59">
        <f t="shared" ref="BS37:CV37" si="6">SUM(BS9:BS36)</f>
        <v>0</v>
      </c>
      <c r="BT37" s="59">
        <f t="shared" si="6"/>
        <v>232.26</v>
      </c>
      <c r="BU37" s="59">
        <f t="shared" si="6"/>
        <v>974.71625159999985</v>
      </c>
      <c r="BV37" s="59">
        <f t="shared" si="6"/>
        <v>0</v>
      </c>
      <c r="BW37" s="59">
        <f t="shared" si="6"/>
        <v>2817.4920000000002</v>
      </c>
      <c r="BX37" s="59">
        <f t="shared" si="6"/>
        <v>0</v>
      </c>
      <c r="BY37" s="59">
        <f t="shared" si="6"/>
        <v>-171692.97700000007</v>
      </c>
      <c r="BZ37" s="59">
        <f t="shared" si="6"/>
        <v>-2568777.0240000002</v>
      </c>
      <c r="CA37" s="59">
        <f t="shared" si="6"/>
        <v>-2024033.9820000003</v>
      </c>
      <c r="CB37" s="59">
        <f t="shared" si="6"/>
        <v>0</v>
      </c>
      <c r="CC37" s="59">
        <f t="shared" si="6"/>
        <v>0</v>
      </c>
      <c r="CD37" s="59">
        <f t="shared" si="6"/>
        <v>0</v>
      </c>
      <c r="CE37" s="59">
        <f t="shared" si="6"/>
        <v>0</v>
      </c>
      <c r="CF37" s="59">
        <f t="shared" si="6"/>
        <v>170.60000000003492</v>
      </c>
      <c r="CG37" s="59">
        <f t="shared" si="6"/>
        <v>0</v>
      </c>
      <c r="CH37" s="59">
        <f t="shared" si="6"/>
        <v>0</v>
      </c>
      <c r="CI37" s="59">
        <f t="shared" si="6"/>
        <v>22555.08899999992</v>
      </c>
      <c r="CJ37" s="59">
        <f t="shared" si="6"/>
        <v>9918.9839999999967</v>
      </c>
      <c r="CK37" s="59">
        <f t="shared" si="6"/>
        <v>0</v>
      </c>
      <c r="CL37" s="59">
        <f t="shared" si="6"/>
        <v>0</v>
      </c>
      <c r="CM37" s="59">
        <f t="shared" si="6"/>
        <v>0</v>
      </c>
      <c r="CN37" s="59">
        <f t="shared" si="6"/>
        <v>0</v>
      </c>
      <c r="CO37" s="59">
        <f t="shared" si="6"/>
        <v>0</v>
      </c>
      <c r="CP37" s="59">
        <f t="shared" si="6"/>
        <v>0</v>
      </c>
      <c r="CQ37" s="59">
        <f t="shared" si="6"/>
        <v>0</v>
      </c>
      <c r="CR37" s="59">
        <f t="shared" si="6"/>
        <v>0</v>
      </c>
      <c r="CS37" s="59">
        <f t="shared" si="6"/>
        <v>0</v>
      </c>
      <c r="CT37" s="59">
        <f t="shared" si="6"/>
        <v>0</v>
      </c>
      <c r="CU37" s="59">
        <f t="shared" si="6"/>
        <v>0</v>
      </c>
      <c r="CV37" s="59">
        <f t="shared" si="6"/>
        <v>0</v>
      </c>
      <c r="CW37" s="43">
        <f t="shared" si="4"/>
        <v>31564261.563556943</v>
      </c>
    </row>
    <row r="38" spans="2:101" x14ac:dyDescent="0.25">
      <c r="B38" s="60"/>
      <c r="C38" s="61" t="s">
        <v>127</v>
      </c>
      <c r="D38" s="61">
        <f>+D37+D8</f>
        <v>592968.16893000051</v>
      </c>
      <c r="E38" s="61">
        <f>+E37+E8</f>
        <v>33538039.864404544</v>
      </c>
      <c r="F38" s="61">
        <f>+F37+F8</f>
        <v>47445410.897021502</v>
      </c>
      <c r="G38" s="61">
        <f t="shared" ref="G38:BR38" si="7">+G37+G8</f>
        <v>0</v>
      </c>
      <c r="H38" s="61">
        <f t="shared" si="7"/>
        <v>0</v>
      </c>
      <c r="I38" s="61">
        <f t="shared" si="7"/>
        <v>112882.67214999424</v>
      </c>
      <c r="J38" s="61">
        <f t="shared" si="7"/>
        <v>0</v>
      </c>
      <c r="K38" s="61">
        <f t="shared" si="7"/>
        <v>162809.11957214307</v>
      </c>
      <c r="L38" s="61">
        <f t="shared" si="7"/>
        <v>2005752.0896008296</v>
      </c>
      <c r="M38" s="61">
        <f t="shared" si="7"/>
        <v>336015.98036286648</v>
      </c>
      <c r="N38" s="61">
        <f t="shared" si="7"/>
        <v>177310.5199999999</v>
      </c>
      <c r="O38" s="61">
        <f t="shared" si="7"/>
        <v>743248.15264999995</v>
      </c>
      <c r="P38" s="61">
        <f t="shared" si="7"/>
        <v>24853304.480000008</v>
      </c>
      <c r="Q38" s="61">
        <f t="shared" si="7"/>
        <v>137357036.43541589</v>
      </c>
      <c r="R38" s="61">
        <f t="shared" si="7"/>
        <v>994317.85</v>
      </c>
      <c r="S38" s="61">
        <f t="shared" si="7"/>
        <v>4499726.5788673991</v>
      </c>
      <c r="T38" s="61">
        <f t="shared" si="7"/>
        <v>0</v>
      </c>
      <c r="U38" s="61">
        <f t="shared" si="7"/>
        <v>0</v>
      </c>
      <c r="V38" s="61">
        <f t="shared" si="7"/>
        <v>0</v>
      </c>
      <c r="W38" s="61">
        <f t="shared" si="7"/>
        <v>0</v>
      </c>
      <c r="X38" s="61">
        <f t="shared" si="7"/>
        <v>0</v>
      </c>
      <c r="Y38" s="61">
        <f t="shared" si="7"/>
        <v>0</v>
      </c>
      <c r="Z38" s="61">
        <f t="shared" si="7"/>
        <v>9662.5274983807467</v>
      </c>
      <c r="AA38" s="61">
        <f t="shared" si="7"/>
        <v>40503.29</v>
      </c>
      <c r="AB38" s="61">
        <f t="shared" si="7"/>
        <v>7542.7499999967404</v>
      </c>
      <c r="AC38" s="61">
        <f t="shared" si="7"/>
        <v>31617.62</v>
      </c>
      <c r="AD38" s="61">
        <f t="shared" si="7"/>
        <v>5155</v>
      </c>
      <c r="AE38" s="61">
        <f t="shared" si="7"/>
        <v>21608.68</v>
      </c>
      <c r="AF38" s="61">
        <f t="shared" si="7"/>
        <v>7956.8699999451637</v>
      </c>
      <c r="AG38" s="61">
        <f t="shared" si="7"/>
        <v>33353.53</v>
      </c>
      <c r="AH38" s="61">
        <f t="shared" si="7"/>
        <v>202018.84999999718</v>
      </c>
      <c r="AI38" s="61">
        <f t="shared" si="7"/>
        <v>846664.08869630005</v>
      </c>
      <c r="AJ38" s="61">
        <f t="shared" si="7"/>
        <v>673596.71999999823</v>
      </c>
      <c r="AK38" s="61">
        <f t="shared" si="7"/>
        <v>2823324.1679230896</v>
      </c>
      <c r="AL38" s="61">
        <f t="shared" si="7"/>
        <v>3148105.6288700756</v>
      </c>
      <c r="AM38" s="61">
        <f t="shared" si="7"/>
        <v>59326669.579603538</v>
      </c>
      <c r="AN38" s="61">
        <f t="shared" si="7"/>
        <v>6478343.2725400012</v>
      </c>
      <c r="AO38" s="61">
        <f t="shared" si="7"/>
        <v>822799.51758143969</v>
      </c>
      <c r="AP38" s="61">
        <f t="shared" si="7"/>
        <v>8323223.7580191148</v>
      </c>
      <c r="AQ38" s="61">
        <f t="shared" si="7"/>
        <v>619857.74627216067</v>
      </c>
      <c r="AR38" s="61">
        <f t="shared" si="7"/>
        <v>33752.683643993005</v>
      </c>
      <c r="AS38" s="61">
        <f t="shared" si="7"/>
        <v>6.2719079996137461</v>
      </c>
      <c r="AT38" s="61">
        <f t="shared" si="7"/>
        <v>11.210432002509913</v>
      </c>
      <c r="AU38" s="61">
        <f t="shared" si="7"/>
        <v>70709.869203997281</v>
      </c>
      <c r="AV38" s="61">
        <f t="shared" si="7"/>
        <v>523662.90839880263</v>
      </c>
      <c r="AW38" s="61">
        <f t="shared" si="7"/>
        <v>85667.9885699968</v>
      </c>
      <c r="AX38" s="61">
        <f t="shared" si="7"/>
        <v>1041.3974240010875</v>
      </c>
      <c r="AY38" s="61">
        <f t="shared" si="7"/>
        <v>22742.072311997978</v>
      </c>
      <c r="AZ38" s="61">
        <f t="shared" si="7"/>
        <v>23267.345377323236</v>
      </c>
      <c r="BA38" s="61">
        <f t="shared" si="7"/>
        <v>202250.79672400691</v>
      </c>
      <c r="BB38" s="61">
        <f t="shared" si="7"/>
        <v>70038.290219991148</v>
      </c>
      <c r="BC38" s="61">
        <f t="shared" si="7"/>
        <v>267173.06484799867</v>
      </c>
      <c r="BD38" s="61">
        <f t="shared" si="7"/>
        <v>17070.54959998983</v>
      </c>
      <c r="BE38" s="61">
        <f t="shared" si="7"/>
        <v>256586.81289368056</v>
      </c>
      <c r="BF38" s="61">
        <f t="shared" si="7"/>
        <v>321949.5492303599</v>
      </c>
      <c r="BG38" s="61">
        <f t="shared" si="7"/>
        <v>35109.232018882758</v>
      </c>
      <c r="BH38" s="61">
        <f t="shared" si="7"/>
        <v>27273.514880002102</v>
      </c>
      <c r="BI38" s="61">
        <f t="shared" si="7"/>
        <v>630661.83776839031</v>
      </c>
      <c r="BJ38" s="61">
        <f t="shared" si="7"/>
        <v>197783.28604456017</v>
      </c>
      <c r="BK38" s="61">
        <f t="shared" si="7"/>
        <v>3408870.6208220124</v>
      </c>
      <c r="BL38" s="61">
        <f t="shared" si="7"/>
        <v>112876.65265244606</v>
      </c>
      <c r="BM38" s="61">
        <f t="shared" si="7"/>
        <v>1070112.4932271512</v>
      </c>
      <c r="BN38" s="61">
        <f t="shared" si="7"/>
        <v>4102637.5580473808</v>
      </c>
      <c r="BO38" s="61">
        <f t="shared" si="7"/>
        <v>3.4691202304202307E-3</v>
      </c>
      <c r="BP38" s="61">
        <f t="shared" si="7"/>
        <v>255.54774932906548</v>
      </c>
      <c r="BQ38" s="61">
        <f t="shared" si="7"/>
        <v>4.0128798844989433E-3</v>
      </c>
      <c r="BR38" s="61">
        <f t="shared" si="7"/>
        <v>645623.81600000313</v>
      </c>
      <c r="BS38" s="61">
        <f t="shared" ref="BS38:CV38" si="8">+BS37+BS8</f>
        <v>2662944.0693795886</v>
      </c>
      <c r="BT38" s="61">
        <f t="shared" si="8"/>
        <v>54896.264932018988</v>
      </c>
      <c r="BU38" s="61">
        <f t="shared" si="8"/>
        <v>200230.98450709097</v>
      </c>
      <c r="BV38" s="61">
        <f t="shared" si="8"/>
        <v>8400.1908600000006</v>
      </c>
      <c r="BW38" s="61">
        <f t="shared" si="8"/>
        <v>380233.23699000076</v>
      </c>
      <c r="BX38" s="61">
        <f t="shared" si="8"/>
        <v>12663.664475599246</v>
      </c>
      <c r="BY38" s="61">
        <f t="shared" si="8"/>
        <v>621364.35199999996</v>
      </c>
      <c r="BZ38" s="61">
        <f t="shared" si="8"/>
        <v>5072733.1339999996</v>
      </c>
      <c r="CA38" s="61">
        <f t="shared" si="8"/>
        <v>1588376.514</v>
      </c>
      <c r="CB38" s="61">
        <f t="shared" si="8"/>
        <v>18618.56624</v>
      </c>
      <c r="CC38" s="61">
        <f t="shared" si="8"/>
        <v>886127.65617999982</v>
      </c>
      <c r="CD38" s="61">
        <f t="shared" si="8"/>
        <v>0</v>
      </c>
      <c r="CE38" s="61">
        <f t="shared" si="8"/>
        <v>23113.683000000001</v>
      </c>
      <c r="CF38" s="61">
        <f t="shared" si="8"/>
        <v>479269.96159000002</v>
      </c>
      <c r="CG38" s="61">
        <f t="shared" si="8"/>
        <v>187664.606</v>
      </c>
      <c r="CH38" s="61">
        <f t="shared" si="8"/>
        <v>2.9318200000000001</v>
      </c>
      <c r="CI38" s="61">
        <f t="shared" si="8"/>
        <v>928309.41099999996</v>
      </c>
      <c r="CJ38" s="61">
        <f t="shared" si="8"/>
        <v>195997.04</v>
      </c>
      <c r="CK38" s="61">
        <f t="shared" si="8"/>
        <v>0</v>
      </c>
      <c r="CL38" s="61">
        <f t="shared" si="8"/>
        <v>0</v>
      </c>
      <c r="CM38" s="61">
        <f t="shared" si="8"/>
        <v>79545.21415</v>
      </c>
      <c r="CN38" s="61">
        <f t="shared" si="8"/>
        <v>662749.23896999995</v>
      </c>
      <c r="CO38" s="61">
        <f t="shared" si="8"/>
        <v>736440.24131999968</v>
      </c>
      <c r="CP38" s="61">
        <f t="shared" si="8"/>
        <v>9152723.6727600005</v>
      </c>
      <c r="CQ38" s="61">
        <f t="shared" si="8"/>
        <v>377918.49939999997</v>
      </c>
      <c r="CR38" s="61">
        <f t="shared" si="8"/>
        <v>20872.37467999896</v>
      </c>
      <c r="CS38" s="61">
        <f t="shared" si="8"/>
        <v>5000</v>
      </c>
      <c r="CT38" s="61">
        <f t="shared" si="8"/>
        <v>20468.599999999999</v>
      </c>
      <c r="CU38" s="61">
        <f t="shared" si="8"/>
        <v>5000</v>
      </c>
      <c r="CV38" s="61">
        <f t="shared" si="8"/>
        <v>20468.599999999999</v>
      </c>
      <c r="CW38" s="43">
        <f t="shared" si="4"/>
        <v>372770094.49171174</v>
      </c>
    </row>
    <row r="39" spans="2:101" x14ac:dyDescent="0.25">
      <c r="B39" s="62"/>
      <c r="C39" s="63" t="s">
        <v>128</v>
      </c>
      <c r="D39" s="63">
        <v>-21000</v>
      </c>
      <c r="E39" s="63">
        <v>-10885054.13875</v>
      </c>
      <c r="F39" s="63">
        <v>-4819000</v>
      </c>
      <c r="G39" s="63">
        <v>0</v>
      </c>
      <c r="H39" s="63">
        <v>0</v>
      </c>
      <c r="I39" s="63">
        <v>19.417570000000001</v>
      </c>
      <c r="J39" s="63">
        <v>0</v>
      </c>
      <c r="K39" s="63">
        <v>-4.1455159999999998</v>
      </c>
      <c r="L39" s="63">
        <v>-1802097.829516002</v>
      </c>
      <c r="M39" s="63">
        <v>-221865.14551599999</v>
      </c>
      <c r="N39" s="63">
        <v>0</v>
      </c>
      <c r="O39" s="63">
        <v>0</v>
      </c>
      <c r="P39" s="63">
        <v>-19365000</v>
      </c>
      <c r="Q39" s="63">
        <v>-81268320.900000006</v>
      </c>
      <c r="R39" s="63">
        <v>-699924.34</v>
      </c>
      <c r="S39" s="63">
        <v>-2937344.4807044002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-6559.81</v>
      </c>
      <c r="AI39" s="63">
        <v>-27529.292234600001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-12165.65006536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99.558999999999997</v>
      </c>
      <c r="BB39" s="63">
        <v>34.475999999999999</v>
      </c>
      <c r="BC39" s="63">
        <v>131.51600000000002</v>
      </c>
      <c r="BD39" s="63">
        <v>0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19.417460000000002</v>
      </c>
      <c r="BM39" s="63">
        <v>184.08056000000002</v>
      </c>
      <c r="BN39" s="63">
        <v>705.73281999999995</v>
      </c>
      <c r="BO39" s="63">
        <v>0</v>
      </c>
      <c r="BP39" s="63">
        <v>4.7259999999999996E-2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0</v>
      </c>
      <c r="BX39" s="63">
        <v>0</v>
      </c>
      <c r="BY39" s="63">
        <v>0</v>
      </c>
      <c r="BZ39" s="63">
        <v>3000000</v>
      </c>
      <c r="CA39" s="63">
        <v>1500000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43">
        <f t="shared" si="4"/>
        <v>-117564671.48563237</v>
      </c>
    </row>
    <row r="40" spans="2:101" ht="15.75" thickBot="1" x14ac:dyDescent="0.3">
      <c r="B40" s="64"/>
      <c r="C40" s="65" t="s">
        <v>129</v>
      </c>
      <c r="D40" s="65">
        <f>+D39+D38</f>
        <v>571968.16893000051</v>
      </c>
      <c r="E40" s="65">
        <f>+E39+E38</f>
        <v>22652985.725654542</v>
      </c>
      <c r="F40" s="65">
        <f>+F39+F38</f>
        <v>42626410.897021502</v>
      </c>
      <c r="G40" s="65">
        <f t="shared" ref="G40:BR40" si="9">+G39+G38</f>
        <v>0</v>
      </c>
      <c r="H40" s="65">
        <f t="shared" si="9"/>
        <v>0</v>
      </c>
      <c r="I40" s="65">
        <f t="shared" si="9"/>
        <v>112902.08971999424</v>
      </c>
      <c r="J40" s="65">
        <f t="shared" si="9"/>
        <v>0</v>
      </c>
      <c r="K40" s="65">
        <f t="shared" si="9"/>
        <v>162804.97405614308</v>
      </c>
      <c r="L40" s="65">
        <f t="shared" si="9"/>
        <v>203654.26008482766</v>
      </c>
      <c r="M40" s="65">
        <f t="shared" si="9"/>
        <v>114150.83484686649</v>
      </c>
      <c r="N40" s="65">
        <f t="shared" si="9"/>
        <v>177310.5199999999</v>
      </c>
      <c r="O40" s="65">
        <f t="shared" si="9"/>
        <v>743248.15264999995</v>
      </c>
      <c r="P40" s="65">
        <f t="shared" si="9"/>
        <v>5488304.4800000079</v>
      </c>
      <c r="Q40" s="65">
        <f t="shared" si="9"/>
        <v>56088715.535415888</v>
      </c>
      <c r="R40" s="65">
        <f t="shared" si="9"/>
        <v>294393.51</v>
      </c>
      <c r="S40" s="65">
        <f t="shared" si="9"/>
        <v>1562382.0981629989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9662.5274983807467</v>
      </c>
      <c r="AA40" s="65">
        <f t="shared" si="9"/>
        <v>40503.29</v>
      </c>
      <c r="AB40" s="65">
        <f t="shared" si="9"/>
        <v>7542.7499999967404</v>
      </c>
      <c r="AC40" s="65">
        <f t="shared" si="9"/>
        <v>31617.62</v>
      </c>
      <c r="AD40" s="65">
        <f t="shared" si="9"/>
        <v>5155</v>
      </c>
      <c r="AE40" s="65">
        <f t="shared" si="9"/>
        <v>21608.68</v>
      </c>
      <c r="AF40" s="65">
        <f t="shared" si="9"/>
        <v>7956.8699999451637</v>
      </c>
      <c r="AG40" s="65">
        <f t="shared" si="9"/>
        <v>33353.53</v>
      </c>
      <c r="AH40" s="65">
        <f t="shared" si="9"/>
        <v>195459.03999999719</v>
      </c>
      <c r="AI40" s="65">
        <f t="shared" si="9"/>
        <v>819134.7964617</v>
      </c>
      <c r="AJ40" s="65">
        <f t="shared" si="9"/>
        <v>673596.71999999823</v>
      </c>
      <c r="AK40" s="65">
        <f t="shared" si="9"/>
        <v>2823324.1679230896</v>
      </c>
      <c r="AL40" s="65">
        <f t="shared" si="9"/>
        <v>3148105.6288700756</v>
      </c>
      <c r="AM40" s="65">
        <f t="shared" si="9"/>
        <v>59326669.579603538</v>
      </c>
      <c r="AN40" s="65">
        <f t="shared" si="9"/>
        <v>6478343.2725400012</v>
      </c>
      <c r="AO40" s="65">
        <f t="shared" si="9"/>
        <v>822799.51758143969</v>
      </c>
      <c r="AP40" s="65">
        <f t="shared" si="9"/>
        <v>8311058.1079537552</v>
      </c>
      <c r="AQ40" s="65">
        <f t="shared" si="9"/>
        <v>619857.74627216067</v>
      </c>
      <c r="AR40" s="65">
        <f t="shared" si="9"/>
        <v>33752.683643993005</v>
      </c>
      <c r="AS40" s="65">
        <f t="shared" si="9"/>
        <v>6.2719079996137461</v>
      </c>
      <c r="AT40" s="65">
        <f t="shared" si="9"/>
        <v>11.210432002509913</v>
      </c>
      <c r="AU40" s="65">
        <f t="shared" si="9"/>
        <v>70709.869203997281</v>
      </c>
      <c r="AV40" s="65">
        <f t="shared" si="9"/>
        <v>523662.90839880263</v>
      </c>
      <c r="AW40" s="65">
        <f t="shared" si="9"/>
        <v>85667.9885699968</v>
      </c>
      <c r="AX40" s="65">
        <f t="shared" si="9"/>
        <v>1041.3974240010875</v>
      </c>
      <c r="AY40" s="65">
        <f t="shared" si="9"/>
        <v>22742.072311997978</v>
      </c>
      <c r="AZ40" s="65">
        <f t="shared" si="9"/>
        <v>23267.345377323236</v>
      </c>
      <c r="BA40" s="65">
        <f t="shared" si="9"/>
        <v>202350.35572400692</v>
      </c>
      <c r="BB40" s="65">
        <f t="shared" si="9"/>
        <v>70072.766219991143</v>
      </c>
      <c r="BC40" s="65">
        <f t="shared" si="9"/>
        <v>267304.58084799867</v>
      </c>
      <c r="BD40" s="65">
        <f t="shared" si="9"/>
        <v>17070.54959998983</v>
      </c>
      <c r="BE40" s="65">
        <f t="shared" si="9"/>
        <v>256586.81289368056</v>
      </c>
      <c r="BF40" s="65">
        <f t="shared" si="9"/>
        <v>321949.5492303599</v>
      </c>
      <c r="BG40" s="65">
        <f t="shared" si="9"/>
        <v>35109.232018882758</v>
      </c>
      <c r="BH40" s="65">
        <f t="shared" si="9"/>
        <v>27273.514880002102</v>
      </c>
      <c r="BI40" s="65">
        <f t="shared" si="9"/>
        <v>630661.83776839031</v>
      </c>
      <c r="BJ40" s="65">
        <f t="shared" si="9"/>
        <v>197783.28604456017</v>
      </c>
      <c r="BK40" s="65">
        <f t="shared" si="9"/>
        <v>3408870.6208220124</v>
      </c>
      <c r="BL40" s="65">
        <f t="shared" si="9"/>
        <v>112896.07011244606</v>
      </c>
      <c r="BM40" s="65">
        <f t="shared" si="9"/>
        <v>1070296.5737871511</v>
      </c>
      <c r="BN40" s="65">
        <f t="shared" si="9"/>
        <v>4103343.2908673808</v>
      </c>
      <c r="BO40" s="65">
        <f t="shared" si="9"/>
        <v>3.4691202304202307E-3</v>
      </c>
      <c r="BP40" s="65">
        <f t="shared" si="9"/>
        <v>255.59500932906548</v>
      </c>
      <c r="BQ40" s="65">
        <f t="shared" si="9"/>
        <v>4.0128798844989433E-3</v>
      </c>
      <c r="BR40" s="65">
        <f t="shared" si="9"/>
        <v>645623.81600000313</v>
      </c>
      <c r="BS40" s="65">
        <f t="shared" ref="BS40:CV40" si="10">+BS39+BS38</f>
        <v>2662944.0693795886</v>
      </c>
      <c r="BT40" s="65">
        <f t="shared" si="10"/>
        <v>54896.264932018988</v>
      </c>
      <c r="BU40" s="65">
        <f t="shared" si="10"/>
        <v>200230.98450709097</v>
      </c>
      <c r="BV40" s="65">
        <f t="shared" si="10"/>
        <v>8400.1908600000006</v>
      </c>
      <c r="BW40" s="65">
        <f t="shared" si="10"/>
        <v>380233.23699000076</v>
      </c>
      <c r="BX40" s="65">
        <f t="shared" si="10"/>
        <v>12663.664475599246</v>
      </c>
      <c r="BY40" s="65">
        <f t="shared" si="10"/>
        <v>621364.35199999996</v>
      </c>
      <c r="BZ40" s="65">
        <f t="shared" si="10"/>
        <v>8072733.1339999996</v>
      </c>
      <c r="CA40" s="65">
        <f t="shared" si="10"/>
        <v>3088376.514</v>
      </c>
      <c r="CB40" s="65">
        <f t="shared" si="10"/>
        <v>18618.56624</v>
      </c>
      <c r="CC40" s="65">
        <f t="shared" si="10"/>
        <v>886127.65617999982</v>
      </c>
      <c r="CD40" s="65">
        <f t="shared" si="10"/>
        <v>0</v>
      </c>
      <c r="CE40" s="65">
        <f t="shared" si="10"/>
        <v>23113.683000000001</v>
      </c>
      <c r="CF40" s="65">
        <f t="shared" si="10"/>
        <v>479269.96159000002</v>
      </c>
      <c r="CG40" s="65">
        <f t="shared" si="10"/>
        <v>187664.606</v>
      </c>
      <c r="CH40" s="65">
        <f>+CH39+CH38</f>
        <v>2.9318200000000001</v>
      </c>
      <c r="CI40" s="65">
        <f t="shared" si="10"/>
        <v>928309.41099999996</v>
      </c>
      <c r="CJ40" s="65">
        <f t="shared" si="10"/>
        <v>195997.04</v>
      </c>
      <c r="CK40" s="65">
        <f t="shared" si="10"/>
        <v>0</v>
      </c>
      <c r="CL40" s="65">
        <f t="shared" si="10"/>
        <v>0</v>
      </c>
      <c r="CM40" s="65">
        <f t="shared" si="10"/>
        <v>79545.21415</v>
      </c>
      <c r="CN40" s="65">
        <f t="shared" si="10"/>
        <v>662749.23896999995</v>
      </c>
      <c r="CO40" s="65">
        <f t="shared" si="10"/>
        <v>736440.24131999968</v>
      </c>
      <c r="CP40" s="65">
        <f t="shared" si="10"/>
        <v>9152723.6727600005</v>
      </c>
      <c r="CQ40" s="65">
        <f t="shared" si="10"/>
        <v>377918.49939999997</v>
      </c>
      <c r="CR40" s="65">
        <f t="shared" si="10"/>
        <v>20872.37467999896</v>
      </c>
      <c r="CS40" s="65">
        <f t="shared" si="10"/>
        <v>5000</v>
      </c>
      <c r="CT40" s="65">
        <f t="shared" si="10"/>
        <v>20468.599999999999</v>
      </c>
      <c r="CU40" s="65">
        <f t="shared" si="10"/>
        <v>5000</v>
      </c>
      <c r="CV40" s="65">
        <f t="shared" si="10"/>
        <v>20468.599999999999</v>
      </c>
      <c r="CW40" s="43">
        <f t="shared" si="4"/>
        <v>255205423.00607952</v>
      </c>
    </row>
    <row r="41" spans="2:101" ht="15.75" thickBot="1" x14ac:dyDescent="0.3"/>
    <row r="42" spans="2:101" x14ac:dyDescent="0.25">
      <c r="C42" s="67" t="s">
        <v>130</v>
      </c>
      <c r="D42" s="68">
        <f>+D37+D39</f>
        <v>-7656.0288400000063</v>
      </c>
      <c r="E42" s="68">
        <f>+E37+E39</f>
        <v>-2122398.593340002</v>
      </c>
      <c r="F42" s="69">
        <f>+F37+F39</f>
        <v>33595181.446289994</v>
      </c>
      <c r="G42" s="88">
        <v>20375.599999999999</v>
      </c>
      <c r="H42" s="88">
        <v>20376.599999999999</v>
      </c>
      <c r="I42" s="88">
        <v>20377.599999999999</v>
      </c>
      <c r="J42" s="88">
        <v>20378.599999999999</v>
      </c>
      <c r="K42" s="88">
        <v>20379.599999999999</v>
      </c>
      <c r="L42" s="88">
        <v>20380.599999999999</v>
      </c>
      <c r="M42" s="88">
        <v>20381.599999999999</v>
      </c>
      <c r="N42" s="88">
        <v>20382.599999999999</v>
      </c>
      <c r="O42" s="88">
        <v>20383.599999999999</v>
      </c>
      <c r="P42" s="88">
        <v>20384.599999999999</v>
      </c>
      <c r="Q42" s="88">
        <v>20385.599999999999</v>
      </c>
      <c r="R42" s="88">
        <v>20386.599999999999</v>
      </c>
      <c r="S42" s="88">
        <v>20387.599999999999</v>
      </c>
      <c r="T42" s="88">
        <v>20388.599999999999</v>
      </c>
      <c r="U42" s="88">
        <v>20389.599999999999</v>
      </c>
      <c r="V42" s="88">
        <v>20390.599999999999</v>
      </c>
      <c r="W42" s="88">
        <v>20391.599999999999</v>
      </c>
      <c r="X42" s="88">
        <v>20392.599999999999</v>
      </c>
      <c r="Y42" s="88">
        <v>20393.599999999999</v>
      </c>
      <c r="Z42" s="88">
        <v>20394.599999999999</v>
      </c>
      <c r="AA42" s="88">
        <v>20395.599999999999</v>
      </c>
      <c r="AB42" s="88">
        <v>20396.599999999999</v>
      </c>
      <c r="AC42" s="88">
        <v>20397.599999999999</v>
      </c>
      <c r="AD42" s="88">
        <v>20398.599999999999</v>
      </c>
      <c r="AE42" s="88">
        <v>20399.599999999999</v>
      </c>
      <c r="AF42" s="88">
        <v>20400.599999999999</v>
      </c>
      <c r="AG42" s="88">
        <v>20401.599999999999</v>
      </c>
      <c r="AH42" s="88">
        <v>20402.599999999999</v>
      </c>
      <c r="AI42" s="88">
        <v>20403.599999999999</v>
      </c>
      <c r="AJ42" s="88">
        <v>20404.599999999999</v>
      </c>
      <c r="AK42" s="88">
        <v>20405.599999999999</v>
      </c>
      <c r="AL42" s="88">
        <v>20406.599999999999</v>
      </c>
      <c r="AM42" s="88">
        <v>20407.599999999999</v>
      </c>
      <c r="AN42" s="88">
        <v>20408.599999999999</v>
      </c>
      <c r="AO42" s="88">
        <v>20409.599999999999</v>
      </c>
      <c r="AP42" s="88">
        <v>20410.599999999999</v>
      </c>
      <c r="AQ42" s="88">
        <v>20411.599999999999</v>
      </c>
      <c r="AR42" s="88">
        <v>20412.599999999999</v>
      </c>
      <c r="AS42" s="88">
        <v>20413.599999999999</v>
      </c>
      <c r="AT42" s="88">
        <v>20414.599999999999</v>
      </c>
      <c r="AU42" s="88">
        <v>20415.599999999999</v>
      </c>
      <c r="AV42" s="88">
        <v>20416.599999999999</v>
      </c>
      <c r="AW42" s="88">
        <v>20417.599999999999</v>
      </c>
      <c r="AX42" s="88">
        <v>20418.599999999999</v>
      </c>
      <c r="AY42" s="88">
        <v>20419.599999999999</v>
      </c>
      <c r="AZ42" s="88">
        <v>20420.599999999999</v>
      </c>
      <c r="BA42" s="88">
        <v>20421.599999999999</v>
      </c>
      <c r="BB42" s="88">
        <v>20422.599999999999</v>
      </c>
      <c r="BC42" s="88">
        <v>20423.599999999999</v>
      </c>
      <c r="BD42" s="88">
        <v>20424.599999999999</v>
      </c>
      <c r="BE42" s="88">
        <v>20425.599999999999</v>
      </c>
      <c r="BF42" s="88">
        <v>20426.599999999999</v>
      </c>
      <c r="BG42" s="88">
        <v>20427.599999999999</v>
      </c>
      <c r="BH42" s="88">
        <v>20428.599999999999</v>
      </c>
      <c r="BI42" s="88">
        <v>20429.599999999999</v>
      </c>
      <c r="BJ42" s="88">
        <v>20430.599999999999</v>
      </c>
      <c r="BK42" s="88">
        <v>20431.599999999999</v>
      </c>
      <c r="BL42" s="88">
        <v>20432.599999999999</v>
      </c>
      <c r="BM42" s="88">
        <v>20433.599999999999</v>
      </c>
      <c r="BN42" s="88">
        <v>20434.599999999999</v>
      </c>
      <c r="BO42" s="88">
        <v>20435.599999999999</v>
      </c>
      <c r="BP42" s="88">
        <v>20436.599999999999</v>
      </c>
      <c r="BQ42" s="88">
        <v>20437.599999999999</v>
      </c>
      <c r="BR42" s="88">
        <v>20438.599999999999</v>
      </c>
      <c r="BS42" s="88">
        <v>20439.599999999999</v>
      </c>
      <c r="BT42" s="88">
        <v>20440.599999999999</v>
      </c>
      <c r="BU42" s="88">
        <v>20441.599999999999</v>
      </c>
      <c r="BV42" s="88">
        <v>20442.599999999999</v>
      </c>
      <c r="BW42" s="88">
        <v>20443.599999999999</v>
      </c>
      <c r="BX42" s="88">
        <v>20444.599999999999</v>
      </c>
      <c r="BY42" s="88">
        <v>20445.599999999999</v>
      </c>
      <c r="BZ42" s="88">
        <v>20446.599999999999</v>
      </c>
      <c r="CA42" s="88">
        <v>20447.599999999999</v>
      </c>
      <c r="CB42" s="88">
        <v>20448.599999999999</v>
      </c>
      <c r="CC42" s="88">
        <v>20449.599999999999</v>
      </c>
      <c r="CD42" s="88">
        <v>20450.599999999999</v>
      </c>
      <c r="CE42" s="88">
        <v>20451.599999999999</v>
      </c>
      <c r="CF42" s="88">
        <v>20452.599999999999</v>
      </c>
      <c r="CG42" s="88">
        <v>20453.599999999999</v>
      </c>
      <c r="CH42" s="88">
        <v>20454.599999999999</v>
      </c>
      <c r="CI42" s="88">
        <v>20455.599999999999</v>
      </c>
      <c r="CJ42" s="88">
        <v>20456.599999999999</v>
      </c>
      <c r="CK42" s="88">
        <v>20457.599999999999</v>
      </c>
      <c r="CL42" s="88">
        <v>20458.599999999999</v>
      </c>
      <c r="CM42" s="88">
        <v>20459.599999999999</v>
      </c>
      <c r="CN42" s="88">
        <v>20460.599999999999</v>
      </c>
      <c r="CO42" s="88">
        <v>20461.599999999999</v>
      </c>
      <c r="CP42" s="88">
        <v>20462.599999999999</v>
      </c>
      <c r="CQ42" s="88">
        <v>20463.599999999999</v>
      </c>
      <c r="CR42" s="88">
        <v>20464.599999999999</v>
      </c>
      <c r="CS42" s="88">
        <v>20465.599999999999</v>
      </c>
      <c r="CT42" s="88">
        <v>20466.599999999999</v>
      </c>
      <c r="CU42" s="88">
        <v>20467.599999999999</v>
      </c>
      <c r="CV42" s="88">
        <v>20468.599999999999</v>
      </c>
    </row>
    <row r="43" spans="2:101" x14ac:dyDescent="0.25">
      <c r="C43" s="70" t="s">
        <v>131</v>
      </c>
      <c r="D43" s="71">
        <v>-7656.0328399999999</v>
      </c>
      <c r="E43" s="71">
        <v>-2122398.59082</v>
      </c>
      <c r="F43" s="71">
        <v>33595181.443669997</v>
      </c>
      <c r="G43" s="66"/>
      <c r="H43" s="66"/>
      <c r="CT43" s="66"/>
      <c r="CU43" s="66"/>
      <c r="CV43" s="66"/>
    </row>
    <row r="44" spans="2:101" ht="15.75" thickBot="1" x14ac:dyDescent="0.3">
      <c r="C44" s="73" t="s">
        <v>132</v>
      </c>
      <c r="D44" s="74">
        <f>+D42-D43</f>
        <v>3.9999999935389496E-3</v>
      </c>
      <c r="E44" s="74">
        <f>+E42-E43</f>
        <v>-2.5200019590556622E-3</v>
      </c>
      <c r="F44" s="75">
        <f>+F42-F43</f>
        <v>2.6199966669082642E-3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</row>
    <row r="45" spans="2:101" x14ac:dyDescent="0.25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</row>
    <row r="46" spans="2:101" x14ac:dyDescent="0.25">
      <c r="D46" s="10">
        <v>9610</v>
      </c>
      <c r="E46" s="10">
        <v>2681154330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2:101" x14ac:dyDescent="0.25">
      <c r="D47" s="10">
        <v>8236</v>
      </c>
      <c r="E47" s="10">
        <v>7080059799</v>
      </c>
      <c r="I47" s="66" t="s">
        <v>133</v>
      </c>
      <c r="AL47" s="76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</row>
    <row r="48" spans="2:101" x14ac:dyDescent="0.25">
      <c r="D48" s="10">
        <v>9594</v>
      </c>
      <c r="E48" s="77">
        <v>4472038463.8400002</v>
      </c>
      <c r="AL48" s="76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</row>
    <row r="49" spans="2:97" x14ac:dyDescent="0.25">
      <c r="C49" s="78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</row>
    <row r="50" spans="2:97" x14ac:dyDescent="0.25"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/>
    </row>
    <row r="51" spans="2:97" x14ac:dyDescent="0.25">
      <c r="CS51"/>
    </row>
    <row r="52" spans="2:97" x14ac:dyDescent="0.25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/>
    </row>
    <row r="53" spans="2:97" x14ac:dyDescent="0.25">
      <c r="CS53"/>
    </row>
    <row r="54" spans="2:97" x14ac:dyDescent="0.25">
      <c r="CS54"/>
    </row>
    <row r="55" spans="2:97" x14ac:dyDescent="0.25">
      <c r="CS55"/>
    </row>
    <row r="58" spans="2:97" x14ac:dyDescent="0.25">
      <c r="B58" s="66"/>
      <c r="C58" s="66"/>
      <c r="D58" s="66"/>
      <c r="E58" s="66"/>
      <c r="F58" s="66"/>
      <c r="G58" s="66"/>
      <c r="H58" s="66"/>
      <c r="CM58"/>
      <c r="CN58"/>
      <c r="CO58"/>
      <c r="CP58"/>
      <c r="CQ58"/>
      <c r="CR58"/>
    </row>
    <row r="59" spans="2:97" x14ac:dyDescent="0.25">
      <c r="B59" s="66"/>
      <c r="C59" s="66"/>
      <c r="D59" s="66"/>
      <c r="E59" s="66"/>
      <c r="F59" s="66"/>
      <c r="G59" s="66"/>
      <c r="H59" s="66"/>
      <c r="CM59"/>
      <c r="CN59"/>
      <c r="CO59"/>
      <c r="CP59"/>
      <c r="CQ59"/>
      <c r="CR59"/>
    </row>
    <row r="60" spans="2:97" x14ac:dyDescent="0.25">
      <c r="B60" s="66"/>
      <c r="C60" s="66"/>
      <c r="D60" s="66"/>
      <c r="E60" s="66"/>
      <c r="F60" s="66"/>
      <c r="G60" s="66"/>
      <c r="H60" s="66"/>
      <c r="CM60"/>
      <c r="CN60"/>
      <c r="CO60"/>
      <c r="CP60"/>
      <c r="CQ60"/>
      <c r="CR60"/>
    </row>
    <row r="61" spans="2:97" x14ac:dyDescent="0.25">
      <c r="B61" s="66"/>
      <c r="C61" s="66"/>
      <c r="D61" s="66"/>
      <c r="E61" s="66"/>
      <c r="F61" s="66"/>
      <c r="G61" s="66"/>
      <c r="H61" s="66"/>
      <c r="CM61"/>
      <c r="CN61"/>
      <c r="CO61"/>
      <c r="CP61"/>
      <c r="CQ61"/>
      <c r="CR61"/>
    </row>
    <row r="62" spans="2:97" x14ac:dyDescent="0.25">
      <c r="B62" s="66"/>
      <c r="C62" s="66"/>
      <c r="D62" s="66"/>
      <c r="E62" s="66"/>
      <c r="F62" s="66"/>
      <c r="G62" s="66"/>
      <c r="H62" s="66"/>
      <c r="CM62"/>
      <c r="CN62"/>
      <c r="CO62"/>
      <c r="CP62"/>
      <c r="CQ62"/>
      <c r="CR62"/>
    </row>
    <row r="63" spans="2:97" x14ac:dyDescent="0.25">
      <c r="B63" s="66"/>
      <c r="C63" s="66"/>
      <c r="D63" s="66"/>
      <c r="E63" s="66"/>
      <c r="F63" s="66"/>
      <c r="G63" s="66"/>
      <c r="H63" s="66"/>
      <c r="CM63"/>
      <c r="CN63"/>
      <c r="CO63"/>
      <c r="CP63"/>
      <c r="CQ63"/>
      <c r="CR63"/>
    </row>
  </sheetData>
  <mergeCells count="1">
    <mergeCell ref="AP2:AP3"/>
  </mergeCells>
  <pageMargins left="0.7" right="0.7" top="0.75" bottom="0.75" header="0.3" footer="0.3"/>
  <pageSetup orientation="portrait" r:id="rId1"/>
  <customProperties>
    <customPr name="QAA_DRILLPATH_NODE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3"/>
  <sheetViews>
    <sheetView zoomScale="112" zoomScaleNormal="112" workbookViewId="0">
      <selection activeCell="BU17" sqref="BU17"/>
    </sheetView>
  </sheetViews>
  <sheetFormatPr baseColWidth="10" defaultRowHeight="15" outlineLevelCol="2" x14ac:dyDescent="0.25"/>
  <cols>
    <col min="1" max="1" width="8.5703125" style="10" customWidth="1"/>
    <col min="2" max="2" width="10" style="10" bestFit="1" customWidth="1"/>
    <col min="3" max="3" width="43" style="10" bestFit="1" customWidth="1"/>
    <col min="4" max="5" width="19.42578125" style="10" bestFit="1" customWidth="1"/>
    <col min="6" max="6" width="21.85546875" style="10" bestFit="1" customWidth="1"/>
    <col min="7" max="7" width="19.5703125" style="10" customWidth="1" outlineLevel="1"/>
    <col min="8" max="8" width="17.85546875" style="10" customWidth="1" outlineLevel="1"/>
    <col min="9" max="9" width="17.85546875" style="66" bestFit="1" customWidth="1"/>
    <col min="10" max="10" width="17.85546875" style="66" customWidth="1" outlineLevel="2"/>
    <col min="11" max="13" width="16.42578125" style="66" customWidth="1" outlineLevel="2"/>
    <col min="14" max="14" width="18.85546875" style="66" customWidth="1" outlineLevel="2"/>
    <col min="15" max="15" width="21" style="66" customWidth="1" outlineLevel="2"/>
    <col min="16" max="17" width="14.140625" style="66" customWidth="1" outlineLevel="2"/>
    <col min="18" max="18" width="16.42578125" style="66" customWidth="1" outlineLevel="2"/>
    <col min="19" max="25" width="18.42578125" style="66" customWidth="1" outlineLevel="2"/>
    <col min="26" max="26" width="18.85546875" style="66" customWidth="1" outlineLevel="2"/>
    <col min="27" max="27" width="21" style="66" customWidth="1" outlineLevel="2"/>
    <col min="28" max="29" width="14.5703125" style="66" customWidth="1" outlineLevel="2"/>
    <col min="30" max="30" width="16.42578125" style="66" customWidth="1" outlineLevel="2"/>
    <col min="31" max="31" width="18.42578125" style="66" customWidth="1" outlineLevel="2"/>
    <col min="32" max="32" width="18.140625" style="66" customWidth="1" outlineLevel="2"/>
    <col min="33" max="33" width="20.140625" style="66" customWidth="1" outlineLevel="2"/>
    <col min="34" max="37" width="14.5703125" style="66" customWidth="1" outlineLevel="2"/>
    <col min="38" max="38" width="14.42578125" style="66" bestFit="1" customWidth="1"/>
    <col min="39" max="40" width="13.42578125" style="66" bestFit="1" customWidth="1"/>
    <col min="41" max="41" width="12.42578125" style="66" bestFit="1" customWidth="1"/>
    <col min="42" max="42" width="17.140625" style="66" bestFit="1" customWidth="1"/>
    <col min="43" max="43" width="17.140625" style="66" customWidth="1"/>
    <col min="44" max="48" width="17.42578125" style="66" customWidth="1" outlineLevel="1"/>
    <col min="49" max="49" width="15.140625" style="66" customWidth="1" outlineLevel="1"/>
    <col min="50" max="50" width="9.85546875" style="66" customWidth="1" outlineLevel="1"/>
    <col min="51" max="51" width="12.5703125" style="66" customWidth="1" outlineLevel="1"/>
    <col min="52" max="52" width="14.42578125" style="66" customWidth="1" outlineLevel="1"/>
    <col min="53" max="53" width="15.140625" style="66" customWidth="1" outlineLevel="1"/>
    <col min="54" max="55" width="11.85546875" style="66" customWidth="1" outlineLevel="1"/>
    <col min="56" max="56" width="12.5703125" style="66" customWidth="1" outlineLevel="1"/>
    <col min="57" max="59" width="16.5703125" style="66" customWidth="1" outlineLevel="1"/>
    <col min="60" max="60" width="15.140625" style="66" customWidth="1" outlineLevel="1"/>
    <col min="61" max="62" width="13.5703125" style="66" customWidth="1" outlineLevel="1"/>
    <col min="63" max="63" width="14.42578125" style="66" customWidth="1" outlineLevel="1"/>
    <col min="64" max="64" width="19.5703125" style="66" customWidth="1" outlineLevel="1"/>
    <col min="65" max="66" width="17.85546875" style="66" customWidth="1" outlineLevel="1"/>
    <col min="67" max="67" width="12.85546875" style="66" customWidth="1" outlineLevel="1"/>
    <col min="68" max="68" width="13.5703125" style="66" customWidth="1" outlineLevel="1"/>
    <col min="69" max="69" width="18.85546875" style="66" customWidth="1" outlineLevel="1"/>
    <col min="70" max="70" width="20.140625" style="66" customWidth="1" outlineLevel="1"/>
    <col min="71" max="73" width="20.140625" style="66" bestFit="1" customWidth="1"/>
    <col min="74" max="76" width="17.42578125" style="66" bestFit="1" customWidth="1"/>
    <col min="77" max="77" width="15.140625" style="66" bestFit="1" customWidth="1"/>
    <col min="78" max="79" width="14.42578125" style="66" bestFit="1" customWidth="1"/>
    <col min="80" max="80" width="15.140625" style="66" bestFit="1" customWidth="1"/>
    <col min="81" max="82" width="15" style="66" bestFit="1" customWidth="1"/>
    <col min="83" max="83" width="15.140625" style="66" bestFit="1" customWidth="1"/>
    <col min="84" max="84" width="10.42578125" style="66" bestFit="1" customWidth="1"/>
    <col min="85" max="85" width="12.5703125" style="66" bestFit="1" customWidth="1"/>
    <col min="86" max="86" width="16.5703125" style="66" bestFit="1" customWidth="1"/>
    <col min="87" max="88" width="19.7109375" style="66" bestFit="1" customWidth="1"/>
    <col min="89" max="89" width="15.5703125" style="66" customWidth="1"/>
    <col min="90" max="90" width="11.28515625" style="66" customWidth="1"/>
    <col min="91" max="91" width="17.85546875" style="66" bestFit="1" customWidth="1"/>
    <col min="92" max="92" width="14.42578125" style="66" customWidth="1"/>
    <col min="93" max="93" width="14.28515625" style="66" bestFit="1" customWidth="1"/>
    <col min="94" max="95" width="19.7109375" style="66" bestFit="1" customWidth="1"/>
    <col min="96" max="96" width="16.5703125" style="66" bestFit="1" customWidth="1"/>
    <col min="97" max="97" width="22" style="66" bestFit="1" customWidth="1"/>
    <col min="98" max="98" width="12" bestFit="1" customWidth="1"/>
    <col min="99" max="99" width="11.5703125" bestFit="1" customWidth="1"/>
    <col min="100" max="100" width="12" bestFit="1" customWidth="1"/>
    <col min="101" max="101" width="15.28515625" bestFit="1" customWidth="1"/>
  </cols>
  <sheetData>
    <row r="1" spans="1:101" ht="28.5" x14ac:dyDescent="0.45">
      <c r="A1" s="1"/>
      <c r="B1" s="1"/>
      <c r="C1" s="1"/>
      <c r="D1" s="2"/>
      <c r="E1" s="3"/>
      <c r="F1" s="3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5"/>
      <c r="AN1" s="5"/>
      <c r="AO1" s="5"/>
      <c r="AP1" s="5"/>
      <c r="AQ1" s="5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6"/>
      <c r="BM1" s="4"/>
      <c r="BN1" s="4"/>
      <c r="BO1" s="4"/>
      <c r="BP1" s="4"/>
      <c r="BQ1" s="4"/>
      <c r="BR1" s="7"/>
      <c r="BS1" s="7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8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spans="1:101" ht="15" customHeight="1" x14ac:dyDescent="0.25">
      <c r="D2" s="11" t="s">
        <v>0</v>
      </c>
      <c r="E2" s="11" t="s">
        <v>1</v>
      </c>
      <c r="F2" s="11" t="s">
        <v>2</v>
      </c>
      <c r="G2" s="12" t="s">
        <v>3</v>
      </c>
      <c r="H2" s="12" t="s">
        <v>4</v>
      </c>
      <c r="I2" s="13" t="s">
        <v>5</v>
      </c>
      <c r="J2" s="12" t="s">
        <v>6</v>
      </c>
      <c r="K2" s="12" t="s">
        <v>0</v>
      </c>
      <c r="L2" s="12" t="s">
        <v>1</v>
      </c>
      <c r="M2" s="12" t="s">
        <v>2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12" t="s">
        <v>12</v>
      </c>
      <c r="T2" s="16" t="s">
        <v>7</v>
      </c>
      <c r="U2" s="16" t="s">
        <v>8</v>
      </c>
      <c r="V2" s="16" t="s">
        <v>134</v>
      </c>
      <c r="W2" s="16" t="s">
        <v>135</v>
      </c>
      <c r="X2" s="16" t="s">
        <v>11</v>
      </c>
      <c r="Y2" s="16" t="s">
        <v>12</v>
      </c>
      <c r="Z2" s="12" t="s">
        <v>7</v>
      </c>
      <c r="AA2" s="12" t="s">
        <v>8</v>
      </c>
      <c r="AB2" s="12" t="s">
        <v>9</v>
      </c>
      <c r="AC2" s="12" t="s">
        <v>10</v>
      </c>
      <c r="AD2" s="12" t="s">
        <v>11</v>
      </c>
      <c r="AE2" s="12" t="s">
        <v>12</v>
      </c>
      <c r="AF2" s="12" t="s">
        <v>13</v>
      </c>
      <c r="AG2" s="12" t="s">
        <v>14</v>
      </c>
      <c r="AH2" s="12" t="s">
        <v>15</v>
      </c>
      <c r="AI2" s="12" t="s">
        <v>16</v>
      </c>
      <c r="AJ2" s="12" t="s">
        <v>17</v>
      </c>
      <c r="AK2" s="12" t="s">
        <v>18</v>
      </c>
      <c r="AL2" s="14" t="s">
        <v>19</v>
      </c>
      <c r="AM2" s="14" t="s">
        <v>20</v>
      </c>
      <c r="AN2" s="15" t="s">
        <v>21</v>
      </c>
      <c r="AO2" s="15" t="s">
        <v>22</v>
      </c>
      <c r="AP2" s="89" t="s">
        <v>23</v>
      </c>
      <c r="AQ2" s="83"/>
      <c r="AR2" s="16" t="s">
        <v>0</v>
      </c>
      <c r="AS2" s="16" t="s">
        <v>24</v>
      </c>
      <c r="AT2" s="12" t="s">
        <v>5</v>
      </c>
      <c r="AU2" s="12" t="s">
        <v>2</v>
      </c>
      <c r="AV2" s="12" t="s">
        <v>19</v>
      </c>
      <c r="AW2" s="12" t="s">
        <v>0</v>
      </c>
      <c r="AX2" s="12" t="s">
        <v>24</v>
      </c>
      <c r="AY2" s="12" t="s">
        <v>2</v>
      </c>
      <c r="AZ2" s="12" t="s">
        <v>19</v>
      </c>
      <c r="BA2" s="12" t="s">
        <v>0</v>
      </c>
      <c r="BB2" s="12" t="s">
        <v>24</v>
      </c>
      <c r="BC2" s="12" t="s">
        <v>5</v>
      </c>
      <c r="BD2" s="12" t="s">
        <v>2</v>
      </c>
      <c r="BE2" s="12" t="s">
        <v>0</v>
      </c>
      <c r="BF2" s="12" t="s">
        <v>24</v>
      </c>
      <c r="BG2" s="17" t="s">
        <v>2</v>
      </c>
      <c r="BH2" s="17" t="s">
        <v>0</v>
      </c>
      <c r="BI2" s="17" t="s">
        <v>24</v>
      </c>
      <c r="BJ2" s="17" t="s">
        <v>2</v>
      </c>
      <c r="BK2" s="17" t="s">
        <v>19</v>
      </c>
      <c r="BL2" s="18" t="s">
        <v>3</v>
      </c>
      <c r="BM2" s="18" t="s">
        <v>4</v>
      </c>
      <c r="BN2" s="18" t="s">
        <v>6</v>
      </c>
      <c r="BO2" s="18" t="s">
        <v>25</v>
      </c>
      <c r="BP2" s="18" t="s">
        <v>26</v>
      </c>
      <c r="BQ2" s="18" t="s">
        <v>27</v>
      </c>
      <c r="BR2" s="14" t="s">
        <v>28</v>
      </c>
      <c r="BS2" s="14" t="s">
        <v>10</v>
      </c>
      <c r="BT2" s="14" t="s">
        <v>29</v>
      </c>
      <c r="BU2" s="14" t="s">
        <v>12</v>
      </c>
      <c r="BV2" s="14" t="s">
        <v>0</v>
      </c>
      <c r="BW2" s="14" t="s">
        <v>1</v>
      </c>
      <c r="BX2" s="14" t="s">
        <v>2</v>
      </c>
      <c r="BY2" s="14" t="s">
        <v>0</v>
      </c>
      <c r="BZ2" s="14" t="s">
        <v>1</v>
      </c>
      <c r="CA2" s="14" t="s">
        <v>2</v>
      </c>
      <c r="CB2" s="14" t="s">
        <v>0</v>
      </c>
      <c r="CC2" s="14" t="s">
        <v>1</v>
      </c>
      <c r="CD2" s="14" t="s">
        <v>2</v>
      </c>
      <c r="CE2" s="14" t="s">
        <v>0</v>
      </c>
      <c r="CF2" s="14" t="s">
        <v>1</v>
      </c>
      <c r="CG2" s="14" t="s">
        <v>2</v>
      </c>
      <c r="CH2" s="14" t="s">
        <v>2</v>
      </c>
      <c r="CI2" s="14" t="s">
        <v>1</v>
      </c>
      <c r="CJ2" s="14" t="s">
        <v>2</v>
      </c>
      <c r="CK2" s="14" t="s">
        <v>1</v>
      </c>
      <c r="CL2" s="14" t="s">
        <v>1</v>
      </c>
      <c r="CM2" s="14" t="s">
        <v>1</v>
      </c>
      <c r="CN2" s="14" t="s">
        <v>1</v>
      </c>
      <c r="CO2" s="14" t="s">
        <v>1</v>
      </c>
      <c r="CP2" s="14" t="s">
        <v>1</v>
      </c>
      <c r="CQ2" s="14" t="s">
        <v>1</v>
      </c>
      <c r="CR2" s="19" t="s">
        <v>30</v>
      </c>
      <c r="CS2" s="85" t="s">
        <v>136</v>
      </c>
      <c r="CT2" s="85" t="s">
        <v>135</v>
      </c>
      <c r="CU2" s="85" t="s">
        <v>29</v>
      </c>
      <c r="CV2" s="85" t="s">
        <v>12</v>
      </c>
      <c r="CW2" s="20" t="s">
        <v>31</v>
      </c>
    </row>
    <row r="3" spans="1:101" ht="60" x14ac:dyDescent="0.25">
      <c r="D3" s="21" t="s">
        <v>32</v>
      </c>
      <c r="E3" s="21" t="s">
        <v>32</v>
      </c>
      <c r="F3" s="21" t="s">
        <v>32</v>
      </c>
      <c r="G3" s="22" t="s">
        <v>32</v>
      </c>
      <c r="H3" s="22" t="s">
        <v>32</v>
      </c>
      <c r="I3" s="23" t="s">
        <v>32</v>
      </c>
      <c r="J3" s="22" t="s">
        <v>32</v>
      </c>
      <c r="K3" s="22" t="s">
        <v>33</v>
      </c>
      <c r="L3" s="22" t="s">
        <v>33</v>
      </c>
      <c r="M3" s="22" t="s">
        <v>33</v>
      </c>
      <c r="N3" s="22" t="s">
        <v>34</v>
      </c>
      <c r="O3" s="22" t="s">
        <v>34</v>
      </c>
      <c r="P3" s="22" t="s">
        <v>34</v>
      </c>
      <c r="Q3" s="22" t="s">
        <v>34</v>
      </c>
      <c r="R3" s="22" t="s">
        <v>34</v>
      </c>
      <c r="S3" s="22" t="s">
        <v>34</v>
      </c>
      <c r="T3" s="24" t="s">
        <v>137</v>
      </c>
      <c r="U3" s="24" t="s">
        <v>137</v>
      </c>
      <c r="V3" s="24" t="s">
        <v>137</v>
      </c>
      <c r="W3" s="24" t="s">
        <v>137</v>
      </c>
      <c r="X3" s="24" t="s">
        <v>137</v>
      </c>
      <c r="Y3" s="24" t="s">
        <v>137</v>
      </c>
      <c r="Z3" s="22" t="s">
        <v>35</v>
      </c>
      <c r="AA3" s="22" t="s">
        <v>35</v>
      </c>
      <c r="AB3" s="22" t="s">
        <v>35</v>
      </c>
      <c r="AC3" s="22" t="s">
        <v>35</v>
      </c>
      <c r="AD3" s="22" t="s">
        <v>35</v>
      </c>
      <c r="AE3" s="22" t="s">
        <v>35</v>
      </c>
      <c r="AF3" s="22" t="s">
        <v>35</v>
      </c>
      <c r="AG3" s="22" t="s">
        <v>35</v>
      </c>
      <c r="AH3" s="22" t="s">
        <v>35</v>
      </c>
      <c r="AI3" s="22" t="s">
        <v>35</v>
      </c>
      <c r="AJ3" s="22" t="s">
        <v>35</v>
      </c>
      <c r="AK3" s="22" t="s">
        <v>35</v>
      </c>
      <c r="AL3" s="23" t="s">
        <v>36</v>
      </c>
      <c r="AM3" s="23" t="s">
        <v>36</v>
      </c>
      <c r="AN3" s="23"/>
      <c r="AO3" s="23"/>
      <c r="AP3" s="90"/>
      <c r="AQ3" s="84" t="s">
        <v>37</v>
      </c>
      <c r="AR3" s="24" t="s">
        <v>38</v>
      </c>
      <c r="AS3" s="24" t="s">
        <v>38</v>
      </c>
      <c r="AT3" s="22" t="s">
        <v>38</v>
      </c>
      <c r="AU3" s="22" t="s">
        <v>38</v>
      </c>
      <c r="AV3" s="22" t="s">
        <v>38</v>
      </c>
      <c r="AW3" s="22" t="s">
        <v>39</v>
      </c>
      <c r="AX3" s="22" t="s">
        <v>39</v>
      </c>
      <c r="AY3" s="22" t="s">
        <v>39</v>
      </c>
      <c r="AZ3" s="22" t="s">
        <v>39</v>
      </c>
      <c r="BA3" s="22" t="s">
        <v>40</v>
      </c>
      <c r="BB3" s="22" t="s">
        <v>40</v>
      </c>
      <c r="BC3" s="22" t="s">
        <v>40</v>
      </c>
      <c r="BD3" s="22" t="s">
        <v>40</v>
      </c>
      <c r="BE3" s="22" t="s">
        <v>41</v>
      </c>
      <c r="BF3" s="22" t="s">
        <v>41</v>
      </c>
      <c r="BG3" s="22" t="s">
        <v>41</v>
      </c>
      <c r="BH3" s="22" t="s">
        <v>42</v>
      </c>
      <c r="BI3" s="22" t="s">
        <v>42</v>
      </c>
      <c r="BJ3" s="22" t="s">
        <v>42</v>
      </c>
      <c r="BK3" s="22" t="s">
        <v>42</v>
      </c>
      <c r="BL3" s="24" t="s">
        <v>32</v>
      </c>
      <c r="BM3" s="24" t="s">
        <v>32</v>
      </c>
      <c r="BN3" s="24" t="s">
        <v>32</v>
      </c>
      <c r="BO3" s="25" t="s">
        <v>4</v>
      </c>
      <c r="BP3" s="25" t="s">
        <v>4</v>
      </c>
      <c r="BQ3" s="25" t="s">
        <v>4</v>
      </c>
      <c r="BR3" s="84" t="s">
        <v>43</v>
      </c>
      <c r="BS3" s="84" t="s">
        <v>43</v>
      </c>
      <c r="BT3" s="84" t="s">
        <v>43</v>
      </c>
      <c r="BU3" s="84" t="s">
        <v>43</v>
      </c>
      <c r="BV3" s="84" t="s">
        <v>38</v>
      </c>
      <c r="BW3" s="84" t="s">
        <v>38</v>
      </c>
      <c r="BX3" s="84" t="s">
        <v>38</v>
      </c>
      <c r="BY3" s="84" t="s">
        <v>42</v>
      </c>
      <c r="BZ3" s="84" t="s">
        <v>42</v>
      </c>
      <c r="CA3" s="84" t="s">
        <v>42</v>
      </c>
      <c r="CB3" s="84" t="s">
        <v>44</v>
      </c>
      <c r="CC3" s="84" t="s">
        <v>44</v>
      </c>
      <c r="CD3" s="84" t="s">
        <v>44</v>
      </c>
      <c r="CE3" s="84" t="s">
        <v>45</v>
      </c>
      <c r="CF3" s="84" t="s">
        <v>45</v>
      </c>
      <c r="CG3" s="84" t="s">
        <v>45</v>
      </c>
      <c r="CH3" s="84" t="s">
        <v>41</v>
      </c>
      <c r="CI3" s="84" t="s">
        <v>46</v>
      </c>
      <c r="CJ3" s="84" t="s">
        <v>46</v>
      </c>
      <c r="CK3" s="26" t="s">
        <v>47</v>
      </c>
      <c r="CL3" s="26" t="s">
        <v>47</v>
      </c>
      <c r="CM3" s="26" t="s">
        <v>32</v>
      </c>
      <c r="CN3" s="26" t="s">
        <v>42</v>
      </c>
      <c r="CO3" s="26" t="s">
        <v>48</v>
      </c>
      <c r="CP3" s="26" t="s">
        <v>46</v>
      </c>
      <c r="CQ3" s="26" t="s">
        <v>46</v>
      </c>
      <c r="CR3" s="86" t="s">
        <v>49</v>
      </c>
      <c r="CS3" s="87" t="s">
        <v>138</v>
      </c>
      <c r="CT3" s="87" t="s">
        <v>138</v>
      </c>
      <c r="CU3" s="87" t="s">
        <v>138</v>
      </c>
      <c r="CV3" s="87" t="s">
        <v>138</v>
      </c>
      <c r="CW3" s="27"/>
    </row>
    <row r="4" spans="1:101" x14ac:dyDescent="0.25">
      <c r="A4" s="28"/>
      <c r="B4" s="29" t="s">
        <v>50</v>
      </c>
      <c r="C4" s="30" t="s">
        <v>51</v>
      </c>
      <c r="D4" s="31" t="s">
        <v>52</v>
      </c>
      <c r="E4" s="31" t="s">
        <v>53</v>
      </c>
      <c r="F4" s="31" t="s">
        <v>54</v>
      </c>
      <c r="G4" s="32">
        <v>482800001265</v>
      </c>
      <c r="H4" s="32">
        <v>482800001273</v>
      </c>
      <c r="I4" s="32">
        <v>482800002024</v>
      </c>
      <c r="J4" s="32">
        <v>482800001257</v>
      </c>
      <c r="K4" s="32" t="s">
        <v>55</v>
      </c>
      <c r="L4" s="32" t="s">
        <v>56</v>
      </c>
      <c r="M4" s="32" t="s">
        <v>57</v>
      </c>
      <c r="N4" s="32">
        <v>36203301</v>
      </c>
      <c r="O4" s="32">
        <v>36203301</v>
      </c>
      <c r="P4" s="32">
        <v>36203328</v>
      </c>
      <c r="Q4" s="32">
        <v>36203328</v>
      </c>
      <c r="R4" s="32">
        <v>36025015</v>
      </c>
      <c r="S4" s="32">
        <v>36025015</v>
      </c>
      <c r="T4" s="32"/>
      <c r="U4" s="32"/>
      <c r="V4" s="32"/>
      <c r="W4" s="32"/>
      <c r="X4" s="32"/>
      <c r="Y4" s="32"/>
      <c r="Z4" s="32">
        <v>865784010</v>
      </c>
      <c r="AA4" s="32">
        <v>865784010</v>
      </c>
      <c r="AB4" s="32">
        <v>865804010</v>
      </c>
      <c r="AC4" s="32">
        <v>865804010</v>
      </c>
      <c r="AD4" s="32">
        <v>865794010</v>
      </c>
      <c r="AE4" s="32">
        <v>865794010</v>
      </c>
      <c r="AF4" s="32" t="s">
        <v>58</v>
      </c>
      <c r="AG4" s="32" t="s">
        <v>58</v>
      </c>
      <c r="AH4" s="32" t="s">
        <v>59</v>
      </c>
      <c r="AI4" s="32" t="s">
        <v>59</v>
      </c>
      <c r="AJ4" s="32" t="s">
        <v>60</v>
      </c>
      <c r="AK4" s="32" t="s">
        <v>60</v>
      </c>
      <c r="AL4" s="33"/>
      <c r="AM4" s="33"/>
      <c r="AN4" s="33"/>
      <c r="AO4" s="33"/>
      <c r="AP4" s="33"/>
      <c r="AQ4" s="33">
        <v>3642</v>
      </c>
      <c r="AR4" s="33" t="s">
        <v>61</v>
      </c>
      <c r="AS4" s="33" t="s">
        <v>62</v>
      </c>
      <c r="AT4" s="33" t="s">
        <v>63</v>
      </c>
      <c r="AU4" s="33" t="s">
        <v>64</v>
      </c>
      <c r="AV4" s="33" t="s">
        <v>65</v>
      </c>
      <c r="AW4" s="33" t="s">
        <v>66</v>
      </c>
      <c r="AX4" s="33" t="s">
        <v>67</v>
      </c>
      <c r="AY4" s="33" t="s">
        <v>68</v>
      </c>
      <c r="AZ4" s="33" t="s">
        <v>69</v>
      </c>
      <c r="BA4" s="33" t="s">
        <v>70</v>
      </c>
      <c r="BB4" s="33" t="s">
        <v>71</v>
      </c>
      <c r="BC4" s="33" t="s">
        <v>72</v>
      </c>
      <c r="BD4" s="33" t="s">
        <v>73</v>
      </c>
      <c r="BE4" s="33" t="s">
        <v>74</v>
      </c>
      <c r="BF4" s="33" t="s">
        <v>75</v>
      </c>
      <c r="BG4" s="33" t="s">
        <v>76</v>
      </c>
      <c r="BH4" s="33" t="s">
        <v>77</v>
      </c>
      <c r="BI4" s="33" t="s">
        <v>78</v>
      </c>
      <c r="BJ4" s="33" t="s">
        <v>79</v>
      </c>
      <c r="BK4" s="33" t="s">
        <v>80</v>
      </c>
      <c r="BL4" s="34">
        <v>482800007882</v>
      </c>
      <c r="BM4" s="34">
        <v>482800007908</v>
      </c>
      <c r="BN4" s="34">
        <v>482800007890</v>
      </c>
      <c r="BO4" s="34">
        <v>482800010001</v>
      </c>
      <c r="BP4" s="34">
        <v>482800010019</v>
      </c>
      <c r="BQ4" s="34">
        <v>482800010027</v>
      </c>
      <c r="BR4" s="33">
        <v>36024995</v>
      </c>
      <c r="BS4" s="33">
        <v>36024995</v>
      </c>
      <c r="BT4" s="33">
        <v>36903922</v>
      </c>
      <c r="BU4" s="33">
        <v>36903922</v>
      </c>
      <c r="BV4" s="33">
        <v>36294346</v>
      </c>
      <c r="BW4" s="33" t="s">
        <v>81</v>
      </c>
      <c r="BX4" s="33">
        <v>36294353</v>
      </c>
      <c r="BY4" s="33" t="s">
        <v>82</v>
      </c>
      <c r="BZ4" s="33" t="s">
        <v>83</v>
      </c>
      <c r="CA4" s="33" t="s">
        <v>84</v>
      </c>
      <c r="CB4" s="33" t="s">
        <v>85</v>
      </c>
      <c r="CC4" s="33" t="s">
        <v>86</v>
      </c>
      <c r="CD4" s="33" t="s">
        <v>87</v>
      </c>
      <c r="CE4" s="33" t="s">
        <v>88</v>
      </c>
      <c r="CF4" s="33" t="s">
        <v>89</v>
      </c>
      <c r="CG4" s="33" t="s">
        <v>90</v>
      </c>
      <c r="CH4" s="33" t="s">
        <v>91</v>
      </c>
      <c r="CI4" s="33">
        <v>221816614</v>
      </c>
      <c r="CJ4" s="33">
        <v>221816598</v>
      </c>
      <c r="CK4" s="33">
        <v>60193029</v>
      </c>
      <c r="CL4" s="33">
        <v>60193401</v>
      </c>
      <c r="CM4" s="33">
        <v>1011143807</v>
      </c>
      <c r="CN4" s="33">
        <v>4801736642</v>
      </c>
      <c r="CO4" s="33">
        <v>65005340</v>
      </c>
      <c r="CP4" s="33">
        <v>288086051</v>
      </c>
      <c r="CQ4" s="33">
        <v>288049109</v>
      </c>
      <c r="CR4" s="33">
        <v>411166042</v>
      </c>
      <c r="CS4" s="33">
        <v>865804015</v>
      </c>
      <c r="CT4" s="33">
        <v>865804015</v>
      </c>
      <c r="CU4" s="33">
        <v>865794015</v>
      </c>
      <c r="CV4" s="33">
        <v>865794015</v>
      </c>
      <c r="CW4" s="35"/>
    </row>
    <row r="5" spans="1:101" x14ac:dyDescent="0.25">
      <c r="B5" s="36"/>
      <c r="C5" s="37" t="s">
        <v>92</v>
      </c>
      <c r="D5" s="38"/>
      <c r="E5" s="38" t="s">
        <v>93</v>
      </c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9"/>
      <c r="AI5" s="39"/>
      <c r="AJ5" s="39"/>
      <c r="AK5" s="39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>
        <v>4.19428</v>
      </c>
      <c r="BT5" s="37"/>
      <c r="BU5" s="37">
        <f>+BS5</f>
        <v>4.19428</v>
      </c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40"/>
    </row>
    <row r="6" spans="1:101" x14ac:dyDescent="0.25">
      <c r="B6" s="36"/>
      <c r="C6" s="37" t="s">
        <v>94</v>
      </c>
      <c r="D6" s="37">
        <f>+D7-D8</f>
        <v>-17976.806490000454</v>
      </c>
      <c r="E6" s="37">
        <f>+E7-E8</f>
        <v>544404.01727545634</v>
      </c>
      <c r="F6" s="37">
        <f>+F7-F8</f>
        <v>293198.24785849452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9"/>
      <c r="AI6" s="39"/>
      <c r="AJ6" s="39"/>
      <c r="AK6" s="39"/>
      <c r="AL6" s="37">
        <f t="shared" ref="AL6:BQ6" si="0">+AL7-AL8</f>
        <v>-7637.6011000755243</v>
      </c>
      <c r="AM6" s="37">
        <f t="shared" si="0"/>
        <v>-335.13480353355408</v>
      </c>
      <c r="AN6" s="37">
        <f t="shared" si="0"/>
        <v>-55.850530002266169</v>
      </c>
      <c r="AO6" s="37">
        <f t="shared" si="0"/>
        <v>11.932028560317121</v>
      </c>
      <c r="AP6" s="37">
        <f t="shared" si="0"/>
        <v>-427.10630375426263</v>
      </c>
      <c r="AQ6" s="37">
        <f t="shared" si="0"/>
        <v>-280.34566216066014</v>
      </c>
      <c r="AR6" s="37">
        <f t="shared" si="0"/>
        <v>0</v>
      </c>
      <c r="AS6" s="37">
        <f t="shared" si="0"/>
        <v>0</v>
      </c>
      <c r="AT6" s="37">
        <f t="shared" si="0"/>
        <v>0</v>
      </c>
      <c r="AU6" s="37">
        <f t="shared" si="0"/>
        <v>0</v>
      </c>
      <c r="AV6" s="37">
        <f t="shared" si="0"/>
        <v>0</v>
      </c>
      <c r="AW6" s="37">
        <f t="shared" si="0"/>
        <v>0</v>
      </c>
      <c r="AX6" s="37">
        <f t="shared" si="0"/>
        <v>0</v>
      </c>
      <c r="AY6" s="37">
        <f t="shared" si="0"/>
        <v>0</v>
      </c>
      <c r="AZ6" s="37">
        <f t="shared" si="0"/>
        <v>0</v>
      </c>
      <c r="BA6" s="37">
        <f t="shared" si="0"/>
        <v>0</v>
      </c>
      <c r="BB6" s="37">
        <f t="shared" si="0"/>
        <v>0</v>
      </c>
      <c r="BC6" s="37">
        <f t="shared" si="0"/>
        <v>0</v>
      </c>
      <c r="BD6" s="37">
        <f t="shared" si="0"/>
        <v>0</v>
      </c>
      <c r="BE6" s="37">
        <f t="shared" si="0"/>
        <v>0</v>
      </c>
      <c r="BF6" s="37">
        <f t="shared" si="0"/>
        <v>0</v>
      </c>
      <c r="BG6" s="37">
        <f t="shared" si="0"/>
        <v>0</v>
      </c>
      <c r="BH6" s="37">
        <f t="shared" si="0"/>
        <v>0</v>
      </c>
      <c r="BI6" s="37">
        <f t="shared" si="0"/>
        <v>0</v>
      </c>
      <c r="BJ6" s="37">
        <f t="shared" si="0"/>
        <v>0</v>
      </c>
      <c r="BK6" s="37">
        <f t="shared" si="0"/>
        <v>0</v>
      </c>
      <c r="BL6" s="37">
        <f t="shared" si="0"/>
        <v>0</v>
      </c>
      <c r="BM6" s="37">
        <f t="shared" si="0"/>
        <v>0</v>
      </c>
      <c r="BN6" s="37">
        <f t="shared" si="0"/>
        <v>0</v>
      </c>
      <c r="BO6" s="37">
        <f t="shared" si="0"/>
        <v>0</v>
      </c>
      <c r="BP6" s="37">
        <f t="shared" si="0"/>
        <v>0</v>
      </c>
      <c r="BQ6" s="37">
        <f t="shared" si="0"/>
        <v>0</v>
      </c>
      <c r="BR6" s="37"/>
      <c r="BS6" s="37"/>
      <c r="BT6" s="37"/>
      <c r="BU6" s="37"/>
      <c r="BV6" s="37">
        <f>+BV7-BV8-422.17</f>
        <v>-422.17</v>
      </c>
      <c r="BW6" s="37">
        <f t="shared" ref="BW6:CR6" si="1">+BW7-BW8</f>
        <v>0</v>
      </c>
      <c r="BX6" s="37">
        <f t="shared" si="1"/>
        <v>0</v>
      </c>
      <c r="BY6" s="37">
        <f t="shared" si="1"/>
        <v>-1196.185999999987</v>
      </c>
      <c r="BZ6" s="37">
        <f t="shared" si="1"/>
        <v>69523.850000000559</v>
      </c>
      <c r="CA6" s="37">
        <f t="shared" si="1"/>
        <v>66882.908999999985</v>
      </c>
      <c r="CB6" s="37">
        <f t="shared" si="1"/>
        <v>-2.4000000121304765E-4</v>
      </c>
      <c r="CC6" s="37">
        <f t="shared" si="1"/>
        <v>-4.1799998143687844E-3</v>
      </c>
      <c r="CD6" s="37">
        <f>+[1]Otrosbancos!$M$29</f>
        <v>0</v>
      </c>
      <c r="CE6" s="37">
        <f t="shared" si="1"/>
        <v>0</v>
      </c>
      <c r="CF6" s="37">
        <f t="shared" si="1"/>
        <v>73.255000000004657</v>
      </c>
      <c r="CG6" s="37">
        <f t="shared" si="1"/>
        <v>0</v>
      </c>
      <c r="CH6" s="37">
        <f t="shared" si="1"/>
        <v>0</v>
      </c>
      <c r="CI6" s="37">
        <f t="shared" si="1"/>
        <v>1293.4740000000456</v>
      </c>
      <c r="CJ6" s="37">
        <f t="shared" si="1"/>
        <v>33299.232999999978</v>
      </c>
      <c r="CK6" s="37">
        <f t="shared" si="1"/>
        <v>0</v>
      </c>
      <c r="CL6" s="37">
        <f t="shared" si="1"/>
        <v>0</v>
      </c>
      <c r="CM6" s="37">
        <f t="shared" si="1"/>
        <v>-1.4999999257270247E-4</v>
      </c>
      <c r="CN6" s="37">
        <f t="shared" si="1"/>
        <v>-2.9699999140575528E-3</v>
      </c>
      <c r="CO6" s="37">
        <f t="shared" si="1"/>
        <v>4.6400002902373672E-3</v>
      </c>
      <c r="CP6" s="37">
        <f t="shared" si="1"/>
        <v>-2.7600005269050598E-3</v>
      </c>
      <c r="CQ6" s="37">
        <f t="shared" si="1"/>
        <v>216.65003000001889</v>
      </c>
      <c r="CR6" s="37">
        <f t="shared" si="1"/>
        <v>-6.7999896054971032E-4</v>
      </c>
      <c r="CS6" s="37">
        <f>+CS7-CS8</f>
        <v>-5000</v>
      </c>
      <c r="CT6" s="37">
        <f>+CT7-CT8</f>
        <v>-20468.599999999999</v>
      </c>
      <c r="CU6" s="37">
        <f>+CU7-CU8</f>
        <v>-5000</v>
      </c>
      <c r="CV6" s="37">
        <f>+CV7-CV8</f>
        <v>-20468.599999999999</v>
      </c>
      <c r="CW6" s="37"/>
    </row>
    <row r="7" spans="1:101" x14ac:dyDescent="0.25">
      <c r="A7" s="41"/>
      <c r="B7" s="42"/>
      <c r="C7" s="43" t="s">
        <v>95</v>
      </c>
      <c r="D7" s="43">
        <f>+'[1]Cap,Bol,Cls'!$M$4</f>
        <v>553991.36244000006</v>
      </c>
      <c r="E7" s="43">
        <f>+'[1]Cap,Bol,Cls'!$M$13</f>
        <v>23197389.742929999</v>
      </c>
      <c r="F7" s="43">
        <f>+'[1]Cap,Bol,Cls'!$M$30</f>
        <v>42919609.144879997</v>
      </c>
      <c r="G7" s="43">
        <f>+G8</f>
        <v>0</v>
      </c>
      <c r="H7" s="43">
        <f>+H8</f>
        <v>0</v>
      </c>
      <c r="I7" s="43">
        <f>+'[1]Cap,Bol,Cls'!$M$24</f>
        <v>112940.26678000001</v>
      </c>
      <c r="J7" s="43">
        <f>+J8</f>
        <v>0</v>
      </c>
      <c r="K7" s="43">
        <f>+K8</f>
        <v>162804.97405614308</v>
      </c>
      <c r="L7" s="43">
        <f>+L8</f>
        <v>203654.26008482766</v>
      </c>
      <c r="M7" s="43">
        <f>+M8</f>
        <v>114150.83484686649</v>
      </c>
      <c r="N7" s="43">
        <f>+N8</f>
        <v>177310.5199999999</v>
      </c>
      <c r="O7" s="43">
        <f t="shared" ref="O7:AK7" si="2">+O8</f>
        <v>743248.15264999995</v>
      </c>
      <c r="P7" s="43">
        <f t="shared" si="2"/>
        <v>5488304.4800000079</v>
      </c>
      <c r="Q7" s="43">
        <f t="shared" si="2"/>
        <v>56088715.535415888</v>
      </c>
      <c r="R7" s="43">
        <f t="shared" si="2"/>
        <v>294393.51</v>
      </c>
      <c r="S7" s="43">
        <f t="shared" si="2"/>
        <v>1562382.0981629989</v>
      </c>
      <c r="T7" s="43"/>
      <c r="U7" s="43"/>
      <c r="V7" s="43"/>
      <c r="W7" s="43"/>
      <c r="X7" s="43"/>
      <c r="Y7" s="43"/>
      <c r="Z7" s="43">
        <f t="shared" si="2"/>
        <v>9662.5274983807467</v>
      </c>
      <c r="AA7" s="43">
        <f t="shared" si="2"/>
        <v>40503.29</v>
      </c>
      <c r="AB7" s="43">
        <f t="shared" si="2"/>
        <v>7542.7499999967404</v>
      </c>
      <c r="AC7" s="43">
        <f t="shared" si="2"/>
        <v>31617.62</v>
      </c>
      <c r="AD7" s="43">
        <f t="shared" si="2"/>
        <v>5155</v>
      </c>
      <c r="AE7" s="43">
        <f t="shared" si="2"/>
        <v>21608.68</v>
      </c>
      <c r="AF7" s="43">
        <f t="shared" si="2"/>
        <v>7956.8699999451637</v>
      </c>
      <c r="AG7" s="43">
        <f t="shared" si="2"/>
        <v>33353.53</v>
      </c>
      <c r="AH7" s="43">
        <f t="shared" si="2"/>
        <v>195459.03999999719</v>
      </c>
      <c r="AI7" s="43">
        <f t="shared" si="2"/>
        <v>819134.7964617</v>
      </c>
      <c r="AJ7" s="43">
        <f t="shared" si="2"/>
        <v>673596.71999999823</v>
      </c>
      <c r="AK7" s="43">
        <f t="shared" si="2"/>
        <v>2823324.1679230896</v>
      </c>
      <c r="AL7" s="43">
        <f>+[1]Inversoras!$M$56</f>
        <v>3140468.02777</v>
      </c>
      <c r="AM7" s="43">
        <f>+[1]Inversoras!$M$57</f>
        <v>59326334.444800004</v>
      </c>
      <c r="AN7" s="43">
        <f>+[1]Inversoras!$M$58</f>
        <v>6478287.4220099989</v>
      </c>
      <c r="AO7" s="43">
        <f>+[1]Inversoras!$M$59</f>
        <v>822811.44961000001</v>
      </c>
      <c r="AP7" s="43">
        <f>+[1]Inversoras!$M$60</f>
        <v>8310631.0016500009</v>
      </c>
      <c r="AQ7" s="43">
        <f>+[1]Inversoras!$M$61</f>
        <v>619577.40061000001</v>
      </c>
      <c r="AR7" s="43">
        <f>+AR8</f>
        <v>33752.683643993005</v>
      </c>
      <c r="AS7" s="43">
        <f t="shared" ref="AS7:BQ7" si="3">+AS8</f>
        <v>6.2719079996137461</v>
      </c>
      <c r="AT7" s="43">
        <f t="shared" si="3"/>
        <v>11.210432002509913</v>
      </c>
      <c r="AU7" s="43">
        <f t="shared" si="3"/>
        <v>70709.869203997281</v>
      </c>
      <c r="AV7" s="43">
        <f t="shared" si="3"/>
        <v>523662.90839880263</v>
      </c>
      <c r="AW7" s="43">
        <f t="shared" si="3"/>
        <v>85667.9885699968</v>
      </c>
      <c r="AX7" s="43">
        <f t="shared" si="3"/>
        <v>1041.3974240010875</v>
      </c>
      <c r="AY7" s="43">
        <f t="shared" si="3"/>
        <v>22742.072311997978</v>
      </c>
      <c r="AZ7" s="43">
        <f t="shared" si="3"/>
        <v>23267.345377323236</v>
      </c>
      <c r="BA7" s="43">
        <f t="shared" si="3"/>
        <v>202350.35572400692</v>
      </c>
      <c r="BB7" s="43">
        <f t="shared" si="3"/>
        <v>70072.766219991143</v>
      </c>
      <c r="BC7" s="43">
        <f t="shared" si="3"/>
        <v>267304.58084799867</v>
      </c>
      <c r="BD7" s="43">
        <f t="shared" si="3"/>
        <v>17070.54959998983</v>
      </c>
      <c r="BE7" s="43">
        <f t="shared" si="3"/>
        <v>256586.81289368056</v>
      </c>
      <c r="BF7" s="43">
        <f t="shared" si="3"/>
        <v>321949.5492303599</v>
      </c>
      <c r="BG7" s="43">
        <f t="shared" si="3"/>
        <v>35109.232018882758</v>
      </c>
      <c r="BH7" s="43">
        <f t="shared" si="3"/>
        <v>27273.514880002102</v>
      </c>
      <c r="BI7" s="43">
        <f t="shared" si="3"/>
        <v>630661.83776839031</v>
      </c>
      <c r="BJ7" s="43">
        <f t="shared" si="3"/>
        <v>197783.28604456017</v>
      </c>
      <c r="BK7" s="43">
        <f t="shared" si="3"/>
        <v>3408870.6208220124</v>
      </c>
      <c r="BL7" s="43">
        <f t="shared" si="3"/>
        <v>112896.07011244606</v>
      </c>
      <c r="BM7" s="43">
        <f t="shared" si="3"/>
        <v>1070296.5737871511</v>
      </c>
      <c r="BN7" s="43">
        <f t="shared" si="3"/>
        <v>4103343.2908673808</v>
      </c>
      <c r="BO7" s="43">
        <f t="shared" si="3"/>
        <v>3.4691202304202307E-3</v>
      </c>
      <c r="BP7" s="43">
        <f t="shared" si="3"/>
        <v>255.59500932906548</v>
      </c>
      <c r="BQ7" s="43">
        <f t="shared" si="3"/>
        <v>4.0128798844989433E-3</v>
      </c>
      <c r="BR7" s="43">
        <f>+[1]Otrosbancos!$M$49</f>
        <v>645623.82000000007</v>
      </c>
      <c r="BS7" s="43">
        <f>+BS8</f>
        <v>2662944.0693795886</v>
      </c>
      <c r="BT7" s="43">
        <f>+[1]Otrosbancos!$M$51</f>
        <v>54896.26</v>
      </c>
      <c r="BU7" s="43">
        <f>+BU8</f>
        <v>200230.98450709097</v>
      </c>
      <c r="BV7" s="43">
        <f>+BV8+BV5</f>
        <v>8400.1908600000006</v>
      </c>
      <c r="BW7" s="43">
        <f>+BW8+BW5</f>
        <v>380233.23699000076</v>
      </c>
      <c r="BX7" s="43">
        <f>+BX8+BX5</f>
        <v>12663.664475599246</v>
      </c>
      <c r="BY7" s="43">
        <f>+[1]Otrosbancos!$M$5</f>
        <v>620168.16599999997</v>
      </c>
      <c r="BZ7" s="43">
        <f>+[1]Otrosbancos!$M$10</f>
        <v>8142256.9840000002</v>
      </c>
      <c r="CA7" s="43">
        <f>+[1]Otrosbancos!$M$15</f>
        <v>3155259.423</v>
      </c>
      <c r="CB7" s="43">
        <f>+[1]Otrosbancos!$M$23</f>
        <v>18618.565999999999</v>
      </c>
      <c r="CC7" s="43">
        <f>+[1]Otrosbancos!$M$26</f>
        <v>886127.652</v>
      </c>
      <c r="CD7" s="43">
        <f>+[1]Otrosbancos!$M$29</f>
        <v>0</v>
      </c>
      <c r="CE7" s="43">
        <f>+[1]Otrosbancos!$M$33</f>
        <v>23113.683000000001</v>
      </c>
      <c r="CF7" s="43">
        <f>+[1]Otrosbancos!$M$37</f>
        <v>479343.21659000003</v>
      </c>
      <c r="CG7" s="43">
        <f>+[1]Otrosbancos!$M$41</f>
        <v>187664.606</v>
      </c>
      <c r="CH7" s="43">
        <f>+[1]Otrosbancos!$M$46</f>
        <v>2.9318200000000001</v>
      </c>
      <c r="CI7" s="43">
        <f>+[1]Otrosbancos!$M$54</f>
        <v>929602.88500000001</v>
      </c>
      <c r="CJ7" s="43">
        <f>+[1]Otrosbancos!$M$56</f>
        <v>229296.27299999999</v>
      </c>
      <c r="CK7" s="43">
        <f>+[1]Liberty!$M$3</f>
        <v>0</v>
      </c>
      <c r="CL7" s="43">
        <f>+[1]Liberty!$M$4</f>
        <v>0</v>
      </c>
      <c r="CM7" s="43">
        <f>+[1]Liberty!$M$6</f>
        <v>79545.214000000007</v>
      </c>
      <c r="CN7" s="43">
        <f>+[1]Liberty!$M$8</f>
        <v>662749.23600000003</v>
      </c>
      <c r="CO7" s="43">
        <f>+[1]Liberty!$M$10</f>
        <v>736440.24595999997</v>
      </c>
      <c r="CP7" s="43">
        <f>+[1]Liberty!$M$12</f>
        <v>9152723.6699999999</v>
      </c>
      <c r="CQ7" s="43">
        <f>+[1]Liberty!$M$13</f>
        <v>378135.14942999999</v>
      </c>
      <c r="CR7" s="43">
        <f>+[1]Otrosbancos!$M$58</f>
        <v>20872.374</v>
      </c>
      <c r="CS7" s="43">
        <v>0</v>
      </c>
      <c r="CT7" s="43">
        <v>0</v>
      </c>
      <c r="CU7" s="43">
        <v>0</v>
      </c>
      <c r="CV7" s="43">
        <v>0</v>
      </c>
      <c r="CW7" s="43">
        <f>SUM(D7:CV7)</f>
        <v>256135518.51317042</v>
      </c>
    </row>
    <row r="8" spans="1:101" x14ac:dyDescent="0.25">
      <c r="A8" s="41"/>
      <c r="B8" s="44" t="s">
        <v>96</v>
      </c>
      <c r="C8" s="45" t="s">
        <v>97</v>
      </c>
      <c r="D8" s="45">
        <f>+'May, 16'!D40</f>
        <v>571968.16893000051</v>
      </c>
      <c r="E8" s="45">
        <f>+'May, 16'!E40</f>
        <v>22652985.725654542</v>
      </c>
      <c r="F8" s="45">
        <f>+'May, 16'!F40</f>
        <v>42626410.897021502</v>
      </c>
      <c r="G8" s="45">
        <f>+'May, 16'!G40</f>
        <v>0</v>
      </c>
      <c r="H8" s="45">
        <f>+'May, 16'!H40</f>
        <v>0</v>
      </c>
      <c r="I8" s="45">
        <f>+'May, 16'!I40</f>
        <v>112902.08971999424</v>
      </c>
      <c r="J8" s="45">
        <f>+'May, 16'!J40</f>
        <v>0</v>
      </c>
      <c r="K8" s="45">
        <f>+'May, 16'!K40</f>
        <v>162804.97405614308</v>
      </c>
      <c r="L8" s="45">
        <f>+'May, 16'!L40</f>
        <v>203654.26008482766</v>
      </c>
      <c r="M8" s="45">
        <f>+'May, 16'!M40</f>
        <v>114150.83484686649</v>
      </c>
      <c r="N8" s="45">
        <f>+'May, 16'!N40</f>
        <v>177310.5199999999</v>
      </c>
      <c r="O8" s="45">
        <f>+'May, 16'!O40</f>
        <v>743248.15264999995</v>
      </c>
      <c r="P8" s="45">
        <f>+'May, 16'!P40</f>
        <v>5488304.4800000079</v>
      </c>
      <c r="Q8" s="45">
        <f>+'May, 16'!Q40</f>
        <v>56088715.535415888</v>
      </c>
      <c r="R8" s="45">
        <f>+'May, 16'!R40</f>
        <v>294393.51</v>
      </c>
      <c r="S8" s="45">
        <f>+'May, 16'!S40</f>
        <v>1562382.0981629989</v>
      </c>
      <c r="T8" s="45">
        <f>+'May, 16'!T40</f>
        <v>0</v>
      </c>
      <c r="U8" s="45">
        <f>+'May, 16'!U40</f>
        <v>0</v>
      </c>
      <c r="V8" s="45">
        <f>+'May, 16'!V40</f>
        <v>0</v>
      </c>
      <c r="W8" s="45">
        <f>+'May, 16'!W40</f>
        <v>0</v>
      </c>
      <c r="X8" s="45">
        <f>+'May, 16'!X40</f>
        <v>0</v>
      </c>
      <c r="Y8" s="45">
        <f>+'May, 16'!Y40</f>
        <v>0</v>
      </c>
      <c r="Z8" s="45">
        <f>+'May, 16'!Z40</f>
        <v>9662.5274983807467</v>
      </c>
      <c r="AA8" s="45">
        <f>+'May, 16'!AA40</f>
        <v>40503.29</v>
      </c>
      <c r="AB8" s="45">
        <f>+'May, 16'!AB40</f>
        <v>7542.7499999967404</v>
      </c>
      <c r="AC8" s="45">
        <f>+'May, 16'!AC40</f>
        <v>31617.62</v>
      </c>
      <c r="AD8" s="45">
        <f>+'May, 16'!AD40</f>
        <v>5155</v>
      </c>
      <c r="AE8" s="45">
        <f>+'May, 16'!AE40</f>
        <v>21608.68</v>
      </c>
      <c r="AF8" s="45">
        <f>+'May, 16'!AF40</f>
        <v>7956.8699999451637</v>
      </c>
      <c r="AG8" s="45">
        <f>+'May, 16'!AG40</f>
        <v>33353.53</v>
      </c>
      <c r="AH8" s="45">
        <f>+'May, 16'!AH40</f>
        <v>195459.03999999719</v>
      </c>
      <c r="AI8" s="45">
        <f>+'May, 16'!AI40</f>
        <v>819134.7964617</v>
      </c>
      <c r="AJ8" s="45">
        <f>+'May, 16'!AJ40</f>
        <v>673596.71999999823</v>
      </c>
      <c r="AK8" s="45">
        <f>+'May, 16'!AK40</f>
        <v>2823324.1679230896</v>
      </c>
      <c r="AL8" s="45">
        <f>+'May, 16'!AL40</f>
        <v>3148105.6288700756</v>
      </c>
      <c r="AM8" s="45">
        <f>+'May, 16'!AM40</f>
        <v>59326669.579603538</v>
      </c>
      <c r="AN8" s="45">
        <f>+'May, 16'!AN40</f>
        <v>6478343.2725400012</v>
      </c>
      <c r="AO8" s="45">
        <f>+'May, 16'!AO40</f>
        <v>822799.51758143969</v>
      </c>
      <c r="AP8" s="45">
        <f>+'May, 16'!AP40</f>
        <v>8311058.1079537552</v>
      </c>
      <c r="AQ8" s="45">
        <f>+'May, 16'!AQ40</f>
        <v>619857.74627216067</v>
      </c>
      <c r="AR8" s="45">
        <f>+'May, 16'!AR40</f>
        <v>33752.683643993005</v>
      </c>
      <c r="AS8" s="45">
        <f>+'May, 16'!AS40</f>
        <v>6.2719079996137461</v>
      </c>
      <c r="AT8" s="45">
        <f>+'May, 16'!AT40</f>
        <v>11.210432002509913</v>
      </c>
      <c r="AU8" s="45">
        <f>+'May, 16'!AU40</f>
        <v>70709.869203997281</v>
      </c>
      <c r="AV8" s="45">
        <f>+'May, 16'!AV40</f>
        <v>523662.90839880263</v>
      </c>
      <c r="AW8" s="45">
        <f>+'May, 16'!AW40</f>
        <v>85667.9885699968</v>
      </c>
      <c r="AX8" s="45">
        <f>+'May, 16'!AX40</f>
        <v>1041.3974240010875</v>
      </c>
      <c r="AY8" s="45">
        <f>+'May, 16'!AY40</f>
        <v>22742.072311997978</v>
      </c>
      <c r="AZ8" s="45">
        <f>+'May, 16'!AZ40</f>
        <v>23267.345377323236</v>
      </c>
      <c r="BA8" s="45">
        <f>+'May, 16'!BA40</f>
        <v>202350.35572400692</v>
      </c>
      <c r="BB8" s="45">
        <f>+'May, 16'!BB40</f>
        <v>70072.766219991143</v>
      </c>
      <c r="BC8" s="45">
        <f>+'May, 16'!BC40</f>
        <v>267304.58084799867</v>
      </c>
      <c r="BD8" s="45">
        <f>+'May, 16'!BD40</f>
        <v>17070.54959998983</v>
      </c>
      <c r="BE8" s="45">
        <f>+'May, 16'!BE40</f>
        <v>256586.81289368056</v>
      </c>
      <c r="BF8" s="45">
        <f>+'May, 16'!BF40</f>
        <v>321949.5492303599</v>
      </c>
      <c r="BG8" s="45">
        <f>+'May, 16'!BG40</f>
        <v>35109.232018882758</v>
      </c>
      <c r="BH8" s="45">
        <f>+'May, 16'!BH40</f>
        <v>27273.514880002102</v>
      </c>
      <c r="BI8" s="45">
        <f>+'May, 16'!BI40</f>
        <v>630661.83776839031</v>
      </c>
      <c r="BJ8" s="45">
        <f>+'May, 16'!BJ40</f>
        <v>197783.28604456017</v>
      </c>
      <c r="BK8" s="45">
        <f>+'May, 16'!BK40</f>
        <v>3408870.6208220124</v>
      </c>
      <c r="BL8" s="45">
        <f>+'May, 16'!BL40</f>
        <v>112896.07011244606</v>
      </c>
      <c r="BM8" s="45">
        <f>+'May, 16'!BM40</f>
        <v>1070296.5737871511</v>
      </c>
      <c r="BN8" s="45">
        <f>+'May, 16'!BN40</f>
        <v>4103343.2908673808</v>
      </c>
      <c r="BO8" s="45">
        <f>+'May, 16'!BO40</f>
        <v>3.4691202304202307E-3</v>
      </c>
      <c r="BP8" s="45">
        <f>+'May, 16'!BP40</f>
        <v>255.59500932906548</v>
      </c>
      <c r="BQ8" s="45">
        <f>+'May, 16'!BQ40</f>
        <v>4.0128798844989433E-3</v>
      </c>
      <c r="BR8" s="45">
        <f>+'May, 16'!BR40</f>
        <v>645623.81600000313</v>
      </c>
      <c r="BS8" s="45">
        <f>+'May, 16'!BS40</f>
        <v>2662944.0693795886</v>
      </c>
      <c r="BT8" s="45">
        <f>+'May, 16'!BT40</f>
        <v>54896.264932018988</v>
      </c>
      <c r="BU8" s="45">
        <f>+'May, 16'!BU40</f>
        <v>200230.98450709097</v>
      </c>
      <c r="BV8" s="45">
        <f>+'May, 16'!BV40</f>
        <v>8400.1908600000006</v>
      </c>
      <c r="BW8" s="45">
        <f>+'May, 16'!BW40</f>
        <v>380233.23699000076</v>
      </c>
      <c r="BX8" s="45">
        <f>+'May, 16'!BX40</f>
        <v>12663.664475599246</v>
      </c>
      <c r="BY8" s="45">
        <f>+'May, 16'!BY40</f>
        <v>621364.35199999996</v>
      </c>
      <c r="BZ8" s="45">
        <f>+'May, 16'!BZ40</f>
        <v>8072733.1339999996</v>
      </c>
      <c r="CA8" s="45">
        <f>+'May, 16'!CA40</f>
        <v>3088376.514</v>
      </c>
      <c r="CB8" s="45">
        <f>+'May, 16'!CB40</f>
        <v>18618.56624</v>
      </c>
      <c r="CC8" s="45">
        <f>+'May, 16'!CC40</f>
        <v>886127.65617999982</v>
      </c>
      <c r="CD8" s="45">
        <f>+'May, 16'!CD40</f>
        <v>0</v>
      </c>
      <c r="CE8" s="45">
        <f>+'May, 16'!CE40</f>
        <v>23113.683000000001</v>
      </c>
      <c r="CF8" s="45">
        <f>+'May, 16'!CF40</f>
        <v>479269.96159000002</v>
      </c>
      <c r="CG8" s="45">
        <f>+'May, 16'!CG40</f>
        <v>187664.606</v>
      </c>
      <c r="CH8" s="45">
        <f>+'May, 16'!CH40</f>
        <v>2.9318200000000001</v>
      </c>
      <c r="CI8" s="45">
        <f>+'May, 16'!CI40</f>
        <v>928309.41099999996</v>
      </c>
      <c r="CJ8" s="45">
        <f>+'May, 16'!CJ40</f>
        <v>195997.04</v>
      </c>
      <c r="CK8" s="45">
        <f>+'May, 16'!CK40</f>
        <v>0</v>
      </c>
      <c r="CL8" s="45">
        <f>+'May, 16'!CL40</f>
        <v>0</v>
      </c>
      <c r="CM8" s="45">
        <f>+'May, 16'!CM40</f>
        <v>79545.21415</v>
      </c>
      <c r="CN8" s="45">
        <f>+'May, 16'!CN40</f>
        <v>662749.23896999995</v>
      </c>
      <c r="CO8" s="45">
        <f>+'May, 16'!CO40</f>
        <v>736440.24131999968</v>
      </c>
      <c r="CP8" s="45">
        <f>+'May, 16'!CP40</f>
        <v>9152723.6727600005</v>
      </c>
      <c r="CQ8" s="45">
        <f>+'May, 16'!CQ40</f>
        <v>377918.49939999997</v>
      </c>
      <c r="CR8" s="45">
        <f>+'May, 16'!CR40</f>
        <v>20872.37467999896</v>
      </c>
      <c r="CS8" s="45">
        <f>+'May, 16'!CS40</f>
        <v>5000</v>
      </c>
      <c r="CT8" s="45">
        <f>+'May, 16'!CT40</f>
        <v>20468.599999999999</v>
      </c>
      <c r="CU8" s="45">
        <f>+'May, 16'!CU40</f>
        <v>5000</v>
      </c>
      <c r="CV8" s="45">
        <f>+'May, 16'!CV40</f>
        <v>20468.599999999999</v>
      </c>
      <c r="CW8" s="43">
        <f t="shared" ref="CW8:CW40" si="4">SUM(D8:CV8)</f>
        <v>255205423.00607952</v>
      </c>
    </row>
    <row r="9" spans="1:101" x14ac:dyDescent="0.25">
      <c r="B9" s="46" t="s">
        <v>96</v>
      </c>
      <c r="C9" s="47" t="s">
        <v>98</v>
      </c>
      <c r="D9" s="47">
        <v>5670</v>
      </c>
      <c r="E9" s="48">
        <v>11017396.55387</v>
      </c>
      <c r="F9" s="48">
        <v>3914076.3177899998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>
        <f>IF(BY6&gt;0,BY6,0)</f>
        <v>0</v>
      </c>
      <c r="BZ9" s="47">
        <f>IF(BZ6&gt;0,BZ6,0)</f>
        <v>69523.850000000559</v>
      </c>
      <c r="CA9" s="47">
        <f>IF(CA6&gt;0,CA6,0)</f>
        <v>66882.908999999985</v>
      </c>
      <c r="CB9" s="47">
        <v>300</v>
      </c>
      <c r="CC9" s="47">
        <v>8699.8209999999999</v>
      </c>
      <c r="CD9" s="47"/>
      <c r="CE9" s="47">
        <f>IF(CE6&gt;0,CE6,0)</f>
        <v>0</v>
      </c>
      <c r="CF9" s="47">
        <f>IF(CF6&gt;0,CF6,0)</f>
        <v>73.255000000004657</v>
      </c>
      <c r="CG9" s="47">
        <f>IF(CG6&gt;0,CG6,0)</f>
        <v>0</v>
      </c>
      <c r="CH9" s="47"/>
      <c r="CI9" s="47">
        <f>IF(CI6&gt;0,CI6,0)</f>
        <v>1293.4740000000456</v>
      </c>
      <c r="CJ9" s="47">
        <f>IF(CJ6&gt;0,CJ6,0)</f>
        <v>33299.232999999978</v>
      </c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3">
        <f t="shared" si="4"/>
        <v>15117215.413659999</v>
      </c>
    </row>
    <row r="10" spans="1:101" x14ac:dyDescent="0.25">
      <c r="B10" s="46" t="s">
        <v>99</v>
      </c>
      <c r="C10" s="47" t="s">
        <v>100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>
        <v>-1.7569999999999999</v>
      </c>
      <c r="BX10" s="47"/>
      <c r="BY10" s="47">
        <f>IF(BY6&lt;0,BY6,0)</f>
        <v>-1196.185999999987</v>
      </c>
      <c r="BZ10" s="47">
        <f>IF(BZ6&lt;0,BZ6,0)</f>
        <v>0</v>
      </c>
      <c r="CA10" s="47">
        <f>IF(CA6&lt;0,CA6,0)</f>
        <v>0</v>
      </c>
      <c r="CB10" s="47"/>
      <c r="CC10" s="47"/>
      <c r="CD10" s="47"/>
      <c r="CE10" s="47">
        <f>IF(CE6&lt;0,CE6,0)</f>
        <v>0</v>
      </c>
      <c r="CF10" s="47">
        <f>IF(CF6&lt;0,CF6,0)</f>
        <v>0</v>
      </c>
      <c r="CG10" s="47">
        <f>IF(CG6&lt;0,CG6,0)</f>
        <v>0</v>
      </c>
      <c r="CH10" s="47"/>
      <c r="CI10" s="47">
        <f>IF(CI6&lt;0,CI6,0)</f>
        <v>0</v>
      </c>
      <c r="CJ10" s="47">
        <f>IF(CJ6&lt;0,CJ6,0)</f>
        <v>0</v>
      </c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3">
        <f t="shared" si="4"/>
        <v>-1197.942999999987</v>
      </c>
    </row>
    <row r="11" spans="1:101" x14ac:dyDescent="0.25">
      <c r="A11" s="41"/>
      <c r="B11" s="49" t="s">
        <v>99</v>
      </c>
      <c r="C11" s="50" t="s">
        <v>101</v>
      </c>
      <c r="D11" s="50">
        <v>-5.0199999999999996</v>
      </c>
      <c r="E11" s="50">
        <v>-15243.720950000799</v>
      </c>
      <c r="F11" s="50">
        <v>-3840.5499899902302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>
        <f>+[1]Otrosbancos!$M$6+[1]Otrosbancos!$M$7</f>
        <v>-8717.6290000000008</v>
      </c>
      <c r="BZ11" s="50">
        <f>+[1]Otrosbancos!$M$11+[1]Otrosbancos!$M$12</f>
        <v>-5599878.051</v>
      </c>
      <c r="CA11" s="50">
        <f>+[1]Otrosbancos!$M$16+[1]Otrosbancos!$M$17</f>
        <v>-1481500.6290000002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43">
        <f t="shared" si="4"/>
        <v>-7109185.5999399908</v>
      </c>
    </row>
    <row r="12" spans="1:101" x14ac:dyDescent="0.25">
      <c r="B12" s="46" t="s">
        <v>96</v>
      </c>
      <c r="C12" s="47" t="s">
        <v>102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1"/>
      <c r="AS12" s="51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3">
        <f t="shared" si="4"/>
        <v>0</v>
      </c>
    </row>
    <row r="13" spans="1:101" x14ac:dyDescent="0.25">
      <c r="B13" s="46" t="s">
        <v>96</v>
      </c>
      <c r="C13" s="47" t="s">
        <v>103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51"/>
      <c r="AS13" s="51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3">
        <f t="shared" si="4"/>
        <v>0</v>
      </c>
    </row>
    <row r="14" spans="1:101" x14ac:dyDescent="0.25">
      <c r="B14" s="46" t="s">
        <v>96</v>
      </c>
      <c r="C14" s="47" t="s">
        <v>104</v>
      </c>
      <c r="D14" s="47"/>
      <c r="E14" s="47"/>
      <c r="F14" s="47">
        <v>174131.47700000001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51"/>
      <c r="AS14" s="51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3">
        <f t="shared" si="4"/>
        <v>174131.47700000001</v>
      </c>
    </row>
    <row r="15" spans="1:101" x14ac:dyDescent="0.25">
      <c r="B15" s="46" t="s">
        <v>96</v>
      </c>
      <c r="C15" s="47" t="s">
        <v>105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51"/>
      <c r="AS15" s="51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3">
        <f t="shared" si="4"/>
        <v>0</v>
      </c>
    </row>
    <row r="16" spans="1:101" x14ac:dyDescent="0.25">
      <c r="B16" s="46" t="s">
        <v>96</v>
      </c>
      <c r="C16" s="47" t="s">
        <v>106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51"/>
      <c r="AS16" s="51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>
        <v>1031944.67</v>
      </c>
      <c r="BU16" s="47">
        <f>+BT16*BU5</f>
        <v>4328264.8904876001</v>
      </c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3">
        <f t="shared" si="4"/>
        <v>5360209.5604876</v>
      </c>
    </row>
    <row r="17" spans="1:101" x14ac:dyDescent="0.25">
      <c r="B17" s="46" t="s">
        <v>99</v>
      </c>
      <c r="C17" s="47" t="s">
        <v>107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51"/>
      <c r="AS17" s="51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3">
        <f t="shared" si="4"/>
        <v>0</v>
      </c>
    </row>
    <row r="18" spans="1:101" x14ac:dyDescent="0.25">
      <c r="B18" s="46" t="s">
        <v>96</v>
      </c>
      <c r="C18" s="47" t="s">
        <v>108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1"/>
      <c r="AS18" s="51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3">
        <f t="shared" si="4"/>
        <v>0</v>
      </c>
    </row>
    <row r="19" spans="1:101" x14ac:dyDescent="0.25">
      <c r="B19" s="46" t="s">
        <v>99</v>
      </c>
      <c r="C19" s="47" t="s">
        <v>109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51"/>
      <c r="AS19" s="51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3">
        <f t="shared" si="4"/>
        <v>0</v>
      </c>
    </row>
    <row r="20" spans="1:101" x14ac:dyDescent="0.25">
      <c r="B20" s="46" t="s">
        <v>99</v>
      </c>
      <c r="C20" s="47" t="s">
        <v>110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51"/>
      <c r="AS20" s="51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3">
        <f t="shared" si="4"/>
        <v>0</v>
      </c>
    </row>
    <row r="21" spans="1:101" x14ac:dyDescent="0.25">
      <c r="B21" s="46" t="s">
        <v>96</v>
      </c>
      <c r="C21" s="47" t="s">
        <v>111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51"/>
      <c r="AS21" s="51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3">
        <f t="shared" si="4"/>
        <v>0</v>
      </c>
    </row>
    <row r="22" spans="1:101" x14ac:dyDescent="0.25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51"/>
      <c r="AS22" s="51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3">
        <f t="shared" si="4"/>
        <v>0</v>
      </c>
    </row>
    <row r="23" spans="1:101" x14ac:dyDescent="0.25">
      <c r="B23" s="46" t="s">
        <v>99</v>
      </c>
      <c r="C23" s="47" t="s">
        <v>112</v>
      </c>
      <c r="D23" s="47"/>
      <c r="E23" s="47">
        <f>-889.227-39.028</f>
        <v>-928.255</v>
      </c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51"/>
      <c r="AS23" s="51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3">
        <f t="shared" si="4"/>
        <v>-928.255</v>
      </c>
    </row>
    <row r="24" spans="1:101" x14ac:dyDescent="0.25">
      <c r="B24" s="46" t="s">
        <v>99</v>
      </c>
      <c r="C24" s="47" t="s">
        <v>113</v>
      </c>
      <c r="D24" s="47">
        <v>-5.1440000000000001</v>
      </c>
      <c r="E24" s="47">
        <f>-54093-31317-1423.5-1423.5-1423.5-14235-12811.5-1423.5-1423.5-482.009</f>
        <v>-120056.00900000001</v>
      </c>
      <c r="F24" s="47">
        <f>-342953.004-1423.5-14782.561-250000-16419.915-3180.983</f>
        <v>-628759.96299999999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51"/>
      <c r="AS24" s="51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3">
        <f t="shared" si="4"/>
        <v>-748821.11600000004</v>
      </c>
    </row>
    <row r="25" spans="1:101" x14ac:dyDescent="0.25">
      <c r="A25" s="41"/>
      <c r="B25" s="52" t="s">
        <v>99</v>
      </c>
      <c r="C25" s="53" t="s">
        <v>114</v>
      </c>
      <c r="D25" s="53">
        <v>-8888.9465299999993</v>
      </c>
      <c r="E25" s="53">
        <v>-2310469.1583599998</v>
      </c>
      <c r="F25" s="53">
        <v>-1618906.6735400001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43">
        <f t="shared" si="4"/>
        <v>-3938264.7784299999</v>
      </c>
    </row>
    <row r="26" spans="1:101" x14ac:dyDescent="0.25">
      <c r="B26" s="46"/>
      <c r="C26" s="47" t="s">
        <v>115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51"/>
      <c r="AS26" s="51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3">
        <f t="shared" si="4"/>
        <v>0</v>
      </c>
    </row>
    <row r="27" spans="1:101" x14ac:dyDescent="0.25">
      <c r="B27" s="46" t="s">
        <v>99</v>
      </c>
      <c r="C27" s="47" t="s">
        <v>116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51"/>
      <c r="AS27" s="51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3">
        <f t="shared" si="4"/>
        <v>0</v>
      </c>
    </row>
    <row r="28" spans="1:101" x14ac:dyDescent="0.25">
      <c r="B28" s="47" t="s">
        <v>99</v>
      </c>
      <c r="C28" s="47" t="s">
        <v>117</v>
      </c>
      <c r="D28" s="48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51"/>
      <c r="AS28" s="51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3">
        <f t="shared" si="4"/>
        <v>0</v>
      </c>
    </row>
    <row r="29" spans="1:101" x14ac:dyDescent="0.25">
      <c r="B29" s="47"/>
      <c r="C29" s="47" t="s">
        <v>118</v>
      </c>
      <c r="D29" s="48"/>
      <c r="E29" s="47">
        <v>16951.788</v>
      </c>
      <c r="F29" s="47">
        <v>388.2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51"/>
      <c r="AS29" s="51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3">
        <f t="shared" si="4"/>
        <v>17339.988000000001</v>
      </c>
    </row>
    <row r="30" spans="1:101" x14ac:dyDescent="0.25">
      <c r="B30" s="47"/>
      <c r="C30" s="47" t="s">
        <v>119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51"/>
      <c r="AS30" s="51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3">
        <f t="shared" si="4"/>
        <v>0</v>
      </c>
    </row>
    <row r="31" spans="1:101" x14ac:dyDescent="0.25">
      <c r="B31" s="47" t="s">
        <v>99</v>
      </c>
      <c r="C31" s="47" t="s">
        <v>120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51"/>
      <c r="AS31" s="51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3">
        <f t="shared" si="4"/>
        <v>0</v>
      </c>
    </row>
    <row r="32" spans="1:101" x14ac:dyDescent="0.25">
      <c r="B32" s="47" t="s">
        <v>99</v>
      </c>
      <c r="C32" s="47" t="s">
        <v>121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51"/>
      <c r="AS32" s="51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3">
        <f t="shared" si="4"/>
        <v>0</v>
      </c>
    </row>
    <row r="33" spans="2:101" x14ac:dyDescent="0.25">
      <c r="B33" s="47" t="s">
        <v>99</v>
      </c>
      <c r="C33" s="47" t="s">
        <v>122</v>
      </c>
      <c r="D33" s="47">
        <f>-1154-90-41-1</f>
        <v>-1286</v>
      </c>
      <c r="E33" s="47"/>
      <c r="F33" s="47">
        <v>-169667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51"/>
      <c r="AS33" s="51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3">
        <f t="shared" si="4"/>
        <v>-170953</v>
      </c>
    </row>
    <row r="34" spans="2:101" x14ac:dyDescent="0.25">
      <c r="B34" s="54" t="s">
        <v>99</v>
      </c>
      <c r="C34" s="55" t="s">
        <v>123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43">
        <f t="shared" si="4"/>
        <v>0</v>
      </c>
    </row>
    <row r="35" spans="2:101" x14ac:dyDescent="0.25">
      <c r="B35" s="54" t="s">
        <v>99</v>
      </c>
      <c r="C35" s="55" t="s">
        <v>124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43">
        <f t="shared" si="4"/>
        <v>0</v>
      </c>
    </row>
    <row r="36" spans="2:101" ht="15.75" thickBot="1" x14ac:dyDescent="0.3">
      <c r="B36" s="56"/>
      <c r="C36" s="57" t="s">
        <v>125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43">
        <f t="shared" si="4"/>
        <v>0</v>
      </c>
    </row>
    <row r="37" spans="2:101" x14ac:dyDescent="0.25">
      <c r="B37" s="58"/>
      <c r="C37" s="59" t="s">
        <v>126</v>
      </c>
      <c r="D37" s="59">
        <f>SUM(D9:D36)</f>
        <v>-4515.1105299999999</v>
      </c>
      <c r="E37" s="59">
        <f>SUM(E9:E36)</f>
        <v>8587651.1985600013</v>
      </c>
      <c r="F37" s="59">
        <f>SUM(F9:F35)</f>
        <v>1667421.8082600092</v>
      </c>
      <c r="G37" s="59">
        <f t="shared" ref="G37:BR37" si="5">SUM(G9:G36)</f>
        <v>0</v>
      </c>
      <c r="H37" s="59">
        <f t="shared" si="5"/>
        <v>0</v>
      </c>
      <c r="I37" s="59">
        <f t="shared" si="5"/>
        <v>0</v>
      </c>
      <c r="J37" s="59">
        <f t="shared" si="5"/>
        <v>0</v>
      </c>
      <c r="K37" s="59">
        <f t="shared" si="5"/>
        <v>0</v>
      </c>
      <c r="L37" s="59">
        <f t="shared" si="5"/>
        <v>0</v>
      </c>
      <c r="M37" s="59">
        <f t="shared" si="5"/>
        <v>0</v>
      </c>
      <c r="N37" s="59">
        <f t="shared" si="5"/>
        <v>0</v>
      </c>
      <c r="O37" s="59">
        <f t="shared" si="5"/>
        <v>0</v>
      </c>
      <c r="P37" s="59">
        <f t="shared" si="5"/>
        <v>0</v>
      </c>
      <c r="Q37" s="59">
        <f t="shared" si="5"/>
        <v>0</v>
      </c>
      <c r="R37" s="59">
        <f t="shared" si="5"/>
        <v>0</v>
      </c>
      <c r="S37" s="59">
        <f t="shared" si="5"/>
        <v>0</v>
      </c>
      <c r="T37" s="59">
        <f t="shared" si="5"/>
        <v>0</v>
      </c>
      <c r="U37" s="59">
        <f t="shared" si="5"/>
        <v>0</v>
      </c>
      <c r="V37" s="59">
        <f t="shared" si="5"/>
        <v>0</v>
      </c>
      <c r="W37" s="59">
        <f t="shared" si="5"/>
        <v>0</v>
      </c>
      <c r="X37" s="59">
        <f t="shared" si="5"/>
        <v>0</v>
      </c>
      <c r="Y37" s="59">
        <f t="shared" si="5"/>
        <v>0</v>
      </c>
      <c r="Z37" s="59">
        <f t="shared" si="5"/>
        <v>0</v>
      </c>
      <c r="AA37" s="59">
        <f t="shared" si="5"/>
        <v>0</v>
      </c>
      <c r="AB37" s="59">
        <f t="shared" si="5"/>
        <v>0</v>
      </c>
      <c r="AC37" s="59">
        <f t="shared" si="5"/>
        <v>0</v>
      </c>
      <c r="AD37" s="59">
        <f t="shared" si="5"/>
        <v>0</v>
      </c>
      <c r="AE37" s="59">
        <f t="shared" si="5"/>
        <v>0</v>
      </c>
      <c r="AF37" s="59">
        <f t="shared" si="5"/>
        <v>0</v>
      </c>
      <c r="AG37" s="59">
        <f t="shared" si="5"/>
        <v>0</v>
      </c>
      <c r="AH37" s="59">
        <f t="shared" si="5"/>
        <v>0</v>
      </c>
      <c r="AI37" s="59">
        <f t="shared" si="5"/>
        <v>0</v>
      </c>
      <c r="AJ37" s="59">
        <f t="shared" si="5"/>
        <v>0</v>
      </c>
      <c r="AK37" s="59">
        <f t="shared" si="5"/>
        <v>0</v>
      </c>
      <c r="AL37" s="59">
        <f t="shared" si="5"/>
        <v>0</v>
      </c>
      <c r="AM37" s="59">
        <f t="shared" si="5"/>
        <v>0</v>
      </c>
      <c r="AN37" s="59">
        <f t="shared" si="5"/>
        <v>0</v>
      </c>
      <c r="AO37" s="59">
        <f t="shared" si="5"/>
        <v>0</v>
      </c>
      <c r="AP37" s="59">
        <f t="shared" si="5"/>
        <v>0</v>
      </c>
      <c r="AQ37" s="59">
        <f t="shared" si="5"/>
        <v>0</v>
      </c>
      <c r="AR37" s="59">
        <f t="shared" si="5"/>
        <v>0</v>
      </c>
      <c r="AS37" s="59">
        <f t="shared" si="5"/>
        <v>0</v>
      </c>
      <c r="AT37" s="59">
        <f t="shared" si="5"/>
        <v>0</v>
      </c>
      <c r="AU37" s="59">
        <f t="shared" si="5"/>
        <v>0</v>
      </c>
      <c r="AV37" s="59">
        <f t="shared" si="5"/>
        <v>0</v>
      </c>
      <c r="AW37" s="59">
        <f t="shared" si="5"/>
        <v>0</v>
      </c>
      <c r="AX37" s="59">
        <f t="shared" si="5"/>
        <v>0</v>
      </c>
      <c r="AY37" s="59">
        <f t="shared" si="5"/>
        <v>0</v>
      </c>
      <c r="AZ37" s="59">
        <f t="shared" si="5"/>
        <v>0</v>
      </c>
      <c r="BA37" s="59">
        <f t="shared" si="5"/>
        <v>0</v>
      </c>
      <c r="BB37" s="59">
        <f t="shared" si="5"/>
        <v>0</v>
      </c>
      <c r="BC37" s="59">
        <f t="shared" si="5"/>
        <v>0</v>
      </c>
      <c r="BD37" s="59">
        <f t="shared" si="5"/>
        <v>0</v>
      </c>
      <c r="BE37" s="59">
        <f t="shared" si="5"/>
        <v>0</v>
      </c>
      <c r="BF37" s="59">
        <f t="shared" si="5"/>
        <v>0</v>
      </c>
      <c r="BG37" s="59">
        <f t="shared" si="5"/>
        <v>0</v>
      </c>
      <c r="BH37" s="59">
        <f t="shared" si="5"/>
        <v>0</v>
      </c>
      <c r="BI37" s="59">
        <f t="shared" si="5"/>
        <v>0</v>
      </c>
      <c r="BJ37" s="59">
        <f t="shared" si="5"/>
        <v>0</v>
      </c>
      <c r="BK37" s="59">
        <f t="shared" si="5"/>
        <v>0</v>
      </c>
      <c r="BL37" s="59">
        <f t="shared" si="5"/>
        <v>0</v>
      </c>
      <c r="BM37" s="59">
        <f t="shared" si="5"/>
        <v>0</v>
      </c>
      <c r="BN37" s="59">
        <f t="shared" si="5"/>
        <v>0</v>
      </c>
      <c r="BO37" s="59">
        <f t="shared" si="5"/>
        <v>0</v>
      </c>
      <c r="BP37" s="59">
        <f t="shared" si="5"/>
        <v>0</v>
      </c>
      <c r="BQ37" s="59">
        <f t="shared" si="5"/>
        <v>0</v>
      </c>
      <c r="BR37" s="59">
        <f t="shared" si="5"/>
        <v>0</v>
      </c>
      <c r="BS37" s="59">
        <f t="shared" ref="BS37:CV37" si="6">SUM(BS9:BS36)</f>
        <v>0</v>
      </c>
      <c r="BT37" s="59">
        <f t="shared" si="6"/>
        <v>1031944.67</v>
      </c>
      <c r="BU37" s="59">
        <f t="shared" si="6"/>
        <v>4328264.8904876001</v>
      </c>
      <c r="BV37" s="59">
        <f t="shared" si="6"/>
        <v>0</v>
      </c>
      <c r="BW37" s="59">
        <f t="shared" si="6"/>
        <v>-1.7569999999999999</v>
      </c>
      <c r="BX37" s="59">
        <f t="shared" si="6"/>
        <v>0</v>
      </c>
      <c r="BY37" s="59">
        <f t="shared" si="6"/>
        <v>-9913.8149999999878</v>
      </c>
      <c r="BZ37" s="59">
        <f t="shared" si="6"/>
        <v>-5530354.2009999994</v>
      </c>
      <c r="CA37" s="59">
        <f t="shared" si="6"/>
        <v>-1414617.7200000002</v>
      </c>
      <c r="CB37" s="59">
        <f t="shared" si="6"/>
        <v>300</v>
      </c>
      <c r="CC37" s="59">
        <f t="shared" si="6"/>
        <v>8699.8209999999999</v>
      </c>
      <c r="CD37" s="59">
        <f t="shared" si="6"/>
        <v>0</v>
      </c>
      <c r="CE37" s="59">
        <f t="shared" si="6"/>
        <v>0</v>
      </c>
      <c r="CF37" s="59">
        <f t="shared" si="6"/>
        <v>73.255000000004657</v>
      </c>
      <c r="CG37" s="59">
        <f t="shared" si="6"/>
        <v>0</v>
      </c>
      <c r="CH37" s="59">
        <f t="shared" si="6"/>
        <v>0</v>
      </c>
      <c r="CI37" s="59">
        <f t="shared" si="6"/>
        <v>1293.4740000000456</v>
      </c>
      <c r="CJ37" s="59">
        <f t="shared" si="6"/>
        <v>33299.232999999978</v>
      </c>
      <c r="CK37" s="59">
        <f t="shared" si="6"/>
        <v>0</v>
      </c>
      <c r="CL37" s="59">
        <f t="shared" si="6"/>
        <v>0</v>
      </c>
      <c r="CM37" s="59">
        <f t="shared" si="6"/>
        <v>0</v>
      </c>
      <c r="CN37" s="59">
        <f t="shared" si="6"/>
        <v>0</v>
      </c>
      <c r="CO37" s="59">
        <f t="shared" si="6"/>
        <v>0</v>
      </c>
      <c r="CP37" s="59">
        <f t="shared" si="6"/>
        <v>0</v>
      </c>
      <c r="CQ37" s="59">
        <f t="shared" si="6"/>
        <v>0</v>
      </c>
      <c r="CR37" s="59">
        <f t="shared" si="6"/>
        <v>0</v>
      </c>
      <c r="CS37" s="59">
        <f t="shared" si="6"/>
        <v>0</v>
      </c>
      <c r="CT37" s="59">
        <f t="shared" si="6"/>
        <v>0</v>
      </c>
      <c r="CU37" s="59">
        <f t="shared" si="6"/>
        <v>0</v>
      </c>
      <c r="CV37" s="59">
        <f t="shared" si="6"/>
        <v>0</v>
      </c>
      <c r="CW37" s="43">
        <f t="shared" si="4"/>
        <v>8699545.7467776109</v>
      </c>
    </row>
    <row r="38" spans="2:101" x14ac:dyDescent="0.25">
      <c r="B38" s="60"/>
      <c r="C38" s="61" t="s">
        <v>127</v>
      </c>
      <c r="D38" s="61">
        <f>+D37+D8</f>
        <v>567453.05840000056</v>
      </c>
      <c r="E38" s="61">
        <f>+E37+E8</f>
        <v>31240636.924214542</v>
      </c>
      <c r="F38" s="61">
        <f>+F37+F8</f>
        <v>44293832.705281511</v>
      </c>
      <c r="G38" s="61">
        <f t="shared" ref="G38:BR38" si="7">+G37+G8</f>
        <v>0</v>
      </c>
      <c r="H38" s="61">
        <f t="shared" si="7"/>
        <v>0</v>
      </c>
      <c r="I38" s="61">
        <f t="shared" si="7"/>
        <v>112902.08971999424</v>
      </c>
      <c r="J38" s="61">
        <f t="shared" si="7"/>
        <v>0</v>
      </c>
      <c r="K38" s="61">
        <f t="shared" si="7"/>
        <v>162804.97405614308</v>
      </c>
      <c r="L38" s="61">
        <f t="shared" si="7"/>
        <v>203654.26008482766</v>
      </c>
      <c r="M38" s="61">
        <f t="shared" si="7"/>
        <v>114150.83484686649</v>
      </c>
      <c r="N38" s="61">
        <f t="shared" si="7"/>
        <v>177310.5199999999</v>
      </c>
      <c r="O38" s="61">
        <f t="shared" si="7"/>
        <v>743248.15264999995</v>
      </c>
      <c r="P38" s="61">
        <f t="shared" si="7"/>
        <v>5488304.4800000079</v>
      </c>
      <c r="Q38" s="61">
        <f t="shared" si="7"/>
        <v>56088715.535415888</v>
      </c>
      <c r="R38" s="61">
        <f t="shared" si="7"/>
        <v>294393.51</v>
      </c>
      <c r="S38" s="61">
        <f t="shared" si="7"/>
        <v>1562382.0981629989</v>
      </c>
      <c r="T38" s="61">
        <f t="shared" si="7"/>
        <v>0</v>
      </c>
      <c r="U38" s="61">
        <f t="shared" si="7"/>
        <v>0</v>
      </c>
      <c r="V38" s="61">
        <f t="shared" si="7"/>
        <v>0</v>
      </c>
      <c r="W38" s="61">
        <f t="shared" si="7"/>
        <v>0</v>
      </c>
      <c r="X38" s="61">
        <f t="shared" si="7"/>
        <v>0</v>
      </c>
      <c r="Y38" s="61">
        <f t="shared" si="7"/>
        <v>0</v>
      </c>
      <c r="Z38" s="61">
        <f t="shared" si="7"/>
        <v>9662.5274983807467</v>
      </c>
      <c r="AA38" s="61">
        <f t="shared" si="7"/>
        <v>40503.29</v>
      </c>
      <c r="AB38" s="61">
        <f t="shared" si="7"/>
        <v>7542.7499999967404</v>
      </c>
      <c r="AC38" s="61">
        <f t="shared" si="7"/>
        <v>31617.62</v>
      </c>
      <c r="AD38" s="61">
        <f t="shared" si="7"/>
        <v>5155</v>
      </c>
      <c r="AE38" s="61">
        <f t="shared" si="7"/>
        <v>21608.68</v>
      </c>
      <c r="AF38" s="61">
        <f t="shared" si="7"/>
        <v>7956.8699999451637</v>
      </c>
      <c r="AG38" s="61">
        <f t="shared" si="7"/>
        <v>33353.53</v>
      </c>
      <c r="AH38" s="61">
        <f t="shared" si="7"/>
        <v>195459.03999999719</v>
      </c>
      <c r="AI38" s="61">
        <f t="shared" si="7"/>
        <v>819134.7964617</v>
      </c>
      <c r="AJ38" s="61">
        <f t="shared" si="7"/>
        <v>673596.71999999823</v>
      </c>
      <c r="AK38" s="61">
        <f t="shared" si="7"/>
        <v>2823324.1679230896</v>
      </c>
      <c r="AL38" s="61">
        <f t="shared" si="7"/>
        <v>3148105.6288700756</v>
      </c>
      <c r="AM38" s="61">
        <f t="shared" si="7"/>
        <v>59326669.579603538</v>
      </c>
      <c r="AN38" s="61">
        <f t="shared" si="7"/>
        <v>6478343.2725400012</v>
      </c>
      <c r="AO38" s="61">
        <f t="shared" si="7"/>
        <v>822799.51758143969</v>
      </c>
      <c r="AP38" s="61">
        <f t="shared" si="7"/>
        <v>8311058.1079537552</v>
      </c>
      <c r="AQ38" s="61">
        <f t="shared" si="7"/>
        <v>619857.74627216067</v>
      </c>
      <c r="AR38" s="61">
        <f t="shared" si="7"/>
        <v>33752.683643993005</v>
      </c>
      <c r="AS38" s="61">
        <f t="shared" si="7"/>
        <v>6.2719079996137461</v>
      </c>
      <c r="AT38" s="61">
        <f t="shared" si="7"/>
        <v>11.210432002509913</v>
      </c>
      <c r="AU38" s="61">
        <f t="shared" si="7"/>
        <v>70709.869203997281</v>
      </c>
      <c r="AV38" s="61">
        <f t="shared" si="7"/>
        <v>523662.90839880263</v>
      </c>
      <c r="AW38" s="61">
        <f t="shared" si="7"/>
        <v>85667.9885699968</v>
      </c>
      <c r="AX38" s="61">
        <f t="shared" si="7"/>
        <v>1041.3974240010875</v>
      </c>
      <c r="AY38" s="61">
        <f t="shared" si="7"/>
        <v>22742.072311997978</v>
      </c>
      <c r="AZ38" s="61">
        <f t="shared" si="7"/>
        <v>23267.345377323236</v>
      </c>
      <c r="BA38" s="61">
        <f t="shared" si="7"/>
        <v>202350.35572400692</v>
      </c>
      <c r="BB38" s="61">
        <f t="shared" si="7"/>
        <v>70072.766219991143</v>
      </c>
      <c r="BC38" s="61">
        <f t="shared" si="7"/>
        <v>267304.58084799867</v>
      </c>
      <c r="BD38" s="61">
        <f t="shared" si="7"/>
        <v>17070.54959998983</v>
      </c>
      <c r="BE38" s="61">
        <f t="shared" si="7"/>
        <v>256586.81289368056</v>
      </c>
      <c r="BF38" s="61">
        <f t="shared" si="7"/>
        <v>321949.5492303599</v>
      </c>
      <c r="BG38" s="61">
        <f t="shared" si="7"/>
        <v>35109.232018882758</v>
      </c>
      <c r="BH38" s="61">
        <f t="shared" si="7"/>
        <v>27273.514880002102</v>
      </c>
      <c r="BI38" s="61">
        <f t="shared" si="7"/>
        <v>630661.83776839031</v>
      </c>
      <c r="BJ38" s="61">
        <f t="shared" si="7"/>
        <v>197783.28604456017</v>
      </c>
      <c r="BK38" s="61">
        <f t="shared" si="7"/>
        <v>3408870.6208220124</v>
      </c>
      <c r="BL38" s="61">
        <f t="shared" si="7"/>
        <v>112896.07011244606</v>
      </c>
      <c r="BM38" s="61">
        <f t="shared" si="7"/>
        <v>1070296.5737871511</v>
      </c>
      <c r="BN38" s="61">
        <f t="shared" si="7"/>
        <v>4103343.2908673808</v>
      </c>
      <c r="BO38" s="61">
        <f t="shared" si="7"/>
        <v>3.4691202304202307E-3</v>
      </c>
      <c r="BP38" s="61">
        <f t="shared" si="7"/>
        <v>255.59500932906548</v>
      </c>
      <c r="BQ38" s="61">
        <f t="shared" si="7"/>
        <v>4.0128798844989433E-3</v>
      </c>
      <c r="BR38" s="61">
        <f t="shared" si="7"/>
        <v>645623.81600000313</v>
      </c>
      <c r="BS38" s="61">
        <f t="shared" ref="BS38:CV38" si="8">+BS37+BS8</f>
        <v>2662944.0693795886</v>
      </c>
      <c r="BT38" s="61">
        <f t="shared" si="8"/>
        <v>1086840.9349320191</v>
      </c>
      <c r="BU38" s="61">
        <f t="shared" si="8"/>
        <v>4528495.8749946915</v>
      </c>
      <c r="BV38" s="61">
        <f t="shared" si="8"/>
        <v>8400.1908600000006</v>
      </c>
      <c r="BW38" s="61">
        <f t="shared" si="8"/>
        <v>380231.47999000078</v>
      </c>
      <c r="BX38" s="61">
        <f t="shared" si="8"/>
        <v>12663.664475599246</v>
      </c>
      <c r="BY38" s="61">
        <f t="shared" si="8"/>
        <v>611450.53700000001</v>
      </c>
      <c r="BZ38" s="61">
        <f t="shared" si="8"/>
        <v>2542378.9330000002</v>
      </c>
      <c r="CA38" s="61">
        <f t="shared" si="8"/>
        <v>1673758.7939999998</v>
      </c>
      <c r="CB38" s="61">
        <f t="shared" si="8"/>
        <v>18918.56624</v>
      </c>
      <c r="CC38" s="61">
        <f t="shared" si="8"/>
        <v>894827.47717999981</v>
      </c>
      <c r="CD38" s="61">
        <f t="shared" si="8"/>
        <v>0</v>
      </c>
      <c r="CE38" s="61">
        <f t="shared" si="8"/>
        <v>23113.683000000001</v>
      </c>
      <c r="CF38" s="61">
        <f t="shared" si="8"/>
        <v>479343.21659000003</v>
      </c>
      <c r="CG38" s="61">
        <f t="shared" si="8"/>
        <v>187664.606</v>
      </c>
      <c r="CH38" s="61">
        <f t="shared" si="8"/>
        <v>2.9318200000000001</v>
      </c>
      <c r="CI38" s="61">
        <f t="shared" si="8"/>
        <v>929602.88500000001</v>
      </c>
      <c r="CJ38" s="61">
        <f t="shared" si="8"/>
        <v>229296.27299999999</v>
      </c>
      <c r="CK38" s="61">
        <f t="shared" si="8"/>
        <v>0</v>
      </c>
      <c r="CL38" s="61">
        <f t="shared" si="8"/>
        <v>0</v>
      </c>
      <c r="CM38" s="61">
        <f t="shared" si="8"/>
        <v>79545.21415</v>
      </c>
      <c r="CN38" s="61">
        <f t="shared" si="8"/>
        <v>662749.23896999995</v>
      </c>
      <c r="CO38" s="61">
        <f t="shared" si="8"/>
        <v>736440.24131999968</v>
      </c>
      <c r="CP38" s="61">
        <f t="shared" si="8"/>
        <v>9152723.6727600005</v>
      </c>
      <c r="CQ38" s="61">
        <f t="shared" si="8"/>
        <v>377918.49939999997</v>
      </c>
      <c r="CR38" s="61">
        <f t="shared" si="8"/>
        <v>20872.37467999896</v>
      </c>
      <c r="CS38" s="61">
        <f t="shared" si="8"/>
        <v>5000</v>
      </c>
      <c r="CT38" s="61">
        <f t="shared" si="8"/>
        <v>20468.599999999999</v>
      </c>
      <c r="CU38" s="61">
        <f t="shared" si="8"/>
        <v>5000</v>
      </c>
      <c r="CV38" s="61">
        <f t="shared" si="8"/>
        <v>20468.599999999999</v>
      </c>
      <c r="CW38" s="43">
        <f t="shared" si="4"/>
        <v>263904968.75285709</v>
      </c>
    </row>
    <row r="39" spans="2:101" x14ac:dyDescent="0.25">
      <c r="B39" s="62"/>
      <c r="C39" s="63" t="s">
        <v>128</v>
      </c>
      <c r="D39" s="63">
        <v>-16000</v>
      </c>
      <c r="E39" s="63">
        <v>-10146120.182</v>
      </c>
      <c r="F39" s="63">
        <v>-40014000</v>
      </c>
      <c r="G39" s="63">
        <v>0</v>
      </c>
      <c r="H39" s="63">
        <v>0</v>
      </c>
      <c r="I39" s="63">
        <v>58.274269999999994</v>
      </c>
      <c r="J39" s="63">
        <v>0</v>
      </c>
      <c r="K39" s="63">
        <v>0</v>
      </c>
      <c r="L39" s="63">
        <v>312594.8993911717</v>
      </c>
      <c r="M39" s="63">
        <v>865762.34221399995</v>
      </c>
      <c r="N39" s="63">
        <v>0</v>
      </c>
      <c r="O39" s="63">
        <v>0</v>
      </c>
      <c r="P39" s="63">
        <v>5500338.8000000007</v>
      </c>
      <c r="Q39" s="63">
        <v>23069961.022064</v>
      </c>
      <c r="R39" s="63">
        <v>67.2</v>
      </c>
      <c r="S39" s="63">
        <v>281.855616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36903.94</v>
      </c>
      <c r="AZ39" s="63">
        <v>0</v>
      </c>
      <c r="BA39" s="63">
        <v>33.206999999999994</v>
      </c>
      <c r="BB39" s="63">
        <v>11.496</v>
      </c>
      <c r="BC39" s="63">
        <v>43.853000000000002</v>
      </c>
      <c r="BD39" s="63">
        <v>11.202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58.270919999999997</v>
      </c>
      <c r="BM39" s="63">
        <v>552.43002999999999</v>
      </c>
      <c r="BN39" s="63">
        <v>19102117.927899998</v>
      </c>
      <c r="BO39" s="63">
        <v>0</v>
      </c>
      <c r="BP39" s="63">
        <v>0.14183999999999999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0</v>
      </c>
      <c r="BX39" s="63">
        <v>0</v>
      </c>
      <c r="BY39" s="63">
        <v>150000</v>
      </c>
      <c r="BZ39" s="63">
        <v>400000</v>
      </c>
      <c r="CA39" s="63">
        <v>4920000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43">
        <f t="shared" si="4"/>
        <v>4182676.6802451722</v>
      </c>
    </row>
    <row r="40" spans="2:101" ht="15.75" thickBot="1" x14ac:dyDescent="0.3">
      <c r="B40" s="64"/>
      <c r="C40" s="65" t="s">
        <v>129</v>
      </c>
      <c r="D40" s="65">
        <f>+D39+D38</f>
        <v>551453.05840000056</v>
      </c>
      <c r="E40" s="65">
        <f>+E39+E38</f>
        <v>21094516.742214542</v>
      </c>
      <c r="F40" s="65">
        <f>+F39+F38</f>
        <v>4279832.7052815109</v>
      </c>
      <c r="G40" s="65">
        <f t="shared" ref="G40:BR40" si="9">+G39+G38</f>
        <v>0</v>
      </c>
      <c r="H40" s="65">
        <f t="shared" si="9"/>
        <v>0</v>
      </c>
      <c r="I40" s="65">
        <f t="shared" si="9"/>
        <v>112960.36398999424</v>
      </c>
      <c r="J40" s="65">
        <f t="shared" si="9"/>
        <v>0</v>
      </c>
      <c r="K40" s="65">
        <f t="shared" si="9"/>
        <v>162804.97405614308</v>
      </c>
      <c r="L40" s="65">
        <f t="shared" si="9"/>
        <v>516249.15947599936</v>
      </c>
      <c r="M40" s="65">
        <f t="shared" si="9"/>
        <v>979913.1770608665</v>
      </c>
      <c r="N40" s="65">
        <f t="shared" si="9"/>
        <v>177310.5199999999</v>
      </c>
      <c r="O40" s="65">
        <f t="shared" si="9"/>
        <v>743248.15264999995</v>
      </c>
      <c r="P40" s="65">
        <f t="shared" si="9"/>
        <v>10988643.280000009</v>
      </c>
      <c r="Q40" s="65">
        <f t="shared" si="9"/>
        <v>79158676.557479888</v>
      </c>
      <c r="R40" s="65">
        <f t="shared" si="9"/>
        <v>294460.71000000002</v>
      </c>
      <c r="S40" s="65">
        <f t="shared" si="9"/>
        <v>1562663.9537789989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9662.5274983807467</v>
      </c>
      <c r="AA40" s="65">
        <f t="shared" si="9"/>
        <v>40503.29</v>
      </c>
      <c r="AB40" s="65">
        <f t="shared" si="9"/>
        <v>7542.7499999967404</v>
      </c>
      <c r="AC40" s="65">
        <f t="shared" si="9"/>
        <v>31617.62</v>
      </c>
      <c r="AD40" s="65">
        <f t="shared" si="9"/>
        <v>5155</v>
      </c>
      <c r="AE40" s="65">
        <f t="shared" si="9"/>
        <v>21608.68</v>
      </c>
      <c r="AF40" s="65">
        <f t="shared" si="9"/>
        <v>7956.8699999451637</v>
      </c>
      <c r="AG40" s="65">
        <f t="shared" si="9"/>
        <v>33353.53</v>
      </c>
      <c r="AH40" s="65">
        <f t="shared" si="9"/>
        <v>195459.03999999719</v>
      </c>
      <c r="AI40" s="65">
        <f t="shared" si="9"/>
        <v>819134.7964617</v>
      </c>
      <c r="AJ40" s="65">
        <f t="shared" si="9"/>
        <v>673596.71999999823</v>
      </c>
      <c r="AK40" s="65">
        <f t="shared" si="9"/>
        <v>2823324.1679230896</v>
      </c>
      <c r="AL40" s="65">
        <f t="shared" si="9"/>
        <v>3148105.6288700756</v>
      </c>
      <c r="AM40" s="65">
        <f t="shared" si="9"/>
        <v>59326669.579603538</v>
      </c>
      <c r="AN40" s="65">
        <f t="shared" si="9"/>
        <v>6478343.2725400012</v>
      </c>
      <c r="AO40" s="65">
        <f t="shared" si="9"/>
        <v>822799.51758143969</v>
      </c>
      <c r="AP40" s="65">
        <f t="shared" si="9"/>
        <v>8311058.1079537552</v>
      </c>
      <c r="AQ40" s="65">
        <f t="shared" si="9"/>
        <v>619857.74627216067</v>
      </c>
      <c r="AR40" s="65">
        <f t="shared" si="9"/>
        <v>33752.683643993005</v>
      </c>
      <c r="AS40" s="65">
        <f t="shared" si="9"/>
        <v>6.2719079996137461</v>
      </c>
      <c r="AT40" s="65">
        <f t="shared" si="9"/>
        <v>11.210432002509913</v>
      </c>
      <c r="AU40" s="65">
        <f t="shared" si="9"/>
        <v>70709.869203997281</v>
      </c>
      <c r="AV40" s="65">
        <f t="shared" si="9"/>
        <v>523662.90839880263</v>
      </c>
      <c r="AW40" s="65">
        <f t="shared" si="9"/>
        <v>85667.9885699968</v>
      </c>
      <c r="AX40" s="65">
        <f t="shared" si="9"/>
        <v>1041.3974240010875</v>
      </c>
      <c r="AY40" s="65">
        <f t="shared" si="9"/>
        <v>59646.012311997983</v>
      </c>
      <c r="AZ40" s="65">
        <f t="shared" si="9"/>
        <v>23267.345377323236</v>
      </c>
      <c r="BA40" s="65">
        <f t="shared" si="9"/>
        <v>202383.56272400692</v>
      </c>
      <c r="BB40" s="65">
        <f t="shared" si="9"/>
        <v>70084.262219991142</v>
      </c>
      <c r="BC40" s="65">
        <f t="shared" si="9"/>
        <v>267348.43384799868</v>
      </c>
      <c r="BD40" s="65">
        <f t="shared" si="9"/>
        <v>17081.751599989831</v>
      </c>
      <c r="BE40" s="65">
        <f t="shared" si="9"/>
        <v>256586.81289368056</v>
      </c>
      <c r="BF40" s="65">
        <f t="shared" si="9"/>
        <v>321949.5492303599</v>
      </c>
      <c r="BG40" s="65">
        <f t="shared" si="9"/>
        <v>35109.232018882758</v>
      </c>
      <c r="BH40" s="65">
        <f t="shared" si="9"/>
        <v>27273.514880002102</v>
      </c>
      <c r="BI40" s="65">
        <f t="shared" si="9"/>
        <v>630661.83776839031</v>
      </c>
      <c r="BJ40" s="65">
        <f t="shared" si="9"/>
        <v>197783.28604456017</v>
      </c>
      <c r="BK40" s="65">
        <f t="shared" si="9"/>
        <v>3408870.6208220124</v>
      </c>
      <c r="BL40" s="65">
        <f t="shared" si="9"/>
        <v>112954.34103244606</v>
      </c>
      <c r="BM40" s="65">
        <f t="shared" si="9"/>
        <v>1070849.0038171511</v>
      </c>
      <c r="BN40" s="65">
        <f t="shared" si="9"/>
        <v>23205461.218767378</v>
      </c>
      <c r="BO40" s="65">
        <f t="shared" si="9"/>
        <v>3.4691202304202307E-3</v>
      </c>
      <c r="BP40" s="65">
        <f t="shared" si="9"/>
        <v>255.73684932906548</v>
      </c>
      <c r="BQ40" s="65">
        <f t="shared" si="9"/>
        <v>4.0128798844989433E-3</v>
      </c>
      <c r="BR40" s="65">
        <f t="shared" si="9"/>
        <v>645623.81600000313</v>
      </c>
      <c r="BS40" s="65">
        <f t="shared" ref="BS40:CV40" si="10">+BS39+BS38</f>
        <v>2662944.0693795886</v>
      </c>
      <c r="BT40" s="65">
        <f t="shared" si="10"/>
        <v>1086840.9349320191</v>
      </c>
      <c r="BU40" s="65">
        <f t="shared" si="10"/>
        <v>4528495.8749946915</v>
      </c>
      <c r="BV40" s="65">
        <f t="shared" si="10"/>
        <v>8400.1908600000006</v>
      </c>
      <c r="BW40" s="65">
        <f t="shared" si="10"/>
        <v>380231.47999000078</v>
      </c>
      <c r="BX40" s="65">
        <f t="shared" si="10"/>
        <v>12663.664475599246</v>
      </c>
      <c r="BY40" s="65">
        <f t="shared" si="10"/>
        <v>761450.53700000001</v>
      </c>
      <c r="BZ40" s="65">
        <f t="shared" si="10"/>
        <v>2942378.9330000002</v>
      </c>
      <c r="CA40" s="65">
        <f t="shared" si="10"/>
        <v>6593758.7939999998</v>
      </c>
      <c r="CB40" s="65">
        <f t="shared" si="10"/>
        <v>18918.56624</v>
      </c>
      <c r="CC40" s="65">
        <f t="shared" si="10"/>
        <v>894827.47717999981</v>
      </c>
      <c r="CD40" s="65">
        <f t="shared" si="10"/>
        <v>0</v>
      </c>
      <c r="CE40" s="65">
        <f t="shared" si="10"/>
        <v>23113.683000000001</v>
      </c>
      <c r="CF40" s="65">
        <f t="shared" si="10"/>
        <v>479343.21659000003</v>
      </c>
      <c r="CG40" s="65">
        <f t="shared" si="10"/>
        <v>187664.606</v>
      </c>
      <c r="CH40" s="65">
        <f>+CH39+CH38</f>
        <v>2.9318200000000001</v>
      </c>
      <c r="CI40" s="65">
        <f t="shared" si="10"/>
        <v>929602.88500000001</v>
      </c>
      <c r="CJ40" s="65">
        <f t="shared" si="10"/>
        <v>229296.27299999999</v>
      </c>
      <c r="CK40" s="65">
        <f t="shared" si="10"/>
        <v>0</v>
      </c>
      <c r="CL40" s="65">
        <f t="shared" si="10"/>
        <v>0</v>
      </c>
      <c r="CM40" s="65">
        <f t="shared" si="10"/>
        <v>79545.21415</v>
      </c>
      <c r="CN40" s="65">
        <f t="shared" si="10"/>
        <v>662749.23896999995</v>
      </c>
      <c r="CO40" s="65">
        <f t="shared" si="10"/>
        <v>736440.24131999968</v>
      </c>
      <c r="CP40" s="65">
        <f t="shared" si="10"/>
        <v>9152723.6727600005</v>
      </c>
      <c r="CQ40" s="65">
        <f t="shared" si="10"/>
        <v>377918.49939999997</v>
      </c>
      <c r="CR40" s="65">
        <f t="shared" si="10"/>
        <v>20872.37467999896</v>
      </c>
      <c r="CS40" s="65">
        <f t="shared" si="10"/>
        <v>5000</v>
      </c>
      <c r="CT40" s="65">
        <f t="shared" si="10"/>
        <v>20468.599999999999</v>
      </c>
      <c r="CU40" s="65">
        <f t="shared" si="10"/>
        <v>5000</v>
      </c>
      <c r="CV40" s="65">
        <f t="shared" si="10"/>
        <v>20468.599999999999</v>
      </c>
      <c r="CW40" s="43">
        <f t="shared" si="4"/>
        <v>268087645.43310225</v>
      </c>
    </row>
    <row r="41" spans="2:101" ht="15.75" thickBot="1" x14ac:dyDescent="0.3"/>
    <row r="42" spans="2:101" x14ac:dyDescent="0.25">
      <c r="C42" s="67" t="s">
        <v>130</v>
      </c>
      <c r="D42" s="68">
        <f>+D37+D39</f>
        <v>-20515.110529999998</v>
      </c>
      <c r="E42" s="68">
        <f>+E37+E39</f>
        <v>-1558468.9834399987</v>
      </c>
      <c r="F42" s="69">
        <f>+F37+F39</f>
        <v>-38346578.191739991</v>
      </c>
      <c r="G42" s="88">
        <v>20375.599999999999</v>
      </c>
      <c r="H42" s="88">
        <v>20376.599999999999</v>
      </c>
      <c r="I42" s="88">
        <v>20377.599999999999</v>
      </c>
      <c r="J42" s="88">
        <v>20378.599999999999</v>
      </c>
      <c r="K42" s="88">
        <v>20379.599999999999</v>
      </c>
      <c r="L42" s="88">
        <v>20380.599999999999</v>
      </c>
      <c r="M42" s="88">
        <v>20381.599999999999</v>
      </c>
      <c r="N42" s="88">
        <v>20382.599999999999</v>
      </c>
      <c r="O42" s="88">
        <v>20383.599999999999</v>
      </c>
      <c r="P42" s="88">
        <v>20384.599999999999</v>
      </c>
      <c r="Q42" s="88">
        <v>20385.599999999999</v>
      </c>
      <c r="R42" s="88">
        <v>20386.599999999999</v>
      </c>
      <c r="S42" s="88">
        <v>20387.599999999999</v>
      </c>
      <c r="T42" s="88">
        <v>20388.599999999999</v>
      </c>
      <c r="U42" s="88">
        <v>20389.599999999999</v>
      </c>
      <c r="V42" s="88">
        <v>20390.599999999999</v>
      </c>
      <c r="W42" s="88">
        <v>20391.599999999999</v>
      </c>
      <c r="X42" s="88">
        <v>20392.599999999999</v>
      </c>
      <c r="Y42" s="88">
        <v>20393.599999999999</v>
      </c>
      <c r="Z42" s="88">
        <v>20394.599999999999</v>
      </c>
      <c r="AA42" s="88">
        <v>20395.599999999999</v>
      </c>
      <c r="AB42" s="88">
        <v>20396.599999999999</v>
      </c>
      <c r="AC42" s="88">
        <v>20397.599999999999</v>
      </c>
      <c r="AD42" s="88">
        <v>20398.599999999999</v>
      </c>
      <c r="AE42" s="88">
        <v>20399.599999999999</v>
      </c>
      <c r="AF42" s="88">
        <v>20400.599999999999</v>
      </c>
      <c r="AG42" s="88">
        <v>20401.599999999999</v>
      </c>
      <c r="AH42" s="88">
        <v>20402.599999999999</v>
      </c>
      <c r="AI42" s="88">
        <v>20403.599999999999</v>
      </c>
      <c r="AJ42" s="88">
        <v>20404.599999999999</v>
      </c>
      <c r="AK42" s="88">
        <v>20405.599999999999</v>
      </c>
      <c r="AL42" s="88">
        <v>20406.599999999999</v>
      </c>
      <c r="AM42" s="88">
        <v>20407.599999999999</v>
      </c>
      <c r="AN42" s="88">
        <v>20408.599999999999</v>
      </c>
      <c r="AO42" s="88">
        <v>20409.599999999999</v>
      </c>
      <c r="AP42" s="88">
        <v>20410.599999999999</v>
      </c>
      <c r="AQ42" s="88">
        <v>20411.599999999999</v>
      </c>
      <c r="AR42" s="88">
        <v>20412.599999999999</v>
      </c>
      <c r="AS42" s="88">
        <v>20413.599999999999</v>
      </c>
      <c r="AT42" s="88">
        <v>20414.599999999999</v>
      </c>
      <c r="AU42" s="88">
        <v>20415.599999999999</v>
      </c>
      <c r="AV42" s="88">
        <v>20416.599999999999</v>
      </c>
      <c r="AW42" s="88">
        <v>20417.599999999999</v>
      </c>
      <c r="AX42" s="88">
        <v>20418.599999999999</v>
      </c>
      <c r="AY42" s="88">
        <v>20419.599999999999</v>
      </c>
      <c r="AZ42" s="88">
        <v>20420.599999999999</v>
      </c>
      <c r="BA42" s="88">
        <v>20421.599999999999</v>
      </c>
      <c r="BB42" s="88">
        <v>20422.599999999999</v>
      </c>
      <c r="BC42" s="88">
        <v>20423.599999999999</v>
      </c>
      <c r="BD42" s="88">
        <v>20424.599999999999</v>
      </c>
      <c r="BE42" s="88">
        <v>20425.599999999999</v>
      </c>
      <c r="BF42" s="88">
        <v>20426.599999999999</v>
      </c>
      <c r="BG42" s="88">
        <v>20427.599999999999</v>
      </c>
      <c r="BH42" s="88">
        <v>20428.599999999999</v>
      </c>
      <c r="BI42" s="88">
        <v>20429.599999999999</v>
      </c>
      <c r="BJ42" s="88">
        <v>20430.599999999999</v>
      </c>
      <c r="BK42" s="88">
        <v>20431.599999999999</v>
      </c>
      <c r="BL42" s="88">
        <v>20432.599999999999</v>
      </c>
      <c r="BM42" s="88">
        <v>20433.599999999999</v>
      </c>
      <c r="BN42" s="88">
        <v>20434.599999999999</v>
      </c>
      <c r="BO42" s="88">
        <v>20435.599999999999</v>
      </c>
      <c r="BP42" s="88">
        <v>20436.599999999999</v>
      </c>
      <c r="BQ42" s="88">
        <v>20437.599999999999</v>
      </c>
      <c r="BR42" s="88">
        <v>20438.599999999999</v>
      </c>
      <c r="BS42" s="88">
        <v>20439.599999999999</v>
      </c>
      <c r="BT42" s="88">
        <v>20440.599999999999</v>
      </c>
      <c r="BU42" s="88">
        <v>20441.599999999999</v>
      </c>
      <c r="BV42" s="88">
        <v>20442.599999999999</v>
      </c>
      <c r="BW42" s="88">
        <v>20443.599999999999</v>
      </c>
      <c r="BX42" s="88">
        <v>20444.599999999999</v>
      </c>
      <c r="BY42" s="88">
        <v>20445.599999999999</v>
      </c>
      <c r="BZ42" s="88">
        <v>20446.599999999999</v>
      </c>
      <c r="CA42" s="88">
        <v>20447.599999999999</v>
      </c>
      <c r="CB42" s="88">
        <v>20448.599999999999</v>
      </c>
      <c r="CC42" s="88">
        <v>20449.599999999999</v>
      </c>
      <c r="CD42" s="88">
        <v>20450.599999999999</v>
      </c>
      <c r="CE42" s="88">
        <v>20451.599999999999</v>
      </c>
      <c r="CF42" s="88">
        <v>20452.599999999999</v>
      </c>
      <c r="CG42" s="88">
        <v>20453.599999999999</v>
      </c>
      <c r="CH42" s="88">
        <v>20454.599999999999</v>
      </c>
      <c r="CI42" s="88">
        <v>20455.599999999999</v>
      </c>
      <c r="CJ42" s="88">
        <v>20456.599999999999</v>
      </c>
      <c r="CK42" s="88">
        <v>20457.599999999999</v>
      </c>
      <c r="CL42" s="88">
        <v>20458.599999999999</v>
      </c>
      <c r="CM42" s="88">
        <v>20459.599999999999</v>
      </c>
      <c r="CN42" s="88">
        <v>20460.599999999999</v>
      </c>
      <c r="CO42" s="88">
        <v>20461.599999999999</v>
      </c>
      <c r="CP42" s="88">
        <v>20462.599999999999</v>
      </c>
      <c r="CQ42" s="88">
        <v>20463.599999999999</v>
      </c>
      <c r="CR42" s="88">
        <v>20464.599999999999</v>
      </c>
      <c r="CS42" s="88">
        <v>20465.599999999999</v>
      </c>
      <c r="CT42" s="88">
        <v>20466.599999999999</v>
      </c>
      <c r="CU42" s="88">
        <v>20467.599999999999</v>
      </c>
      <c r="CV42" s="88">
        <v>20468.599999999999</v>
      </c>
    </row>
    <row r="43" spans="2:101" x14ac:dyDescent="0.25">
      <c r="C43" s="70" t="s">
        <v>131</v>
      </c>
      <c r="D43" s="71">
        <v>-20515.110530000002</v>
      </c>
      <c r="E43" s="71">
        <v>-1558468.9834499999</v>
      </c>
      <c r="F43" s="71">
        <v>-38346578.192649998</v>
      </c>
      <c r="G43" s="66"/>
      <c r="H43" s="66"/>
      <c r="CT43" s="66"/>
      <c r="CU43" s="66"/>
      <c r="CV43" s="66"/>
    </row>
    <row r="44" spans="2:101" ht="15.75" thickBot="1" x14ac:dyDescent="0.3">
      <c r="C44" s="73" t="s">
        <v>132</v>
      </c>
      <c r="D44" s="74">
        <f>+D42-D43</f>
        <v>0</v>
      </c>
      <c r="E44" s="74">
        <f>+E42-E43</f>
        <v>1.000124029815197E-5</v>
      </c>
      <c r="F44" s="75">
        <f>+F42-F43</f>
        <v>9.1000646352767944E-4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</row>
    <row r="45" spans="2:101" x14ac:dyDescent="0.25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</row>
    <row r="46" spans="2:101" x14ac:dyDescent="0.25">
      <c r="D46" s="10">
        <v>9610</v>
      </c>
      <c r="E46" s="10">
        <v>3455910110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2:101" x14ac:dyDescent="0.25">
      <c r="D47" s="10">
        <v>8236</v>
      </c>
      <c r="E47" s="10">
        <v>6055586112.8699999</v>
      </c>
      <c r="I47" s="66" t="s">
        <v>133</v>
      </c>
      <c r="AL47" s="76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</row>
    <row r="48" spans="2:101" x14ac:dyDescent="0.25">
      <c r="D48" s="10">
        <v>9594</v>
      </c>
      <c r="E48" s="77">
        <v>1505833331</v>
      </c>
      <c r="AL48" s="76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</row>
    <row r="49" spans="2:97" x14ac:dyDescent="0.25">
      <c r="C49" s="78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</row>
    <row r="50" spans="2:97" x14ac:dyDescent="0.25"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/>
    </row>
    <row r="51" spans="2:97" x14ac:dyDescent="0.25">
      <c r="CS51"/>
    </row>
    <row r="52" spans="2:97" x14ac:dyDescent="0.25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/>
    </row>
    <row r="53" spans="2:97" x14ac:dyDescent="0.25">
      <c r="CS53"/>
    </row>
    <row r="54" spans="2:97" x14ac:dyDescent="0.25">
      <c r="CS54"/>
    </row>
    <row r="55" spans="2:97" x14ac:dyDescent="0.25">
      <c r="CS55"/>
    </row>
    <row r="58" spans="2:97" x14ac:dyDescent="0.25">
      <c r="B58" s="66"/>
      <c r="C58" s="66"/>
      <c r="D58" s="66"/>
      <c r="E58" s="66"/>
      <c r="F58" s="66"/>
      <c r="G58" s="66"/>
      <c r="H58" s="66"/>
      <c r="CM58"/>
      <c r="CN58"/>
      <c r="CO58"/>
      <c r="CP58"/>
      <c r="CQ58"/>
      <c r="CR58"/>
    </row>
    <row r="59" spans="2:97" x14ac:dyDescent="0.25">
      <c r="B59" s="66"/>
      <c r="C59" s="66"/>
      <c r="D59" s="66"/>
      <c r="E59" s="66"/>
      <c r="F59" s="66"/>
      <c r="G59" s="66"/>
      <c r="H59" s="66"/>
      <c r="CM59"/>
      <c r="CN59"/>
      <c r="CO59"/>
      <c r="CP59"/>
      <c r="CQ59"/>
      <c r="CR59"/>
    </row>
    <row r="60" spans="2:97" x14ac:dyDescent="0.25">
      <c r="B60" s="66"/>
      <c r="C60" s="66"/>
      <c r="D60" s="66"/>
      <c r="E60" s="66"/>
      <c r="F60" s="66"/>
      <c r="G60" s="66"/>
      <c r="H60" s="66"/>
      <c r="CM60"/>
      <c r="CN60"/>
      <c r="CO60"/>
      <c r="CP60"/>
      <c r="CQ60"/>
      <c r="CR60"/>
    </row>
    <row r="61" spans="2:97" x14ac:dyDescent="0.25">
      <c r="B61" s="66"/>
      <c r="C61" s="66"/>
      <c r="D61" s="66"/>
      <c r="E61" s="66"/>
      <c r="F61" s="66"/>
      <c r="G61" s="66"/>
      <c r="H61" s="66"/>
      <c r="CM61"/>
      <c r="CN61"/>
      <c r="CO61"/>
      <c r="CP61"/>
      <c r="CQ61"/>
      <c r="CR61"/>
    </row>
    <row r="62" spans="2:97" x14ac:dyDescent="0.25">
      <c r="B62" s="66"/>
      <c r="C62" s="66"/>
      <c r="D62" s="66"/>
      <c r="E62" s="66"/>
      <c r="F62" s="66"/>
      <c r="G62" s="66"/>
      <c r="H62" s="66"/>
      <c r="CM62"/>
      <c r="CN62"/>
      <c r="CO62"/>
      <c r="CP62"/>
      <c r="CQ62"/>
      <c r="CR62"/>
    </row>
    <row r="63" spans="2:97" x14ac:dyDescent="0.25">
      <c r="B63" s="66"/>
      <c r="C63" s="66"/>
      <c r="D63" s="66"/>
      <c r="E63" s="66"/>
      <c r="F63" s="66"/>
      <c r="G63" s="66"/>
      <c r="H63" s="66"/>
      <c r="CM63"/>
      <c r="CN63"/>
      <c r="CO63"/>
      <c r="CP63"/>
      <c r="CQ63"/>
      <c r="CR63"/>
    </row>
  </sheetData>
  <mergeCells count="1">
    <mergeCell ref="AP2:AP3"/>
  </mergeCells>
  <pageMargins left="0.7" right="0.7" top="0.75" bottom="0.75" header="0.3" footer="0.3"/>
  <pageSetup orientation="portrait" r:id="rId1"/>
  <customProperties>
    <customPr name="QAA_DRILLPATH_NODE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3"/>
  <sheetViews>
    <sheetView zoomScale="112" zoomScaleNormal="112" workbookViewId="0">
      <selection activeCell="BU17" sqref="BU17"/>
    </sheetView>
  </sheetViews>
  <sheetFormatPr baseColWidth="10" defaultRowHeight="15" outlineLevelCol="2" x14ac:dyDescent="0.25"/>
  <cols>
    <col min="1" max="1" width="8.5703125" style="10" customWidth="1"/>
    <col min="2" max="2" width="10" style="10" bestFit="1" customWidth="1"/>
    <col min="3" max="3" width="43" style="10" bestFit="1" customWidth="1"/>
    <col min="4" max="5" width="19.42578125" style="10" bestFit="1" customWidth="1"/>
    <col min="6" max="6" width="21.85546875" style="10" bestFit="1" customWidth="1"/>
    <col min="7" max="7" width="19.5703125" style="10" customWidth="1" outlineLevel="1"/>
    <col min="8" max="8" width="17.85546875" style="10" customWidth="1" outlineLevel="1"/>
    <col min="9" max="9" width="17.85546875" style="66" bestFit="1" customWidth="1"/>
    <col min="10" max="10" width="17.85546875" style="66" customWidth="1" outlineLevel="2"/>
    <col min="11" max="13" width="16.42578125" style="66" customWidth="1" outlineLevel="2"/>
    <col min="14" max="14" width="18.85546875" style="66" customWidth="1" outlineLevel="2"/>
    <col min="15" max="15" width="21" style="66" customWidth="1" outlineLevel="2"/>
    <col min="16" max="17" width="14.140625" style="66" customWidth="1" outlineLevel="2"/>
    <col min="18" max="18" width="16.42578125" style="66" customWidth="1" outlineLevel="2"/>
    <col min="19" max="25" width="18.42578125" style="66" customWidth="1" outlineLevel="2"/>
    <col min="26" max="26" width="18.85546875" style="66" customWidth="1" outlineLevel="2"/>
    <col min="27" max="27" width="21" style="66" customWidth="1" outlineLevel="2"/>
    <col min="28" max="29" width="14.5703125" style="66" customWidth="1" outlineLevel="2"/>
    <col min="30" max="30" width="16.42578125" style="66" customWidth="1" outlineLevel="2"/>
    <col min="31" max="31" width="18.42578125" style="66" customWidth="1" outlineLevel="2"/>
    <col min="32" max="32" width="18.140625" style="66" customWidth="1" outlineLevel="2"/>
    <col min="33" max="33" width="20.140625" style="66" customWidth="1" outlineLevel="2"/>
    <col min="34" max="37" width="14.5703125" style="66" customWidth="1" outlineLevel="2"/>
    <col min="38" max="38" width="14.42578125" style="66" bestFit="1" customWidth="1"/>
    <col min="39" max="40" width="13.42578125" style="66" bestFit="1" customWidth="1"/>
    <col min="41" max="41" width="12.42578125" style="66" bestFit="1" customWidth="1"/>
    <col min="42" max="42" width="17.140625" style="66" bestFit="1" customWidth="1"/>
    <col min="43" max="43" width="17.140625" style="66" customWidth="1"/>
    <col min="44" max="48" width="17.42578125" style="66" customWidth="1" outlineLevel="1"/>
    <col min="49" max="49" width="15.140625" style="66" customWidth="1" outlineLevel="1"/>
    <col min="50" max="50" width="9.85546875" style="66" customWidth="1" outlineLevel="1"/>
    <col min="51" max="51" width="12.5703125" style="66" customWidth="1" outlineLevel="1"/>
    <col min="52" max="52" width="14.42578125" style="66" customWidth="1" outlineLevel="1"/>
    <col min="53" max="53" width="15.140625" style="66" customWidth="1" outlineLevel="1"/>
    <col min="54" max="55" width="11.85546875" style="66" customWidth="1" outlineLevel="1"/>
    <col min="56" max="56" width="12.5703125" style="66" customWidth="1" outlineLevel="1"/>
    <col min="57" max="59" width="16.5703125" style="66" customWidth="1" outlineLevel="1"/>
    <col min="60" max="60" width="15.140625" style="66" customWidth="1" outlineLevel="1"/>
    <col min="61" max="62" width="13.5703125" style="66" customWidth="1" outlineLevel="1"/>
    <col min="63" max="63" width="14.42578125" style="66" customWidth="1" outlineLevel="1"/>
    <col min="64" max="64" width="19.5703125" style="66" customWidth="1" outlineLevel="1"/>
    <col min="65" max="66" width="17.85546875" style="66" customWidth="1" outlineLevel="1"/>
    <col min="67" max="67" width="12.85546875" style="66" customWidth="1" outlineLevel="1"/>
    <col min="68" max="68" width="13.5703125" style="66" customWidth="1" outlineLevel="1"/>
    <col min="69" max="69" width="18.85546875" style="66" customWidth="1" outlineLevel="1"/>
    <col min="70" max="70" width="20.140625" style="66" customWidth="1" outlineLevel="1"/>
    <col min="71" max="73" width="20.140625" style="66" bestFit="1" customWidth="1"/>
    <col min="74" max="76" width="17.42578125" style="66" bestFit="1" customWidth="1"/>
    <col min="77" max="77" width="15.140625" style="66" bestFit="1" customWidth="1"/>
    <col min="78" max="79" width="14.42578125" style="66" bestFit="1" customWidth="1"/>
    <col min="80" max="80" width="15.140625" style="66" bestFit="1" customWidth="1"/>
    <col min="81" max="82" width="15" style="66" bestFit="1" customWidth="1"/>
    <col min="83" max="83" width="15.140625" style="66" bestFit="1" customWidth="1"/>
    <col min="84" max="84" width="10.42578125" style="66" bestFit="1" customWidth="1"/>
    <col min="85" max="85" width="12.5703125" style="66" bestFit="1" customWidth="1"/>
    <col min="86" max="86" width="16.5703125" style="66" bestFit="1" customWidth="1"/>
    <col min="87" max="88" width="19.7109375" style="66" bestFit="1" customWidth="1"/>
    <col min="89" max="89" width="15.5703125" style="66" customWidth="1"/>
    <col min="90" max="90" width="11.28515625" style="66" customWidth="1"/>
    <col min="91" max="91" width="17.85546875" style="66" bestFit="1" customWidth="1"/>
    <col min="92" max="92" width="14.42578125" style="66" customWidth="1"/>
    <col min="93" max="93" width="14.28515625" style="66" bestFit="1" customWidth="1"/>
    <col min="94" max="95" width="19.7109375" style="66" bestFit="1" customWidth="1"/>
    <col min="96" max="96" width="16.5703125" style="66" bestFit="1" customWidth="1"/>
    <col min="97" max="97" width="22" style="66" bestFit="1" customWidth="1"/>
    <col min="98" max="98" width="12" bestFit="1" customWidth="1"/>
    <col min="99" max="99" width="11.5703125" bestFit="1" customWidth="1"/>
    <col min="100" max="100" width="12" bestFit="1" customWidth="1"/>
    <col min="101" max="101" width="15.28515625" bestFit="1" customWidth="1"/>
  </cols>
  <sheetData>
    <row r="1" spans="1:101" ht="28.5" x14ac:dyDescent="0.45">
      <c r="A1" s="1"/>
      <c r="B1" s="1"/>
      <c r="C1" s="1"/>
      <c r="D1" s="2"/>
      <c r="E1" s="3"/>
      <c r="F1" s="3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5"/>
      <c r="AN1" s="5"/>
      <c r="AO1" s="5"/>
      <c r="AP1" s="5"/>
      <c r="AQ1" s="5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6"/>
      <c r="BM1" s="4"/>
      <c r="BN1" s="4"/>
      <c r="BO1" s="4"/>
      <c r="BP1" s="4"/>
      <c r="BQ1" s="4"/>
      <c r="BR1" s="7"/>
      <c r="BS1" s="7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8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spans="1:101" ht="15" customHeight="1" x14ac:dyDescent="0.25">
      <c r="D2" s="11" t="s">
        <v>0</v>
      </c>
      <c r="E2" s="11" t="s">
        <v>1</v>
      </c>
      <c r="F2" s="11" t="s">
        <v>2</v>
      </c>
      <c r="G2" s="12" t="s">
        <v>3</v>
      </c>
      <c r="H2" s="12" t="s">
        <v>4</v>
      </c>
      <c r="I2" s="13" t="s">
        <v>5</v>
      </c>
      <c r="J2" s="12" t="s">
        <v>6</v>
      </c>
      <c r="K2" s="12" t="s">
        <v>0</v>
      </c>
      <c r="L2" s="12" t="s">
        <v>1</v>
      </c>
      <c r="M2" s="12" t="s">
        <v>2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12" t="s">
        <v>12</v>
      </c>
      <c r="T2" s="16" t="s">
        <v>7</v>
      </c>
      <c r="U2" s="16" t="s">
        <v>8</v>
      </c>
      <c r="V2" s="16" t="s">
        <v>134</v>
      </c>
      <c r="W2" s="16" t="s">
        <v>135</v>
      </c>
      <c r="X2" s="16" t="s">
        <v>11</v>
      </c>
      <c r="Y2" s="16" t="s">
        <v>12</v>
      </c>
      <c r="Z2" s="12" t="s">
        <v>7</v>
      </c>
      <c r="AA2" s="12" t="s">
        <v>8</v>
      </c>
      <c r="AB2" s="12" t="s">
        <v>9</v>
      </c>
      <c r="AC2" s="12" t="s">
        <v>10</v>
      </c>
      <c r="AD2" s="12" t="s">
        <v>11</v>
      </c>
      <c r="AE2" s="12" t="s">
        <v>12</v>
      </c>
      <c r="AF2" s="12" t="s">
        <v>13</v>
      </c>
      <c r="AG2" s="12" t="s">
        <v>14</v>
      </c>
      <c r="AH2" s="12" t="s">
        <v>15</v>
      </c>
      <c r="AI2" s="12" t="s">
        <v>16</v>
      </c>
      <c r="AJ2" s="12" t="s">
        <v>17</v>
      </c>
      <c r="AK2" s="12" t="s">
        <v>18</v>
      </c>
      <c r="AL2" s="14" t="s">
        <v>19</v>
      </c>
      <c r="AM2" s="14" t="s">
        <v>20</v>
      </c>
      <c r="AN2" s="15" t="s">
        <v>21</v>
      </c>
      <c r="AO2" s="15" t="s">
        <v>22</v>
      </c>
      <c r="AP2" s="89" t="s">
        <v>23</v>
      </c>
      <c r="AQ2" s="83"/>
      <c r="AR2" s="16" t="s">
        <v>0</v>
      </c>
      <c r="AS2" s="16" t="s">
        <v>24</v>
      </c>
      <c r="AT2" s="12" t="s">
        <v>5</v>
      </c>
      <c r="AU2" s="12" t="s">
        <v>2</v>
      </c>
      <c r="AV2" s="12" t="s">
        <v>19</v>
      </c>
      <c r="AW2" s="12" t="s">
        <v>0</v>
      </c>
      <c r="AX2" s="12" t="s">
        <v>24</v>
      </c>
      <c r="AY2" s="12" t="s">
        <v>2</v>
      </c>
      <c r="AZ2" s="12" t="s">
        <v>19</v>
      </c>
      <c r="BA2" s="12" t="s">
        <v>0</v>
      </c>
      <c r="BB2" s="12" t="s">
        <v>24</v>
      </c>
      <c r="BC2" s="12" t="s">
        <v>5</v>
      </c>
      <c r="BD2" s="12" t="s">
        <v>2</v>
      </c>
      <c r="BE2" s="12" t="s">
        <v>0</v>
      </c>
      <c r="BF2" s="12" t="s">
        <v>24</v>
      </c>
      <c r="BG2" s="17" t="s">
        <v>2</v>
      </c>
      <c r="BH2" s="17" t="s">
        <v>0</v>
      </c>
      <c r="BI2" s="17" t="s">
        <v>24</v>
      </c>
      <c r="BJ2" s="17" t="s">
        <v>2</v>
      </c>
      <c r="BK2" s="17" t="s">
        <v>19</v>
      </c>
      <c r="BL2" s="18" t="s">
        <v>3</v>
      </c>
      <c r="BM2" s="18" t="s">
        <v>4</v>
      </c>
      <c r="BN2" s="18" t="s">
        <v>6</v>
      </c>
      <c r="BO2" s="18" t="s">
        <v>25</v>
      </c>
      <c r="BP2" s="18" t="s">
        <v>26</v>
      </c>
      <c r="BQ2" s="18" t="s">
        <v>27</v>
      </c>
      <c r="BR2" s="14" t="s">
        <v>28</v>
      </c>
      <c r="BS2" s="14" t="s">
        <v>10</v>
      </c>
      <c r="BT2" s="14" t="s">
        <v>29</v>
      </c>
      <c r="BU2" s="14" t="s">
        <v>12</v>
      </c>
      <c r="BV2" s="14" t="s">
        <v>0</v>
      </c>
      <c r="BW2" s="14" t="s">
        <v>1</v>
      </c>
      <c r="BX2" s="14" t="s">
        <v>2</v>
      </c>
      <c r="BY2" s="14" t="s">
        <v>0</v>
      </c>
      <c r="BZ2" s="14" t="s">
        <v>1</v>
      </c>
      <c r="CA2" s="14" t="s">
        <v>2</v>
      </c>
      <c r="CB2" s="14" t="s">
        <v>0</v>
      </c>
      <c r="CC2" s="14" t="s">
        <v>1</v>
      </c>
      <c r="CD2" s="14" t="s">
        <v>2</v>
      </c>
      <c r="CE2" s="14" t="s">
        <v>0</v>
      </c>
      <c r="CF2" s="14" t="s">
        <v>1</v>
      </c>
      <c r="CG2" s="14" t="s">
        <v>2</v>
      </c>
      <c r="CH2" s="14" t="s">
        <v>2</v>
      </c>
      <c r="CI2" s="14" t="s">
        <v>1</v>
      </c>
      <c r="CJ2" s="14" t="s">
        <v>2</v>
      </c>
      <c r="CK2" s="14" t="s">
        <v>1</v>
      </c>
      <c r="CL2" s="14" t="s">
        <v>1</v>
      </c>
      <c r="CM2" s="14" t="s">
        <v>1</v>
      </c>
      <c r="CN2" s="14" t="s">
        <v>1</v>
      </c>
      <c r="CO2" s="14" t="s">
        <v>1</v>
      </c>
      <c r="CP2" s="14" t="s">
        <v>1</v>
      </c>
      <c r="CQ2" s="14" t="s">
        <v>1</v>
      </c>
      <c r="CR2" s="19" t="s">
        <v>30</v>
      </c>
      <c r="CS2" s="85" t="s">
        <v>136</v>
      </c>
      <c r="CT2" s="85" t="s">
        <v>135</v>
      </c>
      <c r="CU2" s="85" t="s">
        <v>29</v>
      </c>
      <c r="CV2" s="85" t="s">
        <v>12</v>
      </c>
      <c r="CW2" s="20" t="s">
        <v>31</v>
      </c>
    </row>
    <row r="3" spans="1:101" ht="60" x14ac:dyDescent="0.25">
      <c r="D3" s="21" t="s">
        <v>32</v>
      </c>
      <c r="E3" s="21" t="s">
        <v>32</v>
      </c>
      <c r="F3" s="21" t="s">
        <v>32</v>
      </c>
      <c r="G3" s="22" t="s">
        <v>32</v>
      </c>
      <c r="H3" s="22" t="s">
        <v>32</v>
      </c>
      <c r="I3" s="23" t="s">
        <v>32</v>
      </c>
      <c r="J3" s="22" t="s">
        <v>32</v>
      </c>
      <c r="K3" s="22" t="s">
        <v>33</v>
      </c>
      <c r="L3" s="22" t="s">
        <v>33</v>
      </c>
      <c r="M3" s="22" t="s">
        <v>33</v>
      </c>
      <c r="N3" s="22" t="s">
        <v>34</v>
      </c>
      <c r="O3" s="22" t="s">
        <v>34</v>
      </c>
      <c r="P3" s="22" t="s">
        <v>34</v>
      </c>
      <c r="Q3" s="22" t="s">
        <v>34</v>
      </c>
      <c r="R3" s="22" t="s">
        <v>34</v>
      </c>
      <c r="S3" s="22" t="s">
        <v>34</v>
      </c>
      <c r="T3" s="24" t="s">
        <v>137</v>
      </c>
      <c r="U3" s="24" t="s">
        <v>137</v>
      </c>
      <c r="V3" s="24" t="s">
        <v>137</v>
      </c>
      <c r="W3" s="24" t="s">
        <v>137</v>
      </c>
      <c r="X3" s="24" t="s">
        <v>137</v>
      </c>
      <c r="Y3" s="24" t="s">
        <v>137</v>
      </c>
      <c r="Z3" s="22" t="s">
        <v>35</v>
      </c>
      <c r="AA3" s="22" t="s">
        <v>35</v>
      </c>
      <c r="AB3" s="22" t="s">
        <v>35</v>
      </c>
      <c r="AC3" s="22" t="s">
        <v>35</v>
      </c>
      <c r="AD3" s="22" t="s">
        <v>35</v>
      </c>
      <c r="AE3" s="22" t="s">
        <v>35</v>
      </c>
      <c r="AF3" s="22" t="s">
        <v>35</v>
      </c>
      <c r="AG3" s="22" t="s">
        <v>35</v>
      </c>
      <c r="AH3" s="22" t="s">
        <v>35</v>
      </c>
      <c r="AI3" s="22" t="s">
        <v>35</v>
      </c>
      <c r="AJ3" s="22" t="s">
        <v>35</v>
      </c>
      <c r="AK3" s="22" t="s">
        <v>35</v>
      </c>
      <c r="AL3" s="23" t="s">
        <v>36</v>
      </c>
      <c r="AM3" s="23" t="s">
        <v>36</v>
      </c>
      <c r="AN3" s="23"/>
      <c r="AO3" s="23"/>
      <c r="AP3" s="90"/>
      <c r="AQ3" s="84" t="s">
        <v>37</v>
      </c>
      <c r="AR3" s="24" t="s">
        <v>38</v>
      </c>
      <c r="AS3" s="24" t="s">
        <v>38</v>
      </c>
      <c r="AT3" s="22" t="s">
        <v>38</v>
      </c>
      <c r="AU3" s="22" t="s">
        <v>38</v>
      </c>
      <c r="AV3" s="22" t="s">
        <v>38</v>
      </c>
      <c r="AW3" s="22" t="s">
        <v>39</v>
      </c>
      <c r="AX3" s="22" t="s">
        <v>39</v>
      </c>
      <c r="AY3" s="22" t="s">
        <v>39</v>
      </c>
      <c r="AZ3" s="22" t="s">
        <v>39</v>
      </c>
      <c r="BA3" s="22" t="s">
        <v>40</v>
      </c>
      <c r="BB3" s="22" t="s">
        <v>40</v>
      </c>
      <c r="BC3" s="22" t="s">
        <v>40</v>
      </c>
      <c r="BD3" s="22" t="s">
        <v>40</v>
      </c>
      <c r="BE3" s="22" t="s">
        <v>41</v>
      </c>
      <c r="BF3" s="22" t="s">
        <v>41</v>
      </c>
      <c r="BG3" s="22" t="s">
        <v>41</v>
      </c>
      <c r="BH3" s="22" t="s">
        <v>42</v>
      </c>
      <c r="BI3" s="22" t="s">
        <v>42</v>
      </c>
      <c r="BJ3" s="22" t="s">
        <v>42</v>
      </c>
      <c r="BK3" s="22" t="s">
        <v>42</v>
      </c>
      <c r="BL3" s="24" t="s">
        <v>32</v>
      </c>
      <c r="BM3" s="24" t="s">
        <v>32</v>
      </c>
      <c r="BN3" s="24" t="s">
        <v>32</v>
      </c>
      <c r="BO3" s="25" t="s">
        <v>4</v>
      </c>
      <c r="BP3" s="25" t="s">
        <v>4</v>
      </c>
      <c r="BQ3" s="25" t="s">
        <v>4</v>
      </c>
      <c r="BR3" s="84" t="s">
        <v>43</v>
      </c>
      <c r="BS3" s="84" t="s">
        <v>43</v>
      </c>
      <c r="BT3" s="84" t="s">
        <v>43</v>
      </c>
      <c r="BU3" s="84" t="s">
        <v>43</v>
      </c>
      <c r="BV3" s="84" t="s">
        <v>38</v>
      </c>
      <c r="BW3" s="84" t="s">
        <v>38</v>
      </c>
      <c r="BX3" s="84" t="s">
        <v>38</v>
      </c>
      <c r="BY3" s="84" t="s">
        <v>42</v>
      </c>
      <c r="BZ3" s="84" t="s">
        <v>42</v>
      </c>
      <c r="CA3" s="84" t="s">
        <v>42</v>
      </c>
      <c r="CB3" s="84" t="s">
        <v>44</v>
      </c>
      <c r="CC3" s="84" t="s">
        <v>44</v>
      </c>
      <c r="CD3" s="84" t="s">
        <v>44</v>
      </c>
      <c r="CE3" s="84" t="s">
        <v>45</v>
      </c>
      <c r="CF3" s="84" t="s">
        <v>45</v>
      </c>
      <c r="CG3" s="84" t="s">
        <v>45</v>
      </c>
      <c r="CH3" s="84" t="s">
        <v>41</v>
      </c>
      <c r="CI3" s="84" t="s">
        <v>46</v>
      </c>
      <c r="CJ3" s="84" t="s">
        <v>46</v>
      </c>
      <c r="CK3" s="26" t="s">
        <v>47</v>
      </c>
      <c r="CL3" s="26" t="s">
        <v>47</v>
      </c>
      <c r="CM3" s="26" t="s">
        <v>32</v>
      </c>
      <c r="CN3" s="26" t="s">
        <v>42</v>
      </c>
      <c r="CO3" s="26" t="s">
        <v>48</v>
      </c>
      <c r="CP3" s="26" t="s">
        <v>46</v>
      </c>
      <c r="CQ3" s="26" t="s">
        <v>46</v>
      </c>
      <c r="CR3" s="86" t="s">
        <v>49</v>
      </c>
      <c r="CS3" s="87" t="s">
        <v>138</v>
      </c>
      <c r="CT3" s="87" t="s">
        <v>138</v>
      </c>
      <c r="CU3" s="87" t="s">
        <v>138</v>
      </c>
      <c r="CV3" s="87" t="s">
        <v>138</v>
      </c>
      <c r="CW3" s="27"/>
    </row>
    <row r="4" spans="1:101" x14ac:dyDescent="0.25">
      <c r="A4" s="28"/>
      <c r="B4" s="29" t="s">
        <v>50</v>
      </c>
      <c r="C4" s="30" t="s">
        <v>51</v>
      </c>
      <c r="D4" s="31" t="s">
        <v>52</v>
      </c>
      <c r="E4" s="31" t="s">
        <v>53</v>
      </c>
      <c r="F4" s="31" t="s">
        <v>54</v>
      </c>
      <c r="G4" s="32">
        <v>482800001265</v>
      </c>
      <c r="H4" s="32">
        <v>482800001273</v>
      </c>
      <c r="I4" s="32">
        <v>482800002024</v>
      </c>
      <c r="J4" s="32">
        <v>482800001257</v>
      </c>
      <c r="K4" s="32" t="s">
        <v>55</v>
      </c>
      <c r="L4" s="32" t="s">
        <v>56</v>
      </c>
      <c r="M4" s="32" t="s">
        <v>57</v>
      </c>
      <c r="N4" s="32">
        <v>36203301</v>
      </c>
      <c r="O4" s="32">
        <v>36203301</v>
      </c>
      <c r="P4" s="32">
        <v>36203328</v>
      </c>
      <c r="Q4" s="32">
        <v>36203328</v>
      </c>
      <c r="R4" s="32">
        <v>36025015</v>
      </c>
      <c r="S4" s="32">
        <v>36025015</v>
      </c>
      <c r="T4" s="32"/>
      <c r="U4" s="32"/>
      <c r="V4" s="32"/>
      <c r="W4" s="32"/>
      <c r="X4" s="32"/>
      <c r="Y4" s="32"/>
      <c r="Z4" s="32">
        <v>865784010</v>
      </c>
      <c r="AA4" s="32">
        <v>865784010</v>
      </c>
      <c r="AB4" s="32">
        <v>865804010</v>
      </c>
      <c r="AC4" s="32">
        <v>865804010</v>
      </c>
      <c r="AD4" s="32">
        <v>865794010</v>
      </c>
      <c r="AE4" s="32">
        <v>865794010</v>
      </c>
      <c r="AF4" s="32" t="s">
        <v>58</v>
      </c>
      <c r="AG4" s="32" t="s">
        <v>58</v>
      </c>
      <c r="AH4" s="32" t="s">
        <v>59</v>
      </c>
      <c r="AI4" s="32" t="s">
        <v>59</v>
      </c>
      <c r="AJ4" s="32" t="s">
        <v>60</v>
      </c>
      <c r="AK4" s="32" t="s">
        <v>60</v>
      </c>
      <c r="AL4" s="33"/>
      <c r="AM4" s="33"/>
      <c r="AN4" s="33"/>
      <c r="AO4" s="33"/>
      <c r="AP4" s="33"/>
      <c r="AQ4" s="33">
        <v>3642</v>
      </c>
      <c r="AR4" s="33" t="s">
        <v>61</v>
      </c>
      <c r="AS4" s="33" t="s">
        <v>62</v>
      </c>
      <c r="AT4" s="33" t="s">
        <v>63</v>
      </c>
      <c r="AU4" s="33" t="s">
        <v>64</v>
      </c>
      <c r="AV4" s="33" t="s">
        <v>65</v>
      </c>
      <c r="AW4" s="33" t="s">
        <v>66</v>
      </c>
      <c r="AX4" s="33" t="s">
        <v>67</v>
      </c>
      <c r="AY4" s="33" t="s">
        <v>68</v>
      </c>
      <c r="AZ4" s="33" t="s">
        <v>69</v>
      </c>
      <c r="BA4" s="33" t="s">
        <v>70</v>
      </c>
      <c r="BB4" s="33" t="s">
        <v>71</v>
      </c>
      <c r="BC4" s="33" t="s">
        <v>72</v>
      </c>
      <c r="BD4" s="33" t="s">
        <v>73</v>
      </c>
      <c r="BE4" s="33" t="s">
        <v>74</v>
      </c>
      <c r="BF4" s="33" t="s">
        <v>75</v>
      </c>
      <c r="BG4" s="33" t="s">
        <v>76</v>
      </c>
      <c r="BH4" s="33" t="s">
        <v>77</v>
      </c>
      <c r="BI4" s="33" t="s">
        <v>78</v>
      </c>
      <c r="BJ4" s="33" t="s">
        <v>79</v>
      </c>
      <c r="BK4" s="33" t="s">
        <v>80</v>
      </c>
      <c r="BL4" s="34">
        <v>482800007882</v>
      </c>
      <c r="BM4" s="34">
        <v>482800007908</v>
      </c>
      <c r="BN4" s="34">
        <v>482800007890</v>
      </c>
      <c r="BO4" s="34">
        <v>482800010001</v>
      </c>
      <c r="BP4" s="34">
        <v>482800010019</v>
      </c>
      <c r="BQ4" s="34">
        <v>482800010027</v>
      </c>
      <c r="BR4" s="33">
        <v>36024995</v>
      </c>
      <c r="BS4" s="33">
        <v>36024995</v>
      </c>
      <c r="BT4" s="33">
        <v>36903922</v>
      </c>
      <c r="BU4" s="33">
        <v>36903922</v>
      </c>
      <c r="BV4" s="33">
        <v>36294346</v>
      </c>
      <c r="BW4" s="33" t="s">
        <v>81</v>
      </c>
      <c r="BX4" s="33">
        <v>36294353</v>
      </c>
      <c r="BY4" s="33" t="s">
        <v>82</v>
      </c>
      <c r="BZ4" s="33" t="s">
        <v>83</v>
      </c>
      <c r="CA4" s="33" t="s">
        <v>84</v>
      </c>
      <c r="CB4" s="33" t="s">
        <v>85</v>
      </c>
      <c r="CC4" s="33" t="s">
        <v>86</v>
      </c>
      <c r="CD4" s="33" t="s">
        <v>87</v>
      </c>
      <c r="CE4" s="33" t="s">
        <v>88</v>
      </c>
      <c r="CF4" s="33" t="s">
        <v>89</v>
      </c>
      <c r="CG4" s="33" t="s">
        <v>90</v>
      </c>
      <c r="CH4" s="33" t="s">
        <v>91</v>
      </c>
      <c r="CI4" s="33">
        <v>221816614</v>
      </c>
      <c r="CJ4" s="33">
        <v>221816598</v>
      </c>
      <c r="CK4" s="33">
        <v>60193029</v>
      </c>
      <c r="CL4" s="33">
        <v>60193401</v>
      </c>
      <c r="CM4" s="33">
        <v>1011143807</v>
      </c>
      <c r="CN4" s="33">
        <v>4801736642</v>
      </c>
      <c r="CO4" s="33">
        <v>65005340</v>
      </c>
      <c r="CP4" s="33">
        <v>288086051</v>
      </c>
      <c r="CQ4" s="33">
        <v>288049109</v>
      </c>
      <c r="CR4" s="33">
        <v>411166042</v>
      </c>
      <c r="CS4" s="33">
        <v>865804015</v>
      </c>
      <c r="CT4" s="33">
        <v>865804015</v>
      </c>
      <c r="CU4" s="33">
        <v>865794015</v>
      </c>
      <c r="CV4" s="33">
        <v>865794015</v>
      </c>
      <c r="CW4" s="35"/>
    </row>
    <row r="5" spans="1:101" x14ac:dyDescent="0.25">
      <c r="B5" s="36"/>
      <c r="C5" s="37" t="s">
        <v>92</v>
      </c>
      <c r="D5" s="38"/>
      <c r="E5" s="38" t="s">
        <v>93</v>
      </c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9"/>
      <c r="AI5" s="39"/>
      <c r="AJ5" s="39"/>
      <c r="AK5" s="39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>
        <v>4.1680299999999999</v>
      </c>
      <c r="BT5" s="37"/>
      <c r="BU5" s="37">
        <f>+BS5</f>
        <v>4.1680299999999999</v>
      </c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40"/>
    </row>
    <row r="6" spans="1:101" x14ac:dyDescent="0.25">
      <c r="B6" s="36"/>
      <c r="C6" s="37" t="s">
        <v>94</v>
      </c>
      <c r="D6" s="37">
        <f>+D7-D8</f>
        <v>-17874.91639000061</v>
      </c>
      <c r="E6" s="37">
        <f>+E7-E8</f>
        <v>1754403.2739854567</v>
      </c>
      <c r="F6" s="37">
        <f>+F7-F8</f>
        <v>839341.97075848933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9"/>
      <c r="AI6" s="39"/>
      <c r="AJ6" s="39"/>
      <c r="AK6" s="39"/>
      <c r="AL6" s="37">
        <f t="shared" ref="AL6:BQ6" si="0">+AL7-AL8</f>
        <v>-7103.5851500756107</v>
      </c>
      <c r="AM6" s="37">
        <f t="shared" si="0"/>
        <v>9173.9100264534354</v>
      </c>
      <c r="AN6" s="37">
        <f t="shared" si="0"/>
        <v>275047.91815999895</v>
      </c>
      <c r="AO6" s="37">
        <f t="shared" si="0"/>
        <v>7196.0510885602562</v>
      </c>
      <c r="AP6" s="37">
        <f t="shared" si="0"/>
        <v>407796.85258624516</v>
      </c>
      <c r="AQ6" s="37">
        <f t="shared" si="0"/>
        <v>-6947.1567121606786</v>
      </c>
      <c r="AR6" s="37">
        <f t="shared" si="0"/>
        <v>0</v>
      </c>
      <c r="AS6" s="37">
        <f t="shared" si="0"/>
        <v>0</v>
      </c>
      <c r="AT6" s="37">
        <f t="shared" si="0"/>
        <v>0</v>
      </c>
      <c r="AU6" s="37">
        <f t="shared" si="0"/>
        <v>0</v>
      </c>
      <c r="AV6" s="37">
        <f t="shared" si="0"/>
        <v>0</v>
      </c>
      <c r="AW6" s="37">
        <f t="shared" si="0"/>
        <v>0</v>
      </c>
      <c r="AX6" s="37">
        <f t="shared" si="0"/>
        <v>0</v>
      </c>
      <c r="AY6" s="37">
        <f t="shared" si="0"/>
        <v>0</v>
      </c>
      <c r="AZ6" s="37">
        <f t="shared" si="0"/>
        <v>0</v>
      </c>
      <c r="BA6" s="37">
        <f t="shared" si="0"/>
        <v>0</v>
      </c>
      <c r="BB6" s="37">
        <f t="shared" si="0"/>
        <v>0</v>
      </c>
      <c r="BC6" s="37">
        <f t="shared" si="0"/>
        <v>0</v>
      </c>
      <c r="BD6" s="37">
        <f t="shared" si="0"/>
        <v>0</v>
      </c>
      <c r="BE6" s="37">
        <f t="shared" si="0"/>
        <v>0</v>
      </c>
      <c r="BF6" s="37">
        <f t="shared" si="0"/>
        <v>0</v>
      </c>
      <c r="BG6" s="37">
        <f t="shared" si="0"/>
        <v>0</v>
      </c>
      <c r="BH6" s="37">
        <f t="shared" si="0"/>
        <v>0</v>
      </c>
      <c r="BI6" s="37">
        <f t="shared" si="0"/>
        <v>0</v>
      </c>
      <c r="BJ6" s="37">
        <f t="shared" si="0"/>
        <v>0</v>
      </c>
      <c r="BK6" s="37">
        <f t="shared" si="0"/>
        <v>0</v>
      </c>
      <c r="BL6" s="37">
        <f t="shared" si="0"/>
        <v>0</v>
      </c>
      <c r="BM6" s="37">
        <f t="shared" si="0"/>
        <v>0</v>
      </c>
      <c r="BN6" s="37">
        <f t="shared" si="0"/>
        <v>0</v>
      </c>
      <c r="BO6" s="37">
        <f t="shared" si="0"/>
        <v>0</v>
      </c>
      <c r="BP6" s="37">
        <f t="shared" si="0"/>
        <v>0</v>
      </c>
      <c r="BQ6" s="37">
        <f t="shared" si="0"/>
        <v>0</v>
      </c>
      <c r="BR6" s="37"/>
      <c r="BS6" s="37"/>
      <c r="BT6" s="37"/>
      <c r="BU6" s="37"/>
      <c r="BV6" s="37">
        <f>+BV7-BV8-422.17</f>
        <v>-422.17</v>
      </c>
      <c r="BW6" s="37">
        <f t="shared" ref="BW6:CR6" si="1">+BW7-BW8</f>
        <v>0</v>
      </c>
      <c r="BX6" s="37">
        <f t="shared" si="1"/>
        <v>0</v>
      </c>
      <c r="BY6" s="37">
        <f t="shared" si="1"/>
        <v>24468.527999999933</v>
      </c>
      <c r="BZ6" s="37">
        <f t="shared" si="1"/>
        <v>427777.35725999996</v>
      </c>
      <c r="CA6" s="37">
        <f t="shared" si="1"/>
        <v>-37228.333499999717</v>
      </c>
      <c r="CB6" s="37">
        <f t="shared" si="1"/>
        <v>-2.4000000121304765E-4</v>
      </c>
      <c r="CC6" s="37">
        <f t="shared" si="1"/>
        <v>-4.1799998143687844E-3</v>
      </c>
      <c r="CD6" s="37">
        <f>+[1]Otrosbancos!$N$29</f>
        <v>0</v>
      </c>
      <c r="CE6" s="37">
        <f t="shared" si="1"/>
        <v>3945.5190000000002</v>
      </c>
      <c r="CF6" s="37">
        <f t="shared" si="1"/>
        <v>32654.268999999971</v>
      </c>
      <c r="CG6" s="37">
        <f t="shared" si="1"/>
        <v>1620.2229999999981</v>
      </c>
      <c r="CH6" s="37">
        <f t="shared" si="1"/>
        <v>0</v>
      </c>
      <c r="CI6" s="37">
        <f t="shared" si="1"/>
        <v>3258.5770000000484</v>
      </c>
      <c r="CJ6" s="37">
        <f t="shared" si="1"/>
        <v>19269.045000000013</v>
      </c>
      <c r="CK6" s="37">
        <f t="shared" si="1"/>
        <v>0</v>
      </c>
      <c r="CL6" s="37">
        <f t="shared" si="1"/>
        <v>0</v>
      </c>
      <c r="CM6" s="37">
        <f t="shared" si="1"/>
        <v>-1.4999999257270247E-4</v>
      </c>
      <c r="CN6" s="37">
        <f t="shared" si="1"/>
        <v>-2.9699999140575528E-3</v>
      </c>
      <c r="CO6" s="37">
        <f t="shared" si="1"/>
        <v>4.6400002902373672E-3</v>
      </c>
      <c r="CP6" s="37">
        <f t="shared" si="1"/>
        <v>-2.7600005269050598E-3</v>
      </c>
      <c r="CQ6" s="37">
        <f t="shared" si="1"/>
        <v>216.65003000001889</v>
      </c>
      <c r="CR6" s="37">
        <f t="shared" si="1"/>
        <v>-6.7999896054971032E-4</v>
      </c>
      <c r="CS6" s="37">
        <f>+CS7-CS8</f>
        <v>-5000</v>
      </c>
      <c r="CT6" s="37">
        <f>+CT7-CT8</f>
        <v>-20468.599999999999</v>
      </c>
      <c r="CU6" s="37">
        <f>+CU7-CU8</f>
        <v>-5000</v>
      </c>
      <c r="CV6" s="37">
        <f>+CV7-CV8</f>
        <v>-20468.599999999999</v>
      </c>
      <c r="CW6" s="37"/>
    </row>
    <row r="7" spans="1:101" x14ac:dyDescent="0.25">
      <c r="A7" s="41"/>
      <c r="B7" s="42"/>
      <c r="C7" s="43" t="s">
        <v>95</v>
      </c>
      <c r="D7" s="43">
        <f>+'[1]Cap,Bol,Cls'!$N$4</f>
        <v>533578.14200999995</v>
      </c>
      <c r="E7" s="43">
        <f>+'[1]Cap,Bol,Cls'!$N$13</f>
        <v>22848920.016199999</v>
      </c>
      <c r="F7" s="43">
        <f>+'[1]Cap,Bol,Cls'!$N$30</f>
        <v>5119174.6760400003</v>
      </c>
      <c r="G7" s="43">
        <f>+G8</f>
        <v>0</v>
      </c>
      <c r="H7" s="43">
        <f>+H8</f>
        <v>0</v>
      </c>
      <c r="I7" s="43">
        <f>+'[1]Cap,Bol,Cls'!$N$24</f>
        <v>112959.69772</v>
      </c>
      <c r="J7" s="43">
        <f>+J8</f>
        <v>0</v>
      </c>
      <c r="K7" s="43">
        <f>+K8</f>
        <v>162804.97405614308</v>
      </c>
      <c r="L7" s="43">
        <f>+L8</f>
        <v>516249.15947599936</v>
      </c>
      <c r="M7" s="43">
        <f>+M8</f>
        <v>979913.1770608665</v>
      </c>
      <c r="N7" s="43">
        <f>+N8</f>
        <v>177310.5199999999</v>
      </c>
      <c r="O7" s="43">
        <f t="shared" ref="O7:AK7" si="2">+O8</f>
        <v>743248.15264999995</v>
      </c>
      <c r="P7" s="43">
        <f t="shared" si="2"/>
        <v>10988643.280000009</v>
      </c>
      <c r="Q7" s="43">
        <f t="shared" si="2"/>
        <v>79158676.557479888</v>
      </c>
      <c r="R7" s="43">
        <f t="shared" si="2"/>
        <v>294460.71000000002</v>
      </c>
      <c r="S7" s="43">
        <f t="shared" si="2"/>
        <v>1562663.9537789989</v>
      </c>
      <c r="T7" s="43"/>
      <c r="U7" s="43"/>
      <c r="V7" s="43"/>
      <c r="W7" s="43"/>
      <c r="X7" s="43"/>
      <c r="Y7" s="43"/>
      <c r="Z7" s="43">
        <f t="shared" si="2"/>
        <v>9662.5274983807467</v>
      </c>
      <c r="AA7" s="43">
        <f t="shared" si="2"/>
        <v>40503.29</v>
      </c>
      <c r="AB7" s="43">
        <f t="shared" si="2"/>
        <v>7542.7499999967404</v>
      </c>
      <c r="AC7" s="43">
        <f t="shared" si="2"/>
        <v>31617.62</v>
      </c>
      <c r="AD7" s="43">
        <f t="shared" si="2"/>
        <v>5155</v>
      </c>
      <c r="AE7" s="43">
        <f t="shared" si="2"/>
        <v>21608.68</v>
      </c>
      <c r="AF7" s="43">
        <f t="shared" si="2"/>
        <v>7956.8699999451637</v>
      </c>
      <c r="AG7" s="43">
        <f t="shared" si="2"/>
        <v>33353.53</v>
      </c>
      <c r="AH7" s="43">
        <f t="shared" si="2"/>
        <v>195459.03999999719</v>
      </c>
      <c r="AI7" s="43">
        <f t="shared" si="2"/>
        <v>819134.7964617</v>
      </c>
      <c r="AJ7" s="43">
        <f t="shared" si="2"/>
        <v>673596.71999999823</v>
      </c>
      <c r="AK7" s="43">
        <f t="shared" si="2"/>
        <v>2823324.1679230896</v>
      </c>
      <c r="AL7" s="43">
        <f>+[1]Inversoras!$N$56</f>
        <v>3141002.04372</v>
      </c>
      <c r="AM7" s="43">
        <f>+[1]Inversoras!$N$57</f>
        <v>59335843.489629991</v>
      </c>
      <c r="AN7" s="43">
        <f>+[1]Inversoras!$N$58</f>
        <v>6753391.1907000002</v>
      </c>
      <c r="AO7" s="43">
        <f>+[1]Inversoras!$N$59</f>
        <v>829995.56866999995</v>
      </c>
      <c r="AP7" s="43">
        <f>+[1]Inversoras!$N$60</f>
        <v>8718854.9605400003</v>
      </c>
      <c r="AQ7" s="43">
        <f>+[1]Inversoras!$N$61</f>
        <v>612910.58955999999</v>
      </c>
      <c r="AR7" s="43">
        <f>+AR8</f>
        <v>33752.683643993005</v>
      </c>
      <c r="AS7" s="43">
        <f t="shared" ref="AS7:BQ7" si="3">+AS8</f>
        <v>6.2719079996137461</v>
      </c>
      <c r="AT7" s="43">
        <f t="shared" si="3"/>
        <v>11.210432002509913</v>
      </c>
      <c r="AU7" s="43">
        <f t="shared" si="3"/>
        <v>70709.869203997281</v>
      </c>
      <c r="AV7" s="43">
        <f t="shared" si="3"/>
        <v>523662.90839880263</v>
      </c>
      <c r="AW7" s="43">
        <f t="shared" si="3"/>
        <v>85667.9885699968</v>
      </c>
      <c r="AX7" s="43">
        <f t="shared" si="3"/>
        <v>1041.3974240010875</v>
      </c>
      <c r="AY7" s="43">
        <f t="shared" si="3"/>
        <v>59646.012311997983</v>
      </c>
      <c r="AZ7" s="43">
        <f t="shared" si="3"/>
        <v>23267.345377323236</v>
      </c>
      <c r="BA7" s="43">
        <f t="shared" si="3"/>
        <v>202383.56272400692</v>
      </c>
      <c r="BB7" s="43">
        <f t="shared" si="3"/>
        <v>70084.262219991142</v>
      </c>
      <c r="BC7" s="43">
        <f t="shared" si="3"/>
        <v>267348.43384799868</v>
      </c>
      <c r="BD7" s="43">
        <f t="shared" si="3"/>
        <v>17081.751599989831</v>
      </c>
      <c r="BE7" s="43">
        <f t="shared" si="3"/>
        <v>256586.81289368056</v>
      </c>
      <c r="BF7" s="43">
        <f t="shared" si="3"/>
        <v>321949.5492303599</v>
      </c>
      <c r="BG7" s="43">
        <f t="shared" si="3"/>
        <v>35109.232018882758</v>
      </c>
      <c r="BH7" s="43">
        <f t="shared" si="3"/>
        <v>27273.514880002102</v>
      </c>
      <c r="BI7" s="43">
        <f t="shared" si="3"/>
        <v>630661.83776839031</v>
      </c>
      <c r="BJ7" s="43">
        <f t="shared" si="3"/>
        <v>197783.28604456017</v>
      </c>
      <c r="BK7" s="43">
        <f t="shared" si="3"/>
        <v>3408870.6208220124</v>
      </c>
      <c r="BL7" s="43">
        <f t="shared" si="3"/>
        <v>112954.34103244606</v>
      </c>
      <c r="BM7" s="43">
        <f t="shared" si="3"/>
        <v>1070849.0038171511</v>
      </c>
      <c r="BN7" s="43">
        <f t="shared" si="3"/>
        <v>23205461.218767378</v>
      </c>
      <c r="BO7" s="43">
        <f t="shared" si="3"/>
        <v>3.4691202304202307E-3</v>
      </c>
      <c r="BP7" s="43">
        <f t="shared" si="3"/>
        <v>255.73684932906548</v>
      </c>
      <c r="BQ7" s="43">
        <f t="shared" si="3"/>
        <v>4.0128798844989433E-3</v>
      </c>
      <c r="BR7" s="43">
        <f>+[1]Otrosbancos!$N$49</f>
        <v>645623.82000000007</v>
      </c>
      <c r="BS7" s="43">
        <f>+BS8</f>
        <v>2662944.0693795886</v>
      </c>
      <c r="BT7" s="43">
        <f>+[1]Otrosbancos!$N$51</f>
        <v>1086840.93</v>
      </c>
      <c r="BU7" s="43">
        <f>+BU8</f>
        <v>4528495.8749946915</v>
      </c>
      <c r="BV7" s="43">
        <f>+BV8+BV5</f>
        <v>8400.1908600000006</v>
      </c>
      <c r="BW7" s="43">
        <f>+BW8+BW5</f>
        <v>380231.47999000078</v>
      </c>
      <c r="BX7" s="43">
        <f>+BX8+BX5</f>
        <v>12663.664475599246</v>
      </c>
      <c r="BY7" s="43">
        <f>+[1]Otrosbancos!$N$5</f>
        <v>785919.06499999994</v>
      </c>
      <c r="BZ7" s="43">
        <f>+[1]Otrosbancos!$N$10</f>
        <v>3370156.2902600002</v>
      </c>
      <c r="CA7" s="43">
        <f>+[1]Otrosbancos!$N$15</f>
        <v>6556530.4605</v>
      </c>
      <c r="CB7" s="43">
        <f>+[1]Otrosbancos!$N$23</f>
        <v>18918.565999999999</v>
      </c>
      <c r="CC7" s="43">
        <f>+[1]Otrosbancos!$N$26</f>
        <v>894827.473</v>
      </c>
      <c r="CD7" s="43">
        <f>+[1]Otrosbancos!$N$29</f>
        <v>0</v>
      </c>
      <c r="CE7" s="43">
        <f>+[1]Otrosbancos!$N$33</f>
        <v>27059.202000000001</v>
      </c>
      <c r="CF7" s="43">
        <f>+[1]Otrosbancos!$N$37</f>
        <v>511997.48559</v>
      </c>
      <c r="CG7" s="43">
        <f>+[1]Otrosbancos!$N$41</f>
        <v>189284.829</v>
      </c>
      <c r="CH7" s="43">
        <f>+[1]Otrosbancos!$N$46</f>
        <v>2.9318200000000001</v>
      </c>
      <c r="CI7" s="43">
        <f>+[1]Otrosbancos!$N$54</f>
        <v>932861.46200000006</v>
      </c>
      <c r="CJ7" s="43">
        <f>+[1]Otrosbancos!$N$56</f>
        <v>248565.318</v>
      </c>
      <c r="CK7" s="43">
        <f>+[1]Liberty!$N$3</f>
        <v>0</v>
      </c>
      <c r="CL7" s="43">
        <f>+[1]Liberty!$N$4</f>
        <v>0</v>
      </c>
      <c r="CM7" s="43">
        <f>+[1]Liberty!$N$6</f>
        <v>79545.214000000007</v>
      </c>
      <c r="CN7" s="43">
        <f>+[1]Liberty!$N$8</f>
        <v>662749.23600000003</v>
      </c>
      <c r="CO7" s="43">
        <f>+[1]Liberty!$N$10</f>
        <v>736440.24595999997</v>
      </c>
      <c r="CP7" s="43">
        <f>+[1]Liberty!$N$12</f>
        <v>9152723.6699999999</v>
      </c>
      <c r="CQ7" s="43">
        <f>+[1]Liberty!$N$13</f>
        <v>378135.14942999999</v>
      </c>
      <c r="CR7" s="43">
        <f>+[1]Otrosbancos!$N$58</f>
        <v>20872.374</v>
      </c>
      <c r="CS7" s="43">
        <v>0</v>
      </c>
      <c r="CT7" s="43">
        <v>0</v>
      </c>
      <c r="CU7" s="43">
        <v>0</v>
      </c>
      <c r="CV7" s="43">
        <v>0</v>
      </c>
      <c r="CW7" s="43">
        <f>SUM(D7:CV7)</f>
        <v>271773723.71270317</v>
      </c>
    </row>
    <row r="8" spans="1:101" x14ac:dyDescent="0.25">
      <c r="A8" s="41"/>
      <c r="B8" s="44" t="s">
        <v>96</v>
      </c>
      <c r="C8" s="45" t="s">
        <v>97</v>
      </c>
      <c r="D8" s="45">
        <f>+'May, 19'!D40</f>
        <v>551453.05840000056</v>
      </c>
      <c r="E8" s="45">
        <f>+'May, 19'!E40</f>
        <v>21094516.742214542</v>
      </c>
      <c r="F8" s="45">
        <f>+'May, 19'!F40</f>
        <v>4279832.7052815109</v>
      </c>
      <c r="G8" s="45">
        <f>+'May, 19'!G40</f>
        <v>0</v>
      </c>
      <c r="H8" s="45">
        <f>+'May, 19'!H40</f>
        <v>0</v>
      </c>
      <c r="I8" s="45">
        <f>+'May, 19'!I40</f>
        <v>112960.36398999424</v>
      </c>
      <c r="J8" s="45">
        <f>+'May, 19'!J40</f>
        <v>0</v>
      </c>
      <c r="K8" s="45">
        <f>+'May, 19'!K40</f>
        <v>162804.97405614308</v>
      </c>
      <c r="L8" s="45">
        <f>+'May, 19'!L40</f>
        <v>516249.15947599936</v>
      </c>
      <c r="M8" s="45">
        <f>+'May, 19'!M40</f>
        <v>979913.1770608665</v>
      </c>
      <c r="N8" s="45">
        <f>+'May, 19'!N40</f>
        <v>177310.5199999999</v>
      </c>
      <c r="O8" s="45">
        <f>+'May, 19'!O40</f>
        <v>743248.15264999995</v>
      </c>
      <c r="P8" s="45">
        <f>+'May, 19'!P40</f>
        <v>10988643.280000009</v>
      </c>
      <c r="Q8" s="45">
        <f>+'May, 19'!Q40</f>
        <v>79158676.557479888</v>
      </c>
      <c r="R8" s="45">
        <f>+'May, 19'!R40</f>
        <v>294460.71000000002</v>
      </c>
      <c r="S8" s="45">
        <f>+'May, 19'!S40</f>
        <v>1562663.9537789989</v>
      </c>
      <c r="T8" s="45">
        <f>+'May, 19'!T40</f>
        <v>0</v>
      </c>
      <c r="U8" s="45">
        <f>+'May, 19'!U40</f>
        <v>0</v>
      </c>
      <c r="V8" s="45">
        <f>+'May, 19'!V40</f>
        <v>0</v>
      </c>
      <c r="W8" s="45">
        <f>+'May, 19'!W40</f>
        <v>0</v>
      </c>
      <c r="X8" s="45">
        <f>+'May, 19'!X40</f>
        <v>0</v>
      </c>
      <c r="Y8" s="45">
        <f>+'May, 19'!Y40</f>
        <v>0</v>
      </c>
      <c r="Z8" s="45">
        <f>+'May, 19'!Z40</f>
        <v>9662.5274983807467</v>
      </c>
      <c r="AA8" s="45">
        <f>+'May, 19'!AA40</f>
        <v>40503.29</v>
      </c>
      <c r="AB8" s="45">
        <f>+'May, 19'!AB40</f>
        <v>7542.7499999967404</v>
      </c>
      <c r="AC8" s="45">
        <f>+'May, 19'!AC40</f>
        <v>31617.62</v>
      </c>
      <c r="AD8" s="45">
        <f>+'May, 19'!AD40</f>
        <v>5155</v>
      </c>
      <c r="AE8" s="45">
        <f>+'May, 19'!AE40</f>
        <v>21608.68</v>
      </c>
      <c r="AF8" s="45">
        <f>+'May, 19'!AF40</f>
        <v>7956.8699999451637</v>
      </c>
      <c r="AG8" s="45">
        <f>+'May, 19'!AG40</f>
        <v>33353.53</v>
      </c>
      <c r="AH8" s="45">
        <f>+'May, 19'!AH40</f>
        <v>195459.03999999719</v>
      </c>
      <c r="AI8" s="45">
        <f>+'May, 19'!AI40</f>
        <v>819134.7964617</v>
      </c>
      <c r="AJ8" s="45">
        <f>+'May, 19'!AJ40</f>
        <v>673596.71999999823</v>
      </c>
      <c r="AK8" s="45">
        <f>+'May, 19'!AK40</f>
        <v>2823324.1679230896</v>
      </c>
      <c r="AL8" s="45">
        <f>+'May, 19'!AL40</f>
        <v>3148105.6288700756</v>
      </c>
      <c r="AM8" s="45">
        <f>+'May, 19'!AM40</f>
        <v>59326669.579603538</v>
      </c>
      <c r="AN8" s="45">
        <f>+'May, 19'!AN40</f>
        <v>6478343.2725400012</v>
      </c>
      <c r="AO8" s="45">
        <f>+'May, 19'!AO40</f>
        <v>822799.51758143969</v>
      </c>
      <c r="AP8" s="45">
        <f>+'May, 19'!AP40</f>
        <v>8311058.1079537552</v>
      </c>
      <c r="AQ8" s="45">
        <f>+'May, 19'!AQ40</f>
        <v>619857.74627216067</v>
      </c>
      <c r="AR8" s="45">
        <f>+'May, 19'!AR40</f>
        <v>33752.683643993005</v>
      </c>
      <c r="AS8" s="45">
        <f>+'May, 19'!AS40</f>
        <v>6.2719079996137461</v>
      </c>
      <c r="AT8" s="45">
        <f>+'May, 19'!AT40</f>
        <v>11.210432002509913</v>
      </c>
      <c r="AU8" s="45">
        <f>+'May, 19'!AU40</f>
        <v>70709.869203997281</v>
      </c>
      <c r="AV8" s="45">
        <f>+'May, 19'!AV40</f>
        <v>523662.90839880263</v>
      </c>
      <c r="AW8" s="45">
        <f>+'May, 19'!AW40</f>
        <v>85667.9885699968</v>
      </c>
      <c r="AX8" s="45">
        <f>+'May, 19'!AX40</f>
        <v>1041.3974240010875</v>
      </c>
      <c r="AY8" s="45">
        <f>+'May, 19'!AY40</f>
        <v>59646.012311997983</v>
      </c>
      <c r="AZ8" s="45">
        <f>+'May, 19'!AZ40</f>
        <v>23267.345377323236</v>
      </c>
      <c r="BA8" s="45">
        <f>+'May, 19'!BA40</f>
        <v>202383.56272400692</v>
      </c>
      <c r="BB8" s="45">
        <f>+'May, 19'!BB40</f>
        <v>70084.262219991142</v>
      </c>
      <c r="BC8" s="45">
        <f>+'May, 19'!BC40</f>
        <v>267348.43384799868</v>
      </c>
      <c r="BD8" s="45">
        <f>+'May, 19'!BD40</f>
        <v>17081.751599989831</v>
      </c>
      <c r="BE8" s="45">
        <f>+'May, 19'!BE40</f>
        <v>256586.81289368056</v>
      </c>
      <c r="BF8" s="45">
        <f>+'May, 19'!BF40</f>
        <v>321949.5492303599</v>
      </c>
      <c r="BG8" s="45">
        <f>+'May, 19'!BG40</f>
        <v>35109.232018882758</v>
      </c>
      <c r="BH8" s="45">
        <f>+'May, 19'!BH40</f>
        <v>27273.514880002102</v>
      </c>
      <c r="BI8" s="45">
        <f>+'May, 19'!BI40</f>
        <v>630661.83776839031</v>
      </c>
      <c r="BJ8" s="45">
        <f>+'May, 19'!BJ40</f>
        <v>197783.28604456017</v>
      </c>
      <c r="BK8" s="45">
        <f>+'May, 19'!BK40</f>
        <v>3408870.6208220124</v>
      </c>
      <c r="BL8" s="45">
        <f>+'May, 19'!BL40</f>
        <v>112954.34103244606</v>
      </c>
      <c r="BM8" s="45">
        <f>+'May, 19'!BM40</f>
        <v>1070849.0038171511</v>
      </c>
      <c r="BN8" s="45">
        <f>+'May, 19'!BN40</f>
        <v>23205461.218767378</v>
      </c>
      <c r="BO8" s="45">
        <f>+'May, 19'!BO40</f>
        <v>3.4691202304202307E-3</v>
      </c>
      <c r="BP8" s="45">
        <f>+'May, 19'!BP40</f>
        <v>255.73684932906548</v>
      </c>
      <c r="BQ8" s="45">
        <f>+'May, 19'!BQ40</f>
        <v>4.0128798844989433E-3</v>
      </c>
      <c r="BR8" s="45">
        <f>+'May, 19'!BR40</f>
        <v>645623.81600000313</v>
      </c>
      <c r="BS8" s="45">
        <f>+'May, 19'!BS40</f>
        <v>2662944.0693795886</v>
      </c>
      <c r="BT8" s="45">
        <f>+'May, 19'!BT40</f>
        <v>1086840.9349320191</v>
      </c>
      <c r="BU8" s="45">
        <f>+'May, 19'!BU40</f>
        <v>4528495.8749946915</v>
      </c>
      <c r="BV8" s="45">
        <f>+'May, 19'!BV40</f>
        <v>8400.1908600000006</v>
      </c>
      <c r="BW8" s="45">
        <f>+'May, 19'!BW40</f>
        <v>380231.47999000078</v>
      </c>
      <c r="BX8" s="45">
        <f>+'May, 19'!BX40</f>
        <v>12663.664475599246</v>
      </c>
      <c r="BY8" s="45">
        <f>+'May, 19'!BY40</f>
        <v>761450.53700000001</v>
      </c>
      <c r="BZ8" s="45">
        <f>+'May, 19'!BZ40</f>
        <v>2942378.9330000002</v>
      </c>
      <c r="CA8" s="45">
        <f>+'May, 19'!CA40</f>
        <v>6593758.7939999998</v>
      </c>
      <c r="CB8" s="45">
        <f>+'May, 19'!CB40</f>
        <v>18918.56624</v>
      </c>
      <c r="CC8" s="45">
        <f>+'May, 19'!CC40</f>
        <v>894827.47717999981</v>
      </c>
      <c r="CD8" s="45">
        <f>+'May, 19'!CD40</f>
        <v>0</v>
      </c>
      <c r="CE8" s="45">
        <f>+'May, 19'!CE40</f>
        <v>23113.683000000001</v>
      </c>
      <c r="CF8" s="45">
        <f>+'May, 19'!CF40</f>
        <v>479343.21659000003</v>
      </c>
      <c r="CG8" s="45">
        <f>+'May, 19'!CG40</f>
        <v>187664.606</v>
      </c>
      <c r="CH8" s="45">
        <f>+'May, 19'!CH40</f>
        <v>2.9318200000000001</v>
      </c>
      <c r="CI8" s="45">
        <f>+'May, 19'!CI40</f>
        <v>929602.88500000001</v>
      </c>
      <c r="CJ8" s="45">
        <f>+'May, 19'!CJ40</f>
        <v>229296.27299999999</v>
      </c>
      <c r="CK8" s="45">
        <f>+'May, 19'!CK40</f>
        <v>0</v>
      </c>
      <c r="CL8" s="45">
        <f>+'May, 19'!CL40</f>
        <v>0</v>
      </c>
      <c r="CM8" s="45">
        <f>+'May, 19'!CM40</f>
        <v>79545.21415</v>
      </c>
      <c r="CN8" s="45">
        <f>+'May, 19'!CN40</f>
        <v>662749.23896999995</v>
      </c>
      <c r="CO8" s="45">
        <f>+'May, 19'!CO40</f>
        <v>736440.24131999968</v>
      </c>
      <c r="CP8" s="45">
        <f>+'May, 19'!CP40</f>
        <v>9152723.6727600005</v>
      </c>
      <c r="CQ8" s="45">
        <f>+'May, 19'!CQ40</f>
        <v>377918.49939999997</v>
      </c>
      <c r="CR8" s="45">
        <f>+'May, 19'!CR40</f>
        <v>20872.37467999896</v>
      </c>
      <c r="CS8" s="45">
        <f>+'May, 19'!CS40</f>
        <v>5000</v>
      </c>
      <c r="CT8" s="45">
        <f>+'May, 19'!CT40</f>
        <v>20468.599999999999</v>
      </c>
      <c r="CU8" s="45">
        <f>+'May, 19'!CU40</f>
        <v>5000</v>
      </c>
      <c r="CV8" s="45">
        <f>+'May, 19'!CV40</f>
        <v>20468.599999999999</v>
      </c>
      <c r="CW8" s="43">
        <f t="shared" ref="CW8:CW40" si="4">SUM(D8:CV8)</f>
        <v>268087645.43310225</v>
      </c>
    </row>
    <row r="9" spans="1:101" x14ac:dyDescent="0.25">
      <c r="B9" s="46" t="s">
        <v>96</v>
      </c>
      <c r="C9" s="47" t="s">
        <v>98</v>
      </c>
      <c r="D9" s="47">
        <v>6030</v>
      </c>
      <c r="E9" s="48">
        <v>7985983.2869600002</v>
      </c>
      <c r="F9" s="48">
        <v>10392991.805539999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>
        <v>897.50699999999995</v>
      </c>
      <c r="BX9" s="47"/>
      <c r="BY9" s="47">
        <f>IF(BY6&gt;0,BY6,0)</f>
        <v>24468.527999999933</v>
      </c>
      <c r="BZ9" s="47">
        <f>IF(BZ6&gt;0,BZ6,0)</f>
        <v>427777.35725999996</v>
      </c>
      <c r="CA9" s="47">
        <f>IF(CA6&gt;0,CA6,0)</f>
        <v>0</v>
      </c>
      <c r="CB9" s="47"/>
      <c r="CC9" s="47"/>
      <c r="CD9" s="47"/>
      <c r="CE9" s="47">
        <f>IF(CE6&gt;0,CE6,0)</f>
        <v>3945.5190000000002</v>
      </c>
      <c r="CF9" s="47">
        <f>IF(CF6&gt;0,CF6,0)</f>
        <v>32654.268999999971</v>
      </c>
      <c r="CG9" s="47">
        <f>IF(CG6&gt;0,CG6,0)</f>
        <v>1620.2229999999981</v>
      </c>
      <c r="CH9" s="47"/>
      <c r="CI9" s="47">
        <f>IF(CI6&gt;0,CI6,0)</f>
        <v>3258.5770000000484</v>
      </c>
      <c r="CJ9" s="47">
        <f>IF(CJ6&gt;0,CJ6,0)</f>
        <v>19269.045000000013</v>
      </c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3">
        <f t="shared" si="4"/>
        <v>18898896.117760006</v>
      </c>
    </row>
    <row r="10" spans="1:101" x14ac:dyDescent="0.25">
      <c r="B10" s="46" t="s">
        <v>99</v>
      </c>
      <c r="C10" s="47" t="s">
        <v>100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>
        <v>-9.02</v>
      </c>
      <c r="BX10" s="47"/>
      <c r="BY10" s="47">
        <f>IF(BY6&lt;0,BY6,0)</f>
        <v>0</v>
      </c>
      <c r="BZ10" s="47">
        <f>IF(BZ6&lt;0,BZ6,0)</f>
        <v>0</v>
      </c>
      <c r="CA10" s="47">
        <f>IF(CA6&lt;0,CA6,0)</f>
        <v>-37228.333499999717</v>
      </c>
      <c r="CB10" s="47"/>
      <c r="CC10" s="47"/>
      <c r="CD10" s="47"/>
      <c r="CE10" s="47">
        <f>IF(CE6&lt;0,CE6,0)</f>
        <v>0</v>
      </c>
      <c r="CF10" s="47">
        <f>IF(CF6&lt;0,CF6,0)</f>
        <v>0</v>
      </c>
      <c r="CG10" s="47">
        <f>IF(CG6&lt;0,CG6,0)</f>
        <v>0</v>
      </c>
      <c r="CH10" s="47"/>
      <c r="CI10" s="47">
        <f>IF(CI6&lt;0,CI6,0)</f>
        <v>0</v>
      </c>
      <c r="CJ10" s="47">
        <f>IF(CJ6&lt;0,CJ6,0)</f>
        <v>0</v>
      </c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3">
        <f t="shared" si="4"/>
        <v>-37237.353499999714</v>
      </c>
    </row>
    <row r="11" spans="1:101" x14ac:dyDescent="0.25">
      <c r="A11" s="41"/>
      <c r="B11" s="49" t="s">
        <v>99</v>
      </c>
      <c r="C11" s="50" t="s">
        <v>101</v>
      </c>
      <c r="D11" s="50">
        <v>-14.457600000008901</v>
      </c>
      <c r="E11" s="50">
        <v>-5504.9319999999998</v>
      </c>
      <c r="F11" s="50">
        <v>-1966.23360000038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>
        <f>+[1]Otrosbancos!$N$6+[1]Otrosbancos!$N$7</f>
        <v>-3367.7660000000001</v>
      </c>
      <c r="BZ11" s="50">
        <f>+[1]Otrosbancos!$N$11+[1]Otrosbancos!$N$12</f>
        <v>-2487111.6609999998</v>
      </c>
      <c r="CA11" s="50">
        <f>+[1]Otrosbancos!$N$16+[1]Otrosbancos!$N$17</f>
        <v>-3750962.7140000002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43">
        <f t="shared" si="4"/>
        <v>-6248927.7642000001</v>
      </c>
    </row>
    <row r="12" spans="1:101" x14ac:dyDescent="0.25">
      <c r="B12" s="46" t="s">
        <v>96</v>
      </c>
      <c r="C12" s="47" t="s">
        <v>102</v>
      </c>
      <c r="D12" s="47"/>
      <c r="E12" s="47">
        <v>6800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1"/>
      <c r="AS12" s="51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3">
        <f t="shared" si="4"/>
        <v>6800</v>
      </c>
    </row>
    <row r="13" spans="1:101" x14ac:dyDescent="0.25">
      <c r="B13" s="46" t="s">
        <v>96</v>
      </c>
      <c r="C13" s="47" t="s">
        <v>103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51"/>
      <c r="AS13" s="51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3">
        <f t="shared" si="4"/>
        <v>0</v>
      </c>
    </row>
    <row r="14" spans="1:101" x14ac:dyDescent="0.25">
      <c r="B14" s="46" t="s">
        <v>96</v>
      </c>
      <c r="C14" s="47" t="s">
        <v>104</v>
      </c>
      <c r="D14" s="47"/>
      <c r="E14" s="47"/>
      <c r="F14" s="47">
        <v>30872.878000000001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51"/>
      <c r="AS14" s="51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3">
        <f t="shared" si="4"/>
        <v>30872.878000000001</v>
      </c>
    </row>
    <row r="15" spans="1:101" x14ac:dyDescent="0.25">
      <c r="B15" s="46" t="s">
        <v>96</v>
      </c>
      <c r="C15" s="47" t="s">
        <v>105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51"/>
      <c r="AS15" s="51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3">
        <f t="shared" si="4"/>
        <v>0</v>
      </c>
    </row>
    <row r="16" spans="1:101" x14ac:dyDescent="0.25">
      <c r="B16" s="46" t="s">
        <v>96</v>
      </c>
      <c r="C16" s="47" t="s">
        <v>106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51"/>
      <c r="AS16" s="51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>
        <v>181.61</v>
      </c>
      <c r="BU16" s="47">
        <f>+BT16*BU5</f>
        <v>756.95592829999998</v>
      </c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3">
        <f t="shared" si="4"/>
        <v>938.5659283</v>
      </c>
    </row>
    <row r="17" spans="1:101" x14ac:dyDescent="0.25">
      <c r="B17" s="46" t="s">
        <v>99</v>
      </c>
      <c r="C17" s="47" t="s">
        <v>107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51"/>
      <c r="AS17" s="51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3">
        <f t="shared" si="4"/>
        <v>0</v>
      </c>
    </row>
    <row r="18" spans="1:101" x14ac:dyDescent="0.25">
      <c r="B18" s="46" t="s">
        <v>96</v>
      </c>
      <c r="C18" s="47" t="s">
        <v>108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1"/>
      <c r="AS18" s="51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3">
        <f t="shared" si="4"/>
        <v>0</v>
      </c>
    </row>
    <row r="19" spans="1:101" x14ac:dyDescent="0.25">
      <c r="B19" s="46" t="s">
        <v>99</v>
      </c>
      <c r="C19" s="47" t="s">
        <v>109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51"/>
      <c r="AS19" s="51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3">
        <f t="shared" si="4"/>
        <v>0</v>
      </c>
    </row>
    <row r="20" spans="1:101" x14ac:dyDescent="0.25">
      <c r="B20" s="46" t="s">
        <v>99</v>
      </c>
      <c r="C20" s="47" t="s">
        <v>110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51"/>
      <c r="AS20" s="51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3">
        <f t="shared" si="4"/>
        <v>0</v>
      </c>
    </row>
    <row r="21" spans="1:101" x14ac:dyDescent="0.25">
      <c r="B21" s="46" t="s">
        <v>96</v>
      </c>
      <c r="C21" s="47" t="s">
        <v>111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51"/>
      <c r="AS21" s="51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3">
        <f t="shared" si="4"/>
        <v>0</v>
      </c>
    </row>
    <row r="22" spans="1:101" x14ac:dyDescent="0.25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51"/>
      <c r="AS22" s="51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3">
        <f t="shared" si="4"/>
        <v>0</v>
      </c>
    </row>
    <row r="23" spans="1:101" x14ac:dyDescent="0.25">
      <c r="B23" s="46" t="s">
        <v>99</v>
      </c>
      <c r="C23" s="47" t="s">
        <v>112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51"/>
      <c r="AS23" s="51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3">
        <f t="shared" si="4"/>
        <v>0</v>
      </c>
    </row>
    <row r="24" spans="1:101" x14ac:dyDescent="0.25">
      <c r="B24" s="46" t="s">
        <v>99</v>
      </c>
      <c r="C24" s="47" t="s">
        <v>113</v>
      </c>
      <c r="D24" s="47">
        <f>-259-26.4-298.11</f>
        <v>-583.51</v>
      </c>
      <c r="E24" s="47">
        <f>-259-26.4-1600-3551-1056-15588.368-2961.22</f>
        <v>-25041.988000000001</v>
      </c>
      <c r="F24" s="47">
        <f>-259-26.4-1.878-1582131.93-1423.5-14235-7117.5-164.03</f>
        <v>-1605359.2379999999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51"/>
      <c r="AS24" s="51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3">
        <f t="shared" si="4"/>
        <v>-1630984.7359999998</v>
      </c>
    </row>
    <row r="25" spans="1:101" x14ac:dyDescent="0.25">
      <c r="A25" s="41"/>
      <c r="B25" s="52" t="s">
        <v>99</v>
      </c>
      <c r="C25" s="53" t="s">
        <v>114</v>
      </c>
      <c r="D25" s="53">
        <v>-646.20069999999998</v>
      </c>
      <c r="E25" s="53">
        <v>-7608986.8165800003</v>
      </c>
      <c r="F25" s="53">
        <v>-6732113.9971500002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43">
        <f t="shared" si="4"/>
        <v>-14341747.014430001</v>
      </c>
    </row>
    <row r="26" spans="1:101" x14ac:dyDescent="0.25">
      <c r="B26" s="46"/>
      <c r="C26" s="47" t="s">
        <v>115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51"/>
      <c r="AS26" s="51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3">
        <f t="shared" si="4"/>
        <v>0</v>
      </c>
    </row>
    <row r="27" spans="1:101" x14ac:dyDescent="0.25">
      <c r="B27" s="46" t="s">
        <v>99</v>
      </c>
      <c r="C27" s="47" t="s">
        <v>116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51"/>
      <c r="AS27" s="51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3">
        <f t="shared" si="4"/>
        <v>0</v>
      </c>
    </row>
    <row r="28" spans="1:101" x14ac:dyDescent="0.25">
      <c r="B28" s="47" t="s">
        <v>99</v>
      </c>
      <c r="C28" s="47" t="s">
        <v>117</v>
      </c>
      <c r="D28" s="48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51"/>
      <c r="AS28" s="51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3">
        <f t="shared" si="4"/>
        <v>0</v>
      </c>
    </row>
    <row r="29" spans="1:101" x14ac:dyDescent="0.25">
      <c r="B29" s="47"/>
      <c r="C29" s="47" t="s">
        <v>118</v>
      </c>
      <c r="D29" s="48"/>
      <c r="E29" s="47">
        <v>1655.355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51"/>
      <c r="AS29" s="51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3">
        <f t="shared" si="4"/>
        <v>1655.355</v>
      </c>
    </row>
    <row r="30" spans="1:101" x14ac:dyDescent="0.25">
      <c r="B30" s="47"/>
      <c r="C30" s="47" t="s">
        <v>119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51"/>
      <c r="AS30" s="51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3">
        <f t="shared" si="4"/>
        <v>0</v>
      </c>
    </row>
    <row r="31" spans="1:101" x14ac:dyDescent="0.25">
      <c r="B31" s="47" t="s">
        <v>99</v>
      </c>
      <c r="C31" s="47" t="s">
        <v>120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51"/>
      <c r="AS31" s="51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3">
        <f t="shared" si="4"/>
        <v>0</v>
      </c>
    </row>
    <row r="32" spans="1:101" x14ac:dyDescent="0.25">
      <c r="B32" s="47" t="s">
        <v>99</v>
      </c>
      <c r="C32" s="47" t="s">
        <v>121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51"/>
      <c r="AS32" s="51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3">
        <f t="shared" si="4"/>
        <v>0</v>
      </c>
    </row>
    <row r="33" spans="2:101" x14ac:dyDescent="0.25">
      <c r="B33" s="47" t="s">
        <v>99</v>
      </c>
      <c r="C33" s="47" t="s">
        <v>122</v>
      </c>
      <c r="D33" s="47">
        <f>-86-2</f>
        <v>-88</v>
      </c>
      <c r="E33" s="47">
        <f>-503420-21803-5677-7308-23034</f>
        <v>-561242</v>
      </c>
      <c r="F33" s="47">
        <f>-3430-13166</f>
        <v>-16596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51"/>
      <c r="AS33" s="51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3">
        <f t="shared" si="4"/>
        <v>-577926</v>
      </c>
    </row>
    <row r="34" spans="2:101" x14ac:dyDescent="0.25">
      <c r="B34" s="54" t="s">
        <v>99</v>
      </c>
      <c r="C34" s="55" t="s">
        <v>123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43">
        <f t="shared" si="4"/>
        <v>0</v>
      </c>
    </row>
    <row r="35" spans="2:101" x14ac:dyDescent="0.25">
      <c r="B35" s="54" t="s">
        <v>99</v>
      </c>
      <c r="C35" s="55" t="s">
        <v>124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43">
        <f t="shared" si="4"/>
        <v>0</v>
      </c>
    </row>
    <row r="36" spans="2:101" ht="15.75" thickBot="1" x14ac:dyDescent="0.3">
      <c r="B36" s="56"/>
      <c r="C36" s="57" t="s">
        <v>125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43">
        <f t="shared" si="4"/>
        <v>0</v>
      </c>
    </row>
    <row r="37" spans="2:101" x14ac:dyDescent="0.25">
      <c r="B37" s="58"/>
      <c r="C37" s="59" t="s">
        <v>126</v>
      </c>
      <c r="D37" s="59">
        <f>SUM(D9:D36)</f>
        <v>4697.8316999999906</v>
      </c>
      <c r="E37" s="59">
        <f>SUM(E9:E36)</f>
        <v>-206337.09462000011</v>
      </c>
      <c r="F37" s="59">
        <f>SUM(F9:F35)</f>
        <v>2067829.2147899996</v>
      </c>
      <c r="G37" s="59">
        <f t="shared" ref="G37:BR37" si="5">SUM(G9:G36)</f>
        <v>0</v>
      </c>
      <c r="H37" s="59">
        <f t="shared" si="5"/>
        <v>0</v>
      </c>
      <c r="I37" s="59">
        <f t="shared" si="5"/>
        <v>0</v>
      </c>
      <c r="J37" s="59">
        <f t="shared" si="5"/>
        <v>0</v>
      </c>
      <c r="K37" s="59">
        <f t="shared" si="5"/>
        <v>0</v>
      </c>
      <c r="L37" s="59">
        <f t="shared" si="5"/>
        <v>0</v>
      </c>
      <c r="M37" s="59">
        <f t="shared" si="5"/>
        <v>0</v>
      </c>
      <c r="N37" s="59">
        <f t="shared" si="5"/>
        <v>0</v>
      </c>
      <c r="O37" s="59">
        <f t="shared" si="5"/>
        <v>0</v>
      </c>
      <c r="P37" s="59">
        <f t="shared" si="5"/>
        <v>0</v>
      </c>
      <c r="Q37" s="59">
        <f t="shared" si="5"/>
        <v>0</v>
      </c>
      <c r="R37" s="59">
        <f t="shared" si="5"/>
        <v>0</v>
      </c>
      <c r="S37" s="59">
        <f t="shared" si="5"/>
        <v>0</v>
      </c>
      <c r="T37" s="59">
        <f t="shared" si="5"/>
        <v>0</v>
      </c>
      <c r="U37" s="59">
        <f t="shared" si="5"/>
        <v>0</v>
      </c>
      <c r="V37" s="59">
        <f t="shared" si="5"/>
        <v>0</v>
      </c>
      <c r="W37" s="59">
        <f t="shared" si="5"/>
        <v>0</v>
      </c>
      <c r="X37" s="59">
        <f t="shared" si="5"/>
        <v>0</v>
      </c>
      <c r="Y37" s="59">
        <f t="shared" si="5"/>
        <v>0</v>
      </c>
      <c r="Z37" s="59">
        <f t="shared" si="5"/>
        <v>0</v>
      </c>
      <c r="AA37" s="59">
        <f t="shared" si="5"/>
        <v>0</v>
      </c>
      <c r="AB37" s="59">
        <f t="shared" si="5"/>
        <v>0</v>
      </c>
      <c r="AC37" s="59">
        <f t="shared" si="5"/>
        <v>0</v>
      </c>
      <c r="AD37" s="59">
        <f t="shared" si="5"/>
        <v>0</v>
      </c>
      <c r="AE37" s="59">
        <f t="shared" si="5"/>
        <v>0</v>
      </c>
      <c r="AF37" s="59">
        <f t="shared" si="5"/>
        <v>0</v>
      </c>
      <c r="AG37" s="59">
        <f t="shared" si="5"/>
        <v>0</v>
      </c>
      <c r="AH37" s="59">
        <f t="shared" si="5"/>
        <v>0</v>
      </c>
      <c r="AI37" s="59">
        <f t="shared" si="5"/>
        <v>0</v>
      </c>
      <c r="AJ37" s="59">
        <f t="shared" si="5"/>
        <v>0</v>
      </c>
      <c r="AK37" s="59">
        <f t="shared" si="5"/>
        <v>0</v>
      </c>
      <c r="AL37" s="59">
        <f t="shared" si="5"/>
        <v>0</v>
      </c>
      <c r="AM37" s="59">
        <f t="shared" si="5"/>
        <v>0</v>
      </c>
      <c r="AN37" s="59">
        <f t="shared" si="5"/>
        <v>0</v>
      </c>
      <c r="AO37" s="59">
        <f t="shared" si="5"/>
        <v>0</v>
      </c>
      <c r="AP37" s="59">
        <f t="shared" si="5"/>
        <v>0</v>
      </c>
      <c r="AQ37" s="59">
        <f t="shared" si="5"/>
        <v>0</v>
      </c>
      <c r="AR37" s="59">
        <f t="shared" si="5"/>
        <v>0</v>
      </c>
      <c r="AS37" s="59">
        <f t="shared" si="5"/>
        <v>0</v>
      </c>
      <c r="AT37" s="59">
        <f t="shared" si="5"/>
        <v>0</v>
      </c>
      <c r="AU37" s="59">
        <f t="shared" si="5"/>
        <v>0</v>
      </c>
      <c r="AV37" s="59">
        <f t="shared" si="5"/>
        <v>0</v>
      </c>
      <c r="AW37" s="59">
        <f t="shared" si="5"/>
        <v>0</v>
      </c>
      <c r="AX37" s="59">
        <f t="shared" si="5"/>
        <v>0</v>
      </c>
      <c r="AY37" s="59">
        <f t="shared" si="5"/>
        <v>0</v>
      </c>
      <c r="AZ37" s="59">
        <f t="shared" si="5"/>
        <v>0</v>
      </c>
      <c r="BA37" s="59">
        <f t="shared" si="5"/>
        <v>0</v>
      </c>
      <c r="BB37" s="59">
        <f t="shared" si="5"/>
        <v>0</v>
      </c>
      <c r="BC37" s="59">
        <f t="shared" si="5"/>
        <v>0</v>
      </c>
      <c r="BD37" s="59">
        <f t="shared" si="5"/>
        <v>0</v>
      </c>
      <c r="BE37" s="59">
        <f t="shared" si="5"/>
        <v>0</v>
      </c>
      <c r="BF37" s="59">
        <f t="shared" si="5"/>
        <v>0</v>
      </c>
      <c r="BG37" s="59">
        <f t="shared" si="5"/>
        <v>0</v>
      </c>
      <c r="BH37" s="59">
        <f t="shared" si="5"/>
        <v>0</v>
      </c>
      <c r="BI37" s="59">
        <f t="shared" si="5"/>
        <v>0</v>
      </c>
      <c r="BJ37" s="59">
        <f t="shared" si="5"/>
        <v>0</v>
      </c>
      <c r="BK37" s="59">
        <f t="shared" si="5"/>
        <v>0</v>
      </c>
      <c r="BL37" s="59">
        <f t="shared" si="5"/>
        <v>0</v>
      </c>
      <c r="BM37" s="59">
        <f t="shared" si="5"/>
        <v>0</v>
      </c>
      <c r="BN37" s="59">
        <f t="shared" si="5"/>
        <v>0</v>
      </c>
      <c r="BO37" s="59">
        <f t="shared" si="5"/>
        <v>0</v>
      </c>
      <c r="BP37" s="59">
        <f t="shared" si="5"/>
        <v>0</v>
      </c>
      <c r="BQ37" s="59">
        <f t="shared" si="5"/>
        <v>0</v>
      </c>
      <c r="BR37" s="59">
        <f t="shared" si="5"/>
        <v>0</v>
      </c>
      <c r="BS37" s="59">
        <f t="shared" ref="BS37:CV37" si="6">SUM(BS9:BS36)</f>
        <v>0</v>
      </c>
      <c r="BT37" s="59">
        <f t="shared" si="6"/>
        <v>181.61</v>
      </c>
      <c r="BU37" s="59">
        <f t="shared" si="6"/>
        <v>756.95592829999998</v>
      </c>
      <c r="BV37" s="59">
        <f t="shared" si="6"/>
        <v>0</v>
      </c>
      <c r="BW37" s="59">
        <f t="shared" si="6"/>
        <v>888.48699999999997</v>
      </c>
      <c r="BX37" s="59">
        <f t="shared" si="6"/>
        <v>0</v>
      </c>
      <c r="BY37" s="59">
        <f t="shared" si="6"/>
        <v>21100.761999999933</v>
      </c>
      <c r="BZ37" s="59">
        <f t="shared" si="6"/>
        <v>-2059334.3037399999</v>
      </c>
      <c r="CA37" s="59">
        <f t="shared" si="6"/>
        <v>-3788191.0474999999</v>
      </c>
      <c r="CB37" s="59">
        <f t="shared" si="6"/>
        <v>0</v>
      </c>
      <c r="CC37" s="59">
        <f t="shared" si="6"/>
        <v>0</v>
      </c>
      <c r="CD37" s="59">
        <f t="shared" si="6"/>
        <v>0</v>
      </c>
      <c r="CE37" s="59">
        <f t="shared" si="6"/>
        <v>3945.5190000000002</v>
      </c>
      <c r="CF37" s="59">
        <f t="shared" si="6"/>
        <v>32654.268999999971</v>
      </c>
      <c r="CG37" s="59">
        <f t="shared" si="6"/>
        <v>1620.2229999999981</v>
      </c>
      <c r="CH37" s="59">
        <f t="shared" si="6"/>
        <v>0</v>
      </c>
      <c r="CI37" s="59">
        <f t="shared" si="6"/>
        <v>3258.5770000000484</v>
      </c>
      <c r="CJ37" s="59">
        <f t="shared" si="6"/>
        <v>19269.045000000013</v>
      </c>
      <c r="CK37" s="59">
        <f t="shared" si="6"/>
        <v>0</v>
      </c>
      <c r="CL37" s="59">
        <f t="shared" si="6"/>
        <v>0</v>
      </c>
      <c r="CM37" s="59">
        <f t="shared" si="6"/>
        <v>0</v>
      </c>
      <c r="CN37" s="59">
        <f t="shared" si="6"/>
        <v>0</v>
      </c>
      <c r="CO37" s="59">
        <f t="shared" si="6"/>
        <v>0</v>
      </c>
      <c r="CP37" s="59">
        <f t="shared" si="6"/>
        <v>0</v>
      </c>
      <c r="CQ37" s="59">
        <f t="shared" si="6"/>
        <v>0</v>
      </c>
      <c r="CR37" s="59">
        <f t="shared" si="6"/>
        <v>0</v>
      </c>
      <c r="CS37" s="59">
        <f t="shared" si="6"/>
        <v>0</v>
      </c>
      <c r="CT37" s="59">
        <f t="shared" si="6"/>
        <v>0</v>
      </c>
      <c r="CU37" s="59">
        <f t="shared" si="6"/>
        <v>0</v>
      </c>
      <c r="CV37" s="59">
        <f t="shared" si="6"/>
        <v>0</v>
      </c>
      <c r="CW37" s="43">
        <f t="shared" si="4"/>
        <v>-3897659.9514417001</v>
      </c>
    </row>
    <row r="38" spans="2:101" x14ac:dyDescent="0.25">
      <c r="B38" s="60"/>
      <c r="C38" s="61" t="s">
        <v>127</v>
      </c>
      <c r="D38" s="61">
        <f>+D37+D8</f>
        <v>556150.89010000054</v>
      </c>
      <c r="E38" s="61">
        <f>+E37+E8</f>
        <v>20888179.647594541</v>
      </c>
      <c r="F38" s="61">
        <f>+F37+F8</f>
        <v>6347661.9200715106</v>
      </c>
      <c r="G38" s="61">
        <f t="shared" ref="G38:BR38" si="7">+G37+G8</f>
        <v>0</v>
      </c>
      <c r="H38" s="61">
        <f t="shared" si="7"/>
        <v>0</v>
      </c>
      <c r="I38" s="61">
        <f t="shared" si="7"/>
        <v>112960.36398999424</v>
      </c>
      <c r="J38" s="61">
        <f t="shared" si="7"/>
        <v>0</v>
      </c>
      <c r="K38" s="61">
        <f t="shared" si="7"/>
        <v>162804.97405614308</v>
      </c>
      <c r="L38" s="61">
        <f t="shared" si="7"/>
        <v>516249.15947599936</v>
      </c>
      <c r="M38" s="61">
        <f t="shared" si="7"/>
        <v>979913.1770608665</v>
      </c>
      <c r="N38" s="61">
        <f t="shared" si="7"/>
        <v>177310.5199999999</v>
      </c>
      <c r="O38" s="61">
        <f t="shared" si="7"/>
        <v>743248.15264999995</v>
      </c>
      <c r="P38" s="61">
        <f t="shared" si="7"/>
        <v>10988643.280000009</v>
      </c>
      <c r="Q38" s="61">
        <f t="shared" si="7"/>
        <v>79158676.557479888</v>
      </c>
      <c r="R38" s="61">
        <f t="shared" si="7"/>
        <v>294460.71000000002</v>
      </c>
      <c r="S38" s="61">
        <f t="shared" si="7"/>
        <v>1562663.9537789989</v>
      </c>
      <c r="T38" s="61">
        <f t="shared" si="7"/>
        <v>0</v>
      </c>
      <c r="U38" s="61">
        <f t="shared" si="7"/>
        <v>0</v>
      </c>
      <c r="V38" s="61">
        <f t="shared" si="7"/>
        <v>0</v>
      </c>
      <c r="W38" s="61">
        <f t="shared" si="7"/>
        <v>0</v>
      </c>
      <c r="X38" s="61">
        <f t="shared" si="7"/>
        <v>0</v>
      </c>
      <c r="Y38" s="61">
        <f t="shared" si="7"/>
        <v>0</v>
      </c>
      <c r="Z38" s="61">
        <f t="shared" si="7"/>
        <v>9662.5274983807467</v>
      </c>
      <c r="AA38" s="61">
        <f t="shared" si="7"/>
        <v>40503.29</v>
      </c>
      <c r="AB38" s="61">
        <f t="shared" si="7"/>
        <v>7542.7499999967404</v>
      </c>
      <c r="AC38" s="61">
        <f t="shared" si="7"/>
        <v>31617.62</v>
      </c>
      <c r="AD38" s="61">
        <f t="shared" si="7"/>
        <v>5155</v>
      </c>
      <c r="AE38" s="61">
        <f t="shared" si="7"/>
        <v>21608.68</v>
      </c>
      <c r="AF38" s="61">
        <f t="shared" si="7"/>
        <v>7956.8699999451637</v>
      </c>
      <c r="AG38" s="61">
        <f t="shared" si="7"/>
        <v>33353.53</v>
      </c>
      <c r="AH38" s="61">
        <f t="shared" si="7"/>
        <v>195459.03999999719</v>
      </c>
      <c r="AI38" s="61">
        <f t="shared" si="7"/>
        <v>819134.7964617</v>
      </c>
      <c r="AJ38" s="61">
        <f t="shared" si="7"/>
        <v>673596.71999999823</v>
      </c>
      <c r="AK38" s="61">
        <f t="shared" si="7"/>
        <v>2823324.1679230896</v>
      </c>
      <c r="AL38" s="61">
        <f t="shared" si="7"/>
        <v>3148105.6288700756</v>
      </c>
      <c r="AM38" s="61">
        <f t="shared" si="7"/>
        <v>59326669.579603538</v>
      </c>
      <c r="AN38" s="61">
        <f t="shared" si="7"/>
        <v>6478343.2725400012</v>
      </c>
      <c r="AO38" s="61">
        <f t="shared" si="7"/>
        <v>822799.51758143969</v>
      </c>
      <c r="AP38" s="61">
        <f t="shared" si="7"/>
        <v>8311058.1079537552</v>
      </c>
      <c r="AQ38" s="61">
        <f t="shared" si="7"/>
        <v>619857.74627216067</v>
      </c>
      <c r="AR38" s="61">
        <f t="shared" si="7"/>
        <v>33752.683643993005</v>
      </c>
      <c r="AS38" s="61">
        <f t="shared" si="7"/>
        <v>6.2719079996137461</v>
      </c>
      <c r="AT38" s="61">
        <f t="shared" si="7"/>
        <v>11.210432002509913</v>
      </c>
      <c r="AU38" s="61">
        <f t="shared" si="7"/>
        <v>70709.869203997281</v>
      </c>
      <c r="AV38" s="61">
        <f t="shared" si="7"/>
        <v>523662.90839880263</v>
      </c>
      <c r="AW38" s="61">
        <f t="shared" si="7"/>
        <v>85667.9885699968</v>
      </c>
      <c r="AX38" s="61">
        <f t="shared" si="7"/>
        <v>1041.3974240010875</v>
      </c>
      <c r="AY38" s="61">
        <f t="shared" si="7"/>
        <v>59646.012311997983</v>
      </c>
      <c r="AZ38" s="61">
        <f t="shared" si="7"/>
        <v>23267.345377323236</v>
      </c>
      <c r="BA38" s="61">
        <f t="shared" si="7"/>
        <v>202383.56272400692</v>
      </c>
      <c r="BB38" s="61">
        <f t="shared" si="7"/>
        <v>70084.262219991142</v>
      </c>
      <c r="BC38" s="61">
        <f t="shared" si="7"/>
        <v>267348.43384799868</v>
      </c>
      <c r="BD38" s="61">
        <f t="shared" si="7"/>
        <v>17081.751599989831</v>
      </c>
      <c r="BE38" s="61">
        <f t="shared" si="7"/>
        <v>256586.81289368056</v>
      </c>
      <c r="BF38" s="61">
        <f t="shared" si="7"/>
        <v>321949.5492303599</v>
      </c>
      <c r="BG38" s="61">
        <f t="shared" si="7"/>
        <v>35109.232018882758</v>
      </c>
      <c r="BH38" s="61">
        <f t="shared" si="7"/>
        <v>27273.514880002102</v>
      </c>
      <c r="BI38" s="61">
        <f t="shared" si="7"/>
        <v>630661.83776839031</v>
      </c>
      <c r="BJ38" s="61">
        <f t="shared" si="7"/>
        <v>197783.28604456017</v>
      </c>
      <c r="BK38" s="61">
        <f t="shared" si="7"/>
        <v>3408870.6208220124</v>
      </c>
      <c r="BL38" s="61">
        <f t="shared" si="7"/>
        <v>112954.34103244606</v>
      </c>
      <c r="BM38" s="61">
        <f t="shared" si="7"/>
        <v>1070849.0038171511</v>
      </c>
      <c r="BN38" s="61">
        <f t="shared" si="7"/>
        <v>23205461.218767378</v>
      </c>
      <c r="BO38" s="61">
        <f t="shared" si="7"/>
        <v>3.4691202304202307E-3</v>
      </c>
      <c r="BP38" s="61">
        <f t="shared" si="7"/>
        <v>255.73684932906548</v>
      </c>
      <c r="BQ38" s="61">
        <f t="shared" si="7"/>
        <v>4.0128798844989433E-3</v>
      </c>
      <c r="BR38" s="61">
        <f t="shared" si="7"/>
        <v>645623.81600000313</v>
      </c>
      <c r="BS38" s="61">
        <f t="shared" ref="BS38:CV38" si="8">+BS37+BS8</f>
        <v>2662944.0693795886</v>
      </c>
      <c r="BT38" s="61">
        <f t="shared" si="8"/>
        <v>1087022.5449320192</v>
      </c>
      <c r="BU38" s="61">
        <f t="shared" si="8"/>
        <v>4529252.830922991</v>
      </c>
      <c r="BV38" s="61">
        <f t="shared" si="8"/>
        <v>8400.1908600000006</v>
      </c>
      <c r="BW38" s="61">
        <f t="shared" si="8"/>
        <v>381119.9669900008</v>
      </c>
      <c r="BX38" s="61">
        <f t="shared" si="8"/>
        <v>12663.664475599246</v>
      </c>
      <c r="BY38" s="61">
        <f t="shared" si="8"/>
        <v>782551.299</v>
      </c>
      <c r="BZ38" s="61">
        <f t="shared" si="8"/>
        <v>883044.62926000031</v>
      </c>
      <c r="CA38" s="61">
        <f t="shared" si="8"/>
        <v>2805567.7464999999</v>
      </c>
      <c r="CB38" s="61">
        <f t="shared" si="8"/>
        <v>18918.56624</v>
      </c>
      <c r="CC38" s="61">
        <f t="shared" si="8"/>
        <v>894827.47717999981</v>
      </c>
      <c r="CD38" s="61">
        <f t="shared" si="8"/>
        <v>0</v>
      </c>
      <c r="CE38" s="61">
        <f t="shared" si="8"/>
        <v>27059.202000000001</v>
      </c>
      <c r="CF38" s="61">
        <f t="shared" si="8"/>
        <v>511997.48559</v>
      </c>
      <c r="CG38" s="61">
        <f t="shared" si="8"/>
        <v>189284.829</v>
      </c>
      <c r="CH38" s="61">
        <f t="shared" si="8"/>
        <v>2.9318200000000001</v>
      </c>
      <c r="CI38" s="61">
        <f t="shared" si="8"/>
        <v>932861.46200000006</v>
      </c>
      <c r="CJ38" s="61">
        <f t="shared" si="8"/>
        <v>248565.318</v>
      </c>
      <c r="CK38" s="61">
        <f t="shared" si="8"/>
        <v>0</v>
      </c>
      <c r="CL38" s="61">
        <f t="shared" si="8"/>
        <v>0</v>
      </c>
      <c r="CM38" s="61">
        <f t="shared" si="8"/>
        <v>79545.21415</v>
      </c>
      <c r="CN38" s="61">
        <f t="shared" si="8"/>
        <v>662749.23896999995</v>
      </c>
      <c r="CO38" s="61">
        <f t="shared" si="8"/>
        <v>736440.24131999968</v>
      </c>
      <c r="CP38" s="61">
        <f t="shared" si="8"/>
        <v>9152723.6727600005</v>
      </c>
      <c r="CQ38" s="61">
        <f t="shared" si="8"/>
        <v>377918.49939999997</v>
      </c>
      <c r="CR38" s="61">
        <f t="shared" si="8"/>
        <v>20872.37467999896</v>
      </c>
      <c r="CS38" s="61">
        <f t="shared" si="8"/>
        <v>5000</v>
      </c>
      <c r="CT38" s="61">
        <f t="shared" si="8"/>
        <v>20468.599999999999</v>
      </c>
      <c r="CU38" s="61">
        <f t="shared" si="8"/>
        <v>5000</v>
      </c>
      <c r="CV38" s="61">
        <f t="shared" si="8"/>
        <v>20468.599999999999</v>
      </c>
      <c r="CW38" s="43">
        <f t="shared" si="4"/>
        <v>264189985.48166054</v>
      </c>
    </row>
    <row r="39" spans="2:101" x14ac:dyDescent="0.25">
      <c r="B39" s="62"/>
      <c r="C39" s="63" t="s">
        <v>128</v>
      </c>
      <c r="D39" s="63">
        <v>-101000</v>
      </c>
      <c r="E39" s="63">
        <v>-4552873.0444799997</v>
      </c>
      <c r="F39" s="63">
        <v>2912000</v>
      </c>
      <c r="G39" s="63">
        <v>0</v>
      </c>
      <c r="H39" s="63">
        <v>0</v>
      </c>
      <c r="I39" s="63">
        <v>-0.66906000000000088</v>
      </c>
      <c r="J39" s="63">
        <v>0</v>
      </c>
      <c r="K39" s="63">
        <v>0</v>
      </c>
      <c r="L39" s="63">
        <v>-314433.74667200894</v>
      </c>
      <c r="M39" s="63">
        <v>-879341.14551599999</v>
      </c>
      <c r="N39" s="63">
        <v>0</v>
      </c>
      <c r="O39" s="63">
        <v>0</v>
      </c>
      <c r="P39" s="63">
        <v>7294200</v>
      </c>
      <c r="Q39" s="63">
        <v>30414384.425999999</v>
      </c>
      <c r="R39" s="63">
        <v>22.41</v>
      </c>
      <c r="S39" s="63">
        <v>93.405552299999997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33.192999999999998</v>
      </c>
      <c r="BB39" s="63">
        <v>11.497999999999999</v>
      </c>
      <c r="BC39" s="63">
        <v>43.860999999999997</v>
      </c>
      <c r="BD39" s="63">
        <v>2.802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19.440830000000002</v>
      </c>
      <c r="BM39" s="63">
        <v>184.23680999999999</v>
      </c>
      <c r="BN39" s="63">
        <v>3992.4941899999994</v>
      </c>
      <c r="BO39" s="63">
        <v>0</v>
      </c>
      <c r="BP39" s="63">
        <v>3.7299999999999993E-2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0</v>
      </c>
      <c r="BX39" s="63">
        <v>0</v>
      </c>
      <c r="BY39" s="63">
        <v>0</v>
      </c>
      <c r="BZ39" s="63">
        <v>2000000</v>
      </c>
      <c r="CA39" s="63">
        <v>4250000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43">
        <f t="shared" si="4"/>
        <v>41027339.198954292</v>
      </c>
    </row>
    <row r="40" spans="2:101" ht="15.75" thickBot="1" x14ac:dyDescent="0.3">
      <c r="B40" s="64"/>
      <c r="C40" s="65" t="s">
        <v>129</v>
      </c>
      <c r="D40" s="65">
        <f>+D39+D38</f>
        <v>455150.89010000054</v>
      </c>
      <c r="E40" s="65">
        <f>+E39+E38</f>
        <v>16335306.603114542</v>
      </c>
      <c r="F40" s="65">
        <f>+F39+F38</f>
        <v>9259661.9200715106</v>
      </c>
      <c r="G40" s="65">
        <f t="shared" ref="G40:BR40" si="9">+G39+G38</f>
        <v>0</v>
      </c>
      <c r="H40" s="65">
        <f t="shared" si="9"/>
        <v>0</v>
      </c>
      <c r="I40" s="65">
        <f t="shared" si="9"/>
        <v>112959.69492999424</v>
      </c>
      <c r="J40" s="65">
        <f t="shared" si="9"/>
        <v>0</v>
      </c>
      <c r="K40" s="65">
        <f t="shared" si="9"/>
        <v>162804.97405614308</v>
      </c>
      <c r="L40" s="65">
        <f t="shared" si="9"/>
        <v>201815.41280399042</v>
      </c>
      <c r="M40" s="65">
        <f t="shared" si="9"/>
        <v>100572.03154486651</v>
      </c>
      <c r="N40" s="65">
        <f t="shared" si="9"/>
        <v>177310.5199999999</v>
      </c>
      <c r="O40" s="65">
        <f t="shared" si="9"/>
        <v>743248.15264999995</v>
      </c>
      <c r="P40" s="65">
        <f t="shared" si="9"/>
        <v>18282843.280000009</v>
      </c>
      <c r="Q40" s="65">
        <f t="shared" si="9"/>
        <v>109573060.98347989</v>
      </c>
      <c r="R40" s="65">
        <f t="shared" si="9"/>
        <v>294483.12</v>
      </c>
      <c r="S40" s="65">
        <f t="shared" si="9"/>
        <v>1562757.3593312989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9662.5274983807467</v>
      </c>
      <c r="AA40" s="65">
        <f t="shared" si="9"/>
        <v>40503.29</v>
      </c>
      <c r="AB40" s="65">
        <f t="shared" si="9"/>
        <v>7542.7499999967404</v>
      </c>
      <c r="AC40" s="65">
        <f t="shared" si="9"/>
        <v>31617.62</v>
      </c>
      <c r="AD40" s="65">
        <f t="shared" si="9"/>
        <v>5155</v>
      </c>
      <c r="AE40" s="65">
        <f t="shared" si="9"/>
        <v>21608.68</v>
      </c>
      <c r="AF40" s="65">
        <f t="shared" si="9"/>
        <v>7956.8699999451637</v>
      </c>
      <c r="AG40" s="65">
        <f t="shared" si="9"/>
        <v>33353.53</v>
      </c>
      <c r="AH40" s="65">
        <f t="shared" si="9"/>
        <v>195459.03999999719</v>
      </c>
      <c r="AI40" s="65">
        <f t="shared" si="9"/>
        <v>819134.7964617</v>
      </c>
      <c r="AJ40" s="65">
        <f t="shared" si="9"/>
        <v>673596.71999999823</v>
      </c>
      <c r="AK40" s="65">
        <f t="shared" si="9"/>
        <v>2823324.1679230896</v>
      </c>
      <c r="AL40" s="65">
        <f t="shared" si="9"/>
        <v>3148105.6288700756</v>
      </c>
      <c r="AM40" s="65">
        <f t="shared" si="9"/>
        <v>59326669.579603538</v>
      </c>
      <c r="AN40" s="65">
        <f t="shared" si="9"/>
        <v>6478343.2725400012</v>
      </c>
      <c r="AO40" s="65">
        <f t="shared" si="9"/>
        <v>822799.51758143969</v>
      </c>
      <c r="AP40" s="65">
        <f t="shared" si="9"/>
        <v>8311058.1079537552</v>
      </c>
      <c r="AQ40" s="65">
        <f t="shared" si="9"/>
        <v>619857.74627216067</v>
      </c>
      <c r="AR40" s="65">
        <f t="shared" si="9"/>
        <v>33752.683643993005</v>
      </c>
      <c r="AS40" s="65">
        <f t="shared" si="9"/>
        <v>6.2719079996137461</v>
      </c>
      <c r="AT40" s="65">
        <f t="shared" si="9"/>
        <v>11.210432002509913</v>
      </c>
      <c r="AU40" s="65">
        <f t="shared" si="9"/>
        <v>70709.869203997281</v>
      </c>
      <c r="AV40" s="65">
        <f t="shared" si="9"/>
        <v>523662.90839880263</v>
      </c>
      <c r="AW40" s="65">
        <f t="shared" si="9"/>
        <v>85667.9885699968</v>
      </c>
      <c r="AX40" s="65">
        <f t="shared" si="9"/>
        <v>1041.3974240010875</v>
      </c>
      <c r="AY40" s="65">
        <f t="shared" si="9"/>
        <v>59646.012311997983</v>
      </c>
      <c r="AZ40" s="65">
        <f t="shared" si="9"/>
        <v>23267.345377323236</v>
      </c>
      <c r="BA40" s="65">
        <f t="shared" si="9"/>
        <v>202416.75572400691</v>
      </c>
      <c r="BB40" s="65">
        <f t="shared" si="9"/>
        <v>70095.760219991149</v>
      </c>
      <c r="BC40" s="65">
        <f t="shared" si="9"/>
        <v>267392.29484799865</v>
      </c>
      <c r="BD40" s="65">
        <f t="shared" si="9"/>
        <v>17084.553599989831</v>
      </c>
      <c r="BE40" s="65">
        <f t="shared" si="9"/>
        <v>256586.81289368056</v>
      </c>
      <c r="BF40" s="65">
        <f t="shared" si="9"/>
        <v>321949.5492303599</v>
      </c>
      <c r="BG40" s="65">
        <f t="shared" si="9"/>
        <v>35109.232018882758</v>
      </c>
      <c r="BH40" s="65">
        <f t="shared" si="9"/>
        <v>27273.514880002102</v>
      </c>
      <c r="BI40" s="65">
        <f t="shared" si="9"/>
        <v>630661.83776839031</v>
      </c>
      <c r="BJ40" s="65">
        <f t="shared" si="9"/>
        <v>197783.28604456017</v>
      </c>
      <c r="BK40" s="65">
        <f t="shared" si="9"/>
        <v>3408870.6208220124</v>
      </c>
      <c r="BL40" s="65">
        <f t="shared" si="9"/>
        <v>112973.78186244606</v>
      </c>
      <c r="BM40" s="65">
        <f t="shared" si="9"/>
        <v>1071033.240627151</v>
      </c>
      <c r="BN40" s="65">
        <f t="shared" si="9"/>
        <v>23209453.712957378</v>
      </c>
      <c r="BO40" s="65">
        <f t="shared" si="9"/>
        <v>3.4691202304202307E-3</v>
      </c>
      <c r="BP40" s="65">
        <f t="shared" si="9"/>
        <v>255.77414932906547</v>
      </c>
      <c r="BQ40" s="65">
        <f t="shared" si="9"/>
        <v>4.0128798844989433E-3</v>
      </c>
      <c r="BR40" s="65">
        <f t="shared" si="9"/>
        <v>645623.81600000313</v>
      </c>
      <c r="BS40" s="65">
        <f t="shared" ref="BS40:CV40" si="10">+BS39+BS38</f>
        <v>2662944.0693795886</v>
      </c>
      <c r="BT40" s="65">
        <f t="shared" si="10"/>
        <v>1087022.5449320192</v>
      </c>
      <c r="BU40" s="65">
        <f t="shared" si="10"/>
        <v>4529252.830922991</v>
      </c>
      <c r="BV40" s="65">
        <f t="shared" si="10"/>
        <v>8400.1908600000006</v>
      </c>
      <c r="BW40" s="65">
        <f t="shared" si="10"/>
        <v>381119.9669900008</v>
      </c>
      <c r="BX40" s="65">
        <f t="shared" si="10"/>
        <v>12663.664475599246</v>
      </c>
      <c r="BY40" s="65">
        <f t="shared" si="10"/>
        <v>782551.299</v>
      </c>
      <c r="BZ40" s="65">
        <f t="shared" si="10"/>
        <v>2883044.6292600003</v>
      </c>
      <c r="CA40" s="65">
        <f t="shared" si="10"/>
        <v>7055567.7465000004</v>
      </c>
      <c r="CB40" s="65">
        <f t="shared" si="10"/>
        <v>18918.56624</v>
      </c>
      <c r="CC40" s="65">
        <f t="shared" si="10"/>
        <v>894827.47717999981</v>
      </c>
      <c r="CD40" s="65">
        <f t="shared" si="10"/>
        <v>0</v>
      </c>
      <c r="CE40" s="65">
        <f t="shared" si="10"/>
        <v>27059.202000000001</v>
      </c>
      <c r="CF40" s="65">
        <f t="shared" si="10"/>
        <v>511997.48559</v>
      </c>
      <c r="CG40" s="65">
        <f t="shared" si="10"/>
        <v>189284.829</v>
      </c>
      <c r="CH40" s="65">
        <f>+CH39+CH38</f>
        <v>2.9318200000000001</v>
      </c>
      <c r="CI40" s="65">
        <f t="shared" si="10"/>
        <v>932861.46200000006</v>
      </c>
      <c r="CJ40" s="65">
        <f t="shared" si="10"/>
        <v>248565.318</v>
      </c>
      <c r="CK40" s="65">
        <f t="shared" si="10"/>
        <v>0</v>
      </c>
      <c r="CL40" s="65">
        <f t="shared" si="10"/>
        <v>0</v>
      </c>
      <c r="CM40" s="65">
        <f t="shared" si="10"/>
        <v>79545.21415</v>
      </c>
      <c r="CN40" s="65">
        <f t="shared" si="10"/>
        <v>662749.23896999995</v>
      </c>
      <c r="CO40" s="65">
        <f t="shared" si="10"/>
        <v>736440.24131999968</v>
      </c>
      <c r="CP40" s="65">
        <f t="shared" si="10"/>
        <v>9152723.6727600005</v>
      </c>
      <c r="CQ40" s="65">
        <f t="shared" si="10"/>
        <v>377918.49939999997</v>
      </c>
      <c r="CR40" s="65">
        <f t="shared" si="10"/>
        <v>20872.37467999896</v>
      </c>
      <c r="CS40" s="65">
        <f t="shared" si="10"/>
        <v>5000</v>
      </c>
      <c r="CT40" s="65">
        <f t="shared" si="10"/>
        <v>20468.599999999999</v>
      </c>
      <c r="CU40" s="65">
        <f t="shared" si="10"/>
        <v>5000</v>
      </c>
      <c r="CV40" s="65">
        <f t="shared" si="10"/>
        <v>20468.599999999999</v>
      </c>
      <c r="CW40" s="43">
        <f t="shared" si="4"/>
        <v>305217324.68061489</v>
      </c>
    </row>
    <row r="41" spans="2:101" ht="15.75" thickBot="1" x14ac:dyDescent="0.3"/>
    <row r="42" spans="2:101" x14ac:dyDescent="0.25">
      <c r="C42" s="67" t="s">
        <v>130</v>
      </c>
      <c r="D42" s="68">
        <f>+D37+D39</f>
        <v>-96302.168300000005</v>
      </c>
      <c r="E42" s="68">
        <f>+E37+E39</f>
        <v>-4759210.1391000003</v>
      </c>
      <c r="F42" s="69">
        <f>+F37+F39</f>
        <v>4979829.2147899996</v>
      </c>
      <c r="G42" s="88">
        <v>20375.599999999999</v>
      </c>
      <c r="H42" s="88">
        <v>20376.599999999999</v>
      </c>
      <c r="I42" s="88">
        <v>20377.599999999999</v>
      </c>
      <c r="J42" s="88">
        <v>20378.599999999999</v>
      </c>
      <c r="K42" s="88">
        <v>20379.599999999999</v>
      </c>
      <c r="L42" s="88">
        <v>20380.599999999999</v>
      </c>
      <c r="M42" s="88">
        <v>20381.599999999999</v>
      </c>
      <c r="N42" s="88">
        <v>20382.599999999999</v>
      </c>
      <c r="O42" s="88">
        <v>20383.599999999999</v>
      </c>
      <c r="P42" s="88">
        <v>20384.599999999999</v>
      </c>
      <c r="Q42" s="88">
        <v>20385.599999999999</v>
      </c>
      <c r="R42" s="88">
        <v>20386.599999999999</v>
      </c>
      <c r="S42" s="88">
        <v>20387.599999999999</v>
      </c>
      <c r="T42" s="88">
        <v>20388.599999999999</v>
      </c>
      <c r="U42" s="88">
        <v>20389.599999999999</v>
      </c>
      <c r="V42" s="88">
        <v>20390.599999999999</v>
      </c>
      <c r="W42" s="88">
        <v>20391.599999999999</v>
      </c>
      <c r="X42" s="88">
        <v>20392.599999999999</v>
      </c>
      <c r="Y42" s="88">
        <v>20393.599999999999</v>
      </c>
      <c r="Z42" s="88">
        <v>20394.599999999999</v>
      </c>
      <c r="AA42" s="88">
        <v>20395.599999999999</v>
      </c>
      <c r="AB42" s="88">
        <v>20396.599999999999</v>
      </c>
      <c r="AC42" s="88">
        <v>20397.599999999999</v>
      </c>
      <c r="AD42" s="88">
        <v>20398.599999999999</v>
      </c>
      <c r="AE42" s="88">
        <v>20399.599999999999</v>
      </c>
      <c r="AF42" s="88">
        <v>20400.599999999999</v>
      </c>
      <c r="AG42" s="88">
        <v>20401.599999999999</v>
      </c>
      <c r="AH42" s="88">
        <v>20402.599999999999</v>
      </c>
      <c r="AI42" s="88">
        <v>20403.599999999999</v>
      </c>
      <c r="AJ42" s="88">
        <v>20404.599999999999</v>
      </c>
      <c r="AK42" s="88">
        <v>20405.599999999999</v>
      </c>
      <c r="AL42" s="88">
        <v>20406.599999999999</v>
      </c>
      <c r="AM42" s="88">
        <v>20407.599999999999</v>
      </c>
      <c r="AN42" s="88">
        <v>20408.599999999999</v>
      </c>
      <c r="AO42" s="88">
        <v>20409.599999999999</v>
      </c>
      <c r="AP42" s="88">
        <v>20410.599999999999</v>
      </c>
      <c r="AQ42" s="88">
        <v>20411.599999999999</v>
      </c>
      <c r="AR42" s="88">
        <v>20412.599999999999</v>
      </c>
      <c r="AS42" s="88">
        <v>20413.599999999999</v>
      </c>
      <c r="AT42" s="88">
        <v>20414.599999999999</v>
      </c>
      <c r="AU42" s="88">
        <v>20415.599999999999</v>
      </c>
      <c r="AV42" s="88">
        <v>20416.599999999999</v>
      </c>
      <c r="AW42" s="88">
        <v>20417.599999999999</v>
      </c>
      <c r="AX42" s="88">
        <v>20418.599999999999</v>
      </c>
      <c r="AY42" s="88">
        <v>20419.599999999999</v>
      </c>
      <c r="AZ42" s="88">
        <v>20420.599999999999</v>
      </c>
      <c r="BA42" s="88">
        <v>20421.599999999999</v>
      </c>
      <c r="BB42" s="88">
        <v>20422.599999999999</v>
      </c>
      <c r="BC42" s="88">
        <v>20423.599999999999</v>
      </c>
      <c r="BD42" s="88">
        <v>20424.599999999999</v>
      </c>
      <c r="BE42" s="88">
        <v>20425.599999999999</v>
      </c>
      <c r="BF42" s="88">
        <v>20426.599999999999</v>
      </c>
      <c r="BG42" s="88">
        <v>20427.599999999999</v>
      </c>
      <c r="BH42" s="88">
        <v>20428.599999999999</v>
      </c>
      <c r="BI42" s="88">
        <v>20429.599999999999</v>
      </c>
      <c r="BJ42" s="88">
        <v>20430.599999999999</v>
      </c>
      <c r="BK42" s="88">
        <v>20431.599999999999</v>
      </c>
      <c r="BL42" s="88">
        <v>20432.599999999999</v>
      </c>
      <c r="BM42" s="88">
        <v>20433.599999999999</v>
      </c>
      <c r="BN42" s="88">
        <v>20434.599999999999</v>
      </c>
      <c r="BO42" s="88">
        <v>20435.599999999999</v>
      </c>
      <c r="BP42" s="88">
        <v>20436.599999999999</v>
      </c>
      <c r="BQ42" s="88">
        <v>20437.599999999999</v>
      </c>
      <c r="BR42" s="88">
        <v>20438.599999999999</v>
      </c>
      <c r="BS42" s="88">
        <v>20439.599999999999</v>
      </c>
      <c r="BT42" s="88">
        <v>20440.599999999999</v>
      </c>
      <c r="BU42" s="88">
        <v>20441.599999999999</v>
      </c>
      <c r="BV42" s="88">
        <v>20442.599999999999</v>
      </c>
      <c r="BW42" s="88">
        <v>20443.599999999999</v>
      </c>
      <c r="BX42" s="88">
        <v>20444.599999999999</v>
      </c>
      <c r="BY42" s="88">
        <v>20445.599999999999</v>
      </c>
      <c r="BZ42" s="88">
        <v>20446.599999999999</v>
      </c>
      <c r="CA42" s="88">
        <v>20447.599999999999</v>
      </c>
      <c r="CB42" s="88">
        <v>20448.599999999999</v>
      </c>
      <c r="CC42" s="88">
        <v>20449.599999999999</v>
      </c>
      <c r="CD42" s="88">
        <v>20450.599999999999</v>
      </c>
      <c r="CE42" s="88">
        <v>20451.599999999999</v>
      </c>
      <c r="CF42" s="88">
        <v>20452.599999999999</v>
      </c>
      <c r="CG42" s="88">
        <v>20453.599999999999</v>
      </c>
      <c r="CH42" s="88">
        <v>20454.599999999999</v>
      </c>
      <c r="CI42" s="88">
        <v>20455.599999999999</v>
      </c>
      <c r="CJ42" s="88">
        <v>20456.599999999999</v>
      </c>
      <c r="CK42" s="88">
        <v>20457.599999999999</v>
      </c>
      <c r="CL42" s="88">
        <v>20458.599999999999</v>
      </c>
      <c r="CM42" s="88">
        <v>20459.599999999999</v>
      </c>
      <c r="CN42" s="88">
        <v>20460.599999999999</v>
      </c>
      <c r="CO42" s="88">
        <v>20461.599999999999</v>
      </c>
      <c r="CP42" s="88">
        <v>20462.599999999999</v>
      </c>
      <c r="CQ42" s="88">
        <v>20463.599999999999</v>
      </c>
      <c r="CR42" s="88">
        <v>20464.599999999999</v>
      </c>
      <c r="CS42" s="88">
        <v>20465.599999999999</v>
      </c>
      <c r="CT42" s="88">
        <v>20466.599999999999</v>
      </c>
      <c r="CU42" s="88">
        <v>20467.599999999999</v>
      </c>
      <c r="CV42" s="88">
        <v>20468.599999999999</v>
      </c>
    </row>
    <row r="43" spans="2:101" x14ac:dyDescent="0.25">
      <c r="C43" s="70" t="s">
        <v>131</v>
      </c>
      <c r="D43" s="71">
        <v>-96302.16562</v>
      </c>
      <c r="E43" s="71">
        <v>-4759210.1438899999</v>
      </c>
      <c r="F43" s="71">
        <v>4979829.2131899996</v>
      </c>
      <c r="G43" s="66"/>
      <c r="H43" s="66"/>
      <c r="CT43" s="66"/>
      <c r="CU43" s="66"/>
      <c r="CV43" s="66"/>
    </row>
    <row r="44" spans="2:101" ht="15.75" thickBot="1" x14ac:dyDescent="0.3">
      <c r="C44" s="73" t="s">
        <v>132</v>
      </c>
      <c r="D44" s="74">
        <f>+D42-D43</f>
        <v>-2.6800000050570816E-3</v>
      </c>
      <c r="E44" s="74">
        <f>+E42-E43</f>
        <v>4.7899996861815453E-3</v>
      </c>
      <c r="F44" s="75">
        <f>+F42-F43</f>
        <v>1.6000000759959221E-3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</row>
    <row r="45" spans="2:101" x14ac:dyDescent="0.25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</row>
    <row r="46" spans="2:101" x14ac:dyDescent="0.25">
      <c r="D46" s="10">
        <v>9610</v>
      </c>
      <c r="E46" s="10">
        <v>2364750000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2:101" x14ac:dyDescent="0.25">
      <c r="D47" s="10">
        <v>8236</v>
      </c>
      <c r="E47" s="10">
        <v>2742242890</v>
      </c>
      <c r="I47" s="66" t="s">
        <v>133</v>
      </c>
      <c r="AL47" s="76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</row>
    <row r="48" spans="2:101" x14ac:dyDescent="0.25">
      <c r="D48" s="10">
        <v>9594</v>
      </c>
      <c r="E48" s="77">
        <v>1797522541.96</v>
      </c>
      <c r="AL48" s="76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</row>
    <row r="49" spans="2:97" x14ac:dyDescent="0.25">
      <c r="C49" s="78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</row>
    <row r="50" spans="2:97" x14ac:dyDescent="0.25"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/>
    </row>
    <row r="51" spans="2:97" x14ac:dyDescent="0.25">
      <c r="CS51"/>
    </row>
    <row r="52" spans="2:97" x14ac:dyDescent="0.25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/>
    </row>
    <row r="53" spans="2:97" x14ac:dyDescent="0.25">
      <c r="CS53"/>
    </row>
    <row r="54" spans="2:97" x14ac:dyDescent="0.25">
      <c r="CS54"/>
    </row>
    <row r="55" spans="2:97" x14ac:dyDescent="0.25">
      <c r="CS55"/>
    </row>
    <row r="58" spans="2:97" x14ac:dyDescent="0.25">
      <c r="B58" s="66"/>
      <c r="C58" s="66"/>
      <c r="D58" s="66"/>
      <c r="E58" s="66"/>
      <c r="F58" s="66"/>
      <c r="G58" s="66"/>
      <c r="H58" s="66"/>
      <c r="CM58"/>
      <c r="CN58"/>
      <c r="CO58"/>
      <c r="CP58"/>
      <c r="CQ58"/>
      <c r="CR58"/>
    </row>
    <row r="59" spans="2:97" x14ac:dyDescent="0.25">
      <c r="B59" s="66"/>
      <c r="C59" s="66"/>
      <c r="D59" s="66"/>
      <c r="E59" s="66"/>
      <c r="F59" s="66"/>
      <c r="G59" s="66"/>
      <c r="H59" s="66"/>
      <c r="CM59"/>
      <c r="CN59"/>
      <c r="CO59"/>
      <c r="CP59"/>
      <c r="CQ59"/>
      <c r="CR59"/>
    </row>
    <row r="60" spans="2:97" x14ac:dyDescent="0.25">
      <c r="B60" s="66"/>
      <c r="C60" s="66"/>
      <c r="D60" s="66"/>
      <c r="E60" s="66"/>
      <c r="F60" s="66"/>
      <c r="G60" s="66"/>
      <c r="H60" s="66"/>
      <c r="CM60"/>
      <c r="CN60"/>
      <c r="CO60"/>
      <c r="CP60"/>
      <c r="CQ60"/>
      <c r="CR60"/>
    </row>
    <row r="61" spans="2:97" x14ac:dyDescent="0.25">
      <c r="B61" s="66"/>
      <c r="C61" s="66"/>
      <c r="D61" s="66"/>
      <c r="E61" s="66"/>
      <c r="F61" s="66"/>
      <c r="G61" s="66"/>
      <c r="H61" s="66"/>
      <c r="CM61"/>
      <c r="CN61"/>
      <c r="CO61"/>
      <c r="CP61"/>
      <c r="CQ61"/>
      <c r="CR61"/>
    </row>
    <row r="62" spans="2:97" x14ac:dyDescent="0.25">
      <c r="B62" s="66"/>
      <c r="C62" s="66"/>
      <c r="D62" s="66"/>
      <c r="E62" s="66"/>
      <c r="F62" s="66"/>
      <c r="G62" s="66"/>
      <c r="H62" s="66"/>
      <c r="CM62"/>
      <c r="CN62"/>
      <c r="CO62"/>
      <c r="CP62"/>
      <c r="CQ62"/>
      <c r="CR62"/>
    </row>
    <row r="63" spans="2:97" x14ac:dyDescent="0.25">
      <c r="B63" s="66"/>
      <c r="C63" s="66"/>
      <c r="D63" s="66"/>
      <c r="E63" s="66"/>
      <c r="F63" s="66"/>
      <c r="G63" s="66"/>
      <c r="H63" s="66"/>
      <c r="CM63"/>
      <c r="CN63"/>
      <c r="CO63"/>
      <c r="CP63"/>
      <c r="CQ63"/>
      <c r="CR63"/>
    </row>
  </sheetData>
  <mergeCells count="1">
    <mergeCell ref="AP2:AP3"/>
  </mergeCells>
  <pageMargins left="0.7" right="0.7" top="0.75" bottom="0.75" header="0.3" footer="0.3"/>
  <pageSetup orientation="portrait" r:id="rId1"/>
  <customProperties>
    <customPr name="QAA_DRILLPATH_NODE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3"/>
  <sheetViews>
    <sheetView zoomScale="112" zoomScaleNormal="112" workbookViewId="0">
      <selection activeCell="BS5" sqref="BS5"/>
    </sheetView>
  </sheetViews>
  <sheetFormatPr baseColWidth="10" defaultRowHeight="15" outlineLevelCol="2" x14ac:dyDescent="0.25"/>
  <cols>
    <col min="1" max="1" width="8.5703125" style="10" customWidth="1"/>
    <col min="2" max="2" width="10" style="10" bestFit="1" customWidth="1"/>
    <col min="3" max="3" width="43" style="10" bestFit="1" customWidth="1"/>
    <col min="4" max="5" width="19.42578125" style="10" bestFit="1" customWidth="1"/>
    <col min="6" max="6" width="21.85546875" style="10" bestFit="1" customWidth="1"/>
    <col min="7" max="7" width="19.5703125" style="10" customWidth="1" outlineLevel="1"/>
    <col min="8" max="8" width="17.85546875" style="10" customWidth="1" outlineLevel="1"/>
    <col min="9" max="9" width="17.85546875" style="66" bestFit="1" customWidth="1"/>
    <col min="10" max="10" width="17.85546875" style="66" customWidth="1" outlineLevel="2"/>
    <col min="11" max="13" width="16.42578125" style="66" customWidth="1" outlineLevel="2"/>
    <col min="14" max="14" width="18.85546875" style="66" customWidth="1" outlineLevel="2"/>
    <col min="15" max="15" width="21" style="66" customWidth="1" outlineLevel="2"/>
    <col min="16" max="17" width="14.140625" style="66" customWidth="1" outlineLevel="2"/>
    <col min="18" max="18" width="16.42578125" style="66" customWidth="1" outlineLevel="2"/>
    <col min="19" max="25" width="18.42578125" style="66" customWidth="1" outlineLevel="2"/>
    <col min="26" max="26" width="18.85546875" style="66" customWidth="1" outlineLevel="2"/>
    <col min="27" max="27" width="21" style="66" customWidth="1" outlineLevel="2"/>
    <col min="28" max="29" width="14.5703125" style="66" customWidth="1" outlineLevel="2"/>
    <col min="30" max="30" width="16.42578125" style="66" customWidth="1" outlineLevel="2"/>
    <col min="31" max="31" width="18.42578125" style="66" customWidth="1" outlineLevel="2"/>
    <col min="32" max="32" width="18.140625" style="66" customWidth="1" outlineLevel="2"/>
    <col min="33" max="33" width="20.140625" style="66" customWidth="1" outlineLevel="2"/>
    <col min="34" max="37" width="14.5703125" style="66" customWidth="1" outlineLevel="2"/>
    <col min="38" max="38" width="14.42578125" style="66" bestFit="1" customWidth="1"/>
    <col min="39" max="40" width="13.42578125" style="66" bestFit="1" customWidth="1"/>
    <col min="41" max="41" width="12.42578125" style="66" bestFit="1" customWidth="1"/>
    <col min="42" max="42" width="17.140625" style="66" bestFit="1" customWidth="1"/>
    <col min="43" max="43" width="17.140625" style="66" customWidth="1"/>
    <col min="44" max="48" width="17.42578125" style="66" customWidth="1" outlineLevel="1"/>
    <col min="49" max="49" width="15.140625" style="66" customWidth="1" outlineLevel="1"/>
    <col min="50" max="50" width="9.85546875" style="66" customWidth="1" outlineLevel="1"/>
    <col min="51" max="51" width="12.5703125" style="66" customWidth="1" outlineLevel="1"/>
    <col min="52" max="52" width="14.42578125" style="66" customWidth="1" outlineLevel="1"/>
    <col min="53" max="53" width="15.140625" style="66" customWidth="1" outlineLevel="1"/>
    <col min="54" max="55" width="11.85546875" style="66" customWidth="1" outlineLevel="1"/>
    <col min="56" max="56" width="12.5703125" style="66" customWidth="1" outlineLevel="1"/>
    <col min="57" max="59" width="16.5703125" style="66" customWidth="1" outlineLevel="1"/>
    <col min="60" max="60" width="15.140625" style="66" customWidth="1" outlineLevel="1"/>
    <col min="61" max="62" width="13.5703125" style="66" customWidth="1" outlineLevel="1"/>
    <col min="63" max="63" width="14.42578125" style="66" customWidth="1" outlineLevel="1"/>
    <col min="64" max="64" width="19.5703125" style="66" customWidth="1" outlineLevel="1"/>
    <col min="65" max="66" width="17.85546875" style="66" customWidth="1" outlineLevel="1"/>
    <col min="67" max="67" width="12.85546875" style="66" customWidth="1" outlineLevel="1"/>
    <col min="68" max="68" width="13.5703125" style="66" customWidth="1" outlineLevel="1"/>
    <col min="69" max="69" width="18.85546875" style="66" customWidth="1" outlineLevel="1"/>
    <col min="70" max="70" width="20.140625" style="66" customWidth="1" outlineLevel="1"/>
    <col min="71" max="73" width="20.140625" style="66" bestFit="1" customWidth="1"/>
    <col min="74" max="76" width="17.42578125" style="66" bestFit="1" customWidth="1"/>
    <col min="77" max="77" width="15.140625" style="66" bestFit="1" customWidth="1"/>
    <col min="78" max="79" width="14.42578125" style="66" bestFit="1" customWidth="1"/>
    <col min="80" max="80" width="15.140625" style="66" bestFit="1" customWidth="1"/>
    <col min="81" max="82" width="15" style="66" bestFit="1" customWidth="1"/>
    <col min="83" max="83" width="15.140625" style="66" bestFit="1" customWidth="1"/>
    <col min="84" max="84" width="10.42578125" style="66" bestFit="1" customWidth="1"/>
    <col min="85" max="85" width="12.5703125" style="66" bestFit="1" customWidth="1"/>
    <col min="86" max="86" width="16.5703125" style="66" bestFit="1" customWidth="1"/>
    <col min="87" max="88" width="19.7109375" style="66" bestFit="1" customWidth="1"/>
    <col min="89" max="89" width="15.5703125" style="66" customWidth="1"/>
    <col min="90" max="90" width="11.28515625" style="66" customWidth="1"/>
    <col min="91" max="91" width="17.85546875" style="66" bestFit="1" customWidth="1"/>
    <col min="92" max="92" width="14.42578125" style="66" customWidth="1"/>
    <col min="93" max="93" width="14.28515625" style="66" bestFit="1" customWidth="1"/>
    <col min="94" max="95" width="19.7109375" style="66" bestFit="1" customWidth="1"/>
    <col min="96" max="96" width="16.5703125" style="66" bestFit="1" customWidth="1"/>
    <col min="97" max="97" width="22" style="66" bestFit="1" customWidth="1"/>
    <col min="98" max="98" width="12" bestFit="1" customWidth="1"/>
    <col min="99" max="99" width="11.5703125" bestFit="1" customWidth="1"/>
    <col min="100" max="100" width="12" bestFit="1" customWidth="1"/>
    <col min="101" max="101" width="15.28515625" bestFit="1" customWidth="1"/>
  </cols>
  <sheetData>
    <row r="1" spans="1:101" ht="28.5" x14ac:dyDescent="0.45">
      <c r="A1" s="1"/>
      <c r="B1" s="1"/>
      <c r="C1" s="1"/>
      <c r="D1" s="2"/>
      <c r="E1" s="3"/>
      <c r="F1" s="3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5"/>
      <c r="AN1" s="5"/>
      <c r="AO1" s="5"/>
      <c r="AP1" s="5"/>
      <c r="AQ1" s="5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6"/>
      <c r="BM1" s="4"/>
      <c r="BN1" s="4"/>
      <c r="BO1" s="4"/>
      <c r="BP1" s="4"/>
      <c r="BQ1" s="4"/>
      <c r="BR1" s="7"/>
      <c r="BS1" s="7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8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spans="1:101" ht="15" customHeight="1" x14ac:dyDescent="0.25">
      <c r="D2" s="11" t="s">
        <v>0</v>
      </c>
      <c r="E2" s="11" t="s">
        <v>1</v>
      </c>
      <c r="F2" s="11" t="s">
        <v>2</v>
      </c>
      <c r="G2" s="12" t="s">
        <v>3</v>
      </c>
      <c r="H2" s="12" t="s">
        <v>4</v>
      </c>
      <c r="I2" s="13" t="s">
        <v>5</v>
      </c>
      <c r="J2" s="12" t="s">
        <v>6</v>
      </c>
      <c r="K2" s="12" t="s">
        <v>0</v>
      </c>
      <c r="L2" s="12" t="s">
        <v>1</v>
      </c>
      <c r="M2" s="12" t="s">
        <v>2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12" t="s">
        <v>12</v>
      </c>
      <c r="T2" s="16" t="s">
        <v>7</v>
      </c>
      <c r="U2" s="16" t="s">
        <v>8</v>
      </c>
      <c r="V2" s="16" t="s">
        <v>134</v>
      </c>
      <c r="W2" s="16" t="s">
        <v>135</v>
      </c>
      <c r="X2" s="16" t="s">
        <v>11</v>
      </c>
      <c r="Y2" s="16" t="s">
        <v>12</v>
      </c>
      <c r="Z2" s="12" t="s">
        <v>7</v>
      </c>
      <c r="AA2" s="12" t="s">
        <v>8</v>
      </c>
      <c r="AB2" s="12" t="s">
        <v>9</v>
      </c>
      <c r="AC2" s="12" t="s">
        <v>10</v>
      </c>
      <c r="AD2" s="12" t="s">
        <v>11</v>
      </c>
      <c r="AE2" s="12" t="s">
        <v>12</v>
      </c>
      <c r="AF2" s="12" t="s">
        <v>13</v>
      </c>
      <c r="AG2" s="12" t="s">
        <v>14</v>
      </c>
      <c r="AH2" s="12" t="s">
        <v>15</v>
      </c>
      <c r="AI2" s="12" t="s">
        <v>16</v>
      </c>
      <c r="AJ2" s="12" t="s">
        <v>17</v>
      </c>
      <c r="AK2" s="12" t="s">
        <v>18</v>
      </c>
      <c r="AL2" s="14" t="s">
        <v>19</v>
      </c>
      <c r="AM2" s="14" t="s">
        <v>20</v>
      </c>
      <c r="AN2" s="15" t="s">
        <v>21</v>
      </c>
      <c r="AO2" s="15" t="s">
        <v>22</v>
      </c>
      <c r="AP2" s="89" t="s">
        <v>23</v>
      </c>
      <c r="AQ2" s="83"/>
      <c r="AR2" s="16" t="s">
        <v>0</v>
      </c>
      <c r="AS2" s="16" t="s">
        <v>24</v>
      </c>
      <c r="AT2" s="12" t="s">
        <v>5</v>
      </c>
      <c r="AU2" s="12" t="s">
        <v>2</v>
      </c>
      <c r="AV2" s="12" t="s">
        <v>19</v>
      </c>
      <c r="AW2" s="12" t="s">
        <v>0</v>
      </c>
      <c r="AX2" s="12" t="s">
        <v>24</v>
      </c>
      <c r="AY2" s="12" t="s">
        <v>2</v>
      </c>
      <c r="AZ2" s="12" t="s">
        <v>19</v>
      </c>
      <c r="BA2" s="12" t="s">
        <v>0</v>
      </c>
      <c r="BB2" s="12" t="s">
        <v>24</v>
      </c>
      <c r="BC2" s="12" t="s">
        <v>5</v>
      </c>
      <c r="BD2" s="12" t="s">
        <v>2</v>
      </c>
      <c r="BE2" s="12" t="s">
        <v>0</v>
      </c>
      <c r="BF2" s="12" t="s">
        <v>24</v>
      </c>
      <c r="BG2" s="17" t="s">
        <v>2</v>
      </c>
      <c r="BH2" s="17" t="s">
        <v>0</v>
      </c>
      <c r="BI2" s="17" t="s">
        <v>24</v>
      </c>
      <c r="BJ2" s="17" t="s">
        <v>2</v>
      </c>
      <c r="BK2" s="17" t="s">
        <v>19</v>
      </c>
      <c r="BL2" s="18" t="s">
        <v>3</v>
      </c>
      <c r="BM2" s="18" t="s">
        <v>4</v>
      </c>
      <c r="BN2" s="18" t="s">
        <v>6</v>
      </c>
      <c r="BO2" s="18" t="s">
        <v>25</v>
      </c>
      <c r="BP2" s="18" t="s">
        <v>26</v>
      </c>
      <c r="BQ2" s="18" t="s">
        <v>27</v>
      </c>
      <c r="BR2" s="14" t="s">
        <v>28</v>
      </c>
      <c r="BS2" s="14" t="s">
        <v>10</v>
      </c>
      <c r="BT2" s="14" t="s">
        <v>29</v>
      </c>
      <c r="BU2" s="14" t="s">
        <v>12</v>
      </c>
      <c r="BV2" s="14" t="s">
        <v>0</v>
      </c>
      <c r="BW2" s="14" t="s">
        <v>1</v>
      </c>
      <c r="BX2" s="14" t="s">
        <v>2</v>
      </c>
      <c r="BY2" s="14" t="s">
        <v>0</v>
      </c>
      <c r="BZ2" s="14" t="s">
        <v>1</v>
      </c>
      <c r="CA2" s="14" t="s">
        <v>2</v>
      </c>
      <c r="CB2" s="14" t="s">
        <v>0</v>
      </c>
      <c r="CC2" s="14" t="s">
        <v>1</v>
      </c>
      <c r="CD2" s="14" t="s">
        <v>2</v>
      </c>
      <c r="CE2" s="14" t="s">
        <v>0</v>
      </c>
      <c r="CF2" s="14" t="s">
        <v>1</v>
      </c>
      <c r="CG2" s="14" t="s">
        <v>2</v>
      </c>
      <c r="CH2" s="14" t="s">
        <v>2</v>
      </c>
      <c r="CI2" s="14" t="s">
        <v>1</v>
      </c>
      <c r="CJ2" s="14" t="s">
        <v>2</v>
      </c>
      <c r="CK2" s="14" t="s">
        <v>1</v>
      </c>
      <c r="CL2" s="14" t="s">
        <v>1</v>
      </c>
      <c r="CM2" s="14" t="s">
        <v>1</v>
      </c>
      <c r="CN2" s="14" t="s">
        <v>1</v>
      </c>
      <c r="CO2" s="14" t="s">
        <v>1</v>
      </c>
      <c r="CP2" s="14" t="s">
        <v>1</v>
      </c>
      <c r="CQ2" s="14" t="s">
        <v>1</v>
      </c>
      <c r="CR2" s="19" t="s">
        <v>30</v>
      </c>
      <c r="CS2" s="85" t="s">
        <v>136</v>
      </c>
      <c r="CT2" s="85" t="s">
        <v>135</v>
      </c>
      <c r="CU2" s="85" t="s">
        <v>29</v>
      </c>
      <c r="CV2" s="85" t="s">
        <v>12</v>
      </c>
      <c r="CW2" s="20" t="s">
        <v>31</v>
      </c>
    </row>
    <row r="3" spans="1:101" ht="60" x14ac:dyDescent="0.25">
      <c r="D3" s="21" t="s">
        <v>32</v>
      </c>
      <c r="E3" s="21" t="s">
        <v>32</v>
      </c>
      <c r="F3" s="21" t="s">
        <v>32</v>
      </c>
      <c r="G3" s="22" t="s">
        <v>32</v>
      </c>
      <c r="H3" s="22" t="s">
        <v>32</v>
      </c>
      <c r="I3" s="23" t="s">
        <v>32</v>
      </c>
      <c r="J3" s="22" t="s">
        <v>32</v>
      </c>
      <c r="K3" s="22" t="s">
        <v>33</v>
      </c>
      <c r="L3" s="22" t="s">
        <v>33</v>
      </c>
      <c r="M3" s="22" t="s">
        <v>33</v>
      </c>
      <c r="N3" s="22" t="s">
        <v>34</v>
      </c>
      <c r="O3" s="22" t="s">
        <v>34</v>
      </c>
      <c r="P3" s="22" t="s">
        <v>34</v>
      </c>
      <c r="Q3" s="22" t="s">
        <v>34</v>
      </c>
      <c r="R3" s="22" t="s">
        <v>34</v>
      </c>
      <c r="S3" s="22" t="s">
        <v>34</v>
      </c>
      <c r="T3" s="24" t="s">
        <v>137</v>
      </c>
      <c r="U3" s="24" t="s">
        <v>137</v>
      </c>
      <c r="V3" s="24" t="s">
        <v>137</v>
      </c>
      <c r="W3" s="24" t="s">
        <v>137</v>
      </c>
      <c r="X3" s="24" t="s">
        <v>137</v>
      </c>
      <c r="Y3" s="24" t="s">
        <v>137</v>
      </c>
      <c r="Z3" s="22" t="s">
        <v>35</v>
      </c>
      <c r="AA3" s="22" t="s">
        <v>35</v>
      </c>
      <c r="AB3" s="22" t="s">
        <v>35</v>
      </c>
      <c r="AC3" s="22" t="s">
        <v>35</v>
      </c>
      <c r="AD3" s="22" t="s">
        <v>35</v>
      </c>
      <c r="AE3" s="22" t="s">
        <v>35</v>
      </c>
      <c r="AF3" s="22" t="s">
        <v>35</v>
      </c>
      <c r="AG3" s="22" t="s">
        <v>35</v>
      </c>
      <c r="AH3" s="22" t="s">
        <v>35</v>
      </c>
      <c r="AI3" s="22" t="s">
        <v>35</v>
      </c>
      <c r="AJ3" s="22" t="s">
        <v>35</v>
      </c>
      <c r="AK3" s="22" t="s">
        <v>35</v>
      </c>
      <c r="AL3" s="23" t="s">
        <v>36</v>
      </c>
      <c r="AM3" s="23" t="s">
        <v>36</v>
      </c>
      <c r="AN3" s="23"/>
      <c r="AO3" s="23"/>
      <c r="AP3" s="90"/>
      <c r="AQ3" s="84" t="s">
        <v>37</v>
      </c>
      <c r="AR3" s="24" t="s">
        <v>38</v>
      </c>
      <c r="AS3" s="24" t="s">
        <v>38</v>
      </c>
      <c r="AT3" s="22" t="s">
        <v>38</v>
      </c>
      <c r="AU3" s="22" t="s">
        <v>38</v>
      </c>
      <c r="AV3" s="22" t="s">
        <v>38</v>
      </c>
      <c r="AW3" s="22" t="s">
        <v>39</v>
      </c>
      <c r="AX3" s="22" t="s">
        <v>39</v>
      </c>
      <c r="AY3" s="22" t="s">
        <v>39</v>
      </c>
      <c r="AZ3" s="22" t="s">
        <v>39</v>
      </c>
      <c r="BA3" s="22" t="s">
        <v>40</v>
      </c>
      <c r="BB3" s="22" t="s">
        <v>40</v>
      </c>
      <c r="BC3" s="22" t="s">
        <v>40</v>
      </c>
      <c r="BD3" s="22" t="s">
        <v>40</v>
      </c>
      <c r="BE3" s="22" t="s">
        <v>41</v>
      </c>
      <c r="BF3" s="22" t="s">
        <v>41</v>
      </c>
      <c r="BG3" s="22" t="s">
        <v>41</v>
      </c>
      <c r="BH3" s="22" t="s">
        <v>42</v>
      </c>
      <c r="BI3" s="22" t="s">
        <v>42</v>
      </c>
      <c r="BJ3" s="22" t="s">
        <v>42</v>
      </c>
      <c r="BK3" s="22" t="s">
        <v>42</v>
      </c>
      <c r="BL3" s="24" t="s">
        <v>32</v>
      </c>
      <c r="BM3" s="24" t="s">
        <v>32</v>
      </c>
      <c r="BN3" s="24" t="s">
        <v>32</v>
      </c>
      <c r="BO3" s="25" t="s">
        <v>4</v>
      </c>
      <c r="BP3" s="25" t="s">
        <v>4</v>
      </c>
      <c r="BQ3" s="25" t="s">
        <v>4</v>
      </c>
      <c r="BR3" s="84" t="s">
        <v>43</v>
      </c>
      <c r="BS3" s="84" t="s">
        <v>43</v>
      </c>
      <c r="BT3" s="84" t="s">
        <v>43</v>
      </c>
      <c r="BU3" s="84" t="s">
        <v>43</v>
      </c>
      <c r="BV3" s="84" t="s">
        <v>38</v>
      </c>
      <c r="BW3" s="84" t="s">
        <v>38</v>
      </c>
      <c r="BX3" s="84" t="s">
        <v>38</v>
      </c>
      <c r="BY3" s="84" t="s">
        <v>42</v>
      </c>
      <c r="BZ3" s="84" t="s">
        <v>42</v>
      </c>
      <c r="CA3" s="84" t="s">
        <v>42</v>
      </c>
      <c r="CB3" s="84" t="s">
        <v>44</v>
      </c>
      <c r="CC3" s="84" t="s">
        <v>44</v>
      </c>
      <c r="CD3" s="84" t="s">
        <v>44</v>
      </c>
      <c r="CE3" s="84" t="s">
        <v>45</v>
      </c>
      <c r="CF3" s="84" t="s">
        <v>45</v>
      </c>
      <c r="CG3" s="84" t="s">
        <v>45</v>
      </c>
      <c r="CH3" s="84" t="s">
        <v>41</v>
      </c>
      <c r="CI3" s="84" t="s">
        <v>46</v>
      </c>
      <c r="CJ3" s="84" t="s">
        <v>46</v>
      </c>
      <c r="CK3" s="26" t="s">
        <v>47</v>
      </c>
      <c r="CL3" s="26" t="s">
        <v>47</v>
      </c>
      <c r="CM3" s="26" t="s">
        <v>32</v>
      </c>
      <c r="CN3" s="26" t="s">
        <v>42</v>
      </c>
      <c r="CO3" s="26" t="s">
        <v>48</v>
      </c>
      <c r="CP3" s="26" t="s">
        <v>46</v>
      </c>
      <c r="CQ3" s="26" t="s">
        <v>46</v>
      </c>
      <c r="CR3" s="86" t="s">
        <v>49</v>
      </c>
      <c r="CS3" s="87" t="s">
        <v>138</v>
      </c>
      <c r="CT3" s="87" t="s">
        <v>138</v>
      </c>
      <c r="CU3" s="87" t="s">
        <v>138</v>
      </c>
      <c r="CV3" s="87" t="s">
        <v>138</v>
      </c>
      <c r="CW3" s="27"/>
    </row>
    <row r="4" spans="1:101" x14ac:dyDescent="0.25">
      <c r="A4" s="28"/>
      <c r="B4" s="29" t="s">
        <v>50</v>
      </c>
      <c r="C4" s="30" t="s">
        <v>51</v>
      </c>
      <c r="D4" s="31" t="s">
        <v>52</v>
      </c>
      <c r="E4" s="31" t="s">
        <v>53</v>
      </c>
      <c r="F4" s="31" t="s">
        <v>54</v>
      </c>
      <c r="G4" s="32">
        <v>482800001265</v>
      </c>
      <c r="H4" s="32">
        <v>482800001273</v>
      </c>
      <c r="I4" s="32">
        <v>482800002024</v>
      </c>
      <c r="J4" s="32">
        <v>482800001257</v>
      </c>
      <c r="K4" s="32" t="s">
        <v>55</v>
      </c>
      <c r="L4" s="32" t="s">
        <v>56</v>
      </c>
      <c r="M4" s="32" t="s">
        <v>57</v>
      </c>
      <c r="N4" s="32">
        <v>36203301</v>
      </c>
      <c r="O4" s="32">
        <v>36203301</v>
      </c>
      <c r="P4" s="32">
        <v>36203328</v>
      </c>
      <c r="Q4" s="32">
        <v>36203328</v>
      </c>
      <c r="R4" s="32">
        <v>36025015</v>
      </c>
      <c r="S4" s="32">
        <v>36025015</v>
      </c>
      <c r="T4" s="32"/>
      <c r="U4" s="32"/>
      <c r="V4" s="32"/>
      <c r="W4" s="32"/>
      <c r="X4" s="32"/>
      <c r="Y4" s="32"/>
      <c r="Z4" s="32">
        <v>865784010</v>
      </c>
      <c r="AA4" s="32">
        <v>865784010</v>
      </c>
      <c r="AB4" s="32">
        <v>865804010</v>
      </c>
      <c r="AC4" s="32">
        <v>865804010</v>
      </c>
      <c r="AD4" s="32">
        <v>865794010</v>
      </c>
      <c r="AE4" s="32">
        <v>865794010</v>
      </c>
      <c r="AF4" s="32" t="s">
        <v>58</v>
      </c>
      <c r="AG4" s="32" t="s">
        <v>58</v>
      </c>
      <c r="AH4" s="32" t="s">
        <v>59</v>
      </c>
      <c r="AI4" s="32" t="s">
        <v>59</v>
      </c>
      <c r="AJ4" s="32" t="s">
        <v>60</v>
      </c>
      <c r="AK4" s="32" t="s">
        <v>60</v>
      </c>
      <c r="AL4" s="33"/>
      <c r="AM4" s="33"/>
      <c r="AN4" s="33"/>
      <c r="AO4" s="33"/>
      <c r="AP4" s="33"/>
      <c r="AQ4" s="33">
        <v>3642</v>
      </c>
      <c r="AR4" s="33" t="s">
        <v>61</v>
      </c>
      <c r="AS4" s="33" t="s">
        <v>62</v>
      </c>
      <c r="AT4" s="33" t="s">
        <v>63</v>
      </c>
      <c r="AU4" s="33" t="s">
        <v>64</v>
      </c>
      <c r="AV4" s="33" t="s">
        <v>65</v>
      </c>
      <c r="AW4" s="33" t="s">
        <v>66</v>
      </c>
      <c r="AX4" s="33" t="s">
        <v>67</v>
      </c>
      <c r="AY4" s="33" t="s">
        <v>68</v>
      </c>
      <c r="AZ4" s="33" t="s">
        <v>69</v>
      </c>
      <c r="BA4" s="33" t="s">
        <v>70</v>
      </c>
      <c r="BB4" s="33" t="s">
        <v>71</v>
      </c>
      <c r="BC4" s="33" t="s">
        <v>72</v>
      </c>
      <c r="BD4" s="33" t="s">
        <v>73</v>
      </c>
      <c r="BE4" s="33" t="s">
        <v>74</v>
      </c>
      <c r="BF4" s="33" t="s">
        <v>75</v>
      </c>
      <c r="BG4" s="33" t="s">
        <v>76</v>
      </c>
      <c r="BH4" s="33" t="s">
        <v>77</v>
      </c>
      <c r="BI4" s="33" t="s">
        <v>78</v>
      </c>
      <c r="BJ4" s="33" t="s">
        <v>79</v>
      </c>
      <c r="BK4" s="33" t="s">
        <v>80</v>
      </c>
      <c r="BL4" s="34">
        <v>482800007882</v>
      </c>
      <c r="BM4" s="34">
        <v>482800007908</v>
      </c>
      <c r="BN4" s="34">
        <v>482800007890</v>
      </c>
      <c r="BO4" s="34">
        <v>482800010001</v>
      </c>
      <c r="BP4" s="34">
        <v>482800010019</v>
      </c>
      <c r="BQ4" s="34">
        <v>482800010027</v>
      </c>
      <c r="BR4" s="33">
        <v>36024995</v>
      </c>
      <c r="BS4" s="33">
        <v>36024995</v>
      </c>
      <c r="BT4" s="33">
        <v>36903922</v>
      </c>
      <c r="BU4" s="33">
        <v>36903922</v>
      </c>
      <c r="BV4" s="33">
        <v>36294346</v>
      </c>
      <c r="BW4" s="33" t="s">
        <v>81</v>
      </c>
      <c r="BX4" s="33">
        <v>36294353</v>
      </c>
      <c r="BY4" s="33" t="s">
        <v>82</v>
      </c>
      <c r="BZ4" s="33" t="s">
        <v>83</v>
      </c>
      <c r="CA4" s="33" t="s">
        <v>84</v>
      </c>
      <c r="CB4" s="33" t="s">
        <v>85</v>
      </c>
      <c r="CC4" s="33" t="s">
        <v>86</v>
      </c>
      <c r="CD4" s="33" t="s">
        <v>87</v>
      </c>
      <c r="CE4" s="33" t="s">
        <v>88</v>
      </c>
      <c r="CF4" s="33" t="s">
        <v>89</v>
      </c>
      <c r="CG4" s="33" t="s">
        <v>90</v>
      </c>
      <c r="CH4" s="33" t="s">
        <v>91</v>
      </c>
      <c r="CI4" s="33">
        <v>221816614</v>
      </c>
      <c r="CJ4" s="33">
        <v>221816598</v>
      </c>
      <c r="CK4" s="33">
        <v>60193029</v>
      </c>
      <c r="CL4" s="33">
        <v>60193401</v>
      </c>
      <c r="CM4" s="33">
        <v>1011143807</v>
      </c>
      <c r="CN4" s="33">
        <v>4801736642</v>
      </c>
      <c r="CO4" s="33">
        <v>65005340</v>
      </c>
      <c r="CP4" s="33">
        <v>288086051</v>
      </c>
      <c r="CQ4" s="33">
        <v>288049109</v>
      </c>
      <c r="CR4" s="33">
        <v>411166042</v>
      </c>
      <c r="CS4" s="33">
        <v>865804015</v>
      </c>
      <c r="CT4" s="33">
        <v>865804015</v>
      </c>
      <c r="CU4" s="33">
        <v>865794015</v>
      </c>
      <c r="CV4" s="33">
        <v>865794015</v>
      </c>
      <c r="CW4" s="35"/>
    </row>
    <row r="5" spans="1:101" x14ac:dyDescent="0.25">
      <c r="B5" s="36"/>
      <c r="C5" s="37" t="s">
        <v>92</v>
      </c>
      <c r="D5" s="38"/>
      <c r="E5" s="38" t="s">
        <v>93</v>
      </c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9"/>
      <c r="AI5" s="39"/>
      <c r="AJ5" s="39"/>
      <c r="AK5" s="39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>
        <v>4.1727600000000002</v>
      </c>
      <c r="BT5" s="37"/>
      <c r="BU5" s="37">
        <f>+BS5</f>
        <v>4.1727600000000002</v>
      </c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40"/>
    </row>
    <row r="6" spans="1:101" x14ac:dyDescent="0.25">
      <c r="B6" s="36"/>
      <c r="C6" s="37" t="s">
        <v>94</v>
      </c>
      <c r="D6" s="37">
        <f>+D7-D8</f>
        <v>-17714.383850000566</v>
      </c>
      <c r="E6" s="37">
        <f>+E7-E8</f>
        <v>620532.05827545747</v>
      </c>
      <c r="F6" s="37">
        <f>+F7-F8</f>
        <v>242463.79832848907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9"/>
      <c r="AI6" s="39"/>
      <c r="AJ6" s="39"/>
      <c r="AK6" s="39"/>
      <c r="AL6" s="37">
        <f t="shared" ref="AL6:BQ6" si="0">+AL7-AL8</f>
        <v>-6569.4774100757204</v>
      </c>
      <c r="AM6" s="37">
        <f t="shared" si="0"/>
        <v>13084.277026467025</v>
      </c>
      <c r="AN6" s="37">
        <f t="shared" si="0"/>
        <v>276209.88477999903</v>
      </c>
      <c r="AO6" s="37">
        <f t="shared" si="0"/>
        <v>220425.30264856026</v>
      </c>
      <c r="AP6" s="37">
        <f t="shared" si="0"/>
        <v>942703.18343624659</v>
      </c>
      <c r="AQ6" s="37">
        <f t="shared" si="0"/>
        <v>2681537.6395678394</v>
      </c>
      <c r="AR6" s="37">
        <f t="shared" si="0"/>
        <v>0</v>
      </c>
      <c r="AS6" s="37">
        <f t="shared" si="0"/>
        <v>0</v>
      </c>
      <c r="AT6" s="37">
        <f t="shared" si="0"/>
        <v>0</v>
      </c>
      <c r="AU6" s="37">
        <f t="shared" si="0"/>
        <v>0</v>
      </c>
      <c r="AV6" s="37">
        <f t="shared" si="0"/>
        <v>0</v>
      </c>
      <c r="AW6" s="37">
        <f t="shared" si="0"/>
        <v>0</v>
      </c>
      <c r="AX6" s="37">
        <f t="shared" si="0"/>
        <v>0</v>
      </c>
      <c r="AY6" s="37">
        <f t="shared" si="0"/>
        <v>0</v>
      </c>
      <c r="AZ6" s="37">
        <f t="shared" si="0"/>
        <v>0</v>
      </c>
      <c r="BA6" s="37">
        <f t="shared" si="0"/>
        <v>0</v>
      </c>
      <c r="BB6" s="37">
        <f t="shared" si="0"/>
        <v>0</v>
      </c>
      <c r="BC6" s="37">
        <f t="shared" si="0"/>
        <v>0</v>
      </c>
      <c r="BD6" s="37">
        <f t="shared" si="0"/>
        <v>0</v>
      </c>
      <c r="BE6" s="37">
        <f t="shared" si="0"/>
        <v>0</v>
      </c>
      <c r="BF6" s="37">
        <f t="shared" si="0"/>
        <v>0</v>
      </c>
      <c r="BG6" s="37">
        <f t="shared" si="0"/>
        <v>0</v>
      </c>
      <c r="BH6" s="37">
        <f t="shared" si="0"/>
        <v>0</v>
      </c>
      <c r="BI6" s="37">
        <f t="shared" si="0"/>
        <v>0</v>
      </c>
      <c r="BJ6" s="37">
        <f t="shared" si="0"/>
        <v>0</v>
      </c>
      <c r="BK6" s="37">
        <f t="shared" si="0"/>
        <v>0</v>
      </c>
      <c r="BL6" s="37">
        <f t="shared" si="0"/>
        <v>0</v>
      </c>
      <c r="BM6" s="37">
        <f t="shared" si="0"/>
        <v>0</v>
      </c>
      <c r="BN6" s="37">
        <f t="shared" si="0"/>
        <v>0</v>
      </c>
      <c r="BO6" s="37">
        <f t="shared" si="0"/>
        <v>0</v>
      </c>
      <c r="BP6" s="37">
        <f t="shared" si="0"/>
        <v>0</v>
      </c>
      <c r="BQ6" s="37">
        <f t="shared" si="0"/>
        <v>0</v>
      </c>
      <c r="BR6" s="37"/>
      <c r="BS6" s="37"/>
      <c r="BT6" s="37"/>
      <c r="BU6" s="37"/>
      <c r="BV6" s="37">
        <f>+BV7-BV8-422.17</f>
        <v>-422.17</v>
      </c>
      <c r="BW6" s="37">
        <f t="shared" ref="BW6:CR6" si="1">+BW7-BW8</f>
        <v>0</v>
      </c>
      <c r="BX6" s="37">
        <f t="shared" si="1"/>
        <v>0</v>
      </c>
      <c r="BY6" s="37">
        <f t="shared" si="1"/>
        <v>-3001.5979999999981</v>
      </c>
      <c r="BZ6" s="37">
        <f t="shared" si="1"/>
        <v>2935.9195599998347</v>
      </c>
      <c r="CA6" s="37">
        <f t="shared" si="1"/>
        <v>77929.908520000055</v>
      </c>
      <c r="CB6" s="37">
        <f t="shared" si="1"/>
        <v>-2.4000000121304765E-4</v>
      </c>
      <c r="CC6" s="37">
        <f t="shared" si="1"/>
        <v>-4.1799998143687844E-3</v>
      </c>
      <c r="CD6" s="37">
        <f>+[1]Otrosbancos!$O$29</f>
        <v>0</v>
      </c>
      <c r="CE6" s="37">
        <f t="shared" si="1"/>
        <v>0</v>
      </c>
      <c r="CF6" s="37">
        <f t="shared" si="1"/>
        <v>0</v>
      </c>
      <c r="CG6" s="37">
        <f t="shared" si="1"/>
        <v>2886.3809999999939</v>
      </c>
      <c r="CH6" s="37">
        <f t="shared" si="1"/>
        <v>0</v>
      </c>
      <c r="CI6" s="37">
        <f t="shared" si="1"/>
        <v>5159.3499999999767</v>
      </c>
      <c r="CJ6" s="37">
        <f t="shared" si="1"/>
        <v>24560.795000000013</v>
      </c>
      <c r="CK6" s="37">
        <f t="shared" si="1"/>
        <v>0</v>
      </c>
      <c r="CL6" s="37">
        <f t="shared" si="1"/>
        <v>0</v>
      </c>
      <c r="CM6" s="37">
        <f t="shared" si="1"/>
        <v>-1.4999999257270247E-4</v>
      </c>
      <c r="CN6" s="37">
        <f t="shared" si="1"/>
        <v>-2.9699999140575528E-3</v>
      </c>
      <c r="CO6" s="37">
        <f t="shared" si="1"/>
        <v>4.6400002902373672E-3</v>
      </c>
      <c r="CP6" s="37">
        <f t="shared" si="1"/>
        <v>-2.7600005269050598E-3</v>
      </c>
      <c r="CQ6" s="37">
        <f t="shared" si="1"/>
        <v>216.65003000001889</v>
      </c>
      <c r="CR6" s="37">
        <f t="shared" si="1"/>
        <v>-6.7999896054971032E-4</v>
      </c>
      <c r="CS6" s="37">
        <f>+CS7-CS8</f>
        <v>-5000</v>
      </c>
      <c r="CT6" s="37">
        <f>+CT7-CT8</f>
        <v>-20468.599999999999</v>
      </c>
      <c r="CU6" s="37">
        <f>+CU7-CU8</f>
        <v>-5000</v>
      </c>
      <c r="CV6" s="37">
        <f>+CV7-CV8</f>
        <v>-20468.599999999999</v>
      </c>
      <c r="CW6" s="37"/>
    </row>
    <row r="7" spans="1:101" x14ac:dyDescent="0.25">
      <c r="A7" s="41"/>
      <c r="B7" s="42"/>
      <c r="C7" s="43" t="s">
        <v>95</v>
      </c>
      <c r="D7" s="43">
        <f>+'[1]Cap,Bol,Cls'!$O$4</f>
        <v>437436.50624999998</v>
      </c>
      <c r="E7" s="43">
        <f>+'[1]Cap,Bol,Cls'!$O$13</f>
        <v>16955838.661389999</v>
      </c>
      <c r="F7" s="43">
        <f>+'[1]Cap,Bol,Cls'!$O$30</f>
        <v>9502125.7183999997</v>
      </c>
      <c r="G7" s="43">
        <f>+G8</f>
        <v>0</v>
      </c>
      <c r="H7" s="43">
        <f>+H8</f>
        <v>0</v>
      </c>
      <c r="I7" s="43">
        <f>+'[1]Cap,Bol,Cls'!$O$24</f>
        <v>112979.13226</v>
      </c>
      <c r="J7" s="43">
        <f>+J8</f>
        <v>0</v>
      </c>
      <c r="K7" s="43">
        <f>+K8</f>
        <v>162804.97405614308</v>
      </c>
      <c r="L7" s="43">
        <f>+L8</f>
        <v>201815.41280399042</v>
      </c>
      <c r="M7" s="43">
        <f>+M8</f>
        <v>100572.03154486651</v>
      </c>
      <c r="N7" s="43">
        <f>+N8</f>
        <v>177310.5199999999</v>
      </c>
      <c r="O7" s="43">
        <f t="shared" ref="O7:AK7" si="2">+O8</f>
        <v>743248.15264999995</v>
      </c>
      <c r="P7" s="43">
        <f t="shared" si="2"/>
        <v>18282843.280000009</v>
      </c>
      <c r="Q7" s="43">
        <f t="shared" si="2"/>
        <v>109573060.98347989</v>
      </c>
      <c r="R7" s="43">
        <f t="shared" si="2"/>
        <v>294483.12</v>
      </c>
      <c r="S7" s="43">
        <f t="shared" si="2"/>
        <v>1562757.3593312989</v>
      </c>
      <c r="T7" s="43"/>
      <c r="U7" s="43"/>
      <c r="V7" s="43"/>
      <c r="W7" s="43"/>
      <c r="X7" s="43"/>
      <c r="Y7" s="43"/>
      <c r="Z7" s="43">
        <f t="shared" si="2"/>
        <v>9662.5274983807467</v>
      </c>
      <c r="AA7" s="43">
        <f t="shared" si="2"/>
        <v>40503.29</v>
      </c>
      <c r="AB7" s="43">
        <f t="shared" si="2"/>
        <v>7542.7499999967404</v>
      </c>
      <c r="AC7" s="43">
        <f t="shared" si="2"/>
        <v>31617.62</v>
      </c>
      <c r="AD7" s="43">
        <f t="shared" si="2"/>
        <v>5155</v>
      </c>
      <c r="AE7" s="43">
        <f t="shared" si="2"/>
        <v>21608.68</v>
      </c>
      <c r="AF7" s="43">
        <f t="shared" si="2"/>
        <v>7956.8699999451637</v>
      </c>
      <c r="AG7" s="43">
        <f t="shared" si="2"/>
        <v>33353.53</v>
      </c>
      <c r="AH7" s="43">
        <f t="shared" si="2"/>
        <v>195459.03999999719</v>
      </c>
      <c r="AI7" s="43">
        <f t="shared" si="2"/>
        <v>819134.7964617</v>
      </c>
      <c r="AJ7" s="43">
        <f t="shared" si="2"/>
        <v>673596.71999999823</v>
      </c>
      <c r="AK7" s="43">
        <f t="shared" si="2"/>
        <v>2823324.1679230896</v>
      </c>
      <c r="AL7" s="43">
        <f>+[1]Inversoras!$O$56</f>
        <v>3141536.1514599998</v>
      </c>
      <c r="AM7" s="43">
        <f>+[1]Inversoras!$O$57</f>
        <v>59339753.856630005</v>
      </c>
      <c r="AN7" s="43">
        <f>+[1]Inversoras!$O$58</f>
        <v>6754553.1573200002</v>
      </c>
      <c r="AO7" s="43">
        <f>+[1]Inversoras!$O$59</f>
        <v>1043224.82023</v>
      </c>
      <c r="AP7" s="43">
        <f>+[1]Inversoras!$O$60</f>
        <v>9253761.2913900018</v>
      </c>
      <c r="AQ7" s="43">
        <f>+[1]Inversoras!$O$61</f>
        <v>3301395.3858400001</v>
      </c>
      <c r="AR7" s="43">
        <f>+AR8</f>
        <v>33752.683643993005</v>
      </c>
      <c r="AS7" s="43">
        <f t="shared" ref="AS7:BQ7" si="3">+AS8</f>
        <v>6.2719079996137461</v>
      </c>
      <c r="AT7" s="43">
        <f t="shared" si="3"/>
        <v>11.210432002509913</v>
      </c>
      <c r="AU7" s="43">
        <f t="shared" si="3"/>
        <v>70709.869203997281</v>
      </c>
      <c r="AV7" s="43">
        <f t="shared" si="3"/>
        <v>523662.90839880263</v>
      </c>
      <c r="AW7" s="43">
        <f t="shared" si="3"/>
        <v>85667.9885699968</v>
      </c>
      <c r="AX7" s="43">
        <f t="shared" si="3"/>
        <v>1041.3974240010875</v>
      </c>
      <c r="AY7" s="43">
        <f t="shared" si="3"/>
        <v>59646.012311997983</v>
      </c>
      <c r="AZ7" s="43">
        <f t="shared" si="3"/>
        <v>23267.345377323236</v>
      </c>
      <c r="BA7" s="43">
        <f t="shared" si="3"/>
        <v>202416.75572400691</v>
      </c>
      <c r="BB7" s="43">
        <f t="shared" si="3"/>
        <v>70095.760219991149</v>
      </c>
      <c r="BC7" s="43">
        <f t="shared" si="3"/>
        <v>267392.29484799865</v>
      </c>
      <c r="BD7" s="43">
        <f t="shared" si="3"/>
        <v>17084.553599989831</v>
      </c>
      <c r="BE7" s="43">
        <f t="shared" si="3"/>
        <v>256586.81289368056</v>
      </c>
      <c r="BF7" s="43">
        <f t="shared" si="3"/>
        <v>321949.5492303599</v>
      </c>
      <c r="BG7" s="43">
        <f t="shared" si="3"/>
        <v>35109.232018882758</v>
      </c>
      <c r="BH7" s="43">
        <f t="shared" si="3"/>
        <v>27273.514880002102</v>
      </c>
      <c r="BI7" s="43">
        <f t="shared" si="3"/>
        <v>630661.83776839031</v>
      </c>
      <c r="BJ7" s="43">
        <f t="shared" si="3"/>
        <v>197783.28604456017</v>
      </c>
      <c r="BK7" s="43">
        <f t="shared" si="3"/>
        <v>3408870.6208220124</v>
      </c>
      <c r="BL7" s="43">
        <f t="shared" si="3"/>
        <v>112973.78186244606</v>
      </c>
      <c r="BM7" s="43">
        <f t="shared" si="3"/>
        <v>1071033.240627151</v>
      </c>
      <c r="BN7" s="43">
        <f t="shared" si="3"/>
        <v>23209453.712957378</v>
      </c>
      <c r="BO7" s="43">
        <f t="shared" si="3"/>
        <v>3.4691202304202307E-3</v>
      </c>
      <c r="BP7" s="43">
        <f t="shared" si="3"/>
        <v>255.77414932906547</v>
      </c>
      <c r="BQ7" s="43">
        <f t="shared" si="3"/>
        <v>4.0128798844989433E-3</v>
      </c>
      <c r="BR7" s="43">
        <f>+[1]Otrosbancos!$O$49</f>
        <v>645623.82000000007</v>
      </c>
      <c r="BS7" s="43">
        <f>+BS8</f>
        <v>2662944.0693795886</v>
      </c>
      <c r="BT7" s="43">
        <f>+[1]Otrosbancos!$O$51</f>
        <v>1087022.54</v>
      </c>
      <c r="BU7" s="43">
        <f>+BU8</f>
        <v>4529252.830922991</v>
      </c>
      <c r="BV7" s="43">
        <f>+BV8+BV5</f>
        <v>8400.1908600000006</v>
      </c>
      <c r="BW7" s="43">
        <f>+BW8+BW5</f>
        <v>381119.9669900008</v>
      </c>
      <c r="BX7" s="43">
        <f>+BX8+BX5</f>
        <v>12663.664475599246</v>
      </c>
      <c r="BY7" s="43">
        <f>+[1]Otrosbancos!$O$5</f>
        <v>779549.701</v>
      </c>
      <c r="BZ7" s="43">
        <f>+[1]Otrosbancos!$O$10</f>
        <v>2885980.5488200001</v>
      </c>
      <c r="CA7" s="43">
        <f>+[1]Otrosbancos!$O$15</f>
        <v>7133497.6550200004</v>
      </c>
      <c r="CB7" s="43">
        <f>+[1]Otrosbancos!$O$23</f>
        <v>18918.565999999999</v>
      </c>
      <c r="CC7" s="43">
        <f>+[1]Otrosbancos!$O$26</f>
        <v>894827.473</v>
      </c>
      <c r="CD7" s="43">
        <f>+[1]Otrosbancos!$O$29</f>
        <v>0</v>
      </c>
      <c r="CE7" s="43">
        <f>+[1]Otrosbancos!$O$33</f>
        <v>27059.202000000001</v>
      </c>
      <c r="CF7" s="43">
        <f>+[1]Otrosbancos!$O$37</f>
        <v>511997.48559</v>
      </c>
      <c r="CG7" s="43">
        <f>+[1]Otrosbancos!$O$41</f>
        <v>192171.21</v>
      </c>
      <c r="CH7" s="43">
        <f>+[1]Otrosbancos!$O$46</f>
        <v>2.9318200000000001</v>
      </c>
      <c r="CI7" s="43">
        <f>+[1]Otrosbancos!$O$54</f>
        <v>938020.81200000003</v>
      </c>
      <c r="CJ7" s="43">
        <f>+[1]Otrosbancos!$O$56</f>
        <v>273126.11300000001</v>
      </c>
      <c r="CK7" s="43">
        <f>+[1]Liberty!$O$3</f>
        <v>0</v>
      </c>
      <c r="CL7" s="43">
        <f>+[1]Liberty!$O$4</f>
        <v>0</v>
      </c>
      <c r="CM7" s="43">
        <f>+[1]Liberty!$O$6</f>
        <v>79545.214000000007</v>
      </c>
      <c r="CN7" s="43">
        <f>+[1]Liberty!$O$8</f>
        <v>662749.23600000003</v>
      </c>
      <c r="CO7" s="43">
        <f>+[1]Liberty!$O$10</f>
        <v>736440.24595999997</v>
      </c>
      <c r="CP7" s="43">
        <f>+[1]Liberty!$O$12</f>
        <v>9152723.6699999999</v>
      </c>
      <c r="CQ7" s="43">
        <f>+[1]Liberty!$O$13</f>
        <v>378135.14942999999</v>
      </c>
      <c r="CR7" s="43">
        <f>+[1]Otrosbancos!$O$58</f>
        <v>20872.374</v>
      </c>
      <c r="CS7" s="43">
        <v>0</v>
      </c>
      <c r="CT7" s="43">
        <v>0</v>
      </c>
      <c r="CU7" s="43">
        <v>0</v>
      </c>
      <c r="CV7" s="43">
        <v>0</v>
      </c>
      <c r="CW7" s="43">
        <f>SUM(D7:CV7)</f>
        <v>310249766.59958559</v>
      </c>
    </row>
    <row r="8" spans="1:101" x14ac:dyDescent="0.25">
      <c r="A8" s="41"/>
      <c r="B8" s="44" t="s">
        <v>96</v>
      </c>
      <c r="C8" s="45" t="s">
        <v>97</v>
      </c>
      <c r="D8" s="45">
        <f>+'May, 20'!D40</f>
        <v>455150.89010000054</v>
      </c>
      <c r="E8" s="45">
        <f>+'May, 20'!E40</f>
        <v>16335306.603114542</v>
      </c>
      <c r="F8" s="45">
        <f>+'May, 20'!F40</f>
        <v>9259661.9200715106</v>
      </c>
      <c r="G8" s="45">
        <f>+'May, 20'!G40</f>
        <v>0</v>
      </c>
      <c r="H8" s="45">
        <f>+'May, 20'!H40</f>
        <v>0</v>
      </c>
      <c r="I8" s="45">
        <f>+'May, 20'!I40</f>
        <v>112959.69492999424</v>
      </c>
      <c r="J8" s="45">
        <f>+'May, 20'!J40</f>
        <v>0</v>
      </c>
      <c r="K8" s="45">
        <f>+'May, 20'!K40</f>
        <v>162804.97405614308</v>
      </c>
      <c r="L8" s="45">
        <f>+'May, 20'!L40</f>
        <v>201815.41280399042</v>
      </c>
      <c r="M8" s="45">
        <f>+'May, 20'!M40</f>
        <v>100572.03154486651</v>
      </c>
      <c r="N8" s="45">
        <f>+'May, 20'!N40</f>
        <v>177310.5199999999</v>
      </c>
      <c r="O8" s="45">
        <f>+'May, 20'!O40</f>
        <v>743248.15264999995</v>
      </c>
      <c r="P8" s="45">
        <f>+'May, 20'!P40</f>
        <v>18282843.280000009</v>
      </c>
      <c r="Q8" s="45">
        <f>+'May, 20'!Q40</f>
        <v>109573060.98347989</v>
      </c>
      <c r="R8" s="45">
        <f>+'May, 20'!R40</f>
        <v>294483.12</v>
      </c>
      <c r="S8" s="45">
        <f>+'May, 20'!S40</f>
        <v>1562757.3593312989</v>
      </c>
      <c r="T8" s="45">
        <f>+'May, 20'!T40</f>
        <v>0</v>
      </c>
      <c r="U8" s="45">
        <f>+'May, 20'!U40</f>
        <v>0</v>
      </c>
      <c r="V8" s="45">
        <f>+'May, 20'!V40</f>
        <v>0</v>
      </c>
      <c r="W8" s="45">
        <f>+'May, 20'!W40</f>
        <v>0</v>
      </c>
      <c r="X8" s="45">
        <f>+'May, 20'!X40</f>
        <v>0</v>
      </c>
      <c r="Y8" s="45">
        <f>+'May, 20'!Y40</f>
        <v>0</v>
      </c>
      <c r="Z8" s="45">
        <f>+'May, 20'!Z40</f>
        <v>9662.5274983807467</v>
      </c>
      <c r="AA8" s="45">
        <f>+'May, 20'!AA40</f>
        <v>40503.29</v>
      </c>
      <c r="AB8" s="45">
        <f>+'May, 20'!AB40</f>
        <v>7542.7499999967404</v>
      </c>
      <c r="AC8" s="45">
        <f>+'May, 20'!AC40</f>
        <v>31617.62</v>
      </c>
      <c r="AD8" s="45">
        <f>+'May, 20'!AD40</f>
        <v>5155</v>
      </c>
      <c r="AE8" s="45">
        <f>+'May, 20'!AE40</f>
        <v>21608.68</v>
      </c>
      <c r="AF8" s="45">
        <f>+'May, 20'!AF40</f>
        <v>7956.8699999451637</v>
      </c>
      <c r="AG8" s="45">
        <f>+'May, 20'!AG40</f>
        <v>33353.53</v>
      </c>
      <c r="AH8" s="45">
        <f>+'May, 20'!AH40</f>
        <v>195459.03999999719</v>
      </c>
      <c r="AI8" s="45">
        <f>+'May, 20'!AI40</f>
        <v>819134.7964617</v>
      </c>
      <c r="AJ8" s="45">
        <f>+'May, 20'!AJ40</f>
        <v>673596.71999999823</v>
      </c>
      <c r="AK8" s="45">
        <f>+'May, 20'!AK40</f>
        <v>2823324.1679230896</v>
      </c>
      <c r="AL8" s="45">
        <f>+'May, 20'!AL40</f>
        <v>3148105.6288700756</v>
      </c>
      <c r="AM8" s="45">
        <f>+'May, 20'!AM40</f>
        <v>59326669.579603538</v>
      </c>
      <c r="AN8" s="45">
        <f>+'May, 20'!AN40</f>
        <v>6478343.2725400012</v>
      </c>
      <c r="AO8" s="45">
        <f>+'May, 20'!AO40</f>
        <v>822799.51758143969</v>
      </c>
      <c r="AP8" s="45">
        <f>+'May, 20'!AP40</f>
        <v>8311058.1079537552</v>
      </c>
      <c r="AQ8" s="45">
        <f>+'May, 20'!AQ40</f>
        <v>619857.74627216067</v>
      </c>
      <c r="AR8" s="45">
        <f>+'May, 20'!AR40</f>
        <v>33752.683643993005</v>
      </c>
      <c r="AS8" s="45">
        <f>+'May, 20'!AS40</f>
        <v>6.2719079996137461</v>
      </c>
      <c r="AT8" s="45">
        <f>+'May, 20'!AT40</f>
        <v>11.210432002509913</v>
      </c>
      <c r="AU8" s="45">
        <f>+'May, 20'!AU40</f>
        <v>70709.869203997281</v>
      </c>
      <c r="AV8" s="45">
        <f>+'May, 20'!AV40</f>
        <v>523662.90839880263</v>
      </c>
      <c r="AW8" s="45">
        <f>+'May, 20'!AW40</f>
        <v>85667.9885699968</v>
      </c>
      <c r="AX8" s="45">
        <f>+'May, 20'!AX40</f>
        <v>1041.3974240010875</v>
      </c>
      <c r="AY8" s="45">
        <f>+'May, 20'!AY40</f>
        <v>59646.012311997983</v>
      </c>
      <c r="AZ8" s="45">
        <f>+'May, 20'!AZ40</f>
        <v>23267.345377323236</v>
      </c>
      <c r="BA8" s="45">
        <f>+'May, 20'!BA40</f>
        <v>202416.75572400691</v>
      </c>
      <c r="BB8" s="45">
        <f>+'May, 20'!BB40</f>
        <v>70095.760219991149</v>
      </c>
      <c r="BC8" s="45">
        <f>+'May, 20'!BC40</f>
        <v>267392.29484799865</v>
      </c>
      <c r="BD8" s="45">
        <f>+'May, 20'!BD40</f>
        <v>17084.553599989831</v>
      </c>
      <c r="BE8" s="45">
        <f>+'May, 20'!BE40</f>
        <v>256586.81289368056</v>
      </c>
      <c r="BF8" s="45">
        <f>+'May, 20'!BF40</f>
        <v>321949.5492303599</v>
      </c>
      <c r="BG8" s="45">
        <f>+'May, 20'!BG40</f>
        <v>35109.232018882758</v>
      </c>
      <c r="BH8" s="45">
        <f>+'May, 20'!BH40</f>
        <v>27273.514880002102</v>
      </c>
      <c r="BI8" s="45">
        <f>+'May, 20'!BI40</f>
        <v>630661.83776839031</v>
      </c>
      <c r="BJ8" s="45">
        <f>+'May, 20'!BJ40</f>
        <v>197783.28604456017</v>
      </c>
      <c r="BK8" s="45">
        <f>+'May, 20'!BK40</f>
        <v>3408870.6208220124</v>
      </c>
      <c r="BL8" s="45">
        <f>+'May, 20'!BL40</f>
        <v>112973.78186244606</v>
      </c>
      <c r="BM8" s="45">
        <f>+'May, 20'!BM40</f>
        <v>1071033.240627151</v>
      </c>
      <c r="BN8" s="45">
        <f>+'May, 20'!BN40</f>
        <v>23209453.712957378</v>
      </c>
      <c r="BO8" s="45">
        <f>+'May, 20'!BO40</f>
        <v>3.4691202304202307E-3</v>
      </c>
      <c r="BP8" s="45">
        <f>+'May, 20'!BP40</f>
        <v>255.77414932906547</v>
      </c>
      <c r="BQ8" s="45">
        <f>+'May, 20'!BQ40</f>
        <v>4.0128798844989433E-3</v>
      </c>
      <c r="BR8" s="45">
        <f>+'May, 20'!BR40</f>
        <v>645623.81600000313</v>
      </c>
      <c r="BS8" s="45">
        <f>+'May, 20'!BS40</f>
        <v>2662944.0693795886</v>
      </c>
      <c r="BT8" s="45">
        <f>+'May, 20'!BT40</f>
        <v>1087022.5449320192</v>
      </c>
      <c r="BU8" s="45">
        <f>+'May, 20'!BU40</f>
        <v>4529252.830922991</v>
      </c>
      <c r="BV8" s="45">
        <f>+'May, 20'!BV40</f>
        <v>8400.1908600000006</v>
      </c>
      <c r="BW8" s="45">
        <f>+'May, 20'!BW40</f>
        <v>381119.9669900008</v>
      </c>
      <c r="BX8" s="45">
        <f>+'May, 20'!BX40</f>
        <v>12663.664475599246</v>
      </c>
      <c r="BY8" s="45">
        <f>+'May, 20'!BY40</f>
        <v>782551.299</v>
      </c>
      <c r="BZ8" s="45">
        <f>+'May, 20'!BZ40</f>
        <v>2883044.6292600003</v>
      </c>
      <c r="CA8" s="45">
        <f>+'May, 20'!CA40</f>
        <v>7055567.7465000004</v>
      </c>
      <c r="CB8" s="45">
        <f>+'May, 20'!CB40</f>
        <v>18918.56624</v>
      </c>
      <c r="CC8" s="45">
        <f>+'May, 20'!CC40</f>
        <v>894827.47717999981</v>
      </c>
      <c r="CD8" s="45">
        <f>+'May, 20'!CD40</f>
        <v>0</v>
      </c>
      <c r="CE8" s="45">
        <f>+'May, 20'!CE40</f>
        <v>27059.202000000001</v>
      </c>
      <c r="CF8" s="45">
        <f>+'May, 20'!CF40</f>
        <v>511997.48559</v>
      </c>
      <c r="CG8" s="45">
        <f>+'May, 20'!CG40</f>
        <v>189284.829</v>
      </c>
      <c r="CH8" s="45">
        <f>+'May, 20'!CH40</f>
        <v>2.9318200000000001</v>
      </c>
      <c r="CI8" s="45">
        <f>+'May, 20'!CI40</f>
        <v>932861.46200000006</v>
      </c>
      <c r="CJ8" s="45">
        <f>+'May, 20'!CJ40</f>
        <v>248565.318</v>
      </c>
      <c r="CK8" s="45">
        <f>+'May, 20'!CK40</f>
        <v>0</v>
      </c>
      <c r="CL8" s="45">
        <f>+'May, 20'!CL40</f>
        <v>0</v>
      </c>
      <c r="CM8" s="45">
        <f>+'May, 20'!CM40</f>
        <v>79545.21415</v>
      </c>
      <c r="CN8" s="45">
        <f>+'May, 20'!CN40</f>
        <v>662749.23896999995</v>
      </c>
      <c r="CO8" s="45">
        <f>+'May, 20'!CO40</f>
        <v>736440.24131999968</v>
      </c>
      <c r="CP8" s="45">
        <f>+'May, 20'!CP40</f>
        <v>9152723.6727600005</v>
      </c>
      <c r="CQ8" s="45">
        <f>+'May, 20'!CQ40</f>
        <v>377918.49939999997</v>
      </c>
      <c r="CR8" s="45">
        <f>+'May, 20'!CR40</f>
        <v>20872.37467999896</v>
      </c>
      <c r="CS8" s="45">
        <f>+'May, 20'!CS40</f>
        <v>5000</v>
      </c>
      <c r="CT8" s="45">
        <f>+'May, 20'!CT40</f>
        <v>20468.599999999999</v>
      </c>
      <c r="CU8" s="45">
        <f>+'May, 20'!CU40</f>
        <v>5000</v>
      </c>
      <c r="CV8" s="45">
        <f>+'May, 20'!CV40</f>
        <v>20468.599999999999</v>
      </c>
      <c r="CW8" s="43">
        <f t="shared" ref="CW8:CW40" si="4">SUM(D8:CV8)</f>
        <v>305217324.68061489</v>
      </c>
    </row>
    <row r="9" spans="1:101" x14ac:dyDescent="0.25">
      <c r="B9" s="46" t="s">
        <v>96</v>
      </c>
      <c r="C9" s="47" t="s">
        <v>98</v>
      </c>
      <c r="D9" s="47">
        <v>2700</v>
      </c>
      <c r="E9" s="48">
        <v>12677369.33265</v>
      </c>
      <c r="F9" s="48">
        <v>16753233.35723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>
        <v>3445.326</v>
      </c>
      <c r="BX9" s="47"/>
      <c r="BY9" s="47">
        <f>IF(BY6&gt;0,BY6,0)</f>
        <v>0</v>
      </c>
      <c r="BZ9" s="47">
        <f>IF(BZ6&gt;0,BZ6,0)</f>
        <v>2935.9195599998347</v>
      </c>
      <c r="CA9" s="47">
        <f>IF(CA6&gt;0,CA6,0)</f>
        <v>77929.908520000055</v>
      </c>
      <c r="CB9" s="47"/>
      <c r="CC9" s="47">
        <v>1445.903</v>
      </c>
      <c r="CD9" s="47"/>
      <c r="CE9" s="47">
        <f>IF(CE6&gt;0,CE6,0)</f>
        <v>0</v>
      </c>
      <c r="CF9" s="47">
        <f>IF(CF6&gt;0,CF6,0)</f>
        <v>0</v>
      </c>
      <c r="CG9" s="47">
        <f>IF(CG6&gt;0,CG6,0)</f>
        <v>2886.3809999999939</v>
      </c>
      <c r="CH9" s="47"/>
      <c r="CI9" s="47">
        <f>IF(CI6&gt;0,CI6,0)</f>
        <v>5159.3499999999767</v>
      </c>
      <c r="CJ9" s="47">
        <f>IF(CJ6&gt;0,CJ6,0)</f>
        <v>24560.795000000013</v>
      </c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3">
        <f t="shared" si="4"/>
        <v>29551666.272960007</v>
      </c>
    </row>
    <row r="10" spans="1:101" x14ac:dyDescent="0.25">
      <c r="B10" s="46" t="s">
        <v>99</v>
      </c>
      <c r="C10" s="47" t="s">
        <v>100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>
        <v>-10.776999999999999</v>
      </c>
      <c r="BX10" s="47"/>
      <c r="BY10" s="47">
        <f>IF(BY6&lt;0,BY6,0)</f>
        <v>-3001.5979999999981</v>
      </c>
      <c r="BZ10" s="47">
        <f>IF(BZ6&lt;0,BZ6,0)</f>
        <v>0</v>
      </c>
      <c r="CA10" s="47">
        <f>IF(CA6&lt;0,CA6,0)</f>
        <v>0</v>
      </c>
      <c r="CB10" s="47"/>
      <c r="CC10" s="47"/>
      <c r="CD10" s="47"/>
      <c r="CE10" s="47">
        <f>IF(CE6&lt;0,CE6,0)</f>
        <v>0</v>
      </c>
      <c r="CF10" s="47">
        <f>IF(CF6&lt;0,CF6,0)</f>
        <v>0</v>
      </c>
      <c r="CG10" s="47">
        <f>IF(CG6&lt;0,CG6,0)</f>
        <v>0</v>
      </c>
      <c r="CH10" s="47"/>
      <c r="CI10" s="47">
        <f>IF(CI6&lt;0,CI6,0)</f>
        <v>0</v>
      </c>
      <c r="CJ10" s="47">
        <f>IF(CJ6&lt;0,CJ6,0)</f>
        <v>0</v>
      </c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3">
        <f t="shared" si="4"/>
        <v>-3012.3749999999982</v>
      </c>
    </row>
    <row r="11" spans="1:101" x14ac:dyDescent="0.25">
      <c r="A11" s="41"/>
      <c r="B11" s="49" t="s">
        <v>99</v>
      </c>
      <c r="C11" s="50" t="s">
        <v>101</v>
      </c>
      <c r="D11" s="50">
        <v>-1940.50108</v>
      </c>
      <c r="E11" s="50">
        <v>-42663.953899997701</v>
      </c>
      <c r="F11" s="50">
        <v>-8840.3344499988598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>
        <f>+[1]Otrosbancos!$O$6+[1]Otrosbancos!$O$7</f>
        <v>-9891.3269999999993</v>
      </c>
      <c r="BZ11" s="50">
        <f>+[1]Otrosbancos!$O$11+[1]Otrosbancos!$O$12</f>
        <v>-5298836.6399999997</v>
      </c>
      <c r="CA11" s="50">
        <f>+[1]Otrosbancos!$O$16+[1]Otrosbancos!$O$17</f>
        <v>-2582752.227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43">
        <f t="shared" si="4"/>
        <v>-7944924.9834299963</v>
      </c>
    </row>
    <row r="12" spans="1:101" x14ac:dyDescent="0.25">
      <c r="B12" s="46" t="s">
        <v>96</v>
      </c>
      <c r="C12" s="47" t="s">
        <v>102</v>
      </c>
      <c r="D12" s="47"/>
      <c r="E12" s="47">
        <f>1481143.303-1481143.303</f>
        <v>0</v>
      </c>
      <c r="F12" s="47">
        <f>4010434.93-4010434.93</f>
        <v>0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1"/>
      <c r="AS12" s="51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3">
        <f t="shared" si="4"/>
        <v>0</v>
      </c>
    </row>
    <row r="13" spans="1:101" x14ac:dyDescent="0.25">
      <c r="B13" s="46" t="s">
        <v>96</v>
      </c>
      <c r="C13" s="47" t="s">
        <v>103</v>
      </c>
      <c r="D13" s="47"/>
      <c r="E13" s="47">
        <f>1481143.303-295218.528</f>
        <v>1185924.7750000001</v>
      </c>
      <c r="F13" s="47">
        <f>4010434.93-828743.133</f>
        <v>3181691.7970000003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51"/>
      <c r="AS13" s="51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3">
        <f t="shared" si="4"/>
        <v>4367616.5720000006</v>
      </c>
    </row>
    <row r="14" spans="1:101" x14ac:dyDescent="0.25">
      <c r="B14" s="46" t="s">
        <v>96</v>
      </c>
      <c r="C14" s="47" t="s">
        <v>104</v>
      </c>
      <c r="D14" s="47"/>
      <c r="E14" s="47"/>
      <c r="F14" s="47">
        <v>38174.909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51"/>
      <c r="AS14" s="51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3">
        <f t="shared" si="4"/>
        <v>38174.909</v>
      </c>
    </row>
    <row r="15" spans="1:101" x14ac:dyDescent="0.25">
      <c r="B15" s="46" t="s">
        <v>96</v>
      </c>
      <c r="C15" s="47" t="s">
        <v>105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51"/>
      <c r="AS15" s="51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3">
        <f t="shared" si="4"/>
        <v>0</v>
      </c>
    </row>
    <row r="16" spans="1:101" x14ac:dyDescent="0.25">
      <c r="B16" s="46" t="s">
        <v>96</v>
      </c>
      <c r="C16" s="47" t="s">
        <v>106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51"/>
      <c r="AS16" s="51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3">
        <f t="shared" si="4"/>
        <v>0</v>
      </c>
    </row>
    <row r="17" spans="1:101" x14ac:dyDescent="0.25">
      <c r="B17" s="46" t="s">
        <v>99</v>
      </c>
      <c r="C17" s="47" t="s">
        <v>107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51"/>
      <c r="AS17" s="51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3">
        <f t="shared" si="4"/>
        <v>0</v>
      </c>
    </row>
    <row r="18" spans="1:101" x14ac:dyDescent="0.25">
      <c r="B18" s="46" t="s">
        <v>96</v>
      </c>
      <c r="C18" s="47" t="s">
        <v>108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1"/>
      <c r="AS18" s="51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3">
        <f t="shared" si="4"/>
        <v>0</v>
      </c>
    </row>
    <row r="19" spans="1:101" x14ac:dyDescent="0.25">
      <c r="B19" s="46" t="s">
        <v>99</v>
      </c>
      <c r="C19" s="47" t="s">
        <v>109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51"/>
      <c r="AS19" s="51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3">
        <f t="shared" si="4"/>
        <v>0</v>
      </c>
    </row>
    <row r="20" spans="1:101" x14ac:dyDescent="0.25">
      <c r="B20" s="46" t="s">
        <v>99</v>
      </c>
      <c r="C20" s="47" t="s">
        <v>110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51"/>
      <c r="AS20" s="51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3">
        <f t="shared" si="4"/>
        <v>0</v>
      </c>
    </row>
    <row r="21" spans="1:101" x14ac:dyDescent="0.25">
      <c r="B21" s="46" t="s">
        <v>96</v>
      </c>
      <c r="C21" s="47" t="s">
        <v>111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51"/>
      <c r="AS21" s="51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3">
        <f t="shared" si="4"/>
        <v>0</v>
      </c>
    </row>
    <row r="22" spans="1:101" x14ac:dyDescent="0.25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51"/>
      <c r="AS22" s="51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3">
        <f t="shared" si="4"/>
        <v>0</v>
      </c>
    </row>
    <row r="23" spans="1:101" x14ac:dyDescent="0.25">
      <c r="B23" s="46" t="s">
        <v>99</v>
      </c>
      <c r="C23" s="47" t="s">
        <v>112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51"/>
      <c r="AS23" s="51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3">
        <f t="shared" si="4"/>
        <v>0</v>
      </c>
    </row>
    <row r="24" spans="1:101" x14ac:dyDescent="0.25">
      <c r="B24" s="46" t="s">
        <v>99</v>
      </c>
      <c r="C24" s="47" t="s">
        <v>113</v>
      </c>
      <c r="D24" s="47"/>
      <c r="E24" s="47">
        <f>-4270.5-2847-12811.5-5694-7117.5-21352.5-34007.372</f>
        <v>-88100.372000000003</v>
      </c>
      <c r="F24" s="47">
        <f>-7117.5-1423.5-1423.5-1-1423.5-7117.5-1423.5-5694-1423.5-1423.5-12811.5-16772.17</f>
        <v>-58054.67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51"/>
      <c r="AS24" s="51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3">
        <f t="shared" si="4"/>
        <v>-146155.04200000002</v>
      </c>
    </row>
    <row r="25" spans="1:101" x14ac:dyDescent="0.25">
      <c r="A25" s="41"/>
      <c r="B25" s="52" t="s">
        <v>99</v>
      </c>
      <c r="C25" s="53" t="s">
        <v>114</v>
      </c>
      <c r="D25" s="53">
        <v>-31280.932150000001</v>
      </c>
      <c r="E25" s="53">
        <f>-3207589.93542+295218.528</f>
        <v>-2912371.4074200001</v>
      </c>
      <c r="F25" s="53">
        <f>-14898143.63792+828743.133-2448.77</f>
        <v>-14071849.27492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43">
        <f t="shared" si="4"/>
        <v>-17015501.614489999</v>
      </c>
    </row>
    <row r="26" spans="1:101" x14ac:dyDescent="0.25">
      <c r="B26" s="46"/>
      <c r="C26" s="47" t="s">
        <v>115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51"/>
      <c r="AS26" s="51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3">
        <f t="shared" si="4"/>
        <v>0</v>
      </c>
    </row>
    <row r="27" spans="1:101" x14ac:dyDescent="0.25">
      <c r="B27" s="46" t="s">
        <v>99</v>
      </c>
      <c r="C27" s="47" t="s">
        <v>116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51"/>
      <c r="AS27" s="51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3">
        <f t="shared" si="4"/>
        <v>0</v>
      </c>
    </row>
    <row r="28" spans="1:101" x14ac:dyDescent="0.25">
      <c r="B28" s="47" t="s">
        <v>99</v>
      </c>
      <c r="C28" s="47" t="s">
        <v>117</v>
      </c>
      <c r="D28" s="48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51"/>
      <c r="AS28" s="51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3">
        <f t="shared" si="4"/>
        <v>0</v>
      </c>
    </row>
    <row r="29" spans="1:101" x14ac:dyDescent="0.25">
      <c r="B29" s="47"/>
      <c r="C29" s="47" t="s">
        <v>118</v>
      </c>
      <c r="D29" s="48"/>
      <c r="E29" s="47">
        <v>13683.377</v>
      </c>
      <c r="F29" s="47">
        <v>4601.4279999999999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51"/>
      <c r="AS29" s="51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3">
        <f t="shared" si="4"/>
        <v>18284.805</v>
      </c>
    </row>
    <row r="30" spans="1:101" x14ac:dyDescent="0.25">
      <c r="B30" s="47"/>
      <c r="C30" s="47" t="s">
        <v>119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51"/>
      <c r="AS30" s="51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3">
        <f t="shared" si="4"/>
        <v>0</v>
      </c>
    </row>
    <row r="31" spans="1:101" x14ac:dyDescent="0.25">
      <c r="B31" s="47" t="s">
        <v>99</v>
      </c>
      <c r="C31" s="47" t="s">
        <v>120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51"/>
      <c r="AS31" s="51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3">
        <f t="shared" si="4"/>
        <v>0</v>
      </c>
    </row>
    <row r="32" spans="1:101" x14ac:dyDescent="0.25">
      <c r="B32" s="47" t="s">
        <v>99</v>
      </c>
      <c r="C32" s="47" t="s">
        <v>121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51"/>
      <c r="AS32" s="51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3">
        <f t="shared" si="4"/>
        <v>0</v>
      </c>
    </row>
    <row r="33" spans="2:101" x14ac:dyDescent="0.25">
      <c r="B33" s="47" t="s">
        <v>99</v>
      </c>
      <c r="C33" s="47" t="s">
        <v>122</v>
      </c>
      <c r="D33" s="47"/>
      <c r="E33" s="47">
        <f>-7505376-566606-226689-149079</f>
        <v>-8447750</v>
      </c>
      <c r="F33" s="47">
        <f>-6260-446757-101372</f>
        <v>-554389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51"/>
      <c r="AS33" s="51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3">
        <f t="shared" si="4"/>
        <v>-9002139</v>
      </c>
    </row>
    <row r="34" spans="2:101" x14ac:dyDescent="0.25">
      <c r="B34" s="54" t="s">
        <v>99</v>
      </c>
      <c r="C34" s="55" t="s">
        <v>123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43">
        <f t="shared" si="4"/>
        <v>0</v>
      </c>
    </row>
    <row r="35" spans="2:101" x14ac:dyDescent="0.25">
      <c r="B35" s="54" t="s">
        <v>99</v>
      </c>
      <c r="C35" s="55" t="s">
        <v>124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43">
        <f t="shared" si="4"/>
        <v>0</v>
      </c>
    </row>
    <row r="36" spans="2:101" ht="15.75" thickBot="1" x14ac:dyDescent="0.3">
      <c r="B36" s="56"/>
      <c r="C36" s="57" t="s">
        <v>125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43">
        <f t="shared" si="4"/>
        <v>0</v>
      </c>
    </row>
    <row r="37" spans="2:101" x14ac:dyDescent="0.25">
      <c r="B37" s="58"/>
      <c r="C37" s="59" t="s">
        <v>126</v>
      </c>
      <c r="D37" s="59">
        <f>SUM(D9:D36)</f>
        <v>-30521.433230000002</v>
      </c>
      <c r="E37" s="59">
        <f>SUM(E9:E36)</f>
        <v>2386091.7513300031</v>
      </c>
      <c r="F37" s="59">
        <f>SUM(F9:F35)</f>
        <v>5284568.2118600002</v>
      </c>
      <c r="G37" s="59">
        <f t="shared" ref="G37:BR37" si="5">SUM(G9:G36)</f>
        <v>0</v>
      </c>
      <c r="H37" s="59">
        <f t="shared" si="5"/>
        <v>0</v>
      </c>
      <c r="I37" s="59">
        <f t="shared" si="5"/>
        <v>0</v>
      </c>
      <c r="J37" s="59">
        <f t="shared" si="5"/>
        <v>0</v>
      </c>
      <c r="K37" s="59">
        <f t="shared" si="5"/>
        <v>0</v>
      </c>
      <c r="L37" s="59">
        <f t="shared" si="5"/>
        <v>0</v>
      </c>
      <c r="M37" s="59">
        <f t="shared" si="5"/>
        <v>0</v>
      </c>
      <c r="N37" s="59">
        <f t="shared" si="5"/>
        <v>0</v>
      </c>
      <c r="O37" s="59">
        <f t="shared" si="5"/>
        <v>0</v>
      </c>
      <c r="P37" s="59">
        <f t="shared" si="5"/>
        <v>0</v>
      </c>
      <c r="Q37" s="59">
        <f t="shared" si="5"/>
        <v>0</v>
      </c>
      <c r="R37" s="59">
        <f t="shared" si="5"/>
        <v>0</v>
      </c>
      <c r="S37" s="59">
        <f t="shared" si="5"/>
        <v>0</v>
      </c>
      <c r="T37" s="59">
        <f t="shared" si="5"/>
        <v>0</v>
      </c>
      <c r="U37" s="59">
        <f t="shared" si="5"/>
        <v>0</v>
      </c>
      <c r="V37" s="59">
        <f t="shared" si="5"/>
        <v>0</v>
      </c>
      <c r="W37" s="59">
        <f t="shared" si="5"/>
        <v>0</v>
      </c>
      <c r="X37" s="59">
        <f t="shared" si="5"/>
        <v>0</v>
      </c>
      <c r="Y37" s="59">
        <f t="shared" si="5"/>
        <v>0</v>
      </c>
      <c r="Z37" s="59">
        <f t="shared" si="5"/>
        <v>0</v>
      </c>
      <c r="AA37" s="59">
        <f t="shared" si="5"/>
        <v>0</v>
      </c>
      <c r="AB37" s="59">
        <f t="shared" si="5"/>
        <v>0</v>
      </c>
      <c r="AC37" s="59">
        <f t="shared" si="5"/>
        <v>0</v>
      </c>
      <c r="AD37" s="59">
        <f t="shared" si="5"/>
        <v>0</v>
      </c>
      <c r="AE37" s="59">
        <f t="shared" si="5"/>
        <v>0</v>
      </c>
      <c r="AF37" s="59">
        <f t="shared" si="5"/>
        <v>0</v>
      </c>
      <c r="AG37" s="59">
        <f t="shared" si="5"/>
        <v>0</v>
      </c>
      <c r="AH37" s="59">
        <f t="shared" si="5"/>
        <v>0</v>
      </c>
      <c r="AI37" s="59">
        <f t="shared" si="5"/>
        <v>0</v>
      </c>
      <c r="AJ37" s="59">
        <f t="shared" si="5"/>
        <v>0</v>
      </c>
      <c r="AK37" s="59">
        <f t="shared" si="5"/>
        <v>0</v>
      </c>
      <c r="AL37" s="59">
        <f t="shared" si="5"/>
        <v>0</v>
      </c>
      <c r="AM37" s="59">
        <f t="shared" si="5"/>
        <v>0</v>
      </c>
      <c r="AN37" s="59">
        <f t="shared" si="5"/>
        <v>0</v>
      </c>
      <c r="AO37" s="59">
        <f t="shared" si="5"/>
        <v>0</v>
      </c>
      <c r="AP37" s="59">
        <f t="shared" si="5"/>
        <v>0</v>
      </c>
      <c r="AQ37" s="59">
        <f t="shared" si="5"/>
        <v>0</v>
      </c>
      <c r="AR37" s="59">
        <f t="shared" si="5"/>
        <v>0</v>
      </c>
      <c r="AS37" s="59">
        <f t="shared" si="5"/>
        <v>0</v>
      </c>
      <c r="AT37" s="59">
        <f t="shared" si="5"/>
        <v>0</v>
      </c>
      <c r="AU37" s="59">
        <f t="shared" si="5"/>
        <v>0</v>
      </c>
      <c r="AV37" s="59">
        <f t="shared" si="5"/>
        <v>0</v>
      </c>
      <c r="AW37" s="59">
        <f t="shared" si="5"/>
        <v>0</v>
      </c>
      <c r="AX37" s="59">
        <f t="shared" si="5"/>
        <v>0</v>
      </c>
      <c r="AY37" s="59">
        <f t="shared" si="5"/>
        <v>0</v>
      </c>
      <c r="AZ37" s="59">
        <f t="shared" si="5"/>
        <v>0</v>
      </c>
      <c r="BA37" s="59">
        <f t="shared" si="5"/>
        <v>0</v>
      </c>
      <c r="BB37" s="59">
        <f t="shared" si="5"/>
        <v>0</v>
      </c>
      <c r="BC37" s="59">
        <f t="shared" si="5"/>
        <v>0</v>
      </c>
      <c r="BD37" s="59">
        <f t="shared" si="5"/>
        <v>0</v>
      </c>
      <c r="BE37" s="59">
        <f t="shared" si="5"/>
        <v>0</v>
      </c>
      <c r="BF37" s="59">
        <f t="shared" si="5"/>
        <v>0</v>
      </c>
      <c r="BG37" s="59">
        <f t="shared" si="5"/>
        <v>0</v>
      </c>
      <c r="BH37" s="59">
        <f t="shared" si="5"/>
        <v>0</v>
      </c>
      <c r="BI37" s="59">
        <f t="shared" si="5"/>
        <v>0</v>
      </c>
      <c r="BJ37" s="59">
        <f t="shared" si="5"/>
        <v>0</v>
      </c>
      <c r="BK37" s="59">
        <f t="shared" si="5"/>
        <v>0</v>
      </c>
      <c r="BL37" s="59">
        <f t="shared" si="5"/>
        <v>0</v>
      </c>
      <c r="BM37" s="59">
        <f t="shared" si="5"/>
        <v>0</v>
      </c>
      <c r="BN37" s="59">
        <f t="shared" si="5"/>
        <v>0</v>
      </c>
      <c r="BO37" s="59">
        <f t="shared" si="5"/>
        <v>0</v>
      </c>
      <c r="BP37" s="59">
        <f t="shared" si="5"/>
        <v>0</v>
      </c>
      <c r="BQ37" s="59">
        <f t="shared" si="5"/>
        <v>0</v>
      </c>
      <c r="BR37" s="59">
        <f t="shared" si="5"/>
        <v>0</v>
      </c>
      <c r="BS37" s="59">
        <f t="shared" ref="BS37:CV37" si="6">SUM(BS9:BS36)</f>
        <v>0</v>
      </c>
      <c r="BT37" s="59">
        <f t="shared" si="6"/>
        <v>0</v>
      </c>
      <c r="BU37" s="59">
        <f t="shared" si="6"/>
        <v>0</v>
      </c>
      <c r="BV37" s="59">
        <f t="shared" si="6"/>
        <v>0</v>
      </c>
      <c r="BW37" s="59">
        <f t="shared" si="6"/>
        <v>3434.549</v>
      </c>
      <c r="BX37" s="59">
        <f t="shared" si="6"/>
        <v>0</v>
      </c>
      <c r="BY37" s="59">
        <f t="shared" si="6"/>
        <v>-12892.924999999997</v>
      </c>
      <c r="BZ37" s="59">
        <f t="shared" si="6"/>
        <v>-5295900.7204400003</v>
      </c>
      <c r="CA37" s="59">
        <f t="shared" si="6"/>
        <v>-2504822.3184799999</v>
      </c>
      <c r="CB37" s="59">
        <f t="shared" si="6"/>
        <v>0</v>
      </c>
      <c r="CC37" s="59">
        <f t="shared" si="6"/>
        <v>1445.903</v>
      </c>
      <c r="CD37" s="59">
        <f t="shared" si="6"/>
        <v>0</v>
      </c>
      <c r="CE37" s="59">
        <f t="shared" si="6"/>
        <v>0</v>
      </c>
      <c r="CF37" s="59">
        <f t="shared" si="6"/>
        <v>0</v>
      </c>
      <c r="CG37" s="59">
        <f t="shared" si="6"/>
        <v>2886.3809999999939</v>
      </c>
      <c r="CH37" s="59">
        <f t="shared" si="6"/>
        <v>0</v>
      </c>
      <c r="CI37" s="59">
        <f t="shared" si="6"/>
        <v>5159.3499999999767</v>
      </c>
      <c r="CJ37" s="59">
        <f t="shared" si="6"/>
        <v>24560.795000000013</v>
      </c>
      <c r="CK37" s="59">
        <f t="shared" si="6"/>
        <v>0</v>
      </c>
      <c r="CL37" s="59">
        <f t="shared" si="6"/>
        <v>0</v>
      </c>
      <c r="CM37" s="59">
        <f t="shared" si="6"/>
        <v>0</v>
      </c>
      <c r="CN37" s="59">
        <f t="shared" si="6"/>
        <v>0</v>
      </c>
      <c r="CO37" s="59">
        <f t="shared" si="6"/>
        <v>0</v>
      </c>
      <c r="CP37" s="59">
        <f t="shared" si="6"/>
        <v>0</v>
      </c>
      <c r="CQ37" s="59">
        <f t="shared" si="6"/>
        <v>0</v>
      </c>
      <c r="CR37" s="59">
        <f t="shared" si="6"/>
        <v>0</v>
      </c>
      <c r="CS37" s="59">
        <f t="shared" si="6"/>
        <v>0</v>
      </c>
      <c r="CT37" s="59">
        <f t="shared" si="6"/>
        <v>0</v>
      </c>
      <c r="CU37" s="59">
        <f t="shared" si="6"/>
        <v>0</v>
      </c>
      <c r="CV37" s="59">
        <f t="shared" si="6"/>
        <v>0</v>
      </c>
      <c r="CW37" s="43">
        <f t="shared" si="4"/>
        <v>-135990.45595999763</v>
      </c>
    </row>
    <row r="38" spans="2:101" x14ac:dyDescent="0.25">
      <c r="B38" s="60"/>
      <c r="C38" s="61" t="s">
        <v>127</v>
      </c>
      <c r="D38" s="61">
        <f>+D37+D8</f>
        <v>424629.45687000052</v>
      </c>
      <c r="E38" s="61">
        <f>+E37+E8</f>
        <v>18721398.354444545</v>
      </c>
      <c r="F38" s="61">
        <f>+F37+F8</f>
        <v>14544230.13193151</v>
      </c>
      <c r="G38" s="61">
        <f t="shared" ref="G38:BR38" si="7">+G37+G8</f>
        <v>0</v>
      </c>
      <c r="H38" s="61">
        <f t="shared" si="7"/>
        <v>0</v>
      </c>
      <c r="I38" s="61">
        <f t="shared" si="7"/>
        <v>112959.69492999424</v>
      </c>
      <c r="J38" s="61">
        <f t="shared" si="7"/>
        <v>0</v>
      </c>
      <c r="K38" s="61">
        <f t="shared" si="7"/>
        <v>162804.97405614308</v>
      </c>
      <c r="L38" s="61">
        <f t="shared" si="7"/>
        <v>201815.41280399042</v>
      </c>
      <c r="M38" s="61">
        <f t="shared" si="7"/>
        <v>100572.03154486651</v>
      </c>
      <c r="N38" s="61">
        <f t="shared" si="7"/>
        <v>177310.5199999999</v>
      </c>
      <c r="O38" s="61">
        <f t="shared" si="7"/>
        <v>743248.15264999995</v>
      </c>
      <c r="P38" s="61">
        <f t="shared" si="7"/>
        <v>18282843.280000009</v>
      </c>
      <c r="Q38" s="61">
        <f t="shared" si="7"/>
        <v>109573060.98347989</v>
      </c>
      <c r="R38" s="61">
        <f t="shared" si="7"/>
        <v>294483.12</v>
      </c>
      <c r="S38" s="61">
        <f t="shared" si="7"/>
        <v>1562757.3593312989</v>
      </c>
      <c r="T38" s="61">
        <f t="shared" si="7"/>
        <v>0</v>
      </c>
      <c r="U38" s="61">
        <f t="shared" si="7"/>
        <v>0</v>
      </c>
      <c r="V38" s="61">
        <f t="shared" si="7"/>
        <v>0</v>
      </c>
      <c r="W38" s="61">
        <f t="shared" si="7"/>
        <v>0</v>
      </c>
      <c r="X38" s="61">
        <f t="shared" si="7"/>
        <v>0</v>
      </c>
      <c r="Y38" s="61">
        <f t="shared" si="7"/>
        <v>0</v>
      </c>
      <c r="Z38" s="61">
        <f t="shared" si="7"/>
        <v>9662.5274983807467</v>
      </c>
      <c r="AA38" s="61">
        <f t="shared" si="7"/>
        <v>40503.29</v>
      </c>
      <c r="AB38" s="61">
        <f t="shared" si="7"/>
        <v>7542.7499999967404</v>
      </c>
      <c r="AC38" s="61">
        <f t="shared" si="7"/>
        <v>31617.62</v>
      </c>
      <c r="AD38" s="61">
        <f t="shared" si="7"/>
        <v>5155</v>
      </c>
      <c r="AE38" s="61">
        <f t="shared" si="7"/>
        <v>21608.68</v>
      </c>
      <c r="AF38" s="61">
        <f t="shared" si="7"/>
        <v>7956.8699999451637</v>
      </c>
      <c r="AG38" s="61">
        <f t="shared" si="7"/>
        <v>33353.53</v>
      </c>
      <c r="AH38" s="61">
        <f t="shared" si="7"/>
        <v>195459.03999999719</v>
      </c>
      <c r="AI38" s="61">
        <f t="shared" si="7"/>
        <v>819134.7964617</v>
      </c>
      <c r="AJ38" s="61">
        <f t="shared" si="7"/>
        <v>673596.71999999823</v>
      </c>
      <c r="AK38" s="61">
        <f t="shared" si="7"/>
        <v>2823324.1679230896</v>
      </c>
      <c r="AL38" s="61">
        <f t="shared" si="7"/>
        <v>3148105.6288700756</v>
      </c>
      <c r="AM38" s="61">
        <f t="shared" si="7"/>
        <v>59326669.579603538</v>
      </c>
      <c r="AN38" s="61">
        <f t="shared" si="7"/>
        <v>6478343.2725400012</v>
      </c>
      <c r="AO38" s="61">
        <f t="shared" si="7"/>
        <v>822799.51758143969</v>
      </c>
      <c r="AP38" s="61">
        <f t="shared" si="7"/>
        <v>8311058.1079537552</v>
      </c>
      <c r="AQ38" s="61">
        <f t="shared" si="7"/>
        <v>619857.74627216067</v>
      </c>
      <c r="AR38" s="61">
        <f t="shared" si="7"/>
        <v>33752.683643993005</v>
      </c>
      <c r="AS38" s="61">
        <f t="shared" si="7"/>
        <v>6.2719079996137461</v>
      </c>
      <c r="AT38" s="61">
        <f t="shared" si="7"/>
        <v>11.210432002509913</v>
      </c>
      <c r="AU38" s="61">
        <f t="shared" si="7"/>
        <v>70709.869203997281</v>
      </c>
      <c r="AV38" s="61">
        <f t="shared" si="7"/>
        <v>523662.90839880263</v>
      </c>
      <c r="AW38" s="61">
        <f t="shared" si="7"/>
        <v>85667.9885699968</v>
      </c>
      <c r="AX38" s="61">
        <f t="shared" si="7"/>
        <v>1041.3974240010875</v>
      </c>
      <c r="AY38" s="61">
        <f t="shared" si="7"/>
        <v>59646.012311997983</v>
      </c>
      <c r="AZ38" s="61">
        <f t="shared" si="7"/>
        <v>23267.345377323236</v>
      </c>
      <c r="BA38" s="61">
        <f t="shared" si="7"/>
        <v>202416.75572400691</v>
      </c>
      <c r="BB38" s="61">
        <f t="shared" si="7"/>
        <v>70095.760219991149</v>
      </c>
      <c r="BC38" s="61">
        <f t="shared" si="7"/>
        <v>267392.29484799865</v>
      </c>
      <c r="BD38" s="61">
        <f t="shared" si="7"/>
        <v>17084.553599989831</v>
      </c>
      <c r="BE38" s="61">
        <f t="shared" si="7"/>
        <v>256586.81289368056</v>
      </c>
      <c r="BF38" s="61">
        <f t="shared" si="7"/>
        <v>321949.5492303599</v>
      </c>
      <c r="BG38" s="61">
        <f t="shared" si="7"/>
        <v>35109.232018882758</v>
      </c>
      <c r="BH38" s="61">
        <f t="shared" si="7"/>
        <v>27273.514880002102</v>
      </c>
      <c r="BI38" s="61">
        <f t="shared" si="7"/>
        <v>630661.83776839031</v>
      </c>
      <c r="BJ38" s="61">
        <f t="shared" si="7"/>
        <v>197783.28604456017</v>
      </c>
      <c r="BK38" s="61">
        <f t="shared" si="7"/>
        <v>3408870.6208220124</v>
      </c>
      <c r="BL38" s="61">
        <f t="shared" si="7"/>
        <v>112973.78186244606</v>
      </c>
      <c r="BM38" s="61">
        <f t="shared" si="7"/>
        <v>1071033.240627151</v>
      </c>
      <c r="BN38" s="61">
        <f t="shared" si="7"/>
        <v>23209453.712957378</v>
      </c>
      <c r="BO38" s="61">
        <f t="shared" si="7"/>
        <v>3.4691202304202307E-3</v>
      </c>
      <c r="BP38" s="61">
        <f t="shared" si="7"/>
        <v>255.77414932906547</v>
      </c>
      <c r="BQ38" s="61">
        <f t="shared" si="7"/>
        <v>4.0128798844989433E-3</v>
      </c>
      <c r="BR38" s="61">
        <f t="shared" si="7"/>
        <v>645623.81600000313</v>
      </c>
      <c r="BS38" s="61">
        <f t="shared" ref="BS38:CV38" si="8">+BS37+BS8</f>
        <v>2662944.0693795886</v>
      </c>
      <c r="BT38" s="61">
        <f t="shared" si="8"/>
        <v>1087022.5449320192</v>
      </c>
      <c r="BU38" s="61">
        <f t="shared" si="8"/>
        <v>4529252.830922991</v>
      </c>
      <c r="BV38" s="61">
        <f t="shared" si="8"/>
        <v>8400.1908600000006</v>
      </c>
      <c r="BW38" s="61">
        <f t="shared" si="8"/>
        <v>384554.5159900008</v>
      </c>
      <c r="BX38" s="61">
        <f t="shared" si="8"/>
        <v>12663.664475599246</v>
      </c>
      <c r="BY38" s="61">
        <f t="shared" si="8"/>
        <v>769658.37399999995</v>
      </c>
      <c r="BZ38" s="61">
        <f t="shared" si="8"/>
        <v>-2412856.09118</v>
      </c>
      <c r="CA38" s="61">
        <f t="shared" si="8"/>
        <v>4550745.4280200005</v>
      </c>
      <c r="CB38" s="61">
        <f t="shared" si="8"/>
        <v>18918.56624</v>
      </c>
      <c r="CC38" s="61">
        <f t="shared" si="8"/>
        <v>896273.38017999986</v>
      </c>
      <c r="CD38" s="61">
        <f t="shared" si="8"/>
        <v>0</v>
      </c>
      <c r="CE38" s="61">
        <f t="shared" si="8"/>
        <v>27059.202000000001</v>
      </c>
      <c r="CF38" s="61">
        <f t="shared" si="8"/>
        <v>511997.48559</v>
      </c>
      <c r="CG38" s="61">
        <f t="shared" si="8"/>
        <v>192171.21</v>
      </c>
      <c r="CH38" s="61">
        <f t="shared" si="8"/>
        <v>2.9318200000000001</v>
      </c>
      <c r="CI38" s="61">
        <f t="shared" si="8"/>
        <v>938020.81200000003</v>
      </c>
      <c r="CJ38" s="61">
        <f t="shared" si="8"/>
        <v>273126.11300000001</v>
      </c>
      <c r="CK38" s="61">
        <f t="shared" si="8"/>
        <v>0</v>
      </c>
      <c r="CL38" s="61">
        <f t="shared" si="8"/>
        <v>0</v>
      </c>
      <c r="CM38" s="61">
        <f t="shared" si="8"/>
        <v>79545.21415</v>
      </c>
      <c r="CN38" s="61">
        <f t="shared" si="8"/>
        <v>662749.23896999995</v>
      </c>
      <c r="CO38" s="61">
        <f t="shared" si="8"/>
        <v>736440.24131999968</v>
      </c>
      <c r="CP38" s="61">
        <f t="shared" si="8"/>
        <v>9152723.6727600005</v>
      </c>
      <c r="CQ38" s="61">
        <f t="shared" si="8"/>
        <v>377918.49939999997</v>
      </c>
      <c r="CR38" s="61">
        <f t="shared" si="8"/>
        <v>20872.37467999896</v>
      </c>
      <c r="CS38" s="61">
        <f t="shared" si="8"/>
        <v>5000</v>
      </c>
      <c r="CT38" s="61">
        <f t="shared" si="8"/>
        <v>20468.599999999999</v>
      </c>
      <c r="CU38" s="61">
        <f t="shared" si="8"/>
        <v>5000</v>
      </c>
      <c r="CV38" s="61">
        <f t="shared" si="8"/>
        <v>20468.599999999999</v>
      </c>
      <c r="CW38" s="43">
        <f t="shared" si="4"/>
        <v>305081334.22465479</v>
      </c>
    </row>
    <row r="39" spans="2:101" x14ac:dyDescent="0.25">
      <c r="B39" s="62"/>
      <c r="C39" s="63" t="s">
        <v>128</v>
      </c>
      <c r="D39" s="63">
        <v>33000</v>
      </c>
      <c r="E39" s="63">
        <v>-5361441.5254499996</v>
      </c>
      <c r="F39" s="63">
        <v>3891000</v>
      </c>
      <c r="G39" s="63">
        <v>0</v>
      </c>
      <c r="H39" s="63">
        <v>0</v>
      </c>
      <c r="I39" s="63">
        <v>19.434539999999998</v>
      </c>
      <c r="J39" s="63">
        <v>0</v>
      </c>
      <c r="K39" s="63">
        <v>0</v>
      </c>
      <c r="L39" s="63">
        <v>7047.8079318983146</v>
      </c>
      <c r="M39" s="63">
        <v>7051.044444000001</v>
      </c>
      <c r="N39" s="63">
        <v>0</v>
      </c>
      <c r="O39" s="63">
        <v>0</v>
      </c>
      <c r="P39" s="63">
        <v>1264200</v>
      </c>
      <c r="Q39" s="63">
        <v>5275203.1919999998</v>
      </c>
      <c r="R39" s="63">
        <v>22.41</v>
      </c>
      <c r="S39" s="63">
        <v>93.511551600000004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33.217999999999996</v>
      </c>
      <c r="BB39" s="63">
        <v>11.499000000000001</v>
      </c>
      <c r="BC39" s="63">
        <v>43.866999999999997</v>
      </c>
      <c r="BD39" s="63">
        <v>2.7929999999999997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19.42342</v>
      </c>
      <c r="BM39" s="63">
        <v>184.23889</v>
      </c>
      <c r="BN39" s="63">
        <v>3993.0607799999998</v>
      </c>
      <c r="BO39" s="63">
        <v>0</v>
      </c>
      <c r="BP39" s="63">
        <v>4.7310000000000005E-2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0</v>
      </c>
      <c r="BX39" s="63">
        <v>0</v>
      </c>
      <c r="BY39" s="63">
        <v>0</v>
      </c>
      <c r="BZ39" s="63">
        <v>7000000</v>
      </c>
      <c r="CA39" s="63">
        <v>3500000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43">
        <f t="shared" si="4"/>
        <v>15620484.022417497</v>
      </c>
    </row>
    <row r="40" spans="2:101" ht="15.75" thickBot="1" x14ac:dyDescent="0.3">
      <c r="B40" s="64"/>
      <c r="C40" s="65" t="s">
        <v>129</v>
      </c>
      <c r="D40" s="65">
        <f>+D39+D38</f>
        <v>457629.45687000052</v>
      </c>
      <c r="E40" s="65">
        <f>+E39+E38</f>
        <v>13359956.828994546</v>
      </c>
      <c r="F40" s="65">
        <f>+F39+F38</f>
        <v>18435230.13193151</v>
      </c>
      <c r="G40" s="65">
        <f t="shared" ref="G40:BR40" si="9">+G39+G38</f>
        <v>0</v>
      </c>
      <c r="H40" s="65">
        <f t="shared" si="9"/>
        <v>0</v>
      </c>
      <c r="I40" s="65">
        <f t="shared" si="9"/>
        <v>112979.12946999424</v>
      </c>
      <c r="J40" s="65">
        <f t="shared" si="9"/>
        <v>0</v>
      </c>
      <c r="K40" s="65">
        <f t="shared" si="9"/>
        <v>162804.97405614308</v>
      </c>
      <c r="L40" s="65">
        <f t="shared" si="9"/>
        <v>208863.22073588872</v>
      </c>
      <c r="M40" s="65">
        <f t="shared" si="9"/>
        <v>107623.07598886651</v>
      </c>
      <c r="N40" s="65">
        <f t="shared" si="9"/>
        <v>177310.5199999999</v>
      </c>
      <c r="O40" s="65">
        <f t="shared" si="9"/>
        <v>743248.15264999995</v>
      </c>
      <c r="P40" s="65">
        <f t="shared" si="9"/>
        <v>19547043.280000009</v>
      </c>
      <c r="Q40" s="65">
        <f t="shared" si="9"/>
        <v>114848264.17547989</v>
      </c>
      <c r="R40" s="65">
        <f t="shared" si="9"/>
        <v>294505.52999999997</v>
      </c>
      <c r="S40" s="65">
        <f t="shared" si="9"/>
        <v>1562850.8708828988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9662.5274983807467</v>
      </c>
      <c r="AA40" s="65">
        <f t="shared" si="9"/>
        <v>40503.29</v>
      </c>
      <c r="AB40" s="65">
        <f t="shared" si="9"/>
        <v>7542.7499999967404</v>
      </c>
      <c r="AC40" s="65">
        <f t="shared" si="9"/>
        <v>31617.62</v>
      </c>
      <c r="AD40" s="65">
        <f t="shared" si="9"/>
        <v>5155</v>
      </c>
      <c r="AE40" s="65">
        <f t="shared" si="9"/>
        <v>21608.68</v>
      </c>
      <c r="AF40" s="65">
        <f t="shared" si="9"/>
        <v>7956.8699999451637</v>
      </c>
      <c r="AG40" s="65">
        <f t="shared" si="9"/>
        <v>33353.53</v>
      </c>
      <c r="AH40" s="65">
        <f t="shared" si="9"/>
        <v>195459.03999999719</v>
      </c>
      <c r="AI40" s="65">
        <f t="shared" si="9"/>
        <v>819134.7964617</v>
      </c>
      <c r="AJ40" s="65">
        <f t="shared" si="9"/>
        <v>673596.71999999823</v>
      </c>
      <c r="AK40" s="65">
        <f t="shared" si="9"/>
        <v>2823324.1679230896</v>
      </c>
      <c r="AL40" s="65">
        <f t="shared" si="9"/>
        <v>3148105.6288700756</v>
      </c>
      <c r="AM40" s="65">
        <f t="shared" si="9"/>
        <v>59326669.579603538</v>
      </c>
      <c r="AN40" s="65">
        <f t="shared" si="9"/>
        <v>6478343.2725400012</v>
      </c>
      <c r="AO40" s="65">
        <f t="shared" si="9"/>
        <v>822799.51758143969</v>
      </c>
      <c r="AP40" s="65">
        <f t="shared" si="9"/>
        <v>8311058.1079537552</v>
      </c>
      <c r="AQ40" s="65">
        <f t="shared" si="9"/>
        <v>619857.74627216067</v>
      </c>
      <c r="AR40" s="65">
        <f t="shared" si="9"/>
        <v>33752.683643993005</v>
      </c>
      <c r="AS40" s="65">
        <f t="shared" si="9"/>
        <v>6.2719079996137461</v>
      </c>
      <c r="AT40" s="65">
        <f t="shared" si="9"/>
        <v>11.210432002509913</v>
      </c>
      <c r="AU40" s="65">
        <f t="shared" si="9"/>
        <v>70709.869203997281</v>
      </c>
      <c r="AV40" s="65">
        <f t="shared" si="9"/>
        <v>523662.90839880263</v>
      </c>
      <c r="AW40" s="65">
        <f t="shared" si="9"/>
        <v>85667.9885699968</v>
      </c>
      <c r="AX40" s="65">
        <f t="shared" si="9"/>
        <v>1041.3974240010875</v>
      </c>
      <c r="AY40" s="65">
        <f t="shared" si="9"/>
        <v>59646.012311997983</v>
      </c>
      <c r="AZ40" s="65">
        <f t="shared" si="9"/>
        <v>23267.345377323236</v>
      </c>
      <c r="BA40" s="65">
        <f t="shared" si="9"/>
        <v>202449.97372400691</v>
      </c>
      <c r="BB40" s="65">
        <f t="shared" si="9"/>
        <v>70107.259219991145</v>
      </c>
      <c r="BC40" s="65">
        <f t="shared" si="9"/>
        <v>267436.16184799868</v>
      </c>
      <c r="BD40" s="65">
        <f t="shared" si="9"/>
        <v>17087.346599989833</v>
      </c>
      <c r="BE40" s="65">
        <f t="shared" si="9"/>
        <v>256586.81289368056</v>
      </c>
      <c r="BF40" s="65">
        <f t="shared" si="9"/>
        <v>321949.5492303599</v>
      </c>
      <c r="BG40" s="65">
        <f t="shared" si="9"/>
        <v>35109.232018882758</v>
      </c>
      <c r="BH40" s="65">
        <f t="shared" si="9"/>
        <v>27273.514880002102</v>
      </c>
      <c r="BI40" s="65">
        <f t="shared" si="9"/>
        <v>630661.83776839031</v>
      </c>
      <c r="BJ40" s="65">
        <f t="shared" si="9"/>
        <v>197783.28604456017</v>
      </c>
      <c r="BK40" s="65">
        <f t="shared" si="9"/>
        <v>3408870.6208220124</v>
      </c>
      <c r="BL40" s="65">
        <f t="shared" si="9"/>
        <v>112993.20528244607</v>
      </c>
      <c r="BM40" s="65">
        <f t="shared" si="9"/>
        <v>1071217.4795171509</v>
      </c>
      <c r="BN40" s="65">
        <f t="shared" si="9"/>
        <v>23213446.773737378</v>
      </c>
      <c r="BO40" s="65">
        <f t="shared" si="9"/>
        <v>3.4691202304202307E-3</v>
      </c>
      <c r="BP40" s="65">
        <f t="shared" si="9"/>
        <v>255.82145932906548</v>
      </c>
      <c r="BQ40" s="65">
        <f t="shared" si="9"/>
        <v>4.0128798844989433E-3</v>
      </c>
      <c r="BR40" s="65">
        <f t="shared" si="9"/>
        <v>645623.81600000313</v>
      </c>
      <c r="BS40" s="65">
        <f t="shared" ref="BS40:CV40" si="10">+BS39+BS38</f>
        <v>2662944.0693795886</v>
      </c>
      <c r="BT40" s="65">
        <f t="shared" si="10"/>
        <v>1087022.5449320192</v>
      </c>
      <c r="BU40" s="65">
        <f t="shared" si="10"/>
        <v>4529252.830922991</v>
      </c>
      <c r="BV40" s="65">
        <f t="shared" si="10"/>
        <v>8400.1908600000006</v>
      </c>
      <c r="BW40" s="65">
        <f t="shared" si="10"/>
        <v>384554.5159900008</v>
      </c>
      <c r="BX40" s="65">
        <f t="shared" si="10"/>
        <v>12663.664475599246</v>
      </c>
      <c r="BY40" s="65">
        <f t="shared" si="10"/>
        <v>769658.37399999995</v>
      </c>
      <c r="BZ40" s="65">
        <f t="shared" si="10"/>
        <v>4587143.9088199995</v>
      </c>
      <c r="CA40" s="65">
        <f t="shared" si="10"/>
        <v>8050745.4280200005</v>
      </c>
      <c r="CB40" s="65">
        <f t="shared" si="10"/>
        <v>18918.56624</v>
      </c>
      <c r="CC40" s="65">
        <f t="shared" si="10"/>
        <v>896273.38017999986</v>
      </c>
      <c r="CD40" s="65">
        <f t="shared" si="10"/>
        <v>0</v>
      </c>
      <c r="CE40" s="65">
        <f t="shared" si="10"/>
        <v>27059.202000000001</v>
      </c>
      <c r="CF40" s="65">
        <f t="shared" si="10"/>
        <v>511997.48559</v>
      </c>
      <c r="CG40" s="65">
        <f t="shared" si="10"/>
        <v>192171.21</v>
      </c>
      <c r="CH40" s="65">
        <f>+CH39+CH38</f>
        <v>2.9318200000000001</v>
      </c>
      <c r="CI40" s="65">
        <f t="shared" si="10"/>
        <v>938020.81200000003</v>
      </c>
      <c r="CJ40" s="65">
        <f t="shared" si="10"/>
        <v>273126.11300000001</v>
      </c>
      <c r="CK40" s="65">
        <f t="shared" si="10"/>
        <v>0</v>
      </c>
      <c r="CL40" s="65">
        <f t="shared" si="10"/>
        <v>0</v>
      </c>
      <c r="CM40" s="65">
        <f t="shared" si="10"/>
        <v>79545.21415</v>
      </c>
      <c r="CN40" s="65">
        <f t="shared" si="10"/>
        <v>662749.23896999995</v>
      </c>
      <c r="CO40" s="65">
        <f t="shared" si="10"/>
        <v>736440.24131999968</v>
      </c>
      <c r="CP40" s="65">
        <f t="shared" si="10"/>
        <v>9152723.6727600005</v>
      </c>
      <c r="CQ40" s="65">
        <f t="shared" si="10"/>
        <v>377918.49939999997</v>
      </c>
      <c r="CR40" s="65">
        <f t="shared" si="10"/>
        <v>20872.37467999896</v>
      </c>
      <c r="CS40" s="65">
        <f t="shared" si="10"/>
        <v>5000</v>
      </c>
      <c r="CT40" s="65">
        <f t="shared" si="10"/>
        <v>20468.599999999999</v>
      </c>
      <c r="CU40" s="65">
        <f t="shared" si="10"/>
        <v>5000</v>
      </c>
      <c r="CV40" s="65">
        <f t="shared" si="10"/>
        <v>20468.599999999999</v>
      </c>
      <c r="CW40" s="43">
        <f t="shared" si="4"/>
        <v>320701818.24707234</v>
      </c>
    </row>
    <row r="41" spans="2:101" ht="15.75" thickBot="1" x14ac:dyDescent="0.3"/>
    <row r="42" spans="2:101" x14ac:dyDescent="0.25">
      <c r="C42" s="67" t="s">
        <v>130</v>
      </c>
      <c r="D42" s="68">
        <f>+D37+D39</f>
        <v>2478.5667699999976</v>
      </c>
      <c r="E42" s="68">
        <f>+E37+E39</f>
        <v>-2975349.7741199965</v>
      </c>
      <c r="F42" s="69">
        <f>+F37+F39</f>
        <v>9175568.2118600011</v>
      </c>
      <c r="G42" s="88">
        <v>20375.599999999999</v>
      </c>
      <c r="H42" s="88">
        <v>20376.599999999999</v>
      </c>
      <c r="I42" s="88">
        <v>20377.599999999999</v>
      </c>
      <c r="J42" s="88">
        <v>20378.599999999999</v>
      </c>
      <c r="K42" s="88">
        <v>20379.599999999999</v>
      </c>
      <c r="L42" s="88">
        <v>20380.599999999999</v>
      </c>
      <c r="M42" s="88">
        <v>20381.599999999999</v>
      </c>
      <c r="N42" s="88">
        <v>20382.599999999999</v>
      </c>
      <c r="O42" s="88">
        <v>20383.599999999999</v>
      </c>
      <c r="P42" s="88">
        <v>20384.599999999999</v>
      </c>
      <c r="Q42" s="88">
        <v>20385.599999999999</v>
      </c>
      <c r="R42" s="88">
        <v>20386.599999999999</v>
      </c>
      <c r="S42" s="88">
        <v>20387.599999999999</v>
      </c>
      <c r="T42" s="88">
        <v>20388.599999999999</v>
      </c>
      <c r="U42" s="88">
        <v>20389.599999999999</v>
      </c>
      <c r="V42" s="88">
        <v>20390.599999999999</v>
      </c>
      <c r="W42" s="88">
        <v>20391.599999999999</v>
      </c>
      <c r="X42" s="88">
        <v>20392.599999999999</v>
      </c>
      <c r="Y42" s="88">
        <v>20393.599999999999</v>
      </c>
      <c r="Z42" s="88">
        <v>20394.599999999999</v>
      </c>
      <c r="AA42" s="88">
        <v>20395.599999999999</v>
      </c>
      <c r="AB42" s="88">
        <v>20396.599999999999</v>
      </c>
      <c r="AC42" s="88">
        <v>20397.599999999999</v>
      </c>
      <c r="AD42" s="88">
        <v>20398.599999999999</v>
      </c>
      <c r="AE42" s="88">
        <v>20399.599999999999</v>
      </c>
      <c r="AF42" s="88">
        <v>20400.599999999999</v>
      </c>
      <c r="AG42" s="88">
        <v>20401.599999999999</v>
      </c>
      <c r="AH42" s="88">
        <v>20402.599999999999</v>
      </c>
      <c r="AI42" s="88">
        <v>20403.599999999999</v>
      </c>
      <c r="AJ42" s="88">
        <v>20404.599999999999</v>
      </c>
      <c r="AK42" s="88">
        <v>20405.599999999999</v>
      </c>
      <c r="AL42" s="88">
        <v>20406.599999999999</v>
      </c>
      <c r="AM42" s="88">
        <v>20407.599999999999</v>
      </c>
      <c r="AN42" s="88">
        <v>20408.599999999999</v>
      </c>
      <c r="AO42" s="88">
        <v>20409.599999999999</v>
      </c>
      <c r="AP42" s="88">
        <v>20410.599999999999</v>
      </c>
      <c r="AQ42" s="88">
        <v>20411.599999999999</v>
      </c>
      <c r="AR42" s="88">
        <v>20412.599999999999</v>
      </c>
      <c r="AS42" s="88">
        <v>20413.599999999999</v>
      </c>
      <c r="AT42" s="88">
        <v>20414.599999999999</v>
      </c>
      <c r="AU42" s="88">
        <v>20415.599999999999</v>
      </c>
      <c r="AV42" s="88">
        <v>20416.599999999999</v>
      </c>
      <c r="AW42" s="88">
        <v>20417.599999999999</v>
      </c>
      <c r="AX42" s="88">
        <v>20418.599999999999</v>
      </c>
      <c r="AY42" s="88">
        <v>20419.599999999999</v>
      </c>
      <c r="AZ42" s="88">
        <v>20420.599999999999</v>
      </c>
      <c r="BA42" s="88">
        <v>20421.599999999999</v>
      </c>
      <c r="BB42" s="88">
        <v>20422.599999999999</v>
      </c>
      <c r="BC42" s="88">
        <v>20423.599999999999</v>
      </c>
      <c r="BD42" s="88">
        <v>20424.599999999999</v>
      </c>
      <c r="BE42" s="88">
        <v>20425.599999999999</v>
      </c>
      <c r="BF42" s="88">
        <v>20426.599999999999</v>
      </c>
      <c r="BG42" s="88">
        <v>20427.599999999999</v>
      </c>
      <c r="BH42" s="88">
        <v>20428.599999999999</v>
      </c>
      <c r="BI42" s="88">
        <v>20429.599999999999</v>
      </c>
      <c r="BJ42" s="88">
        <v>20430.599999999999</v>
      </c>
      <c r="BK42" s="88">
        <v>20431.599999999999</v>
      </c>
      <c r="BL42" s="88">
        <v>20432.599999999999</v>
      </c>
      <c r="BM42" s="88">
        <v>20433.599999999999</v>
      </c>
      <c r="BN42" s="88">
        <v>20434.599999999999</v>
      </c>
      <c r="BO42" s="88">
        <v>20435.599999999999</v>
      </c>
      <c r="BP42" s="88">
        <v>20436.599999999999</v>
      </c>
      <c r="BQ42" s="88">
        <v>20437.599999999999</v>
      </c>
      <c r="BR42" s="88">
        <v>20438.599999999999</v>
      </c>
      <c r="BS42" s="88">
        <v>20439.599999999999</v>
      </c>
      <c r="BT42" s="88">
        <v>20440.599999999999</v>
      </c>
      <c r="BU42" s="88">
        <v>20441.599999999999</v>
      </c>
      <c r="BV42" s="88">
        <v>20442.599999999999</v>
      </c>
      <c r="BW42" s="88">
        <v>20443.599999999999</v>
      </c>
      <c r="BX42" s="88">
        <v>20444.599999999999</v>
      </c>
      <c r="BY42" s="88">
        <v>20445.599999999999</v>
      </c>
      <c r="BZ42" s="88">
        <v>20446.599999999999</v>
      </c>
      <c r="CA42" s="88">
        <v>20447.599999999999</v>
      </c>
      <c r="CB42" s="88">
        <v>20448.599999999999</v>
      </c>
      <c r="CC42" s="88">
        <v>20449.599999999999</v>
      </c>
      <c r="CD42" s="88">
        <v>20450.599999999999</v>
      </c>
      <c r="CE42" s="88">
        <v>20451.599999999999</v>
      </c>
      <c r="CF42" s="88">
        <v>20452.599999999999</v>
      </c>
      <c r="CG42" s="88">
        <v>20453.599999999999</v>
      </c>
      <c r="CH42" s="88">
        <v>20454.599999999999</v>
      </c>
      <c r="CI42" s="88">
        <v>20455.599999999999</v>
      </c>
      <c r="CJ42" s="88">
        <v>20456.599999999999</v>
      </c>
      <c r="CK42" s="88">
        <v>20457.599999999999</v>
      </c>
      <c r="CL42" s="88">
        <v>20458.599999999999</v>
      </c>
      <c r="CM42" s="88">
        <v>20459.599999999999</v>
      </c>
      <c r="CN42" s="88">
        <v>20460.599999999999</v>
      </c>
      <c r="CO42" s="88">
        <v>20461.599999999999</v>
      </c>
      <c r="CP42" s="88">
        <v>20462.599999999999</v>
      </c>
      <c r="CQ42" s="88">
        <v>20463.599999999999</v>
      </c>
      <c r="CR42" s="88">
        <v>20464.599999999999</v>
      </c>
      <c r="CS42" s="88">
        <v>20465.599999999999</v>
      </c>
      <c r="CT42" s="88">
        <v>20466.599999999999</v>
      </c>
      <c r="CU42" s="88">
        <v>20467.599999999999</v>
      </c>
      <c r="CV42" s="88">
        <v>20468.599999999999</v>
      </c>
    </row>
    <row r="43" spans="2:101" x14ac:dyDescent="0.25">
      <c r="C43" s="70" t="s">
        <v>131</v>
      </c>
      <c r="D43" s="71">
        <v>2478.5667699999999</v>
      </c>
      <c r="E43" s="71">
        <v>-2975349.7741200002</v>
      </c>
      <c r="F43" s="71">
        <v>9175568.2111799996</v>
      </c>
      <c r="G43" s="66"/>
      <c r="H43" s="66"/>
      <c r="CT43" s="66"/>
      <c r="CU43" s="66"/>
      <c r="CV43" s="66"/>
    </row>
    <row r="44" spans="2:101" ht="15.75" thickBot="1" x14ac:dyDescent="0.3">
      <c r="C44" s="73" t="s">
        <v>132</v>
      </c>
      <c r="D44" s="74">
        <f>+D42-D43</f>
        <v>0</v>
      </c>
      <c r="E44" s="74">
        <f>+E42-E43</f>
        <v>3.7252902984619141E-9</v>
      </c>
      <c r="F44" s="75">
        <f>+F42-F43</f>
        <v>6.8000145256519318E-4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</row>
    <row r="45" spans="2:101" x14ac:dyDescent="0.25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</row>
    <row r="46" spans="2:101" x14ac:dyDescent="0.25">
      <c r="D46" s="10">
        <v>9610</v>
      </c>
      <c r="E46" s="10">
        <v>2007462784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2:101" x14ac:dyDescent="0.25">
      <c r="D47" s="10">
        <v>8236</v>
      </c>
      <c r="E47" s="10">
        <v>9065259952</v>
      </c>
      <c r="I47" s="66" t="s">
        <v>133</v>
      </c>
      <c r="AL47" s="76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</row>
    <row r="48" spans="2:101" x14ac:dyDescent="0.25">
      <c r="D48" s="10">
        <v>9594</v>
      </c>
      <c r="E48" s="77">
        <v>1604646596.6500001</v>
      </c>
      <c r="AL48" s="76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</row>
    <row r="49" spans="2:97" x14ac:dyDescent="0.25">
      <c r="C49" s="78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</row>
    <row r="50" spans="2:97" x14ac:dyDescent="0.25"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/>
    </row>
    <row r="51" spans="2:97" x14ac:dyDescent="0.25">
      <c r="CS51"/>
    </row>
    <row r="52" spans="2:97" x14ac:dyDescent="0.25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/>
    </row>
    <row r="53" spans="2:97" x14ac:dyDescent="0.25">
      <c r="CS53"/>
    </row>
    <row r="54" spans="2:97" x14ac:dyDescent="0.25">
      <c r="CS54"/>
    </row>
    <row r="55" spans="2:97" x14ac:dyDescent="0.25">
      <c r="CS55"/>
    </row>
    <row r="58" spans="2:97" x14ac:dyDescent="0.25">
      <c r="B58" s="66"/>
      <c r="C58" s="66"/>
      <c r="D58" s="66"/>
      <c r="E58" s="66"/>
      <c r="F58" s="66"/>
      <c r="G58" s="66"/>
      <c r="H58" s="66"/>
      <c r="CM58"/>
      <c r="CN58"/>
      <c r="CO58"/>
      <c r="CP58"/>
      <c r="CQ58"/>
      <c r="CR58"/>
    </row>
    <row r="59" spans="2:97" x14ac:dyDescent="0.25">
      <c r="B59" s="66"/>
      <c r="C59" s="66"/>
      <c r="D59" s="66"/>
      <c r="E59" s="66"/>
      <c r="F59" s="66"/>
      <c r="G59" s="66"/>
      <c r="H59" s="66"/>
      <c r="CM59"/>
      <c r="CN59"/>
      <c r="CO59"/>
      <c r="CP59"/>
      <c r="CQ59"/>
      <c r="CR59"/>
    </row>
    <row r="60" spans="2:97" x14ac:dyDescent="0.25">
      <c r="B60" s="66"/>
      <c r="C60" s="66"/>
      <c r="D60" s="66"/>
      <c r="E60" s="66"/>
      <c r="F60" s="66"/>
      <c r="G60" s="66"/>
      <c r="H60" s="66"/>
      <c r="CM60"/>
      <c r="CN60"/>
      <c r="CO60"/>
      <c r="CP60"/>
      <c r="CQ60"/>
      <c r="CR60"/>
    </row>
    <row r="61" spans="2:97" x14ac:dyDescent="0.25">
      <c r="B61" s="66"/>
      <c r="C61" s="66"/>
      <c r="D61" s="66"/>
      <c r="E61" s="66"/>
      <c r="F61" s="66"/>
      <c r="G61" s="66"/>
      <c r="H61" s="66"/>
      <c r="CM61"/>
      <c r="CN61"/>
      <c r="CO61"/>
      <c r="CP61"/>
      <c r="CQ61"/>
      <c r="CR61"/>
    </row>
    <row r="62" spans="2:97" x14ac:dyDescent="0.25">
      <c r="B62" s="66"/>
      <c r="C62" s="66"/>
      <c r="D62" s="66"/>
      <c r="E62" s="66"/>
      <c r="F62" s="66"/>
      <c r="G62" s="66"/>
      <c r="H62" s="66"/>
      <c r="CM62"/>
      <c r="CN62"/>
      <c r="CO62"/>
      <c r="CP62"/>
      <c r="CQ62"/>
      <c r="CR62"/>
    </row>
    <row r="63" spans="2:97" x14ac:dyDescent="0.25">
      <c r="B63" s="66"/>
      <c r="C63" s="66"/>
      <c r="D63" s="66"/>
      <c r="E63" s="66"/>
      <c r="F63" s="66"/>
      <c r="G63" s="66"/>
      <c r="H63" s="66"/>
      <c r="CM63"/>
      <c r="CN63"/>
      <c r="CO63"/>
      <c r="CP63"/>
      <c r="CQ63"/>
      <c r="CR63"/>
    </row>
  </sheetData>
  <mergeCells count="1">
    <mergeCell ref="AP2:AP3"/>
  </mergeCells>
  <pageMargins left="0.7" right="0.7" top="0.75" bottom="0.75" header="0.3" footer="0.3"/>
  <pageSetup orientation="portrait" r:id="rId1"/>
  <customProperties>
    <customPr name="QAA_DRILLPATH_NODE_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3"/>
  <sheetViews>
    <sheetView zoomScale="112" zoomScaleNormal="112" workbookViewId="0">
      <selection activeCell="BS5" sqref="BS5"/>
    </sheetView>
  </sheetViews>
  <sheetFormatPr baseColWidth="10" defaultRowHeight="15" outlineLevelCol="2" x14ac:dyDescent="0.25"/>
  <cols>
    <col min="1" max="1" width="8.5703125" style="10" customWidth="1"/>
    <col min="2" max="2" width="10" style="10" bestFit="1" customWidth="1"/>
    <col min="3" max="3" width="43" style="10" bestFit="1" customWidth="1"/>
    <col min="4" max="5" width="19.42578125" style="10" bestFit="1" customWidth="1"/>
    <col min="6" max="6" width="21.85546875" style="10" bestFit="1" customWidth="1"/>
    <col min="7" max="7" width="19.5703125" style="10" customWidth="1" outlineLevel="1"/>
    <col min="8" max="8" width="17.85546875" style="10" customWidth="1" outlineLevel="1"/>
    <col min="9" max="9" width="17.85546875" style="66" bestFit="1" customWidth="1"/>
    <col min="10" max="10" width="17.85546875" style="66" customWidth="1" outlineLevel="2"/>
    <col min="11" max="13" width="16.42578125" style="66" customWidth="1" outlineLevel="2"/>
    <col min="14" max="14" width="18.85546875" style="66" customWidth="1" outlineLevel="2"/>
    <col min="15" max="15" width="21" style="66" customWidth="1" outlineLevel="2"/>
    <col min="16" max="17" width="14.140625" style="66" customWidth="1" outlineLevel="2"/>
    <col min="18" max="18" width="16.42578125" style="66" customWidth="1" outlineLevel="2"/>
    <col min="19" max="25" width="18.42578125" style="66" customWidth="1" outlineLevel="2"/>
    <col min="26" max="26" width="18.85546875" style="66" customWidth="1" outlineLevel="2"/>
    <col min="27" max="27" width="21" style="66" customWidth="1" outlineLevel="2"/>
    <col min="28" max="29" width="14.5703125" style="66" customWidth="1" outlineLevel="2"/>
    <col min="30" max="30" width="16.42578125" style="66" customWidth="1" outlineLevel="2"/>
    <col min="31" max="31" width="18.42578125" style="66" customWidth="1" outlineLevel="2"/>
    <col min="32" max="32" width="18.140625" style="66" customWidth="1" outlineLevel="2"/>
    <col min="33" max="33" width="20.140625" style="66" customWidth="1" outlineLevel="2"/>
    <col min="34" max="37" width="14.5703125" style="66" customWidth="1" outlineLevel="2"/>
    <col min="38" max="38" width="14.42578125" style="66" bestFit="1" customWidth="1"/>
    <col min="39" max="40" width="13.42578125" style="66" bestFit="1" customWidth="1"/>
    <col min="41" max="41" width="12.42578125" style="66" bestFit="1" customWidth="1"/>
    <col min="42" max="42" width="17.140625" style="66" bestFit="1" customWidth="1"/>
    <col min="43" max="43" width="17.140625" style="66" customWidth="1"/>
    <col min="44" max="48" width="17.42578125" style="66" customWidth="1" outlineLevel="1"/>
    <col min="49" max="49" width="15.140625" style="66" customWidth="1" outlineLevel="1"/>
    <col min="50" max="50" width="9.85546875" style="66" customWidth="1" outlineLevel="1"/>
    <col min="51" max="51" width="12.5703125" style="66" customWidth="1" outlineLevel="1"/>
    <col min="52" max="52" width="14.42578125" style="66" customWidth="1" outlineLevel="1"/>
    <col min="53" max="53" width="15.140625" style="66" customWidth="1" outlineLevel="1"/>
    <col min="54" max="55" width="11.85546875" style="66" customWidth="1" outlineLevel="1"/>
    <col min="56" max="56" width="12.5703125" style="66" customWidth="1" outlineLevel="1"/>
    <col min="57" max="59" width="16.5703125" style="66" customWidth="1" outlineLevel="1"/>
    <col min="60" max="60" width="15.140625" style="66" customWidth="1" outlineLevel="1"/>
    <col min="61" max="62" width="13.5703125" style="66" customWidth="1" outlineLevel="1"/>
    <col min="63" max="63" width="14.42578125" style="66" customWidth="1" outlineLevel="1"/>
    <col min="64" max="64" width="19.5703125" style="66" customWidth="1" outlineLevel="1"/>
    <col min="65" max="66" width="17.85546875" style="66" customWidth="1" outlineLevel="1"/>
    <col min="67" max="67" width="12.85546875" style="66" customWidth="1" outlineLevel="1"/>
    <col min="68" max="68" width="13.5703125" style="66" customWidth="1" outlineLevel="1"/>
    <col min="69" max="69" width="18.85546875" style="66" customWidth="1" outlineLevel="1"/>
    <col min="70" max="70" width="20.140625" style="66" customWidth="1" outlineLevel="1"/>
    <col min="71" max="73" width="20.140625" style="66" bestFit="1" customWidth="1"/>
    <col min="74" max="76" width="17.42578125" style="66" bestFit="1" customWidth="1"/>
    <col min="77" max="77" width="15.140625" style="66" bestFit="1" customWidth="1"/>
    <col min="78" max="79" width="14.42578125" style="66" bestFit="1" customWidth="1"/>
    <col min="80" max="80" width="15.140625" style="66" bestFit="1" customWidth="1"/>
    <col min="81" max="82" width="15" style="66" bestFit="1" customWidth="1"/>
    <col min="83" max="83" width="15.140625" style="66" bestFit="1" customWidth="1"/>
    <col min="84" max="84" width="10.42578125" style="66" bestFit="1" customWidth="1"/>
    <col min="85" max="85" width="12.5703125" style="66" bestFit="1" customWidth="1"/>
    <col min="86" max="86" width="16.5703125" style="66" bestFit="1" customWidth="1"/>
    <col min="87" max="88" width="19.7109375" style="66" bestFit="1" customWidth="1"/>
    <col min="89" max="89" width="15.5703125" style="66" customWidth="1"/>
    <col min="90" max="90" width="11.28515625" style="66" customWidth="1"/>
    <col min="91" max="91" width="17.85546875" style="66" bestFit="1" customWidth="1"/>
    <col min="92" max="92" width="14.42578125" style="66" customWidth="1"/>
    <col min="93" max="93" width="14.28515625" style="66" bestFit="1" customWidth="1"/>
    <col min="94" max="95" width="19.7109375" style="66" bestFit="1" customWidth="1"/>
    <col min="96" max="96" width="16.5703125" style="66" bestFit="1" customWidth="1"/>
    <col min="97" max="97" width="22" style="66" bestFit="1" customWidth="1"/>
    <col min="98" max="98" width="12" bestFit="1" customWidth="1"/>
    <col min="99" max="99" width="11.5703125" bestFit="1" customWidth="1"/>
    <col min="100" max="100" width="12" bestFit="1" customWidth="1"/>
    <col min="101" max="101" width="15.28515625" bestFit="1" customWidth="1"/>
  </cols>
  <sheetData>
    <row r="1" spans="1:101" ht="28.5" x14ac:dyDescent="0.45">
      <c r="A1" s="1"/>
      <c r="B1" s="1"/>
      <c r="C1" s="1"/>
      <c r="D1" s="2"/>
      <c r="E1" s="3"/>
      <c r="F1" s="3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5"/>
      <c r="AN1" s="5"/>
      <c r="AO1" s="5"/>
      <c r="AP1" s="5"/>
      <c r="AQ1" s="5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6"/>
      <c r="BM1" s="4"/>
      <c r="BN1" s="4"/>
      <c r="BO1" s="4"/>
      <c r="BP1" s="4"/>
      <c r="BQ1" s="4"/>
      <c r="BR1" s="7"/>
      <c r="BS1" s="7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8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spans="1:101" ht="15" customHeight="1" x14ac:dyDescent="0.25">
      <c r="D2" s="11" t="s">
        <v>0</v>
      </c>
      <c r="E2" s="11" t="s">
        <v>1</v>
      </c>
      <c r="F2" s="11" t="s">
        <v>2</v>
      </c>
      <c r="G2" s="12" t="s">
        <v>3</v>
      </c>
      <c r="H2" s="12" t="s">
        <v>4</v>
      </c>
      <c r="I2" s="13" t="s">
        <v>5</v>
      </c>
      <c r="J2" s="12" t="s">
        <v>6</v>
      </c>
      <c r="K2" s="12" t="s">
        <v>0</v>
      </c>
      <c r="L2" s="12" t="s">
        <v>1</v>
      </c>
      <c r="M2" s="12" t="s">
        <v>2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12" t="s">
        <v>12</v>
      </c>
      <c r="T2" s="16" t="s">
        <v>7</v>
      </c>
      <c r="U2" s="16" t="s">
        <v>8</v>
      </c>
      <c r="V2" s="16" t="s">
        <v>134</v>
      </c>
      <c r="W2" s="16" t="s">
        <v>135</v>
      </c>
      <c r="X2" s="16" t="s">
        <v>11</v>
      </c>
      <c r="Y2" s="16" t="s">
        <v>12</v>
      </c>
      <c r="Z2" s="12" t="s">
        <v>7</v>
      </c>
      <c r="AA2" s="12" t="s">
        <v>8</v>
      </c>
      <c r="AB2" s="12" t="s">
        <v>9</v>
      </c>
      <c r="AC2" s="12" t="s">
        <v>10</v>
      </c>
      <c r="AD2" s="12" t="s">
        <v>11</v>
      </c>
      <c r="AE2" s="12" t="s">
        <v>12</v>
      </c>
      <c r="AF2" s="12" t="s">
        <v>13</v>
      </c>
      <c r="AG2" s="12" t="s">
        <v>14</v>
      </c>
      <c r="AH2" s="12" t="s">
        <v>15</v>
      </c>
      <c r="AI2" s="12" t="s">
        <v>16</v>
      </c>
      <c r="AJ2" s="12" t="s">
        <v>17</v>
      </c>
      <c r="AK2" s="12" t="s">
        <v>18</v>
      </c>
      <c r="AL2" s="14" t="s">
        <v>19</v>
      </c>
      <c r="AM2" s="14" t="s">
        <v>20</v>
      </c>
      <c r="AN2" s="15" t="s">
        <v>21</v>
      </c>
      <c r="AO2" s="15" t="s">
        <v>22</v>
      </c>
      <c r="AP2" s="89" t="s">
        <v>23</v>
      </c>
      <c r="AQ2" s="83"/>
      <c r="AR2" s="16" t="s">
        <v>0</v>
      </c>
      <c r="AS2" s="16" t="s">
        <v>24</v>
      </c>
      <c r="AT2" s="12" t="s">
        <v>5</v>
      </c>
      <c r="AU2" s="12" t="s">
        <v>2</v>
      </c>
      <c r="AV2" s="12" t="s">
        <v>19</v>
      </c>
      <c r="AW2" s="12" t="s">
        <v>0</v>
      </c>
      <c r="AX2" s="12" t="s">
        <v>24</v>
      </c>
      <c r="AY2" s="12" t="s">
        <v>2</v>
      </c>
      <c r="AZ2" s="12" t="s">
        <v>19</v>
      </c>
      <c r="BA2" s="12" t="s">
        <v>0</v>
      </c>
      <c r="BB2" s="12" t="s">
        <v>24</v>
      </c>
      <c r="BC2" s="12" t="s">
        <v>5</v>
      </c>
      <c r="BD2" s="12" t="s">
        <v>2</v>
      </c>
      <c r="BE2" s="12" t="s">
        <v>0</v>
      </c>
      <c r="BF2" s="12" t="s">
        <v>24</v>
      </c>
      <c r="BG2" s="17" t="s">
        <v>2</v>
      </c>
      <c r="BH2" s="17" t="s">
        <v>0</v>
      </c>
      <c r="BI2" s="17" t="s">
        <v>24</v>
      </c>
      <c r="BJ2" s="17" t="s">
        <v>2</v>
      </c>
      <c r="BK2" s="17" t="s">
        <v>19</v>
      </c>
      <c r="BL2" s="18" t="s">
        <v>3</v>
      </c>
      <c r="BM2" s="18" t="s">
        <v>4</v>
      </c>
      <c r="BN2" s="18" t="s">
        <v>6</v>
      </c>
      <c r="BO2" s="18" t="s">
        <v>25</v>
      </c>
      <c r="BP2" s="18" t="s">
        <v>26</v>
      </c>
      <c r="BQ2" s="18" t="s">
        <v>27</v>
      </c>
      <c r="BR2" s="14" t="s">
        <v>28</v>
      </c>
      <c r="BS2" s="14" t="s">
        <v>10</v>
      </c>
      <c r="BT2" s="14" t="s">
        <v>29</v>
      </c>
      <c r="BU2" s="14" t="s">
        <v>12</v>
      </c>
      <c r="BV2" s="14" t="s">
        <v>0</v>
      </c>
      <c r="BW2" s="14" t="s">
        <v>1</v>
      </c>
      <c r="BX2" s="14" t="s">
        <v>2</v>
      </c>
      <c r="BY2" s="14" t="s">
        <v>0</v>
      </c>
      <c r="BZ2" s="14" t="s">
        <v>1</v>
      </c>
      <c r="CA2" s="14" t="s">
        <v>2</v>
      </c>
      <c r="CB2" s="14" t="s">
        <v>0</v>
      </c>
      <c r="CC2" s="14" t="s">
        <v>1</v>
      </c>
      <c r="CD2" s="14" t="s">
        <v>2</v>
      </c>
      <c r="CE2" s="14" t="s">
        <v>0</v>
      </c>
      <c r="CF2" s="14" t="s">
        <v>1</v>
      </c>
      <c r="CG2" s="14" t="s">
        <v>2</v>
      </c>
      <c r="CH2" s="14" t="s">
        <v>2</v>
      </c>
      <c r="CI2" s="14" t="s">
        <v>1</v>
      </c>
      <c r="CJ2" s="14" t="s">
        <v>2</v>
      </c>
      <c r="CK2" s="14" t="s">
        <v>1</v>
      </c>
      <c r="CL2" s="14" t="s">
        <v>1</v>
      </c>
      <c r="CM2" s="14" t="s">
        <v>1</v>
      </c>
      <c r="CN2" s="14" t="s">
        <v>1</v>
      </c>
      <c r="CO2" s="14" t="s">
        <v>1</v>
      </c>
      <c r="CP2" s="14" t="s">
        <v>1</v>
      </c>
      <c r="CQ2" s="14" t="s">
        <v>1</v>
      </c>
      <c r="CR2" s="19" t="s">
        <v>30</v>
      </c>
      <c r="CS2" s="85" t="s">
        <v>136</v>
      </c>
      <c r="CT2" s="85" t="s">
        <v>135</v>
      </c>
      <c r="CU2" s="85" t="s">
        <v>29</v>
      </c>
      <c r="CV2" s="85" t="s">
        <v>12</v>
      </c>
      <c r="CW2" s="20" t="s">
        <v>31</v>
      </c>
    </row>
    <row r="3" spans="1:101" ht="60" x14ac:dyDescent="0.25">
      <c r="D3" s="21" t="s">
        <v>32</v>
      </c>
      <c r="E3" s="21" t="s">
        <v>32</v>
      </c>
      <c r="F3" s="21" t="s">
        <v>32</v>
      </c>
      <c r="G3" s="22" t="s">
        <v>32</v>
      </c>
      <c r="H3" s="22" t="s">
        <v>32</v>
      </c>
      <c r="I3" s="23" t="s">
        <v>32</v>
      </c>
      <c r="J3" s="22" t="s">
        <v>32</v>
      </c>
      <c r="K3" s="22" t="s">
        <v>33</v>
      </c>
      <c r="L3" s="22" t="s">
        <v>33</v>
      </c>
      <c r="M3" s="22" t="s">
        <v>33</v>
      </c>
      <c r="N3" s="22" t="s">
        <v>34</v>
      </c>
      <c r="O3" s="22" t="s">
        <v>34</v>
      </c>
      <c r="P3" s="22" t="s">
        <v>34</v>
      </c>
      <c r="Q3" s="22" t="s">
        <v>34</v>
      </c>
      <c r="R3" s="22" t="s">
        <v>34</v>
      </c>
      <c r="S3" s="22" t="s">
        <v>34</v>
      </c>
      <c r="T3" s="24" t="s">
        <v>137</v>
      </c>
      <c r="U3" s="24" t="s">
        <v>137</v>
      </c>
      <c r="V3" s="24" t="s">
        <v>137</v>
      </c>
      <c r="W3" s="24" t="s">
        <v>137</v>
      </c>
      <c r="X3" s="24" t="s">
        <v>137</v>
      </c>
      <c r="Y3" s="24" t="s">
        <v>137</v>
      </c>
      <c r="Z3" s="22" t="s">
        <v>35</v>
      </c>
      <c r="AA3" s="22" t="s">
        <v>35</v>
      </c>
      <c r="AB3" s="22" t="s">
        <v>35</v>
      </c>
      <c r="AC3" s="22" t="s">
        <v>35</v>
      </c>
      <c r="AD3" s="22" t="s">
        <v>35</v>
      </c>
      <c r="AE3" s="22" t="s">
        <v>35</v>
      </c>
      <c r="AF3" s="22" t="s">
        <v>35</v>
      </c>
      <c r="AG3" s="22" t="s">
        <v>35</v>
      </c>
      <c r="AH3" s="22" t="s">
        <v>35</v>
      </c>
      <c r="AI3" s="22" t="s">
        <v>35</v>
      </c>
      <c r="AJ3" s="22" t="s">
        <v>35</v>
      </c>
      <c r="AK3" s="22" t="s">
        <v>35</v>
      </c>
      <c r="AL3" s="23" t="s">
        <v>36</v>
      </c>
      <c r="AM3" s="23" t="s">
        <v>36</v>
      </c>
      <c r="AN3" s="23"/>
      <c r="AO3" s="23"/>
      <c r="AP3" s="90"/>
      <c r="AQ3" s="84" t="s">
        <v>37</v>
      </c>
      <c r="AR3" s="24" t="s">
        <v>38</v>
      </c>
      <c r="AS3" s="24" t="s">
        <v>38</v>
      </c>
      <c r="AT3" s="22" t="s">
        <v>38</v>
      </c>
      <c r="AU3" s="22" t="s">
        <v>38</v>
      </c>
      <c r="AV3" s="22" t="s">
        <v>38</v>
      </c>
      <c r="AW3" s="22" t="s">
        <v>39</v>
      </c>
      <c r="AX3" s="22" t="s">
        <v>39</v>
      </c>
      <c r="AY3" s="22" t="s">
        <v>39</v>
      </c>
      <c r="AZ3" s="22" t="s">
        <v>39</v>
      </c>
      <c r="BA3" s="22" t="s">
        <v>40</v>
      </c>
      <c r="BB3" s="22" t="s">
        <v>40</v>
      </c>
      <c r="BC3" s="22" t="s">
        <v>40</v>
      </c>
      <c r="BD3" s="22" t="s">
        <v>40</v>
      </c>
      <c r="BE3" s="22" t="s">
        <v>41</v>
      </c>
      <c r="BF3" s="22" t="s">
        <v>41</v>
      </c>
      <c r="BG3" s="22" t="s">
        <v>41</v>
      </c>
      <c r="BH3" s="22" t="s">
        <v>42</v>
      </c>
      <c r="BI3" s="22" t="s">
        <v>42</v>
      </c>
      <c r="BJ3" s="22" t="s">
        <v>42</v>
      </c>
      <c r="BK3" s="22" t="s">
        <v>42</v>
      </c>
      <c r="BL3" s="24" t="s">
        <v>32</v>
      </c>
      <c r="BM3" s="24" t="s">
        <v>32</v>
      </c>
      <c r="BN3" s="24" t="s">
        <v>32</v>
      </c>
      <c r="BO3" s="25" t="s">
        <v>4</v>
      </c>
      <c r="BP3" s="25" t="s">
        <v>4</v>
      </c>
      <c r="BQ3" s="25" t="s">
        <v>4</v>
      </c>
      <c r="BR3" s="84" t="s">
        <v>43</v>
      </c>
      <c r="BS3" s="84" t="s">
        <v>43</v>
      </c>
      <c r="BT3" s="84" t="s">
        <v>43</v>
      </c>
      <c r="BU3" s="84" t="s">
        <v>43</v>
      </c>
      <c r="BV3" s="84" t="s">
        <v>38</v>
      </c>
      <c r="BW3" s="84" t="s">
        <v>38</v>
      </c>
      <c r="BX3" s="84" t="s">
        <v>38</v>
      </c>
      <c r="BY3" s="84" t="s">
        <v>42</v>
      </c>
      <c r="BZ3" s="84" t="s">
        <v>42</v>
      </c>
      <c r="CA3" s="84" t="s">
        <v>42</v>
      </c>
      <c r="CB3" s="84" t="s">
        <v>44</v>
      </c>
      <c r="CC3" s="84" t="s">
        <v>44</v>
      </c>
      <c r="CD3" s="84" t="s">
        <v>44</v>
      </c>
      <c r="CE3" s="84" t="s">
        <v>45</v>
      </c>
      <c r="CF3" s="84" t="s">
        <v>45</v>
      </c>
      <c r="CG3" s="84" t="s">
        <v>45</v>
      </c>
      <c r="CH3" s="84" t="s">
        <v>41</v>
      </c>
      <c r="CI3" s="84" t="s">
        <v>46</v>
      </c>
      <c r="CJ3" s="84" t="s">
        <v>46</v>
      </c>
      <c r="CK3" s="26" t="s">
        <v>47</v>
      </c>
      <c r="CL3" s="26" t="s">
        <v>47</v>
      </c>
      <c r="CM3" s="26" t="s">
        <v>32</v>
      </c>
      <c r="CN3" s="26" t="s">
        <v>42</v>
      </c>
      <c r="CO3" s="26" t="s">
        <v>48</v>
      </c>
      <c r="CP3" s="26" t="s">
        <v>46</v>
      </c>
      <c r="CQ3" s="26" t="s">
        <v>46</v>
      </c>
      <c r="CR3" s="86" t="s">
        <v>49</v>
      </c>
      <c r="CS3" s="87" t="s">
        <v>138</v>
      </c>
      <c r="CT3" s="87" t="s">
        <v>138</v>
      </c>
      <c r="CU3" s="87" t="s">
        <v>138</v>
      </c>
      <c r="CV3" s="87" t="s">
        <v>138</v>
      </c>
      <c r="CW3" s="27"/>
    </row>
    <row r="4" spans="1:101" x14ac:dyDescent="0.25">
      <c r="A4" s="28"/>
      <c r="B4" s="29" t="s">
        <v>50</v>
      </c>
      <c r="C4" s="30" t="s">
        <v>51</v>
      </c>
      <c r="D4" s="31" t="s">
        <v>52</v>
      </c>
      <c r="E4" s="31" t="s">
        <v>53</v>
      </c>
      <c r="F4" s="31" t="s">
        <v>54</v>
      </c>
      <c r="G4" s="32">
        <v>482800001265</v>
      </c>
      <c r="H4" s="32">
        <v>482800001273</v>
      </c>
      <c r="I4" s="32">
        <v>482800002024</v>
      </c>
      <c r="J4" s="32">
        <v>482800001257</v>
      </c>
      <c r="K4" s="32" t="s">
        <v>55</v>
      </c>
      <c r="L4" s="32" t="s">
        <v>56</v>
      </c>
      <c r="M4" s="32" t="s">
        <v>57</v>
      </c>
      <c r="N4" s="32">
        <v>36203301</v>
      </c>
      <c r="O4" s="32">
        <v>36203301</v>
      </c>
      <c r="P4" s="32">
        <v>36203328</v>
      </c>
      <c r="Q4" s="32">
        <v>36203328</v>
      </c>
      <c r="R4" s="32">
        <v>36025015</v>
      </c>
      <c r="S4" s="32">
        <v>36025015</v>
      </c>
      <c r="T4" s="32"/>
      <c r="U4" s="32"/>
      <c r="V4" s="32"/>
      <c r="W4" s="32"/>
      <c r="X4" s="32"/>
      <c r="Y4" s="32"/>
      <c r="Z4" s="32">
        <v>865784010</v>
      </c>
      <c r="AA4" s="32">
        <v>865784010</v>
      </c>
      <c r="AB4" s="32">
        <v>865804010</v>
      </c>
      <c r="AC4" s="32">
        <v>865804010</v>
      </c>
      <c r="AD4" s="32">
        <v>865794010</v>
      </c>
      <c r="AE4" s="32">
        <v>865794010</v>
      </c>
      <c r="AF4" s="32" t="s">
        <v>58</v>
      </c>
      <c r="AG4" s="32" t="s">
        <v>58</v>
      </c>
      <c r="AH4" s="32" t="s">
        <v>59</v>
      </c>
      <c r="AI4" s="32" t="s">
        <v>59</v>
      </c>
      <c r="AJ4" s="32" t="s">
        <v>60</v>
      </c>
      <c r="AK4" s="32" t="s">
        <v>60</v>
      </c>
      <c r="AL4" s="33"/>
      <c r="AM4" s="33"/>
      <c r="AN4" s="33"/>
      <c r="AO4" s="33"/>
      <c r="AP4" s="33"/>
      <c r="AQ4" s="33">
        <v>3642</v>
      </c>
      <c r="AR4" s="33" t="s">
        <v>61</v>
      </c>
      <c r="AS4" s="33" t="s">
        <v>62</v>
      </c>
      <c r="AT4" s="33" t="s">
        <v>63</v>
      </c>
      <c r="AU4" s="33" t="s">
        <v>64</v>
      </c>
      <c r="AV4" s="33" t="s">
        <v>65</v>
      </c>
      <c r="AW4" s="33" t="s">
        <v>66</v>
      </c>
      <c r="AX4" s="33" t="s">
        <v>67</v>
      </c>
      <c r="AY4" s="33" t="s">
        <v>68</v>
      </c>
      <c r="AZ4" s="33" t="s">
        <v>69</v>
      </c>
      <c r="BA4" s="33" t="s">
        <v>70</v>
      </c>
      <c r="BB4" s="33" t="s">
        <v>71</v>
      </c>
      <c r="BC4" s="33" t="s">
        <v>72</v>
      </c>
      <c r="BD4" s="33" t="s">
        <v>73</v>
      </c>
      <c r="BE4" s="33" t="s">
        <v>74</v>
      </c>
      <c r="BF4" s="33" t="s">
        <v>75</v>
      </c>
      <c r="BG4" s="33" t="s">
        <v>76</v>
      </c>
      <c r="BH4" s="33" t="s">
        <v>77</v>
      </c>
      <c r="BI4" s="33" t="s">
        <v>78</v>
      </c>
      <c r="BJ4" s="33" t="s">
        <v>79</v>
      </c>
      <c r="BK4" s="33" t="s">
        <v>80</v>
      </c>
      <c r="BL4" s="34">
        <v>482800007882</v>
      </c>
      <c r="BM4" s="34">
        <v>482800007908</v>
      </c>
      <c r="BN4" s="34">
        <v>482800007890</v>
      </c>
      <c r="BO4" s="34">
        <v>482800010001</v>
      </c>
      <c r="BP4" s="34">
        <v>482800010019</v>
      </c>
      <c r="BQ4" s="34">
        <v>482800010027</v>
      </c>
      <c r="BR4" s="33">
        <v>36024995</v>
      </c>
      <c r="BS4" s="33">
        <v>36024995</v>
      </c>
      <c r="BT4" s="33">
        <v>36903922</v>
      </c>
      <c r="BU4" s="33">
        <v>36903922</v>
      </c>
      <c r="BV4" s="33">
        <v>36294346</v>
      </c>
      <c r="BW4" s="33" t="s">
        <v>81</v>
      </c>
      <c r="BX4" s="33">
        <v>36294353</v>
      </c>
      <c r="BY4" s="33" t="s">
        <v>82</v>
      </c>
      <c r="BZ4" s="33" t="s">
        <v>83</v>
      </c>
      <c r="CA4" s="33" t="s">
        <v>84</v>
      </c>
      <c r="CB4" s="33" t="s">
        <v>85</v>
      </c>
      <c r="CC4" s="33" t="s">
        <v>86</v>
      </c>
      <c r="CD4" s="33" t="s">
        <v>87</v>
      </c>
      <c r="CE4" s="33" t="s">
        <v>88</v>
      </c>
      <c r="CF4" s="33" t="s">
        <v>89</v>
      </c>
      <c r="CG4" s="33" t="s">
        <v>90</v>
      </c>
      <c r="CH4" s="33" t="s">
        <v>91</v>
      </c>
      <c r="CI4" s="33">
        <v>221816614</v>
      </c>
      <c r="CJ4" s="33">
        <v>221816598</v>
      </c>
      <c r="CK4" s="33">
        <v>60193029</v>
      </c>
      <c r="CL4" s="33">
        <v>60193401</v>
      </c>
      <c r="CM4" s="33">
        <v>1011143807</v>
      </c>
      <c r="CN4" s="33">
        <v>4801736642</v>
      </c>
      <c r="CO4" s="33">
        <v>65005340</v>
      </c>
      <c r="CP4" s="33">
        <v>288086051</v>
      </c>
      <c r="CQ4" s="33">
        <v>288049109</v>
      </c>
      <c r="CR4" s="33">
        <v>411166042</v>
      </c>
      <c r="CS4" s="33">
        <v>865804015</v>
      </c>
      <c r="CT4" s="33">
        <v>865804015</v>
      </c>
      <c r="CU4" s="33">
        <v>865794015</v>
      </c>
      <c r="CV4" s="33">
        <v>865794015</v>
      </c>
      <c r="CW4" s="35"/>
    </row>
    <row r="5" spans="1:101" x14ac:dyDescent="0.25">
      <c r="B5" s="36"/>
      <c r="C5" s="37" t="s">
        <v>92</v>
      </c>
      <c r="D5" s="38"/>
      <c r="E5" s="38" t="s">
        <v>93</v>
      </c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9"/>
      <c r="AI5" s="39"/>
      <c r="AJ5" s="39"/>
      <c r="AK5" s="39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>
        <v>4.1694700000000005</v>
      </c>
      <c r="BT5" s="37"/>
      <c r="BU5" s="37">
        <f>+BS5</f>
        <v>4.1694700000000005</v>
      </c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40"/>
    </row>
    <row r="6" spans="1:101" x14ac:dyDescent="0.25">
      <c r="B6" s="36"/>
      <c r="C6" s="37" t="s">
        <v>94</v>
      </c>
      <c r="D6" s="37">
        <f>+D7-D8</f>
        <v>-17730.084150000534</v>
      </c>
      <c r="E6" s="37">
        <f>+E7-E8</f>
        <v>1499078.2235254534</v>
      </c>
      <c r="F6" s="37">
        <f>+F7-F8</f>
        <v>329047.04701849073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9"/>
      <c r="AI6" s="39"/>
      <c r="AJ6" s="39"/>
      <c r="AK6" s="39"/>
      <c r="AL6" s="37">
        <f t="shared" ref="AL6:BQ6" si="0">+AL7-AL8</f>
        <v>-958691.94602007559</v>
      </c>
      <c r="AM6" s="37">
        <f t="shared" si="0"/>
        <v>22570.484666459262</v>
      </c>
      <c r="AN6" s="37">
        <f t="shared" si="0"/>
        <v>164290.34351999965</v>
      </c>
      <c r="AO6" s="37">
        <f t="shared" si="0"/>
        <v>385867.6348285604</v>
      </c>
      <c r="AP6" s="37">
        <f t="shared" si="0"/>
        <v>1119809.2871762458</v>
      </c>
      <c r="AQ6" s="37">
        <f t="shared" si="0"/>
        <v>2689287.8846778395</v>
      </c>
      <c r="AR6" s="37">
        <f t="shared" si="0"/>
        <v>0</v>
      </c>
      <c r="AS6" s="37">
        <f t="shared" si="0"/>
        <v>0</v>
      </c>
      <c r="AT6" s="37">
        <f t="shared" si="0"/>
        <v>0</v>
      </c>
      <c r="AU6" s="37">
        <f t="shared" si="0"/>
        <v>0</v>
      </c>
      <c r="AV6" s="37">
        <f t="shared" si="0"/>
        <v>0</v>
      </c>
      <c r="AW6" s="37">
        <f t="shared" si="0"/>
        <v>0</v>
      </c>
      <c r="AX6" s="37">
        <f t="shared" si="0"/>
        <v>0</v>
      </c>
      <c r="AY6" s="37">
        <f t="shared" si="0"/>
        <v>0</v>
      </c>
      <c r="AZ6" s="37">
        <f t="shared" si="0"/>
        <v>0</v>
      </c>
      <c r="BA6" s="37">
        <f t="shared" si="0"/>
        <v>0</v>
      </c>
      <c r="BB6" s="37">
        <f t="shared" si="0"/>
        <v>0</v>
      </c>
      <c r="BC6" s="37">
        <f t="shared" si="0"/>
        <v>0</v>
      </c>
      <c r="BD6" s="37">
        <f t="shared" si="0"/>
        <v>0</v>
      </c>
      <c r="BE6" s="37">
        <f t="shared" si="0"/>
        <v>0</v>
      </c>
      <c r="BF6" s="37">
        <f t="shared" si="0"/>
        <v>0</v>
      </c>
      <c r="BG6" s="37">
        <f t="shared" si="0"/>
        <v>0</v>
      </c>
      <c r="BH6" s="37">
        <f t="shared" si="0"/>
        <v>0</v>
      </c>
      <c r="BI6" s="37">
        <f t="shared" si="0"/>
        <v>0</v>
      </c>
      <c r="BJ6" s="37">
        <f t="shared" si="0"/>
        <v>0</v>
      </c>
      <c r="BK6" s="37">
        <f t="shared" si="0"/>
        <v>0</v>
      </c>
      <c r="BL6" s="37">
        <f t="shared" si="0"/>
        <v>0</v>
      </c>
      <c r="BM6" s="37">
        <f t="shared" si="0"/>
        <v>0</v>
      </c>
      <c r="BN6" s="37">
        <f t="shared" si="0"/>
        <v>0</v>
      </c>
      <c r="BO6" s="37">
        <f t="shared" si="0"/>
        <v>0</v>
      </c>
      <c r="BP6" s="37">
        <f t="shared" si="0"/>
        <v>0</v>
      </c>
      <c r="BQ6" s="37">
        <f t="shared" si="0"/>
        <v>0</v>
      </c>
      <c r="BR6" s="37"/>
      <c r="BS6" s="37"/>
      <c r="BT6" s="37"/>
      <c r="BU6" s="37"/>
      <c r="BV6" s="37">
        <f>+BV7-BV8-422.17</f>
        <v>-422.17</v>
      </c>
      <c r="BW6" s="37">
        <f t="shared" ref="BW6:CR6" si="1">+BW7-BW8</f>
        <v>0</v>
      </c>
      <c r="BX6" s="37">
        <f t="shared" si="1"/>
        <v>0</v>
      </c>
      <c r="BY6" s="37">
        <f t="shared" si="1"/>
        <v>1142.1620000000112</v>
      </c>
      <c r="BZ6" s="37">
        <f t="shared" si="1"/>
        <v>333832.28818000015</v>
      </c>
      <c r="CA6" s="37">
        <f t="shared" si="1"/>
        <v>241250.47197999991</v>
      </c>
      <c r="CB6" s="37">
        <f t="shared" si="1"/>
        <v>-2.4000000121304765E-4</v>
      </c>
      <c r="CC6" s="37">
        <f t="shared" si="1"/>
        <v>-4.1799998143687844E-3</v>
      </c>
      <c r="CD6" s="37">
        <f>+[1]Otrosbancos!$P$29</f>
        <v>0</v>
      </c>
      <c r="CE6" s="37">
        <f t="shared" si="1"/>
        <v>-22.700000000000728</v>
      </c>
      <c r="CF6" s="37">
        <f t="shared" si="1"/>
        <v>16155.713999999978</v>
      </c>
      <c r="CG6" s="37">
        <f t="shared" si="1"/>
        <v>0</v>
      </c>
      <c r="CH6" s="37">
        <f t="shared" si="1"/>
        <v>0</v>
      </c>
      <c r="CI6" s="37">
        <f t="shared" si="1"/>
        <v>1927.9179999999469</v>
      </c>
      <c r="CJ6" s="37">
        <f t="shared" si="1"/>
        <v>23472.876040000003</v>
      </c>
      <c r="CK6" s="37">
        <f t="shared" si="1"/>
        <v>0</v>
      </c>
      <c r="CL6" s="37">
        <f t="shared" si="1"/>
        <v>0</v>
      </c>
      <c r="CM6" s="37">
        <f t="shared" si="1"/>
        <v>-1.4999999257270247E-4</v>
      </c>
      <c r="CN6" s="37">
        <f t="shared" si="1"/>
        <v>-2.9699999140575528E-3</v>
      </c>
      <c r="CO6" s="37">
        <f t="shared" si="1"/>
        <v>4.6400002902373672E-3</v>
      </c>
      <c r="CP6" s="37">
        <f t="shared" si="1"/>
        <v>-2.7600005269050598E-3</v>
      </c>
      <c r="CQ6" s="37">
        <f t="shared" si="1"/>
        <v>216.65003000001889</v>
      </c>
      <c r="CR6" s="37">
        <f t="shared" si="1"/>
        <v>-6.7999896054971032E-4</v>
      </c>
      <c r="CS6" s="37">
        <f>+CS7-CS8</f>
        <v>-5000</v>
      </c>
      <c r="CT6" s="37">
        <f>+CT7-CT8</f>
        <v>-20468.599999999999</v>
      </c>
      <c r="CU6" s="37">
        <f>+CU7-CU8</f>
        <v>-5000</v>
      </c>
      <c r="CV6" s="37">
        <f>+CV7-CV8</f>
        <v>-20468.599999999999</v>
      </c>
      <c r="CW6" s="37"/>
    </row>
    <row r="7" spans="1:101" x14ac:dyDescent="0.25">
      <c r="A7" s="41"/>
      <c r="B7" s="42"/>
      <c r="C7" s="43" t="s">
        <v>95</v>
      </c>
      <c r="D7" s="43">
        <f>+'[1]Cap,Bol,Cls'!$P$4</f>
        <v>439899.37271999998</v>
      </c>
      <c r="E7" s="43">
        <f>+'[1]Cap,Bol,Cls'!$P$13</f>
        <v>14859035.052519999</v>
      </c>
      <c r="F7" s="43">
        <f>+'[1]Cap,Bol,Cls'!$P$30</f>
        <v>18764277.178950001</v>
      </c>
      <c r="G7" s="43">
        <f>+G8</f>
        <v>0</v>
      </c>
      <c r="H7" s="43">
        <f>+H8</f>
        <v>0</v>
      </c>
      <c r="I7" s="43">
        <f>+'[1]Cap,Bol,Cls'!$P$24</f>
        <v>112998.57038999999</v>
      </c>
      <c r="J7" s="43">
        <f>+J8</f>
        <v>0</v>
      </c>
      <c r="K7" s="43">
        <f>+K8</f>
        <v>162804.97405614308</v>
      </c>
      <c r="L7" s="43">
        <f>+L8</f>
        <v>208863.22073588872</v>
      </c>
      <c r="M7" s="43">
        <f>+M8</f>
        <v>107623.07598886651</v>
      </c>
      <c r="N7" s="43">
        <f>+N8</f>
        <v>177310.5199999999</v>
      </c>
      <c r="O7" s="43">
        <f t="shared" ref="O7:AK7" si="2">+O8</f>
        <v>743248.15264999995</v>
      </c>
      <c r="P7" s="43">
        <f t="shared" si="2"/>
        <v>19547043.280000009</v>
      </c>
      <c r="Q7" s="43">
        <f t="shared" si="2"/>
        <v>114848264.17547989</v>
      </c>
      <c r="R7" s="43">
        <f t="shared" si="2"/>
        <v>294505.52999999997</v>
      </c>
      <c r="S7" s="43">
        <f t="shared" si="2"/>
        <v>1562850.8708828988</v>
      </c>
      <c r="T7" s="43"/>
      <c r="U7" s="43"/>
      <c r="V7" s="43"/>
      <c r="W7" s="43"/>
      <c r="X7" s="43"/>
      <c r="Y7" s="43"/>
      <c r="Z7" s="43">
        <f t="shared" si="2"/>
        <v>9662.5274983807467</v>
      </c>
      <c r="AA7" s="43">
        <f t="shared" si="2"/>
        <v>40503.29</v>
      </c>
      <c r="AB7" s="43">
        <f t="shared" si="2"/>
        <v>7542.7499999967404</v>
      </c>
      <c r="AC7" s="43">
        <f t="shared" si="2"/>
        <v>31617.62</v>
      </c>
      <c r="AD7" s="43">
        <f t="shared" si="2"/>
        <v>5155</v>
      </c>
      <c r="AE7" s="43">
        <f t="shared" si="2"/>
        <v>21608.68</v>
      </c>
      <c r="AF7" s="43">
        <f t="shared" si="2"/>
        <v>7956.8699999451637</v>
      </c>
      <c r="AG7" s="43">
        <f t="shared" si="2"/>
        <v>33353.53</v>
      </c>
      <c r="AH7" s="43">
        <f t="shared" si="2"/>
        <v>195459.03999999719</v>
      </c>
      <c r="AI7" s="43">
        <f t="shared" si="2"/>
        <v>819134.7964617</v>
      </c>
      <c r="AJ7" s="43">
        <f t="shared" si="2"/>
        <v>673596.71999999823</v>
      </c>
      <c r="AK7" s="43">
        <f t="shared" si="2"/>
        <v>2823324.1679230896</v>
      </c>
      <c r="AL7" s="43">
        <f>+[1]Inversoras!$P$56</f>
        <v>2189413.68285</v>
      </c>
      <c r="AM7" s="43">
        <f>+[1]Inversoras!$P$57</f>
        <v>59349240.064269997</v>
      </c>
      <c r="AN7" s="43">
        <f>+[1]Inversoras!$P$58</f>
        <v>6642633.6160600008</v>
      </c>
      <c r="AO7" s="43">
        <f>+[1]Inversoras!$P$59</f>
        <v>1208667.1524100001</v>
      </c>
      <c r="AP7" s="43">
        <f>+[1]Inversoras!$P$60</f>
        <v>9430867.395130001</v>
      </c>
      <c r="AQ7" s="43">
        <f>+[1]Inversoras!$P$61</f>
        <v>3309145.6309500001</v>
      </c>
      <c r="AR7" s="43">
        <f>+AR8</f>
        <v>33752.683643993005</v>
      </c>
      <c r="AS7" s="43">
        <f t="shared" ref="AS7:BQ7" si="3">+AS8</f>
        <v>6.2719079996137461</v>
      </c>
      <c r="AT7" s="43">
        <f t="shared" si="3"/>
        <v>11.210432002509913</v>
      </c>
      <c r="AU7" s="43">
        <f t="shared" si="3"/>
        <v>70709.869203997281</v>
      </c>
      <c r="AV7" s="43">
        <f t="shared" si="3"/>
        <v>523662.90839880263</v>
      </c>
      <c r="AW7" s="43">
        <f t="shared" si="3"/>
        <v>85667.9885699968</v>
      </c>
      <c r="AX7" s="43">
        <f t="shared" si="3"/>
        <v>1041.3974240010875</v>
      </c>
      <c r="AY7" s="43">
        <f t="shared" si="3"/>
        <v>59646.012311997983</v>
      </c>
      <c r="AZ7" s="43">
        <f t="shared" si="3"/>
        <v>23267.345377323236</v>
      </c>
      <c r="BA7" s="43">
        <f t="shared" si="3"/>
        <v>202449.97372400691</v>
      </c>
      <c r="BB7" s="43">
        <f t="shared" si="3"/>
        <v>70107.259219991145</v>
      </c>
      <c r="BC7" s="43">
        <f t="shared" si="3"/>
        <v>267436.16184799868</v>
      </c>
      <c r="BD7" s="43">
        <f t="shared" si="3"/>
        <v>17087.346599989833</v>
      </c>
      <c r="BE7" s="43">
        <f t="shared" si="3"/>
        <v>256586.81289368056</v>
      </c>
      <c r="BF7" s="43">
        <f t="shared" si="3"/>
        <v>321949.5492303599</v>
      </c>
      <c r="BG7" s="43">
        <f t="shared" si="3"/>
        <v>35109.232018882758</v>
      </c>
      <c r="BH7" s="43">
        <f t="shared" si="3"/>
        <v>27273.514880002102</v>
      </c>
      <c r="BI7" s="43">
        <f t="shared" si="3"/>
        <v>630661.83776839031</v>
      </c>
      <c r="BJ7" s="43">
        <f t="shared" si="3"/>
        <v>197783.28604456017</v>
      </c>
      <c r="BK7" s="43">
        <f t="shared" si="3"/>
        <v>3408870.6208220124</v>
      </c>
      <c r="BL7" s="43">
        <f t="shared" si="3"/>
        <v>112993.20528244607</v>
      </c>
      <c r="BM7" s="43">
        <f t="shared" si="3"/>
        <v>1071217.4795171509</v>
      </c>
      <c r="BN7" s="43">
        <f t="shared" si="3"/>
        <v>23213446.773737378</v>
      </c>
      <c r="BO7" s="43">
        <f t="shared" si="3"/>
        <v>3.4691202304202307E-3</v>
      </c>
      <c r="BP7" s="43">
        <f t="shared" si="3"/>
        <v>255.82145932906548</v>
      </c>
      <c r="BQ7" s="43">
        <f t="shared" si="3"/>
        <v>4.0128798844989433E-3</v>
      </c>
      <c r="BR7" s="43">
        <f>+[1]Otrosbancos!$P$49</f>
        <v>645623.82000000007</v>
      </c>
      <c r="BS7" s="43">
        <f>+BS8</f>
        <v>2662944.0693795886</v>
      </c>
      <c r="BT7" s="43">
        <f>+[1]Otrosbancos!$P$51</f>
        <v>1087022.54</v>
      </c>
      <c r="BU7" s="43">
        <f>+BU8</f>
        <v>4529252.830922991</v>
      </c>
      <c r="BV7" s="43">
        <f>+BV8+BV5</f>
        <v>8400.1908600000006</v>
      </c>
      <c r="BW7" s="43">
        <f>+BW8+BW5</f>
        <v>384554.5159900008</v>
      </c>
      <c r="BX7" s="43">
        <f>+BX8+BX5</f>
        <v>12663.664475599246</v>
      </c>
      <c r="BY7" s="43">
        <f>+[1]Otrosbancos!$P$5</f>
        <v>770800.53599999996</v>
      </c>
      <c r="BZ7" s="43">
        <f>+[1]Otrosbancos!$P$10</f>
        <v>4920976.1969999997</v>
      </c>
      <c r="CA7" s="43">
        <f>+[1]Otrosbancos!$P$15</f>
        <v>8291995.9000000004</v>
      </c>
      <c r="CB7" s="43">
        <f>+[1]Otrosbancos!$P$23</f>
        <v>18918.565999999999</v>
      </c>
      <c r="CC7" s="43">
        <f>+[1]Otrosbancos!$P$26</f>
        <v>896273.37600000005</v>
      </c>
      <c r="CD7" s="43">
        <f>+[1]Otrosbancos!$P$29</f>
        <v>0</v>
      </c>
      <c r="CE7" s="43">
        <f>+[1]Otrosbancos!$P$33</f>
        <v>27036.502</v>
      </c>
      <c r="CF7" s="43">
        <f>+[1]Otrosbancos!$P$37</f>
        <v>528153.19958999997</v>
      </c>
      <c r="CG7" s="43">
        <f>+[1]Otrosbancos!$P$41</f>
        <v>192171.21</v>
      </c>
      <c r="CH7" s="43">
        <f>+[1]Otrosbancos!$P$46</f>
        <v>2.9318200000000001</v>
      </c>
      <c r="CI7" s="43">
        <f>+[1]Otrosbancos!$P$54</f>
        <v>939948.73</v>
      </c>
      <c r="CJ7" s="43">
        <f>+[1]Otrosbancos!$P$56</f>
        <v>296598.98904000001</v>
      </c>
      <c r="CK7" s="43">
        <f>+[1]Liberty!$P$3</f>
        <v>0</v>
      </c>
      <c r="CL7" s="43">
        <f>+[1]Liberty!$P$4</f>
        <v>0</v>
      </c>
      <c r="CM7" s="43">
        <f>+[1]Liberty!$P$6</f>
        <v>79545.214000000007</v>
      </c>
      <c r="CN7" s="43">
        <f>+[1]Liberty!$P$8</f>
        <v>662749.23600000003</v>
      </c>
      <c r="CO7" s="43">
        <f>+[1]Liberty!$P$10</f>
        <v>736440.24595999997</v>
      </c>
      <c r="CP7" s="43">
        <f>+[1]Liberty!$P$12</f>
        <v>9152723.6699999999</v>
      </c>
      <c r="CQ7" s="43">
        <f>+[1]Liberty!$P$13</f>
        <v>378135.14942999999</v>
      </c>
      <c r="CR7" s="43">
        <f>+[1]Otrosbancos!$P$58</f>
        <v>20872.374</v>
      </c>
      <c r="CS7" s="43">
        <v>0</v>
      </c>
      <c r="CT7" s="43">
        <v>0</v>
      </c>
      <c r="CU7" s="43">
        <v>0</v>
      </c>
      <c r="CV7" s="43">
        <v>0</v>
      </c>
      <c r="CW7" s="43">
        <f>SUM(D7:CV7)</f>
        <v>326502404.7361933</v>
      </c>
    </row>
    <row r="8" spans="1:101" x14ac:dyDescent="0.25">
      <c r="A8" s="41"/>
      <c r="B8" s="44" t="s">
        <v>96</v>
      </c>
      <c r="C8" s="45" t="s">
        <v>97</v>
      </c>
      <c r="D8" s="45">
        <f>+'May, 21'!D40</f>
        <v>457629.45687000052</v>
      </c>
      <c r="E8" s="45">
        <f>+'May, 21'!E40</f>
        <v>13359956.828994546</v>
      </c>
      <c r="F8" s="45">
        <f>+'May, 21'!F40</f>
        <v>18435230.13193151</v>
      </c>
      <c r="G8" s="45">
        <f>+'May, 21'!G40</f>
        <v>0</v>
      </c>
      <c r="H8" s="45">
        <f>+'May, 21'!H40</f>
        <v>0</v>
      </c>
      <c r="I8" s="45">
        <f>+'May, 21'!I40</f>
        <v>112979.12946999424</v>
      </c>
      <c r="J8" s="45">
        <f>+'May, 21'!J40</f>
        <v>0</v>
      </c>
      <c r="K8" s="45">
        <f>+'May, 21'!K40</f>
        <v>162804.97405614308</v>
      </c>
      <c r="L8" s="45">
        <f>+'May, 21'!L40</f>
        <v>208863.22073588872</v>
      </c>
      <c r="M8" s="45">
        <f>+'May, 21'!M40</f>
        <v>107623.07598886651</v>
      </c>
      <c r="N8" s="45">
        <f>+'May, 21'!N40</f>
        <v>177310.5199999999</v>
      </c>
      <c r="O8" s="45">
        <f>+'May, 21'!O40</f>
        <v>743248.15264999995</v>
      </c>
      <c r="P8" s="45">
        <f>+'May, 21'!P40</f>
        <v>19547043.280000009</v>
      </c>
      <c r="Q8" s="45">
        <f>+'May, 21'!Q40</f>
        <v>114848264.17547989</v>
      </c>
      <c r="R8" s="45">
        <f>+'May, 21'!R40</f>
        <v>294505.52999999997</v>
      </c>
      <c r="S8" s="45">
        <f>+'May, 21'!S40</f>
        <v>1562850.8708828988</v>
      </c>
      <c r="T8" s="45">
        <f>+'May, 21'!T40</f>
        <v>0</v>
      </c>
      <c r="U8" s="45">
        <f>+'May, 21'!U40</f>
        <v>0</v>
      </c>
      <c r="V8" s="45">
        <f>+'May, 21'!V40</f>
        <v>0</v>
      </c>
      <c r="W8" s="45">
        <f>+'May, 21'!W40</f>
        <v>0</v>
      </c>
      <c r="X8" s="45">
        <f>+'May, 21'!X40</f>
        <v>0</v>
      </c>
      <c r="Y8" s="45">
        <f>+'May, 21'!Y40</f>
        <v>0</v>
      </c>
      <c r="Z8" s="45">
        <f>+'May, 21'!Z40</f>
        <v>9662.5274983807467</v>
      </c>
      <c r="AA8" s="45">
        <f>+'May, 21'!AA40</f>
        <v>40503.29</v>
      </c>
      <c r="AB8" s="45">
        <f>+'May, 21'!AB40</f>
        <v>7542.7499999967404</v>
      </c>
      <c r="AC8" s="45">
        <f>+'May, 21'!AC40</f>
        <v>31617.62</v>
      </c>
      <c r="AD8" s="45">
        <f>+'May, 21'!AD40</f>
        <v>5155</v>
      </c>
      <c r="AE8" s="45">
        <f>+'May, 21'!AE40</f>
        <v>21608.68</v>
      </c>
      <c r="AF8" s="45">
        <f>+'May, 21'!AF40</f>
        <v>7956.8699999451637</v>
      </c>
      <c r="AG8" s="45">
        <f>+'May, 21'!AG40</f>
        <v>33353.53</v>
      </c>
      <c r="AH8" s="45">
        <f>+'May, 21'!AH40</f>
        <v>195459.03999999719</v>
      </c>
      <c r="AI8" s="45">
        <f>+'May, 21'!AI40</f>
        <v>819134.7964617</v>
      </c>
      <c r="AJ8" s="45">
        <f>+'May, 21'!AJ40</f>
        <v>673596.71999999823</v>
      </c>
      <c r="AK8" s="45">
        <f>+'May, 21'!AK40</f>
        <v>2823324.1679230896</v>
      </c>
      <c r="AL8" s="45">
        <f>+'May, 21'!AL40</f>
        <v>3148105.6288700756</v>
      </c>
      <c r="AM8" s="45">
        <f>+'May, 21'!AM40</f>
        <v>59326669.579603538</v>
      </c>
      <c r="AN8" s="45">
        <f>+'May, 21'!AN40</f>
        <v>6478343.2725400012</v>
      </c>
      <c r="AO8" s="45">
        <f>+'May, 21'!AO40</f>
        <v>822799.51758143969</v>
      </c>
      <c r="AP8" s="45">
        <f>+'May, 21'!AP40</f>
        <v>8311058.1079537552</v>
      </c>
      <c r="AQ8" s="45">
        <f>+'May, 21'!AQ40</f>
        <v>619857.74627216067</v>
      </c>
      <c r="AR8" s="45">
        <f>+'May, 21'!AR40</f>
        <v>33752.683643993005</v>
      </c>
      <c r="AS8" s="45">
        <f>+'May, 21'!AS40</f>
        <v>6.2719079996137461</v>
      </c>
      <c r="AT8" s="45">
        <f>+'May, 21'!AT40</f>
        <v>11.210432002509913</v>
      </c>
      <c r="AU8" s="45">
        <f>+'May, 21'!AU40</f>
        <v>70709.869203997281</v>
      </c>
      <c r="AV8" s="45">
        <f>+'May, 21'!AV40</f>
        <v>523662.90839880263</v>
      </c>
      <c r="AW8" s="45">
        <f>+'May, 21'!AW40</f>
        <v>85667.9885699968</v>
      </c>
      <c r="AX8" s="45">
        <f>+'May, 21'!AX40</f>
        <v>1041.3974240010875</v>
      </c>
      <c r="AY8" s="45">
        <f>+'May, 21'!AY40</f>
        <v>59646.012311997983</v>
      </c>
      <c r="AZ8" s="45">
        <f>+'May, 21'!AZ40</f>
        <v>23267.345377323236</v>
      </c>
      <c r="BA8" s="45">
        <f>+'May, 21'!BA40</f>
        <v>202449.97372400691</v>
      </c>
      <c r="BB8" s="45">
        <f>+'May, 21'!BB40</f>
        <v>70107.259219991145</v>
      </c>
      <c r="BC8" s="45">
        <f>+'May, 21'!BC40</f>
        <v>267436.16184799868</v>
      </c>
      <c r="BD8" s="45">
        <f>+'May, 21'!BD40</f>
        <v>17087.346599989833</v>
      </c>
      <c r="BE8" s="45">
        <f>+'May, 21'!BE40</f>
        <v>256586.81289368056</v>
      </c>
      <c r="BF8" s="45">
        <f>+'May, 21'!BF40</f>
        <v>321949.5492303599</v>
      </c>
      <c r="BG8" s="45">
        <f>+'May, 21'!BG40</f>
        <v>35109.232018882758</v>
      </c>
      <c r="BH8" s="45">
        <f>+'May, 21'!BH40</f>
        <v>27273.514880002102</v>
      </c>
      <c r="BI8" s="45">
        <f>+'May, 21'!BI40</f>
        <v>630661.83776839031</v>
      </c>
      <c r="BJ8" s="45">
        <f>+'May, 21'!BJ40</f>
        <v>197783.28604456017</v>
      </c>
      <c r="BK8" s="45">
        <f>+'May, 21'!BK40</f>
        <v>3408870.6208220124</v>
      </c>
      <c r="BL8" s="45">
        <f>+'May, 21'!BL40</f>
        <v>112993.20528244607</v>
      </c>
      <c r="BM8" s="45">
        <f>+'May, 21'!BM40</f>
        <v>1071217.4795171509</v>
      </c>
      <c r="BN8" s="45">
        <f>+'May, 21'!BN40</f>
        <v>23213446.773737378</v>
      </c>
      <c r="BO8" s="45">
        <f>+'May, 21'!BO40</f>
        <v>3.4691202304202307E-3</v>
      </c>
      <c r="BP8" s="45">
        <f>+'May, 21'!BP40</f>
        <v>255.82145932906548</v>
      </c>
      <c r="BQ8" s="45">
        <f>+'May, 21'!BQ40</f>
        <v>4.0128798844989433E-3</v>
      </c>
      <c r="BR8" s="45">
        <f>+'May, 21'!BR40</f>
        <v>645623.81600000313</v>
      </c>
      <c r="BS8" s="45">
        <f>+'May, 21'!BS40</f>
        <v>2662944.0693795886</v>
      </c>
      <c r="BT8" s="45">
        <f>+'May, 21'!BT40</f>
        <v>1087022.5449320192</v>
      </c>
      <c r="BU8" s="45">
        <f>+'May, 21'!BU40</f>
        <v>4529252.830922991</v>
      </c>
      <c r="BV8" s="45">
        <f>+'May, 21'!BV40</f>
        <v>8400.1908600000006</v>
      </c>
      <c r="BW8" s="45">
        <f>+'May, 21'!BW40</f>
        <v>384554.5159900008</v>
      </c>
      <c r="BX8" s="45">
        <f>+'May, 21'!BX40</f>
        <v>12663.664475599246</v>
      </c>
      <c r="BY8" s="45">
        <f>+'May, 21'!BY40</f>
        <v>769658.37399999995</v>
      </c>
      <c r="BZ8" s="45">
        <f>+'May, 21'!BZ40</f>
        <v>4587143.9088199995</v>
      </c>
      <c r="CA8" s="45">
        <f>+'May, 21'!CA40</f>
        <v>8050745.4280200005</v>
      </c>
      <c r="CB8" s="45">
        <f>+'May, 21'!CB40</f>
        <v>18918.56624</v>
      </c>
      <c r="CC8" s="45">
        <f>+'May, 21'!CC40</f>
        <v>896273.38017999986</v>
      </c>
      <c r="CD8" s="45">
        <f>+'May, 21'!CD40</f>
        <v>0</v>
      </c>
      <c r="CE8" s="45">
        <f>+'May, 21'!CE40</f>
        <v>27059.202000000001</v>
      </c>
      <c r="CF8" s="45">
        <f>+'May, 21'!CF40</f>
        <v>511997.48559</v>
      </c>
      <c r="CG8" s="45">
        <f>+'May, 21'!CG40</f>
        <v>192171.21</v>
      </c>
      <c r="CH8" s="45">
        <f>+'May, 21'!CH40</f>
        <v>2.9318200000000001</v>
      </c>
      <c r="CI8" s="45">
        <f>+'May, 21'!CI40</f>
        <v>938020.81200000003</v>
      </c>
      <c r="CJ8" s="45">
        <f>+'May, 21'!CJ40</f>
        <v>273126.11300000001</v>
      </c>
      <c r="CK8" s="45">
        <f>+'May, 21'!CK40</f>
        <v>0</v>
      </c>
      <c r="CL8" s="45">
        <f>+'May, 21'!CL40</f>
        <v>0</v>
      </c>
      <c r="CM8" s="45">
        <f>+'May, 21'!CM40</f>
        <v>79545.21415</v>
      </c>
      <c r="CN8" s="45">
        <f>+'May, 21'!CN40</f>
        <v>662749.23896999995</v>
      </c>
      <c r="CO8" s="45">
        <f>+'May, 21'!CO40</f>
        <v>736440.24131999968</v>
      </c>
      <c r="CP8" s="45">
        <f>+'May, 21'!CP40</f>
        <v>9152723.6727600005</v>
      </c>
      <c r="CQ8" s="45">
        <f>+'May, 21'!CQ40</f>
        <v>377918.49939999997</v>
      </c>
      <c r="CR8" s="45">
        <f>+'May, 21'!CR40</f>
        <v>20872.37467999896</v>
      </c>
      <c r="CS8" s="45">
        <f>+'May, 21'!CS40</f>
        <v>5000</v>
      </c>
      <c r="CT8" s="45">
        <f>+'May, 21'!CT40</f>
        <v>20468.599999999999</v>
      </c>
      <c r="CU8" s="45">
        <f>+'May, 21'!CU40</f>
        <v>5000</v>
      </c>
      <c r="CV8" s="45">
        <f>+'May, 21'!CV40</f>
        <v>20468.599999999999</v>
      </c>
      <c r="CW8" s="43">
        <f t="shared" ref="CW8:CW40" si="4">SUM(D8:CV8)</f>
        <v>320701818.24707234</v>
      </c>
    </row>
    <row r="9" spans="1:101" x14ac:dyDescent="0.25">
      <c r="B9" s="46" t="s">
        <v>96</v>
      </c>
      <c r="C9" s="47" t="s">
        <v>98</v>
      </c>
      <c r="D9" s="47">
        <v>1570</v>
      </c>
      <c r="E9" s="48">
        <v>6691596.1574400002</v>
      </c>
      <c r="F9" s="48">
        <v>5706345.38913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>
        <f>IF(BY6&gt;0,BY6,0)</f>
        <v>1142.1620000000112</v>
      </c>
      <c r="BZ9" s="47">
        <f>IF(BZ6&gt;0,BZ6,0)</f>
        <v>333832.28818000015</v>
      </c>
      <c r="CA9" s="47">
        <f>IF(CA6&gt;0,CA6,0)</f>
        <v>241250.47197999991</v>
      </c>
      <c r="CB9" s="47"/>
      <c r="CC9" s="47"/>
      <c r="CD9" s="47"/>
      <c r="CE9" s="47">
        <f>IF(CE6&gt;0,CE6,0)</f>
        <v>0</v>
      </c>
      <c r="CF9" s="47">
        <f>IF(CF6&gt;0,CF6,0)</f>
        <v>16155.713999999978</v>
      </c>
      <c r="CG9" s="47">
        <f>IF(CG6&gt;0,CG6,0)</f>
        <v>0</v>
      </c>
      <c r="CH9" s="47"/>
      <c r="CI9" s="47">
        <f>IF(CI6&gt;0,CI6,0)</f>
        <v>1927.9179999999469</v>
      </c>
      <c r="CJ9" s="47">
        <f>IF(CJ6&gt;0,CJ6,0)</f>
        <v>23472.876040000003</v>
      </c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3">
        <f t="shared" si="4"/>
        <v>13017292.976770001</v>
      </c>
    </row>
    <row r="10" spans="1:101" x14ac:dyDescent="0.25">
      <c r="B10" s="46" t="s">
        <v>99</v>
      </c>
      <c r="C10" s="47" t="s">
        <v>100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>
        <v>-1.7569999999999999</v>
      </c>
      <c r="BX10" s="47"/>
      <c r="BY10" s="47">
        <f>IF(BY6&lt;0,BY6,0)</f>
        <v>0</v>
      </c>
      <c r="BZ10" s="47">
        <f>IF(BZ6&lt;0,BZ6,0)</f>
        <v>0</v>
      </c>
      <c r="CA10" s="47">
        <f>IF(CA6&lt;0,CA6,0)</f>
        <v>0</v>
      </c>
      <c r="CB10" s="47"/>
      <c r="CC10" s="47"/>
      <c r="CD10" s="47"/>
      <c r="CE10" s="47">
        <f>IF(CE6&lt;0,CE6,0)</f>
        <v>-22.700000000000728</v>
      </c>
      <c r="CF10" s="47">
        <f>IF(CF6&lt;0,CF6,0)</f>
        <v>0</v>
      </c>
      <c r="CG10" s="47">
        <f>IF(CG6&lt;0,CG6,0)</f>
        <v>0</v>
      </c>
      <c r="CH10" s="47"/>
      <c r="CI10" s="47">
        <f>IF(CI6&lt;0,CI6,0)</f>
        <v>0</v>
      </c>
      <c r="CJ10" s="47">
        <f>IF(CJ6&lt;0,CJ6,0)</f>
        <v>0</v>
      </c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3">
        <f t="shared" si="4"/>
        <v>-24.457000000000729</v>
      </c>
    </row>
    <row r="11" spans="1:101" x14ac:dyDescent="0.25">
      <c r="A11" s="41"/>
      <c r="B11" s="49" t="s">
        <v>99</v>
      </c>
      <c r="C11" s="50" t="s">
        <v>101</v>
      </c>
      <c r="D11" s="50">
        <v>0</v>
      </c>
      <c r="E11" s="50">
        <v>-98886.383590002093</v>
      </c>
      <c r="F11" s="50">
        <v>-75999.597240001705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>
        <f>+[1]Otrosbancos!$P$6+[1]Otrosbancos!$P$7</f>
        <v>-64.251999999999995</v>
      </c>
      <c r="BZ11" s="50">
        <f>+[1]Otrosbancos!$P$11+[1]Otrosbancos!$P$12</f>
        <v>-1315114.5330000001</v>
      </c>
      <c r="CA11" s="50">
        <f>+[1]Otrosbancos!$P$16+[1]Otrosbancos!$P$17</f>
        <v>-4720489.682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43">
        <f t="shared" si="4"/>
        <v>-6210554.4478300037</v>
      </c>
    </row>
    <row r="12" spans="1:101" x14ac:dyDescent="0.25">
      <c r="B12" s="46" t="s">
        <v>96</v>
      </c>
      <c r="C12" s="47" t="s">
        <v>102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1"/>
      <c r="AS12" s="51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3">
        <f t="shared" si="4"/>
        <v>0</v>
      </c>
    </row>
    <row r="13" spans="1:101" x14ac:dyDescent="0.25">
      <c r="B13" s="46" t="s">
        <v>96</v>
      </c>
      <c r="C13" s="47" t="s">
        <v>103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51"/>
      <c r="AS13" s="51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3">
        <f t="shared" si="4"/>
        <v>0</v>
      </c>
    </row>
    <row r="14" spans="1:101" x14ac:dyDescent="0.25">
      <c r="B14" s="46" t="s">
        <v>96</v>
      </c>
      <c r="C14" s="47" t="s">
        <v>104</v>
      </c>
      <c r="D14" s="47"/>
      <c r="E14" s="47"/>
      <c r="F14" s="47">
        <v>173617.33600000001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51"/>
      <c r="AS14" s="51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3">
        <f t="shared" si="4"/>
        <v>173617.33600000001</v>
      </c>
    </row>
    <row r="15" spans="1:101" x14ac:dyDescent="0.25">
      <c r="B15" s="46" t="s">
        <v>96</v>
      </c>
      <c r="C15" s="47" t="s">
        <v>105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51"/>
      <c r="AS15" s="51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3">
        <f t="shared" si="4"/>
        <v>0</v>
      </c>
    </row>
    <row r="16" spans="1:101" x14ac:dyDescent="0.25">
      <c r="B16" s="46" t="s">
        <v>96</v>
      </c>
      <c r="C16" s="47" t="s">
        <v>106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51"/>
      <c r="AS16" s="51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3">
        <f t="shared" si="4"/>
        <v>0</v>
      </c>
    </row>
    <row r="17" spans="1:101" x14ac:dyDescent="0.25">
      <c r="B17" s="46" t="s">
        <v>99</v>
      </c>
      <c r="C17" s="47" t="s">
        <v>107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51"/>
      <c r="AS17" s="51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3">
        <f t="shared" si="4"/>
        <v>0</v>
      </c>
    </row>
    <row r="18" spans="1:101" x14ac:dyDescent="0.25">
      <c r="B18" s="46" t="s">
        <v>96</v>
      </c>
      <c r="C18" s="47" t="s">
        <v>108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1"/>
      <c r="AS18" s="51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3">
        <f t="shared" si="4"/>
        <v>0</v>
      </c>
    </row>
    <row r="19" spans="1:101" x14ac:dyDescent="0.25">
      <c r="B19" s="46" t="s">
        <v>99</v>
      </c>
      <c r="C19" s="47" t="s">
        <v>109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51"/>
      <c r="AS19" s="51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3">
        <f t="shared" si="4"/>
        <v>0</v>
      </c>
    </row>
    <row r="20" spans="1:101" x14ac:dyDescent="0.25">
      <c r="B20" s="46" t="s">
        <v>99</v>
      </c>
      <c r="C20" s="47" t="s">
        <v>110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51"/>
      <c r="AS20" s="51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3">
        <f t="shared" si="4"/>
        <v>0</v>
      </c>
    </row>
    <row r="21" spans="1:101" x14ac:dyDescent="0.25">
      <c r="B21" s="46" t="s">
        <v>96</v>
      </c>
      <c r="C21" s="47" t="s">
        <v>111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51"/>
      <c r="AS21" s="51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3">
        <f t="shared" si="4"/>
        <v>0</v>
      </c>
    </row>
    <row r="22" spans="1:101" x14ac:dyDescent="0.25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51"/>
      <c r="AS22" s="51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3">
        <f t="shared" si="4"/>
        <v>0</v>
      </c>
    </row>
    <row r="23" spans="1:101" x14ac:dyDescent="0.25">
      <c r="B23" s="46" t="s">
        <v>99</v>
      </c>
      <c r="C23" s="47" t="s">
        <v>112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51"/>
      <c r="AS23" s="51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3">
        <f t="shared" si="4"/>
        <v>0</v>
      </c>
    </row>
    <row r="24" spans="1:101" x14ac:dyDescent="0.25">
      <c r="B24" s="46" t="s">
        <v>99</v>
      </c>
      <c r="C24" s="47" t="s">
        <v>113</v>
      </c>
      <c r="D24" s="47">
        <f>-84.39-82.513</f>
        <v>-166.90300000000002</v>
      </c>
      <c r="E24" s="47">
        <f>-234.63-0.37</f>
        <v>-235</v>
      </c>
      <c r="F24" s="47">
        <f>-12449.496-1040.12</f>
        <v>-13489.615999999998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51"/>
      <c r="AS24" s="51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3">
        <f t="shared" si="4"/>
        <v>-13891.518999999998</v>
      </c>
    </row>
    <row r="25" spans="1:101" x14ac:dyDescent="0.25">
      <c r="A25" s="41"/>
      <c r="B25" s="52" t="s">
        <v>99</v>
      </c>
      <c r="C25" s="53" t="s">
        <v>114</v>
      </c>
      <c r="D25" s="53">
        <v>-4043.2961500000001</v>
      </c>
      <c r="E25" s="53">
        <v>-3045735.67753</v>
      </c>
      <c r="F25" s="53">
        <v>-1526285.8605599999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43">
        <f t="shared" si="4"/>
        <v>-4576064.8342399998</v>
      </c>
    </row>
    <row r="26" spans="1:101" x14ac:dyDescent="0.25">
      <c r="B26" s="46"/>
      <c r="C26" s="47" t="s">
        <v>115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51"/>
      <c r="AS26" s="51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3">
        <f t="shared" si="4"/>
        <v>0</v>
      </c>
    </row>
    <row r="27" spans="1:101" x14ac:dyDescent="0.25">
      <c r="B27" s="46" t="s">
        <v>99</v>
      </c>
      <c r="C27" s="47" t="s">
        <v>116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51"/>
      <c r="AS27" s="51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3">
        <f t="shared" si="4"/>
        <v>0</v>
      </c>
    </row>
    <row r="28" spans="1:101" x14ac:dyDescent="0.25">
      <c r="B28" s="47" t="s">
        <v>99</v>
      </c>
      <c r="C28" s="47" t="s">
        <v>117</v>
      </c>
      <c r="D28" s="48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51"/>
      <c r="AS28" s="51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3">
        <f t="shared" si="4"/>
        <v>0</v>
      </c>
    </row>
    <row r="29" spans="1:101" x14ac:dyDescent="0.25">
      <c r="B29" s="47"/>
      <c r="C29" s="47" t="s">
        <v>118</v>
      </c>
      <c r="D29" s="48"/>
      <c r="E29" s="47">
        <v>900.67600000000004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51"/>
      <c r="AS29" s="51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3">
        <f t="shared" si="4"/>
        <v>900.67600000000004</v>
      </c>
    </row>
    <row r="30" spans="1:101" x14ac:dyDescent="0.25">
      <c r="B30" s="47"/>
      <c r="C30" s="47" t="s">
        <v>119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51"/>
      <c r="AS30" s="51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3">
        <f t="shared" si="4"/>
        <v>0</v>
      </c>
    </row>
    <row r="31" spans="1:101" x14ac:dyDescent="0.25">
      <c r="B31" s="47" t="s">
        <v>99</v>
      </c>
      <c r="C31" s="47" t="s">
        <v>120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51"/>
      <c r="AS31" s="51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3">
        <f t="shared" si="4"/>
        <v>0</v>
      </c>
    </row>
    <row r="32" spans="1:101" x14ac:dyDescent="0.25">
      <c r="B32" s="47" t="s">
        <v>99</v>
      </c>
      <c r="C32" s="47" t="s">
        <v>121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51"/>
      <c r="AS32" s="51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3">
        <f t="shared" si="4"/>
        <v>0</v>
      </c>
    </row>
    <row r="33" spans="2:101" x14ac:dyDescent="0.25">
      <c r="B33" s="47" t="s">
        <v>99</v>
      </c>
      <c r="C33" s="47" t="s">
        <v>122</v>
      </c>
      <c r="D33" s="47">
        <f>-153-19828-247-316</f>
        <v>-20544</v>
      </c>
      <c r="E33" s="47"/>
      <c r="F33" s="47">
        <f>-602-8091-238888</f>
        <v>-247581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51"/>
      <c r="AS33" s="51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3">
        <f t="shared" si="4"/>
        <v>-268125</v>
      </c>
    </row>
    <row r="34" spans="2:101" x14ac:dyDescent="0.25">
      <c r="B34" s="54" t="s">
        <v>99</v>
      </c>
      <c r="C34" s="55" t="s">
        <v>123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43">
        <f t="shared" si="4"/>
        <v>0</v>
      </c>
    </row>
    <row r="35" spans="2:101" x14ac:dyDescent="0.25">
      <c r="B35" s="54" t="s">
        <v>99</v>
      </c>
      <c r="C35" s="55" t="s">
        <v>124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43">
        <f t="shared" si="4"/>
        <v>0</v>
      </c>
    </row>
    <row r="36" spans="2:101" ht="15.75" thickBot="1" x14ac:dyDescent="0.3">
      <c r="B36" s="56"/>
      <c r="C36" s="57" t="s">
        <v>125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43">
        <f t="shared" si="4"/>
        <v>0</v>
      </c>
    </row>
    <row r="37" spans="2:101" x14ac:dyDescent="0.25">
      <c r="B37" s="58"/>
      <c r="C37" s="59" t="s">
        <v>126</v>
      </c>
      <c r="D37" s="59">
        <f>SUM(D9:D36)</f>
        <v>-23184.19915</v>
      </c>
      <c r="E37" s="59">
        <f>SUM(E9:E36)</f>
        <v>3547639.7723199977</v>
      </c>
      <c r="F37" s="59">
        <f>SUM(F9:F35)</f>
        <v>4016606.6513299979</v>
      </c>
      <c r="G37" s="59">
        <f t="shared" ref="G37:BR37" si="5">SUM(G9:G36)</f>
        <v>0</v>
      </c>
      <c r="H37" s="59">
        <f t="shared" si="5"/>
        <v>0</v>
      </c>
      <c r="I37" s="59">
        <f t="shared" si="5"/>
        <v>0</v>
      </c>
      <c r="J37" s="59">
        <f t="shared" si="5"/>
        <v>0</v>
      </c>
      <c r="K37" s="59">
        <f t="shared" si="5"/>
        <v>0</v>
      </c>
      <c r="L37" s="59">
        <f t="shared" si="5"/>
        <v>0</v>
      </c>
      <c r="M37" s="59">
        <f t="shared" si="5"/>
        <v>0</v>
      </c>
      <c r="N37" s="59">
        <f t="shared" si="5"/>
        <v>0</v>
      </c>
      <c r="O37" s="59">
        <f t="shared" si="5"/>
        <v>0</v>
      </c>
      <c r="P37" s="59">
        <f t="shared" si="5"/>
        <v>0</v>
      </c>
      <c r="Q37" s="59">
        <f t="shared" si="5"/>
        <v>0</v>
      </c>
      <c r="R37" s="59">
        <f t="shared" si="5"/>
        <v>0</v>
      </c>
      <c r="S37" s="59">
        <f t="shared" si="5"/>
        <v>0</v>
      </c>
      <c r="T37" s="59">
        <f t="shared" si="5"/>
        <v>0</v>
      </c>
      <c r="U37" s="59">
        <f t="shared" si="5"/>
        <v>0</v>
      </c>
      <c r="V37" s="59">
        <f t="shared" si="5"/>
        <v>0</v>
      </c>
      <c r="W37" s="59">
        <f t="shared" si="5"/>
        <v>0</v>
      </c>
      <c r="X37" s="59">
        <f t="shared" si="5"/>
        <v>0</v>
      </c>
      <c r="Y37" s="59">
        <f t="shared" si="5"/>
        <v>0</v>
      </c>
      <c r="Z37" s="59">
        <f t="shared" si="5"/>
        <v>0</v>
      </c>
      <c r="AA37" s="59">
        <f t="shared" si="5"/>
        <v>0</v>
      </c>
      <c r="AB37" s="59">
        <f t="shared" si="5"/>
        <v>0</v>
      </c>
      <c r="AC37" s="59">
        <f t="shared" si="5"/>
        <v>0</v>
      </c>
      <c r="AD37" s="59">
        <f t="shared" si="5"/>
        <v>0</v>
      </c>
      <c r="AE37" s="59">
        <f t="shared" si="5"/>
        <v>0</v>
      </c>
      <c r="AF37" s="59">
        <f t="shared" si="5"/>
        <v>0</v>
      </c>
      <c r="AG37" s="59">
        <f t="shared" si="5"/>
        <v>0</v>
      </c>
      <c r="AH37" s="59">
        <f t="shared" si="5"/>
        <v>0</v>
      </c>
      <c r="AI37" s="59">
        <f t="shared" si="5"/>
        <v>0</v>
      </c>
      <c r="AJ37" s="59">
        <f t="shared" si="5"/>
        <v>0</v>
      </c>
      <c r="AK37" s="59">
        <f t="shared" si="5"/>
        <v>0</v>
      </c>
      <c r="AL37" s="59">
        <f t="shared" si="5"/>
        <v>0</v>
      </c>
      <c r="AM37" s="59">
        <f t="shared" si="5"/>
        <v>0</v>
      </c>
      <c r="AN37" s="59">
        <f t="shared" si="5"/>
        <v>0</v>
      </c>
      <c r="AO37" s="59">
        <f t="shared" si="5"/>
        <v>0</v>
      </c>
      <c r="AP37" s="59">
        <f t="shared" si="5"/>
        <v>0</v>
      </c>
      <c r="AQ37" s="59">
        <f t="shared" si="5"/>
        <v>0</v>
      </c>
      <c r="AR37" s="59">
        <f t="shared" si="5"/>
        <v>0</v>
      </c>
      <c r="AS37" s="59">
        <f t="shared" si="5"/>
        <v>0</v>
      </c>
      <c r="AT37" s="59">
        <f t="shared" si="5"/>
        <v>0</v>
      </c>
      <c r="AU37" s="59">
        <f t="shared" si="5"/>
        <v>0</v>
      </c>
      <c r="AV37" s="59">
        <f t="shared" si="5"/>
        <v>0</v>
      </c>
      <c r="AW37" s="59">
        <f t="shared" si="5"/>
        <v>0</v>
      </c>
      <c r="AX37" s="59">
        <f t="shared" si="5"/>
        <v>0</v>
      </c>
      <c r="AY37" s="59">
        <f t="shared" si="5"/>
        <v>0</v>
      </c>
      <c r="AZ37" s="59">
        <f t="shared" si="5"/>
        <v>0</v>
      </c>
      <c r="BA37" s="59">
        <f t="shared" si="5"/>
        <v>0</v>
      </c>
      <c r="BB37" s="59">
        <f t="shared" si="5"/>
        <v>0</v>
      </c>
      <c r="BC37" s="59">
        <f t="shared" si="5"/>
        <v>0</v>
      </c>
      <c r="BD37" s="59">
        <f t="shared" si="5"/>
        <v>0</v>
      </c>
      <c r="BE37" s="59">
        <f t="shared" si="5"/>
        <v>0</v>
      </c>
      <c r="BF37" s="59">
        <f t="shared" si="5"/>
        <v>0</v>
      </c>
      <c r="BG37" s="59">
        <f t="shared" si="5"/>
        <v>0</v>
      </c>
      <c r="BH37" s="59">
        <f t="shared" si="5"/>
        <v>0</v>
      </c>
      <c r="BI37" s="59">
        <f t="shared" si="5"/>
        <v>0</v>
      </c>
      <c r="BJ37" s="59">
        <f t="shared" si="5"/>
        <v>0</v>
      </c>
      <c r="BK37" s="59">
        <f t="shared" si="5"/>
        <v>0</v>
      </c>
      <c r="BL37" s="59">
        <f t="shared" si="5"/>
        <v>0</v>
      </c>
      <c r="BM37" s="59">
        <f t="shared" si="5"/>
        <v>0</v>
      </c>
      <c r="BN37" s="59">
        <f t="shared" si="5"/>
        <v>0</v>
      </c>
      <c r="BO37" s="59">
        <f t="shared" si="5"/>
        <v>0</v>
      </c>
      <c r="BP37" s="59">
        <f t="shared" si="5"/>
        <v>0</v>
      </c>
      <c r="BQ37" s="59">
        <f t="shared" si="5"/>
        <v>0</v>
      </c>
      <c r="BR37" s="59">
        <f t="shared" si="5"/>
        <v>0</v>
      </c>
      <c r="BS37" s="59">
        <f t="shared" ref="BS37:CV37" si="6">SUM(BS9:BS36)</f>
        <v>0</v>
      </c>
      <c r="BT37" s="59">
        <f t="shared" si="6"/>
        <v>0</v>
      </c>
      <c r="BU37" s="59">
        <f t="shared" si="6"/>
        <v>0</v>
      </c>
      <c r="BV37" s="59">
        <f t="shared" si="6"/>
        <v>0</v>
      </c>
      <c r="BW37" s="59">
        <f t="shared" si="6"/>
        <v>-1.7569999999999999</v>
      </c>
      <c r="BX37" s="59">
        <f t="shared" si="6"/>
        <v>0</v>
      </c>
      <c r="BY37" s="59">
        <f t="shared" si="6"/>
        <v>1077.9100000000112</v>
      </c>
      <c r="BZ37" s="59">
        <f t="shared" si="6"/>
        <v>-981282.24481999991</v>
      </c>
      <c r="CA37" s="59">
        <f t="shared" si="6"/>
        <v>-4479239.2100200001</v>
      </c>
      <c r="CB37" s="59">
        <f t="shared" si="6"/>
        <v>0</v>
      </c>
      <c r="CC37" s="59">
        <f t="shared" si="6"/>
        <v>0</v>
      </c>
      <c r="CD37" s="59">
        <f t="shared" si="6"/>
        <v>0</v>
      </c>
      <c r="CE37" s="59">
        <f t="shared" si="6"/>
        <v>-22.700000000000728</v>
      </c>
      <c r="CF37" s="59">
        <f t="shared" si="6"/>
        <v>16155.713999999978</v>
      </c>
      <c r="CG37" s="59">
        <f t="shared" si="6"/>
        <v>0</v>
      </c>
      <c r="CH37" s="59">
        <f t="shared" si="6"/>
        <v>0</v>
      </c>
      <c r="CI37" s="59">
        <f t="shared" si="6"/>
        <v>1927.9179999999469</v>
      </c>
      <c r="CJ37" s="59">
        <f t="shared" si="6"/>
        <v>23472.876040000003</v>
      </c>
      <c r="CK37" s="59">
        <f t="shared" si="6"/>
        <v>0</v>
      </c>
      <c r="CL37" s="59">
        <f t="shared" si="6"/>
        <v>0</v>
      </c>
      <c r="CM37" s="59">
        <f t="shared" si="6"/>
        <v>0</v>
      </c>
      <c r="CN37" s="59">
        <f t="shared" si="6"/>
        <v>0</v>
      </c>
      <c r="CO37" s="59">
        <f t="shared" si="6"/>
        <v>0</v>
      </c>
      <c r="CP37" s="59">
        <f t="shared" si="6"/>
        <v>0</v>
      </c>
      <c r="CQ37" s="59">
        <f t="shared" si="6"/>
        <v>0</v>
      </c>
      <c r="CR37" s="59">
        <f t="shared" si="6"/>
        <v>0</v>
      </c>
      <c r="CS37" s="59">
        <f t="shared" si="6"/>
        <v>0</v>
      </c>
      <c r="CT37" s="59">
        <f t="shared" si="6"/>
        <v>0</v>
      </c>
      <c r="CU37" s="59">
        <f t="shared" si="6"/>
        <v>0</v>
      </c>
      <c r="CV37" s="59">
        <f t="shared" si="6"/>
        <v>0</v>
      </c>
      <c r="CW37" s="43">
        <f t="shared" si="4"/>
        <v>2123150.730699996</v>
      </c>
    </row>
    <row r="38" spans="2:101" x14ac:dyDescent="0.25">
      <c r="B38" s="60"/>
      <c r="C38" s="61" t="s">
        <v>127</v>
      </c>
      <c r="D38" s="61">
        <f>+D37+D8</f>
        <v>434445.25772000052</v>
      </c>
      <c r="E38" s="61">
        <f>+E37+E8</f>
        <v>16907596.601314545</v>
      </c>
      <c r="F38" s="61">
        <f>+F37+F8</f>
        <v>22451836.783261508</v>
      </c>
      <c r="G38" s="61">
        <f t="shared" ref="G38:BR38" si="7">+G37+G8</f>
        <v>0</v>
      </c>
      <c r="H38" s="61">
        <f t="shared" si="7"/>
        <v>0</v>
      </c>
      <c r="I38" s="61">
        <f t="shared" si="7"/>
        <v>112979.12946999424</v>
      </c>
      <c r="J38" s="61">
        <f t="shared" si="7"/>
        <v>0</v>
      </c>
      <c r="K38" s="61">
        <f t="shared" si="7"/>
        <v>162804.97405614308</v>
      </c>
      <c r="L38" s="61">
        <f t="shared" si="7"/>
        <v>208863.22073588872</v>
      </c>
      <c r="M38" s="61">
        <f t="shared" si="7"/>
        <v>107623.07598886651</v>
      </c>
      <c r="N38" s="61">
        <f t="shared" si="7"/>
        <v>177310.5199999999</v>
      </c>
      <c r="O38" s="61">
        <f t="shared" si="7"/>
        <v>743248.15264999995</v>
      </c>
      <c r="P38" s="61">
        <f t="shared" si="7"/>
        <v>19547043.280000009</v>
      </c>
      <c r="Q38" s="61">
        <f t="shared" si="7"/>
        <v>114848264.17547989</v>
      </c>
      <c r="R38" s="61">
        <f t="shared" si="7"/>
        <v>294505.52999999997</v>
      </c>
      <c r="S38" s="61">
        <f t="shared" si="7"/>
        <v>1562850.8708828988</v>
      </c>
      <c r="T38" s="61">
        <f t="shared" si="7"/>
        <v>0</v>
      </c>
      <c r="U38" s="61">
        <f t="shared" si="7"/>
        <v>0</v>
      </c>
      <c r="V38" s="61">
        <f t="shared" si="7"/>
        <v>0</v>
      </c>
      <c r="W38" s="61">
        <f t="shared" si="7"/>
        <v>0</v>
      </c>
      <c r="X38" s="61">
        <f t="shared" si="7"/>
        <v>0</v>
      </c>
      <c r="Y38" s="61">
        <f t="shared" si="7"/>
        <v>0</v>
      </c>
      <c r="Z38" s="61">
        <f t="shared" si="7"/>
        <v>9662.5274983807467</v>
      </c>
      <c r="AA38" s="61">
        <f t="shared" si="7"/>
        <v>40503.29</v>
      </c>
      <c r="AB38" s="61">
        <f t="shared" si="7"/>
        <v>7542.7499999967404</v>
      </c>
      <c r="AC38" s="61">
        <f t="shared" si="7"/>
        <v>31617.62</v>
      </c>
      <c r="AD38" s="61">
        <f t="shared" si="7"/>
        <v>5155</v>
      </c>
      <c r="AE38" s="61">
        <f t="shared" si="7"/>
        <v>21608.68</v>
      </c>
      <c r="AF38" s="61">
        <f t="shared" si="7"/>
        <v>7956.8699999451637</v>
      </c>
      <c r="AG38" s="61">
        <f t="shared" si="7"/>
        <v>33353.53</v>
      </c>
      <c r="AH38" s="61">
        <f t="shared" si="7"/>
        <v>195459.03999999719</v>
      </c>
      <c r="AI38" s="61">
        <f t="shared" si="7"/>
        <v>819134.7964617</v>
      </c>
      <c r="AJ38" s="61">
        <f t="shared" si="7"/>
        <v>673596.71999999823</v>
      </c>
      <c r="AK38" s="61">
        <f t="shared" si="7"/>
        <v>2823324.1679230896</v>
      </c>
      <c r="AL38" s="61">
        <f t="shared" si="7"/>
        <v>3148105.6288700756</v>
      </c>
      <c r="AM38" s="61">
        <f t="shared" si="7"/>
        <v>59326669.579603538</v>
      </c>
      <c r="AN38" s="61">
        <f t="shared" si="7"/>
        <v>6478343.2725400012</v>
      </c>
      <c r="AO38" s="61">
        <f t="shared" si="7"/>
        <v>822799.51758143969</v>
      </c>
      <c r="AP38" s="61">
        <f t="shared" si="7"/>
        <v>8311058.1079537552</v>
      </c>
      <c r="AQ38" s="61">
        <f t="shared" si="7"/>
        <v>619857.74627216067</v>
      </c>
      <c r="AR38" s="61">
        <f t="shared" si="7"/>
        <v>33752.683643993005</v>
      </c>
      <c r="AS38" s="61">
        <f t="shared" si="7"/>
        <v>6.2719079996137461</v>
      </c>
      <c r="AT38" s="61">
        <f t="shared" si="7"/>
        <v>11.210432002509913</v>
      </c>
      <c r="AU38" s="61">
        <f t="shared" si="7"/>
        <v>70709.869203997281</v>
      </c>
      <c r="AV38" s="61">
        <f t="shared" si="7"/>
        <v>523662.90839880263</v>
      </c>
      <c r="AW38" s="61">
        <f t="shared" si="7"/>
        <v>85667.9885699968</v>
      </c>
      <c r="AX38" s="61">
        <f t="shared" si="7"/>
        <v>1041.3974240010875</v>
      </c>
      <c r="AY38" s="61">
        <f t="shared" si="7"/>
        <v>59646.012311997983</v>
      </c>
      <c r="AZ38" s="61">
        <f t="shared" si="7"/>
        <v>23267.345377323236</v>
      </c>
      <c r="BA38" s="61">
        <f t="shared" si="7"/>
        <v>202449.97372400691</v>
      </c>
      <c r="BB38" s="61">
        <f t="shared" si="7"/>
        <v>70107.259219991145</v>
      </c>
      <c r="BC38" s="61">
        <f t="shared" si="7"/>
        <v>267436.16184799868</v>
      </c>
      <c r="BD38" s="61">
        <f t="shared" si="7"/>
        <v>17087.346599989833</v>
      </c>
      <c r="BE38" s="61">
        <f t="shared" si="7"/>
        <v>256586.81289368056</v>
      </c>
      <c r="BF38" s="61">
        <f t="shared" si="7"/>
        <v>321949.5492303599</v>
      </c>
      <c r="BG38" s="61">
        <f t="shared" si="7"/>
        <v>35109.232018882758</v>
      </c>
      <c r="BH38" s="61">
        <f t="shared" si="7"/>
        <v>27273.514880002102</v>
      </c>
      <c r="BI38" s="61">
        <f t="shared" si="7"/>
        <v>630661.83776839031</v>
      </c>
      <c r="BJ38" s="61">
        <f t="shared" si="7"/>
        <v>197783.28604456017</v>
      </c>
      <c r="BK38" s="61">
        <f t="shared" si="7"/>
        <v>3408870.6208220124</v>
      </c>
      <c r="BL38" s="61">
        <f t="shared" si="7"/>
        <v>112993.20528244607</v>
      </c>
      <c r="BM38" s="61">
        <f t="shared" si="7"/>
        <v>1071217.4795171509</v>
      </c>
      <c r="BN38" s="61">
        <f t="shared" si="7"/>
        <v>23213446.773737378</v>
      </c>
      <c r="BO38" s="61">
        <f t="shared" si="7"/>
        <v>3.4691202304202307E-3</v>
      </c>
      <c r="BP38" s="61">
        <f t="shared" si="7"/>
        <v>255.82145932906548</v>
      </c>
      <c r="BQ38" s="61">
        <f t="shared" si="7"/>
        <v>4.0128798844989433E-3</v>
      </c>
      <c r="BR38" s="61">
        <f t="shared" si="7"/>
        <v>645623.81600000313</v>
      </c>
      <c r="BS38" s="61">
        <f t="shared" ref="BS38:CV38" si="8">+BS37+BS8</f>
        <v>2662944.0693795886</v>
      </c>
      <c r="BT38" s="61">
        <f t="shared" si="8"/>
        <v>1087022.5449320192</v>
      </c>
      <c r="BU38" s="61">
        <f t="shared" si="8"/>
        <v>4529252.830922991</v>
      </c>
      <c r="BV38" s="61">
        <f t="shared" si="8"/>
        <v>8400.1908600000006</v>
      </c>
      <c r="BW38" s="61">
        <f t="shared" si="8"/>
        <v>384552.75899000082</v>
      </c>
      <c r="BX38" s="61">
        <f t="shared" si="8"/>
        <v>12663.664475599246</v>
      </c>
      <c r="BY38" s="61">
        <f t="shared" si="8"/>
        <v>770736.28399999999</v>
      </c>
      <c r="BZ38" s="61">
        <f t="shared" si="8"/>
        <v>3605861.6639999999</v>
      </c>
      <c r="CA38" s="61">
        <f t="shared" si="8"/>
        <v>3571506.2180000003</v>
      </c>
      <c r="CB38" s="61">
        <f t="shared" si="8"/>
        <v>18918.56624</v>
      </c>
      <c r="CC38" s="61">
        <f t="shared" si="8"/>
        <v>896273.38017999986</v>
      </c>
      <c r="CD38" s="61">
        <f t="shared" si="8"/>
        <v>0</v>
      </c>
      <c r="CE38" s="61">
        <f t="shared" si="8"/>
        <v>27036.502</v>
      </c>
      <c r="CF38" s="61">
        <f t="shared" si="8"/>
        <v>528153.19958999997</v>
      </c>
      <c r="CG38" s="61">
        <f t="shared" si="8"/>
        <v>192171.21</v>
      </c>
      <c r="CH38" s="61">
        <f t="shared" si="8"/>
        <v>2.9318200000000001</v>
      </c>
      <c r="CI38" s="61">
        <f t="shared" si="8"/>
        <v>939948.73</v>
      </c>
      <c r="CJ38" s="61">
        <f t="shared" si="8"/>
        <v>296598.98904000001</v>
      </c>
      <c r="CK38" s="61">
        <f t="shared" si="8"/>
        <v>0</v>
      </c>
      <c r="CL38" s="61">
        <f t="shared" si="8"/>
        <v>0</v>
      </c>
      <c r="CM38" s="61">
        <f t="shared" si="8"/>
        <v>79545.21415</v>
      </c>
      <c r="CN38" s="61">
        <f t="shared" si="8"/>
        <v>662749.23896999995</v>
      </c>
      <c r="CO38" s="61">
        <f t="shared" si="8"/>
        <v>736440.24131999968</v>
      </c>
      <c r="CP38" s="61">
        <f t="shared" si="8"/>
        <v>9152723.6727600005</v>
      </c>
      <c r="CQ38" s="61">
        <f t="shared" si="8"/>
        <v>377918.49939999997</v>
      </c>
      <c r="CR38" s="61">
        <f t="shared" si="8"/>
        <v>20872.37467999896</v>
      </c>
      <c r="CS38" s="61">
        <f t="shared" si="8"/>
        <v>5000</v>
      </c>
      <c r="CT38" s="61">
        <f t="shared" si="8"/>
        <v>20468.599999999999</v>
      </c>
      <c r="CU38" s="61">
        <f t="shared" si="8"/>
        <v>5000</v>
      </c>
      <c r="CV38" s="61">
        <f t="shared" si="8"/>
        <v>20468.599999999999</v>
      </c>
      <c r="CW38" s="43">
        <f t="shared" si="4"/>
        <v>322824968.9777723</v>
      </c>
    </row>
    <row r="39" spans="2:101" x14ac:dyDescent="0.25">
      <c r="B39" s="62"/>
      <c r="C39" s="63" t="s">
        <v>128</v>
      </c>
      <c r="D39" s="63">
        <v>-3000</v>
      </c>
      <c r="E39" s="63">
        <v>-9747774.8737100009</v>
      </c>
      <c r="F39" s="63">
        <v>-11251450.65731</v>
      </c>
      <c r="G39" s="63">
        <v>0</v>
      </c>
      <c r="H39" s="63">
        <v>0</v>
      </c>
      <c r="I39" s="63">
        <v>19.438129999999997</v>
      </c>
      <c r="J39" s="63">
        <v>0</v>
      </c>
      <c r="K39" s="63">
        <v>-27148.16</v>
      </c>
      <c r="L39" s="63">
        <v>23503.489426009524</v>
      </c>
      <c r="M39" s="63">
        <v>72695.398004000002</v>
      </c>
      <c r="N39" s="63">
        <v>0</v>
      </c>
      <c r="O39" s="63">
        <v>0</v>
      </c>
      <c r="P39" s="63">
        <v>2980984</v>
      </c>
      <c r="Q39" s="63">
        <v>12429123.358480001</v>
      </c>
      <c r="R39" s="63">
        <v>22.41</v>
      </c>
      <c r="S39" s="63">
        <v>93.437822699999998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20000000</v>
      </c>
      <c r="AM39" s="63">
        <v>0</v>
      </c>
      <c r="AN39" s="63">
        <v>0</v>
      </c>
      <c r="AO39" s="63">
        <v>0</v>
      </c>
      <c r="AP39" s="63">
        <v>-20080000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33.203000000000003</v>
      </c>
      <c r="BB39" s="63">
        <v>11.501000000000001</v>
      </c>
      <c r="BC39" s="63">
        <v>43.865000000000002</v>
      </c>
      <c r="BD39" s="63">
        <v>2.8129999999999997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19.447020000000002</v>
      </c>
      <c r="BM39" s="63">
        <v>184.26998</v>
      </c>
      <c r="BN39" s="63">
        <v>3993.7474999999999</v>
      </c>
      <c r="BO39" s="63">
        <v>0</v>
      </c>
      <c r="BP39" s="63">
        <v>4.7320000000000001E-2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0</v>
      </c>
      <c r="BX39" s="63">
        <v>0</v>
      </c>
      <c r="BY39" s="63">
        <v>0</v>
      </c>
      <c r="BZ39" s="63">
        <v>1000000</v>
      </c>
      <c r="CA39" s="63">
        <v>3000000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43">
        <f t="shared" si="4"/>
        <v>-1598643.265337293</v>
      </c>
    </row>
    <row r="40" spans="2:101" ht="15.75" thickBot="1" x14ac:dyDescent="0.3">
      <c r="B40" s="64"/>
      <c r="C40" s="65" t="s">
        <v>129</v>
      </c>
      <c r="D40" s="65">
        <f>+D39+D38</f>
        <v>431445.25772000052</v>
      </c>
      <c r="E40" s="65">
        <f>+E39+E38</f>
        <v>7159821.7276045438</v>
      </c>
      <c r="F40" s="65">
        <f>+F39+F38</f>
        <v>11200386.125951508</v>
      </c>
      <c r="G40" s="65">
        <f t="shared" ref="G40:BR40" si="9">+G39+G38</f>
        <v>0</v>
      </c>
      <c r="H40" s="65">
        <f t="shared" si="9"/>
        <v>0</v>
      </c>
      <c r="I40" s="65">
        <f t="shared" si="9"/>
        <v>112998.56759999423</v>
      </c>
      <c r="J40" s="65">
        <f t="shared" si="9"/>
        <v>0</v>
      </c>
      <c r="K40" s="65">
        <f t="shared" si="9"/>
        <v>135656.81405614308</v>
      </c>
      <c r="L40" s="65">
        <f t="shared" si="9"/>
        <v>232366.71016189826</v>
      </c>
      <c r="M40" s="65">
        <f t="shared" si="9"/>
        <v>180318.47399286652</v>
      </c>
      <c r="N40" s="65">
        <f t="shared" si="9"/>
        <v>177310.5199999999</v>
      </c>
      <c r="O40" s="65">
        <f t="shared" si="9"/>
        <v>743248.15264999995</v>
      </c>
      <c r="P40" s="65">
        <f t="shared" si="9"/>
        <v>22528027.280000009</v>
      </c>
      <c r="Q40" s="65">
        <f t="shared" si="9"/>
        <v>127277387.5339599</v>
      </c>
      <c r="R40" s="65">
        <f t="shared" si="9"/>
        <v>294527.93999999994</v>
      </c>
      <c r="S40" s="65">
        <f t="shared" si="9"/>
        <v>1562944.3087055988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9662.5274983807467</v>
      </c>
      <c r="AA40" s="65">
        <f t="shared" si="9"/>
        <v>40503.29</v>
      </c>
      <c r="AB40" s="65">
        <f t="shared" si="9"/>
        <v>7542.7499999967404</v>
      </c>
      <c r="AC40" s="65">
        <f t="shared" si="9"/>
        <v>31617.62</v>
      </c>
      <c r="AD40" s="65">
        <f t="shared" si="9"/>
        <v>5155</v>
      </c>
      <c r="AE40" s="65">
        <f t="shared" si="9"/>
        <v>21608.68</v>
      </c>
      <c r="AF40" s="65">
        <f t="shared" si="9"/>
        <v>7956.8699999451637</v>
      </c>
      <c r="AG40" s="65">
        <f t="shared" si="9"/>
        <v>33353.53</v>
      </c>
      <c r="AH40" s="65">
        <f t="shared" si="9"/>
        <v>195459.03999999719</v>
      </c>
      <c r="AI40" s="65">
        <f t="shared" si="9"/>
        <v>819134.7964617</v>
      </c>
      <c r="AJ40" s="65">
        <f t="shared" si="9"/>
        <v>673596.71999999823</v>
      </c>
      <c r="AK40" s="65">
        <f t="shared" si="9"/>
        <v>2823324.1679230896</v>
      </c>
      <c r="AL40" s="65">
        <f t="shared" si="9"/>
        <v>23148105.628870077</v>
      </c>
      <c r="AM40" s="65">
        <f t="shared" si="9"/>
        <v>59326669.579603538</v>
      </c>
      <c r="AN40" s="65">
        <f t="shared" si="9"/>
        <v>6478343.2725400012</v>
      </c>
      <c r="AO40" s="65">
        <f t="shared" si="9"/>
        <v>822799.51758143969</v>
      </c>
      <c r="AP40" s="65">
        <f t="shared" si="9"/>
        <v>-11768941.892046245</v>
      </c>
      <c r="AQ40" s="65">
        <f t="shared" si="9"/>
        <v>619857.74627216067</v>
      </c>
      <c r="AR40" s="65">
        <f t="shared" si="9"/>
        <v>33752.683643993005</v>
      </c>
      <c r="AS40" s="65">
        <f t="shared" si="9"/>
        <v>6.2719079996137461</v>
      </c>
      <c r="AT40" s="65">
        <f t="shared" si="9"/>
        <v>11.210432002509913</v>
      </c>
      <c r="AU40" s="65">
        <f t="shared" si="9"/>
        <v>70709.869203997281</v>
      </c>
      <c r="AV40" s="65">
        <f t="shared" si="9"/>
        <v>523662.90839880263</v>
      </c>
      <c r="AW40" s="65">
        <f t="shared" si="9"/>
        <v>85667.9885699968</v>
      </c>
      <c r="AX40" s="65">
        <f t="shared" si="9"/>
        <v>1041.3974240010875</v>
      </c>
      <c r="AY40" s="65">
        <f t="shared" si="9"/>
        <v>59646.012311997983</v>
      </c>
      <c r="AZ40" s="65">
        <f t="shared" si="9"/>
        <v>23267.345377323236</v>
      </c>
      <c r="BA40" s="65">
        <f t="shared" si="9"/>
        <v>202483.17672400692</v>
      </c>
      <c r="BB40" s="65">
        <f t="shared" si="9"/>
        <v>70118.760219991149</v>
      </c>
      <c r="BC40" s="65">
        <f t="shared" si="9"/>
        <v>267480.02684799867</v>
      </c>
      <c r="BD40" s="65">
        <f t="shared" si="9"/>
        <v>17090.159599989831</v>
      </c>
      <c r="BE40" s="65">
        <f t="shared" si="9"/>
        <v>256586.81289368056</v>
      </c>
      <c r="BF40" s="65">
        <f t="shared" si="9"/>
        <v>321949.5492303599</v>
      </c>
      <c r="BG40" s="65">
        <f t="shared" si="9"/>
        <v>35109.232018882758</v>
      </c>
      <c r="BH40" s="65">
        <f t="shared" si="9"/>
        <v>27273.514880002102</v>
      </c>
      <c r="BI40" s="65">
        <f t="shared" si="9"/>
        <v>630661.83776839031</v>
      </c>
      <c r="BJ40" s="65">
        <f t="shared" si="9"/>
        <v>197783.28604456017</v>
      </c>
      <c r="BK40" s="65">
        <f t="shared" si="9"/>
        <v>3408870.6208220124</v>
      </c>
      <c r="BL40" s="65">
        <f t="shared" si="9"/>
        <v>113012.65230244608</v>
      </c>
      <c r="BM40" s="65">
        <f t="shared" si="9"/>
        <v>1071401.749497151</v>
      </c>
      <c r="BN40" s="65">
        <f t="shared" si="9"/>
        <v>23217440.521237377</v>
      </c>
      <c r="BO40" s="65">
        <f t="shared" si="9"/>
        <v>3.4691202304202307E-3</v>
      </c>
      <c r="BP40" s="65">
        <f t="shared" si="9"/>
        <v>255.86877932906549</v>
      </c>
      <c r="BQ40" s="65">
        <f t="shared" si="9"/>
        <v>4.0128798844989433E-3</v>
      </c>
      <c r="BR40" s="65">
        <f t="shared" si="9"/>
        <v>645623.81600000313</v>
      </c>
      <c r="BS40" s="65">
        <f t="shared" ref="BS40:CV40" si="10">+BS39+BS38</f>
        <v>2662944.0693795886</v>
      </c>
      <c r="BT40" s="65">
        <f t="shared" si="10"/>
        <v>1087022.5449320192</v>
      </c>
      <c r="BU40" s="65">
        <f t="shared" si="10"/>
        <v>4529252.830922991</v>
      </c>
      <c r="BV40" s="65">
        <f t="shared" si="10"/>
        <v>8400.1908600000006</v>
      </c>
      <c r="BW40" s="65">
        <f t="shared" si="10"/>
        <v>384552.75899000082</v>
      </c>
      <c r="BX40" s="65">
        <f t="shared" si="10"/>
        <v>12663.664475599246</v>
      </c>
      <c r="BY40" s="65">
        <f t="shared" si="10"/>
        <v>770736.28399999999</v>
      </c>
      <c r="BZ40" s="65">
        <f t="shared" si="10"/>
        <v>4605861.6639999999</v>
      </c>
      <c r="CA40" s="65">
        <f t="shared" si="10"/>
        <v>6571506.2180000003</v>
      </c>
      <c r="CB40" s="65">
        <f t="shared" si="10"/>
        <v>18918.56624</v>
      </c>
      <c r="CC40" s="65">
        <f t="shared" si="10"/>
        <v>896273.38017999986</v>
      </c>
      <c r="CD40" s="65">
        <f t="shared" si="10"/>
        <v>0</v>
      </c>
      <c r="CE40" s="65">
        <f t="shared" si="10"/>
        <v>27036.502</v>
      </c>
      <c r="CF40" s="65">
        <f t="shared" si="10"/>
        <v>528153.19958999997</v>
      </c>
      <c r="CG40" s="65">
        <f t="shared" si="10"/>
        <v>192171.21</v>
      </c>
      <c r="CH40" s="65">
        <f>+CH39+CH38</f>
        <v>2.9318200000000001</v>
      </c>
      <c r="CI40" s="65">
        <f t="shared" si="10"/>
        <v>939948.73</v>
      </c>
      <c r="CJ40" s="65">
        <f t="shared" si="10"/>
        <v>296598.98904000001</v>
      </c>
      <c r="CK40" s="65">
        <f t="shared" si="10"/>
        <v>0</v>
      </c>
      <c r="CL40" s="65">
        <f t="shared" si="10"/>
        <v>0</v>
      </c>
      <c r="CM40" s="65">
        <f t="shared" si="10"/>
        <v>79545.21415</v>
      </c>
      <c r="CN40" s="65">
        <f t="shared" si="10"/>
        <v>662749.23896999995</v>
      </c>
      <c r="CO40" s="65">
        <f t="shared" si="10"/>
        <v>736440.24131999968</v>
      </c>
      <c r="CP40" s="65">
        <f t="shared" si="10"/>
        <v>9152723.6727600005</v>
      </c>
      <c r="CQ40" s="65">
        <f t="shared" si="10"/>
        <v>377918.49939999997</v>
      </c>
      <c r="CR40" s="65">
        <f t="shared" si="10"/>
        <v>20872.37467999896</v>
      </c>
      <c r="CS40" s="65">
        <f t="shared" si="10"/>
        <v>5000</v>
      </c>
      <c r="CT40" s="65">
        <f t="shared" si="10"/>
        <v>20468.599999999999</v>
      </c>
      <c r="CU40" s="65">
        <f t="shared" si="10"/>
        <v>5000</v>
      </c>
      <c r="CV40" s="65">
        <f t="shared" si="10"/>
        <v>20468.599999999999</v>
      </c>
      <c r="CW40" s="43">
        <f t="shared" si="4"/>
        <v>321226325.71243495</v>
      </c>
    </row>
    <row r="41" spans="2:101" ht="15.75" thickBot="1" x14ac:dyDescent="0.3"/>
    <row r="42" spans="2:101" x14ac:dyDescent="0.25">
      <c r="C42" s="67" t="s">
        <v>130</v>
      </c>
      <c r="D42" s="68">
        <f>+D37+D39</f>
        <v>-26184.19915</v>
      </c>
      <c r="E42" s="68">
        <f>+E37+E39</f>
        <v>-6200135.1013900032</v>
      </c>
      <c r="F42" s="69">
        <f>+F37+F39</f>
        <v>-7234844.0059800018</v>
      </c>
      <c r="G42" s="88">
        <v>20375.599999999999</v>
      </c>
      <c r="H42" s="88">
        <v>20376.599999999999</v>
      </c>
      <c r="I42" s="88">
        <v>20377.599999999999</v>
      </c>
      <c r="J42" s="88">
        <v>20378.599999999999</v>
      </c>
      <c r="K42" s="88">
        <v>20379.599999999999</v>
      </c>
      <c r="L42" s="88">
        <v>20380.599999999999</v>
      </c>
      <c r="M42" s="88">
        <v>20381.599999999999</v>
      </c>
      <c r="N42" s="88">
        <v>20382.599999999999</v>
      </c>
      <c r="O42" s="88">
        <v>20383.599999999999</v>
      </c>
      <c r="P42" s="88">
        <v>20384.599999999999</v>
      </c>
      <c r="Q42" s="88">
        <v>20385.599999999999</v>
      </c>
      <c r="R42" s="88">
        <v>20386.599999999999</v>
      </c>
      <c r="S42" s="88">
        <v>20387.599999999999</v>
      </c>
      <c r="T42" s="88">
        <v>20388.599999999999</v>
      </c>
      <c r="U42" s="88">
        <v>20389.599999999999</v>
      </c>
      <c r="V42" s="88">
        <v>20390.599999999999</v>
      </c>
      <c r="W42" s="88">
        <v>20391.599999999999</v>
      </c>
      <c r="X42" s="88">
        <v>20392.599999999999</v>
      </c>
      <c r="Y42" s="88">
        <v>20393.599999999999</v>
      </c>
      <c r="Z42" s="88">
        <v>20394.599999999999</v>
      </c>
      <c r="AA42" s="88">
        <v>20395.599999999999</v>
      </c>
      <c r="AB42" s="88">
        <v>20396.599999999999</v>
      </c>
      <c r="AC42" s="88">
        <v>20397.599999999999</v>
      </c>
      <c r="AD42" s="88">
        <v>20398.599999999999</v>
      </c>
      <c r="AE42" s="88">
        <v>20399.599999999999</v>
      </c>
      <c r="AF42" s="88">
        <v>20400.599999999999</v>
      </c>
      <c r="AG42" s="88">
        <v>20401.599999999999</v>
      </c>
      <c r="AH42" s="88">
        <v>20402.599999999999</v>
      </c>
      <c r="AI42" s="88">
        <v>20403.599999999999</v>
      </c>
      <c r="AJ42" s="88">
        <v>20404.599999999999</v>
      </c>
      <c r="AK42" s="88">
        <v>20405.599999999999</v>
      </c>
      <c r="AL42" s="88">
        <v>20406.599999999999</v>
      </c>
      <c r="AM42" s="88">
        <v>20407.599999999999</v>
      </c>
      <c r="AN42" s="88">
        <v>20408.599999999999</v>
      </c>
      <c r="AO42" s="88">
        <v>20409.599999999999</v>
      </c>
      <c r="AP42" s="88">
        <v>20410.599999999999</v>
      </c>
      <c r="AQ42" s="88">
        <v>20411.599999999999</v>
      </c>
      <c r="AR42" s="88">
        <v>20412.599999999999</v>
      </c>
      <c r="AS42" s="88">
        <v>20413.599999999999</v>
      </c>
      <c r="AT42" s="88">
        <v>20414.599999999999</v>
      </c>
      <c r="AU42" s="88">
        <v>20415.599999999999</v>
      </c>
      <c r="AV42" s="88">
        <v>20416.599999999999</v>
      </c>
      <c r="AW42" s="88">
        <v>20417.599999999999</v>
      </c>
      <c r="AX42" s="88">
        <v>20418.599999999999</v>
      </c>
      <c r="AY42" s="88">
        <v>20419.599999999999</v>
      </c>
      <c r="AZ42" s="88">
        <v>20420.599999999999</v>
      </c>
      <c r="BA42" s="88">
        <v>20421.599999999999</v>
      </c>
      <c r="BB42" s="88">
        <v>20422.599999999999</v>
      </c>
      <c r="BC42" s="88">
        <v>20423.599999999999</v>
      </c>
      <c r="BD42" s="88">
        <v>20424.599999999999</v>
      </c>
      <c r="BE42" s="88">
        <v>20425.599999999999</v>
      </c>
      <c r="BF42" s="88">
        <v>20426.599999999999</v>
      </c>
      <c r="BG42" s="88">
        <v>20427.599999999999</v>
      </c>
      <c r="BH42" s="88">
        <v>20428.599999999999</v>
      </c>
      <c r="BI42" s="88">
        <v>20429.599999999999</v>
      </c>
      <c r="BJ42" s="88">
        <v>20430.599999999999</v>
      </c>
      <c r="BK42" s="88">
        <v>20431.599999999999</v>
      </c>
      <c r="BL42" s="88">
        <v>20432.599999999999</v>
      </c>
      <c r="BM42" s="88">
        <v>20433.599999999999</v>
      </c>
      <c r="BN42" s="88">
        <v>20434.599999999999</v>
      </c>
      <c r="BO42" s="88">
        <v>20435.599999999999</v>
      </c>
      <c r="BP42" s="88">
        <v>20436.599999999999</v>
      </c>
      <c r="BQ42" s="88">
        <v>20437.599999999999</v>
      </c>
      <c r="BR42" s="88">
        <v>20438.599999999999</v>
      </c>
      <c r="BS42" s="88">
        <v>20439.599999999999</v>
      </c>
      <c r="BT42" s="88">
        <v>20440.599999999999</v>
      </c>
      <c r="BU42" s="88">
        <v>20441.599999999999</v>
      </c>
      <c r="BV42" s="88">
        <v>20442.599999999999</v>
      </c>
      <c r="BW42" s="88">
        <v>20443.599999999999</v>
      </c>
      <c r="BX42" s="88">
        <v>20444.599999999999</v>
      </c>
      <c r="BY42" s="88">
        <v>20445.599999999999</v>
      </c>
      <c r="BZ42" s="88">
        <v>20446.599999999999</v>
      </c>
      <c r="CA42" s="88">
        <v>20447.599999999999</v>
      </c>
      <c r="CB42" s="88">
        <v>20448.599999999999</v>
      </c>
      <c r="CC42" s="88">
        <v>20449.599999999999</v>
      </c>
      <c r="CD42" s="88">
        <v>20450.599999999999</v>
      </c>
      <c r="CE42" s="88">
        <v>20451.599999999999</v>
      </c>
      <c r="CF42" s="88">
        <v>20452.599999999999</v>
      </c>
      <c r="CG42" s="88">
        <v>20453.599999999999</v>
      </c>
      <c r="CH42" s="88">
        <v>20454.599999999999</v>
      </c>
      <c r="CI42" s="88">
        <v>20455.599999999999</v>
      </c>
      <c r="CJ42" s="88">
        <v>20456.599999999999</v>
      </c>
      <c r="CK42" s="88">
        <v>20457.599999999999</v>
      </c>
      <c r="CL42" s="88">
        <v>20458.599999999999</v>
      </c>
      <c r="CM42" s="88">
        <v>20459.599999999999</v>
      </c>
      <c r="CN42" s="88">
        <v>20460.599999999999</v>
      </c>
      <c r="CO42" s="88">
        <v>20461.599999999999</v>
      </c>
      <c r="CP42" s="88">
        <v>20462.599999999999</v>
      </c>
      <c r="CQ42" s="88">
        <v>20463.599999999999</v>
      </c>
      <c r="CR42" s="88">
        <v>20464.599999999999</v>
      </c>
      <c r="CS42" s="88">
        <v>20465.599999999999</v>
      </c>
      <c r="CT42" s="88">
        <v>20466.599999999999</v>
      </c>
      <c r="CU42" s="88">
        <v>20467.599999999999</v>
      </c>
      <c r="CV42" s="88">
        <v>20468.599999999999</v>
      </c>
    </row>
    <row r="43" spans="2:101" x14ac:dyDescent="0.25">
      <c r="C43" s="70" t="s">
        <v>131</v>
      </c>
      <c r="D43" s="71">
        <v>-26184.199710000001</v>
      </c>
      <c r="E43" s="71">
        <v>-6200135.1006399998</v>
      </c>
      <c r="F43" s="71">
        <v>-7234844.0079600001</v>
      </c>
      <c r="G43" s="66"/>
      <c r="H43" s="66"/>
      <c r="CT43" s="66"/>
      <c r="CU43" s="66"/>
      <c r="CV43" s="66"/>
    </row>
    <row r="44" spans="2:101" ht="15.75" thickBot="1" x14ac:dyDescent="0.3">
      <c r="C44" s="73" t="s">
        <v>132</v>
      </c>
      <c r="D44" s="74">
        <f>+D42-D43</f>
        <v>5.6000000040512532E-4</v>
      </c>
      <c r="E44" s="74">
        <f>+E42-E43</f>
        <v>-7.50003382563591E-4</v>
      </c>
      <c r="F44" s="75">
        <f>+F42-F43</f>
        <v>1.9799983128905296E-3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</row>
    <row r="45" spans="2:101" x14ac:dyDescent="0.25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</row>
    <row r="46" spans="2:101" x14ac:dyDescent="0.25">
      <c r="D46" s="10">
        <v>9610</v>
      </c>
      <c r="E46" s="10">
        <v>2103975600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2:101" x14ac:dyDescent="0.25">
      <c r="D47" s="10">
        <v>8236</v>
      </c>
      <c r="E47" s="10">
        <v>2475020028.73</v>
      </c>
      <c r="I47" s="66" t="s">
        <v>133</v>
      </c>
      <c r="AL47" s="76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</row>
    <row r="48" spans="2:101" x14ac:dyDescent="0.25">
      <c r="D48" s="10">
        <v>9594</v>
      </c>
      <c r="E48" s="77">
        <f>+[3]Hoja1!$D$27+[3]Hoja1!$E$28+[3]Hoja1!$D$33</f>
        <v>2112600528.71</v>
      </c>
      <c r="AL48" s="76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</row>
    <row r="49" spans="2:97" x14ac:dyDescent="0.25">
      <c r="C49" s="78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</row>
    <row r="50" spans="2:97" x14ac:dyDescent="0.25"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/>
    </row>
    <row r="51" spans="2:97" x14ac:dyDescent="0.25">
      <c r="CS51"/>
    </row>
    <row r="52" spans="2:97" x14ac:dyDescent="0.25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/>
    </row>
    <row r="53" spans="2:97" x14ac:dyDescent="0.25">
      <c r="CS53"/>
    </row>
    <row r="54" spans="2:97" x14ac:dyDescent="0.25">
      <c r="CS54"/>
    </row>
    <row r="55" spans="2:97" x14ac:dyDescent="0.25">
      <c r="CS55"/>
    </row>
    <row r="58" spans="2:97" x14ac:dyDescent="0.25">
      <c r="B58" s="66"/>
      <c r="C58" s="66"/>
      <c r="D58" s="66"/>
      <c r="E58" s="66"/>
      <c r="F58" s="66"/>
      <c r="G58" s="66"/>
      <c r="H58" s="66"/>
      <c r="CM58"/>
      <c r="CN58"/>
      <c r="CO58"/>
      <c r="CP58"/>
      <c r="CQ58"/>
      <c r="CR58"/>
    </row>
    <row r="59" spans="2:97" x14ac:dyDescent="0.25">
      <c r="B59" s="66"/>
      <c r="C59" s="66"/>
      <c r="D59" s="66"/>
      <c r="E59" s="66"/>
      <c r="F59" s="66"/>
      <c r="G59" s="66"/>
      <c r="H59" s="66"/>
      <c r="CM59"/>
      <c r="CN59"/>
      <c r="CO59"/>
      <c r="CP59"/>
      <c r="CQ59"/>
      <c r="CR59"/>
    </row>
    <row r="60" spans="2:97" x14ac:dyDescent="0.25">
      <c r="B60" s="66"/>
      <c r="C60" s="66"/>
      <c r="D60" s="66"/>
      <c r="E60" s="66"/>
      <c r="F60" s="66"/>
      <c r="G60" s="66"/>
      <c r="H60" s="66"/>
      <c r="CM60"/>
      <c r="CN60"/>
      <c r="CO60"/>
      <c r="CP60"/>
      <c r="CQ60"/>
      <c r="CR60"/>
    </row>
    <row r="61" spans="2:97" x14ac:dyDescent="0.25">
      <c r="B61" s="66"/>
      <c r="C61" s="66"/>
      <c r="D61" s="66"/>
      <c r="E61" s="66"/>
      <c r="F61" s="66"/>
      <c r="G61" s="66"/>
      <c r="H61" s="66"/>
      <c r="CM61"/>
      <c r="CN61"/>
      <c r="CO61"/>
      <c r="CP61"/>
      <c r="CQ61"/>
      <c r="CR61"/>
    </row>
    <row r="62" spans="2:97" x14ac:dyDescent="0.25">
      <c r="B62" s="66"/>
      <c r="C62" s="66"/>
      <c r="D62" s="66"/>
      <c r="E62" s="66"/>
      <c r="F62" s="66"/>
      <c r="G62" s="66"/>
      <c r="H62" s="66"/>
      <c r="CM62"/>
      <c r="CN62"/>
      <c r="CO62"/>
      <c r="CP62"/>
      <c r="CQ62"/>
      <c r="CR62"/>
    </row>
    <row r="63" spans="2:97" x14ac:dyDescent="0.25">
      <c r="B63" s="66"/>
      <c r="C63" s="66"/>
      <c r="D63" s="66"/>
      <c r="E63" s="66"/>
      <c r="F63" s="66"/>
      <c r="G63" s="66"/>
      <c r="H63" s="66"/>
      <c r="CM63"/>
      <c r="CN63"/>
      <c r="CO63"/>
      <c r="CP63"/>
      <c r="CQ63"/>
      <c r="CR63"/>
    </row>
  </sheetData>
  <mergeCells count="1">
    <mergeCell ref="AP2:AP3"/>
  </mergeCells>
  <pageMargins left="0.7" right="0.7" top="0.75" bottom="0.75" header="0.3" footer="0.3"/>
  <pageSetup orientation="portrait" r:id="rId1"/>
  <customProperties>
    <customPr name="QAA_DRILLPATH_NODE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CW63"/>
  <sheetViews>
    <sheetView zoomScale="112" zoomScaleNormal="112" workbookViewId="0">
      <selection activeCell="AS42" sqref="AS42"/>
    </sheetView>
  </sheetViews>
  <sheetFormatPr baseColWidth="10" defaultRowHeight="15" outlineLevelCol="2" x14ac:dyDescent="0.25"/>
  <cols>
    <col min="1" max="1" width="8.5703125" style="10" customWidth="1"/>
    <col min="2" max="2" width="10" style="10" bestFit="1" customWidth="1"/>
    <col min="3" max="3" width="43" style="10" bestFit="1" customWidth="1"/>
    <col min="4" max="5" width="19.42578125" style="10" bestFit="1" customWidth="1"/>
    <col min="6" max="6" width="21.85546875" style="10" bestFit="1" customWidth="1"/>
    <col min="7" max="7" width="19.5703125" style="10" customWidth="1" outlineLevel="1"/>
    <col min="8" max="8" width="17.85546875" style="10" customWidth="1" outlineLevel="1"/>
    <col min="9" max="9" width="17.85546875" style="66" bestFit="1" customWidth="1"/>
    <col min="10" max="10" width="17.85546875" style="66" customWidth="1" outlineLevel="2"/>
    <col min="11" max="13" width="16.42578125" style="66" customWidth="1" outlineLevel="2"/>
    <col min="14" max="14" width="18.85546875" style="66" customWidth="1" outlineLevel="2"/>
    <col min="15" max="15" width="21" style="66" customWidth="1" outlineLevel="2"/>
    <col min="16" max="17" width="14.140625" style="66" customWidth="1" outlineLevel="2"/>
    <col min="18" max="18" width="16.42578125" style="66" customWidth="1" outlineLevel="2"/>
    <col min="19" max="25" width="18.42578125" style="66" customWidth="1" outlineLevel="2"/>
    <col min="26" max="26" width="18.85546875" style="66" customWidth="1" outlineLevel="2"/>
    <col min="27" max="27" width="21" style="66" customWidth="1" outlineLevel="2"/>
    <col min="28" max="29" width="14.5703125" style="66" customWidth="1" outlineLevel="2"/>
    <col min="30" max="30" width="16.42578125" style="66" customWidth="1" outlineLevel="2"/>
    <col min="31" max="31" width="18.42578125" style="66" customWidth="1" outlineLevel="2"/>
    <col min="32" max="32" width="18.140625" style="66" customWidth="1" outlineLevel="2"/>
    <col min="33" max="33" width="20.140625" style="66" customWidth="1" outlineLevel="2"/>
    <col min="34" max="37" width="14.5703125" style="66" customWidth="1" outlineLevel="2"/>
    <col min="38" max="38" width="14.42578125" style="66" bestFit="1" customWidth="1"/>
    <col min="39" max="40" width="13.42578125" style="66" bestFit="1" customWidth="1"/>
    <col min="41" max="41" width="12.42578125" style="66" bestFit="1" customWidth="1"/>
    <col min="42" max="42" width="17.140625" style="66" bestFit="1" customWidth="1"/>
    <col min="43" max="43" width="17.140625" style="66" customWidth="1"/>
    <col min="44" max="48" width="17.42578125" style="66" customWidth="1" outlineLevel="1"/>
    <col min="49" max="49" width="15.140625" style="66" customWidth="1" outlineLevel="1"/>
    <col min="50" max="50" width="9.85546875" style="66" customWidth="1" outlineLevel="1"/>
    <col min="51" max="51" width="12.5703125" style="66" customWidth="1" outlineLevel="1"/>
    <col min="52" max="52" width="14.42578125" style="66" customWidth="1" outlineLevel="1"/>
    <col min="53" max="53" width="15.140625" style="66" customWidth="1" outlineLevel="1"/>
    <col min="54" max="55" width="11.85546875" style="66" customWidth="1" outlineLevel="1"/>
    <col min="56" max="56" width="12.5703125" style="66" customWidth="1" outlineLevel="1"/>
    <col min="57" max="59" width="16.5703125" style="66" customWidth="1" outlineLevel="1"/>
    <col min="60" max="60" width="15.140625" style="66" customWidth="1" outlineLevel="1"/>
    <col min="61" max="62" width="13.5703125" style="66" customWidth="1" outlineLevel="1"/>
    <col min="63" max="63" width="14.42578125" style="66" customWidth="1" outlineLevel="1"/>
    <col min="64" max="64" width="19.5703125" style="66" customWidth="1" outlineLevel="1"/>
    <col min="65" max="66" width="17.85546875" style="66" customWidth="1" outlineLevel="1"/>
    <col min="67" max="67" width="12.85546875" style="66" customWidth="1" outlineLevel="1"/>
    <col min="68" max="68" width="13.5703125" style="66" customWidth="1" outlineLevel="1"/>
    <col min="69" max="69" width="18.85546875" style="66" customWidth="1" outlineLevel="1"/>
    <col min="70" max="70" width="20.140625" style="66" customWidth="1" outlineLevel="1"/>
    <col min="71" max="73" width="20.140625" style="66" bestFit="1" customWidth="1"/>
    <col min="74" max="76" width="17.42578125" style="66" bestFit="1" customWidth="1"/>
    <col min="77" max="77" width="15.140625" style="66" bestFit="1" customWidth="1"/>
    <col min="78" max="79" width="14.42578125" style="66" bestFit="1" customWidth="1"/>
    <col min="80" max="80" width="15.140625" style="66" bestFit="1" customWidth="1"/>
    <col min="81" max="82" width="15" style="66" bestFit="1" customWidth="1"/>
    <col min="83" max="83" width="15.140625" style="66" bestFit="1" customWidth="1"/>
    <col min="84" max="84" width="10.42578125" style="66" bestFit="1" customWidth="1"/>
    <col min="85" max="85" width="12.5703125" style="66" bestFit="1" customWidth="1"/>
    <col min="86" max="86" width="16.5703125" style="66" bestFit="1" customWidth="1"/>
    <col min="87" max="88" width="19.7109375" style="66" bestFit="1" customWidth="1"/>
    <col min="89" max="89" width="15.5703125" style="66" customWidth="1"/>
    <col min="90" max="90" width="11.28515625" style="66" customWidth="1"/>
    <col min="91" max="91" width="17.85546875" style="66" bestFit="1" customWidth="1"/>
    <col min="92" max="92" width="14.42578125" style="66" customWidth="1"/>
    <col min="93" max="93" width="14.28515625" style="66" bestFit="1" customWidth="1"/>
    <col min="94" max="95" width="19.7109375" style="66" bestFit="1" customWidth="1"/>
    <col min="96" max="96" width="16.5703125" style="66" bestFit="1" customWidth="1"/>
    <col min="97" max="97" width="22" style="66" bestFit="1" customWidth="1"/>
    <col min="98" max="98" width="12" bestFit="1" customWidth="1"/>
    <col min="99" max="99" width="11.5703125" bestFit="1" customWidth="1"/>
    <col min="100" max="100" width="12" bestFit="1" customWidth="1"/>
    <col min="101" max="101" width="15.28515625" bestFit="1" customWidth="1"/>
  </cols>
  <sheetData>
    <row r="1" spans="1:101" ht="28.5" x14ac:dyDescent="0.45">
      <c r="A1" s="1"/>
      <c r="B1" s="1"/>
      <c r="C1" s="1"/>
      <c r="D1" s="2"/>
      <c r="E1" s="3"/>
      <c r="F1" s="3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5"/>
      <c r="AN1" s="5"/>
      <c r="AO1" s="5"/>
      <c r="AP1" s="5"/>
      <c r="AQ1" s="5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6"/>
      <c r="BM1" s="4"/>
      <c r="BN1" s="4"/>
      <c r="BO1" s="4"/>
      <c r="BP1" s="4"/>
      <c r="BQ1" s="4"/>
      <c r="BR1" s="7"/>
      <c r="BS1" s="7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8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spans="1:101" ht="15" customHeight="1" x14ac:dyDescent="0.25">
      <c r="D2" s="11" t="s">
        <v>0</v>
      </c>
      <c r="E2" s="11" t="s">
        <v>1</v>
      </c>
      <c r="F2" s="11" t="s">
        <v>2</v>
      </c>
      <c r="G2" s="12" t="s">
        <v>3</v>
      </c>
      <c r="H2" s="12" t="s">
        <v>4</v>
      </c>
      <c r="I2" s="13" t="s">
        <v>5</v>
      </c>
      <c r="J2" s="12" t="s">
        <v>6</v>
      </c>
      <c r="K2" s="12" t="s">
        <v>0</v>
      </c>
      <c r="L2" s="12" t="s">
        <v>1</v>
      </c>
      <c r="M2" s="12" t="s">
        <v>2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12" t="s">
        <v>12</v>
      </c>
      <c r="T2" s="16" t="s">
        <v>7</v>
      </c>
      <c r="U2" s="16" t="s">
        <v>8</v>
      </c>
      <c r="V2" s="16" t="s">
        <v>134</v>
      </c>
      <c r="W2" s="16" t="s">
        <v>135</v>
      </c>
      <c r="X2" s="16" t="s">
        <v>11</v>
      </c>
      <c r="Y2" s="16" t="s">
        <v>12</v>
      </c>
      <c r="Z2" s="12" t="s">
        <v>7</v>
      </c>
      <c r="AA2" s="12" t="s">
        <v>8</v>
      </c>
      <c r="AB2" s="12" t="s">
        <v>9</v>
      </c>
      <c r="AC2" s="12" t="s">
        <v>10</v>
      </c>
      <c r="AD2" s="12" t="s">
        <v>11</v>
      </c>
      <c r="AE2" s="12" t="s">
        <v>12</v>
      </c>
      <c r="AF2" s="12" t="s">
        <v>13</v>
      </c>
      <c r="AG2" s="12" t="s">
        <v>14</v>
      </c>
      <c r="AH2" s="12" t="s">
        <v>15</v>
      </c>
      <c r="AI2" s="12" t="s">
        <v>16</v>
      </c>
      <c r="AJ2" s="12" t="s">
        <v>17</v>
      </c>
      <c r="AK2" s="12" t="s">
        <v>18</v>
      </c>
      <c r="AL2" s="14" t="s">
        <v>19</v>
      </c>
      <c r="AM2" s="14" t="s">
        <v>20</v>
      </c>
      <c r="AN2" s="15" t="s">
        <v>21</v>
      </c>
      <c r="AO2" s="15" t="s">
        <v>22</v>
      </c>
      <c r="AP2" s="89" t="s">
        <v>23</v>
      </c>
      <c r="AQ2" s="83"/>
      <c r="AR2" s="16" t="s">
        <v>0</v>
      </c>
      <c r="AS2" s="16" t="s">
        <v>24</v>
      </c>
      <c r="AT2" s="12" t="s">
        <v>5</v>
      </c>
      <c r="AU2" s="12" t="s">
        <v>2</v>
      </c>
      <c r="AV2" s="12" t="s">
        <v>19</v>
      </c>
      <c r="AW2" s="12" t="s">
        <v>0</v>
      </c>
      <c r="AX2" s="12" t="s">
        <v>24</v>
      </c>
      <c r="AY2" s="12" t="s">
        <v>2</v>
      </c>
      <c r="AZ2" s="12" t="s">
        <v>19</v>
      </c>
      <c r="BA2" s="12" t="s">
        <v>0</v>
      </c>
      <c r="BB2" s="12" t="s">
        <v>24</v>
      </c>
      <c r="BC2" s="12" t="s">
        <v>5</v>
      </c>
      <c r="BD2" s="12" t="s">
        <v>2</v>
      </c>
      <c r="BE2" s="12" t="s">
        <v>0</v>
      </c>
      <c r="BF2" s="12" t="s">
        <v>24</v>
      </c>
      <c r="BG2" s="17" t="s">
        <v>2</v>
      </c>
      <c r="BH2" s="17" t="s">
        <v>0</v>
      </c>
      <c r="BI2" s="17" t="s">
        <v>24</v>
      </c>
      <c r="BJ2" s="17" t="s">
        <v>2</v>
      </c>
      <c r="BK2" s="17" t="s">
        <v>19</v>
      </c>
      <c r="BL2" s="18" t="s">
        <v>3</v>
      </c>
      <c r="BM2" s="18" t="s">
        <v>4</v>
      </c>
      <c r="BN2" s="18" t="s">
        <v>6</v>
      </c>
      <c r="BO2" s="18" t="s">
        <v>25</v>
      </c>
      <c r="BP2" s="18" t="s">
        <v>26</v>
      </c>
      <c r="BQ2" s="18" t="s">
        <v>27</v>
      </c>
      <c r="BR2" s="14" t="s">
        <v>28</v>
      </c>
      <c r="BS2" s="14" t="s">
        <v>10</v>
      </c>
      <c r="BT2" s="14" t="s">
        <v>29</v>
      </c>
      <c r="BU2" s="14" t="s">
        <v>12</v>
      </c>
      <c r="BV2" s="14" t="s">
        <v>0</v>
      </c>
      <c r="BW2" s="14" t="s">
        <v>1</v>
      </c>
      <c r="BX2" s="14" t="s">
        <v>2</v>
      </c>
      <c r="BY2" s="14" t="s">
        <v>0</v>
      </c>
      <c r="BZ2" s="14" t="s">
        <v>1</v>
      </c>
      <c r="CA2" s="14" t="s">
        <v>2</v>
      </c>
      <c r="CB2" s="14" t="s">
        <v>0</v>
      </c>
      <c r="CC2" s="14" t="s">
        <v>1</v>
      </c>
      <c r="CD2" s="14" t="s">
        <v>2</v>
      </c>
      <c r="CE2" s="14" t="s">
        <v>0</v>
      </c>
      <c r="CF2" s="14" t="s">
        <v>1</v>
      </c>
      <c r="CG2" s="14" t="s">
        <v>2</v>
      </c>
      <c r="CH2" s="14" t="s">
        <v>2</v>
      </c>
      <c r="CI2" s="14" t="s">
        <v>1</v>
      </c>
      <c r="CJ2" s="14" t="s">
        <v>2</v>
      </c>
      <c r="CK2" s="14" t="s">
        <v>1</v>
      </c>
      <c r="CL2" s="14" t="s">
        <v>1</v>
      </c>
      <c r="CM2" s="14" t="s">
        <v>1</v>
      </c>
      <c r="CN2" s="14" t="s">
        <v>1</v>
      </c>
      <c r="CO2" s="14" t="s">
        <v>1</v>
      </c>
      <c r="CP2" s="14" t="s">
        <v>1</v>
      </c>
      <c r="CQ2" s="14" t="s">
        <v>1</v>
      </c>
      <c r="CR2" s="19" t="s">
        <v>30</v>
      </c>
      <c r="CS2" s="85" t="s">
        <v>136</v>
      </c>
      <c r="CT2" s="85" t="s">
        <v>135</v>
      </c>
      <c r="CU2" s="85" t="s">
        <v>29</v>
      </c>
      <c r="CV2" s="85" t="s">
        <v>12</v>
      </c>
      <c r="CW2" s="20" t="s">
        <v>31</v>
      </c>
    </row>
    <row r="3" spans="1:101" ht="60" x14ac:dyDescent="0.25">
      <c r="D3" s="21" t="s">
        <v>32</v>
      </c>
      <c r="E3" s="21" t="s">
        <v>32</v>
      </c>
      <c r="F3" s="21" t="s">
        <v>32</v>
      </c>
      <c r="G3" s="22" t="s">
        <v>32</v>
      </c>
      <c r="H3" s="22" t="s">
        <v>32</v>
      </c>
      <c r="I3" s="23" t="s">
        <v>32</v>
      </c>
      <c r="J3" s="22" t="s">
        <v>32</v>
      </c>
      <c r="K3" s="22" t="s">
        <v>33</v>
      </c>
      <c r="L3" s="22" t="s">
        <v>33</v>
      </c>
      <c r="M3" s="22" t="s">
        <v>33</v>
      </c>
      <c r="N3" s="22" t="s">
        <v>34</v>
      </c>
      <c r="O3" s="22" t="s">
        <v>34</v>
      </c>
      <c r="P3" s="22" t="s">
        <v>34</v>
      </c>
      <c r="Q3" s="22" t="s">
        <v>34</v>
      </c>
      <c r="R3" s="22" t="s">
        <v>34</v>
      </c>
      <c r="S3" s="22" t="s">
        <v>34</v>
      </c>
      <c r="T3" s="24" t="s">
        <v>137</v>
      </c>
      <c r="U3" s="24" t="s">
        <v>137</v>
      </c>
      <c r="V3" s="24" t="s">
        <v>137</v>
      </c>
      <c r="W3" s="24" t="s">
        <v>137</v>
      </c>
      <c r="X3" s="24" t="s">
        <v>137</v>
      </c>
      <c r="Y3" s="24" t="s">
        <v>137</v>
      </c>
      <c r="Z3" s="22" t="s">
        <v>35</v>
      </c>
      <c r="AA3" s="22" t="s">
        <v>35</v>
      </c>
      <c r="AB3" s="22" t="s">
        <v>35</v>
      </c>
      <c r="AC3" s="22" t="s">
        <v>35</v>
      </c>
      <c r="AD3" s="22" t="s">
        <v>35</v>
      </c>
      <c r="AE3" s="22" t="s">
        <v>35</v>
      </c>
      <c r="AF3" s="22" t="s">
        <v>35</v>
      </c>
      <c r="AG3" s="22" t="s">
        <v>35</v>
      </c>
      <c r="AH3" s="22" t="s">
        <v>35</v>
      </c>
      <c r="AI3" s="22" t="s">
        <v>35</v>
      </c>
      <c r="AJ3" s="22" t="s">
        <v>35</v>
      </c>
      <c r="AK3" s="22" t="s">
        <v>35</v>
      </c>
      <c r="AL3" s="23" t="s">
        <v>36</v>
      </c>
      <c r="AM3" s="23" t="s">
        <v>36</v>
      </c>
      <c r="AN3" s="23"/>
      <c r="AO3" s="23"/>
      <c r="AP3" s="90"/>
      <c r="AQ3" s="84" t="s">
        <v>37</v>
      </c>
      <c r="AR3" s="24" t="s">
        <v>38</v>
      </c>
      <c r="AS3" s="24" t="s">
        <v>38</v>
      </c>
      <c r="AT3" s="22" t="s">
        <v>38</v>
      </c>
      <c r="AU3" s="22" t="s">
        <v>38</v>
      </c>
      <c r="AV3" s="22" t="s">
        <v>38</v>
      </c>
      <c r="AW3" s="22" t="s">
        <v>39</v>
      </c>
      <c r="AX3" s="22" t="s">
        <v>39</v>
      </c>
      <c r="AY3" s="22" t="s">
        <v>39</v>
      </c>
      <c r="AZ3" s="22" t="s">
        <v>39</v>
      </c>
      <c r="BA3" s="22" t="s">
        <v>40</v>
      </c>
      <c r="BB3" s="22" t="s">
        <v>40</v>
      </c>
      <c r="BC3" s="22" t="s">
        <v>40</v>
      </c>
      <c r="BD3" s="22" t="s">
        <v>40</v>
      </c>
      <c r="BE3" s="22" t="s">
        <v>41</v>
      </c>
      <c r="BF3" s="22" t="s">
        <v>41</v>
      </c>
      <c r="BG3" s="22" t="s">
        <v>41</v>
      </c>
      <c r="BH3" s="22" t="s">
        <v>42</v>
      </c>
      <c r="BI3" s="22" t="s">
        <v>42</v>
      </c>
      <c r="BJ3" s="22" t="s">
        <v>42</v>
      </c>
      <c r="BK3" s="22" t="s">
        <v>42</v>
      </c>
      <c r="BL3" s="24" t="s">
        <v>32</v>
      </c>
      <c r="BM3" s="24" t="s">
        <v>32</v>
      </c>
      <c r="BN3" s="24" t="s">
        <v>32</v>
      </c>
      <c r="BO3" s="25" t="s">
        <v>4</v>
      </c>
      <c r="BP3" s="25" t="s">
        <v>4</v>
      </c>
      <c r="BQ3" s="25" t="s">
        <v>4</v>
      </c>
      <c r="BR3" s="84" t="s">
        <v>43</v>
      </c>
      <c r="BS3" s="84" t="s">
        <v>43</v>
      </c>
      <c r="BT3" s="84" t="s">
        <v>43</v>
      </c>
      <c r="BU3" s="84" t="s">
        <v>43</v>
      </c>
      <c r="BV3" s="84" t="s">
        <v>38</v>
      </c>
      <c r="BW3" s="84" t="s">
        <v>38</v>
      </c>
      <c r="BX3" s="84" t="s">
        <v>38</v>
      </c>
      <c r="BY3" s="84" t="s">
        <v>42</v>
      </c>
      <c r="BZ3" s="84" t="s">
        <v>42</v>
      </c>
      <c r="CA3" s="84" t="s">
        <v>42</v>
      </c>
      <c r="CB3" s="84" t="s">
        <v>44</v>
      </c>
      <c r="CC3" s="84" t="s">
        <v>44</v>
      </c>
      <c r="CD3" s="84" t="s">
        <v>44</v>
      </c>
      <c r="CE3" s="84" t="s">
        <v>45</v>
      </c>
      <c r="CF3" s="84" t="s">
        <v>45</v>
      </c>
      <c r="CG3" s="84" t="s">
        <v>45</v>
      </c>
      <c r="CH3" s="84" t="s">
        <v>41</v>
      </c>
      <c r="CI3" s="84" t="s">
        <v>46</v>
      </c>
      <c r="CJ3" s="84" t="s">
        <v>46</v>
      </c>
      <c r="CK3" s="26" t="s">
        <v>47</v>
      </c>
      <c r="CL3" s="26" t="s">
        <v>47</v>
      </c>
      <c r="CM3" s="26" t="s">
        <v>32</v>
      </c>
      <c r="CN3" s="26" t="s">
        <v>42</v>
      </c>
      <c r="CO3" s="26" t="s">
        <v>48</v>
      </c>
      <c r="CP3" s="26" t="s">
        <v>46</v>
      </c>
      <c r="CQ3" s="26" t="s">
        <v>46</v>
      </c>
      <c r="CR3" s="86" t="s">
        <v>49</v>
      </c>
      <c r="CS3" s="87" t="s">
        <v>138</v>
      </c>
      <c r="CT3" s="87" t="s">
        <v>138</v>
      </c>
      <c r="CU3" s="87" t="s">
        <v>138</v>
      </c>
      <c r="CV3" s="87" t="s">
        <v>138</v>
      </c>
      <c r="CW3" s="27"/>
    </row>
    <row r="4" spans="1:101" x14ac:dyDescent="0.25">
      <c r="A4" s="28"/>
      <c r="B4" s="29" t="s">
        <v>50</v>
      </c>
      <c r="C4" s="30" t="s">
        <v>51</v>
      </c>
      <c r="D4" s="31" t="s">
        <v>52</v>
      </c>
      <c r="E4" s="31" t="s">
        <v>53</v>
      </c>
      <c r="F4" s="31" t="s">
        <v>54</v>
      </c>
      <c r="G4" s="32">
        <v>482800001265</v>
      </c>
      <c r="H4" s="32">
        <v>482800001273</v>
      </c>
      <c r="I4" s="32">
        <v>482800002024</v>
      </c>
      <c r="J4" s="32">
        <v>482800001257</v>
      </c>
      <c r="K4" s="32" t="s">
        <v>55</v>
      </c>
      <c r="L4" s="32" t="s">
        <v>56</v>
      </c>
      <c r="M4" s="32" t="s">
        <v>57</v>
      </c>
      <c r="N4" s="32">
        <v>36203301</v>
      </c>
      <c r="O4" s="32">
        <v>36203301</v>
      </c>
      <c r="P4" s="32">
        <v>36203328</v>
      </c>
      <c r="Q4" s="32">
        <v>36203328</v>
      </c>
      <c r="R4" s="32">
        <v>36025015</v>
      </c>
      <c r="S4" s="32">
        <v>36025015</v>
      </c>
      <c r="T4" s="32"/>
      <c r="U4" s="32"/>
      <c r="V4" s="32"/>
      <c r="W4" s="32"/>
      <c r="X4" s="32"/>
      <c r="Y4" s="32"/>
      <c r="Z4" s="32">
        <v>865784010</v>
      </c>
      <c r="AA4" s="32">
        <v>865784010</v>
      </c>
      <c r="AB4" s="32">
        <v>865804010</v>
      </c>
      <c r="AC4" s="32">
        <v>865804010</v>
      </c>
      <c r="AD4" s="32">
        <v>865794010</v>
      </c>
      <c r="AE4" s="32">
        <v>865794010</v>
      </c>
      <c r="AF4" s="32" t="s">
        <v>58</v>
      </c>
      <c r="AG4" s="32" t="s">
        <v>58</v>
      </c>
      <c r="AH4" s="32" t="s">
        <v>59</v>
      </c>
      <c r="AI4" s="32" t="s">
        <v>59</v>
      </c>
      <c r="AJ4" s="32" t="s">
        <v>60</v>
      </c>
      <c r="AK4" s="32" t="s">
        <v>60</v>
      </c>
      <c r="AL4" s="33"/>
      <c r="AM4" s="33"/>
      <c r="AN4" s="33"/>
      <c r="AO4" s="33"/>
      <c r="AP4" s="33"/>
      <c r="AQ4" s="33">
        <v>3642</v>
      </c>
      <c r="AR4" s="33" t="s">
        <v>61</v>
      </c>
      <c r="AS4" s="33" t="s">
        <v>62</v>
      </c>
      <c r="AT4" s="33" t="s">
        <v>63</v>
      </c>
      <c r="AU4" s="33" t="s">
        <v>64</v>
      </c>
      <c r="AV4" s="33" t="s">
        <v>65</v>
      </c>
      <c r="AW4" s="33" t="s">
        <v>66</v>
      </c>
      <c r="AX4" s="33" t="s">
        <v>67</v>
      </c>
      <c r="AY4" s="33" t="s">
        <v>68</v>
      </c>
      <c r="AZ4" s="33" t="s">
        <v>69</v>
      </c>
      <c r="BA4" s="33" t="s">
        <v>70</v>
      </c>
      <c r="BB4" s="33" t="s">
        <v>71</v>
      </c>
      <c r="BC4" s="33" t="s">
        <v>72</v>
      </c>
      <c r="BD4" s="33" t="s">
        <v>73</v>
      </c>
      <c r="BE4" s="33" t="s">
        <v>74</v>
      </c>
      <c r="BF4" s="33" t="s">
        <v>75</v>
      </c>
      <c r="BG4" s="33" t="s">
        <v>76</v>
      </c>
      <c r="BH4" s="33" t="s">
        <v>77</v>
      </c>
      <c r="BI4" s="33" t="s">
        <v>78</v>
      </c>
      <c r="BJ4" s="33" t="s">
        <v>79</v>
      </c>
      <c r="BK4" s="33" t="s">
        <v>80</v>
      </c>
      <c r="BL4" s="34">
        <v>482800007882</v>
      </c>
      <c r="BM4" s="34">
        <v>482800007908</v>
      </c>
      <c r="BN4" s="34">
        <v>482800007890</v>
      </c>
      <c r="BO4" s="34">
        <v>482800010001</v>
      </c>
      <c r="BP4" s="34">
        <v>482800010019</v>
      </c>
      <c r="BQ4" s="34">
        <v>482800010027</v>
      </c>
      <c r="BR4" s="33">
        <v>36024995</v>
      </c>
      <c r="BS4" s="33">
        <v>36024995</v>
      </c>
      <c r="BT4" s="33">
        <v>36903922</v>
      </c>
      <c r="BU4" s="33">
        <v>36903922</v>
      </c>
      <c r="BV4" s="33">
        <v>36294346</v>
      </c>
      <c r="BW4" s="33" t="s">
        <v>81</v>
      </c>
      <c r="BX4" s="33">
        <v>36294353</v>
      </c>
      <c r="BY4" s="33" t="s">
        <v>82</v>
      </c>
      <c r="BZ4" s="33" t="s">
        <v>83</v>
      </c>
      <c r="CA4" s="33" t="s">
        <v>84</v>
      </c>
      <c r="CB4" s="33" t="s">
        <v>85</v>
      </c>
      <c r="CC4" s="33" t="s">
        <v>86</v>
      </c>
      <c r="CD4" s="33" t="s">
        <v>87</v>
      </c>
      <c r="CE4" s="33" t="s">
        <v>88</v>
      </c>
      <c r="CF4" s="33" t="s">
        <v>89</v>
      </c>
      <c r="CG4" s="33" t="s">
        <v>90</v>
      </c>
      <c r="CH4" s="33" t="s">
        <v>91</v>
      </c>
      <c r="CI4" s="33">
        <v>221816614</v>
      </c>
      <c r="CJ4" s="33">
        <v>221816598</v>
      </c>
      <c r="CK4" s="33">
        <v>60193029</v>
      </c>
      <c r="CL4" s="33">
        <v>60193401</v>
      </c>
      <c r="CM4" s="33">
        <v>1011143807</v>
      </c>
      <c r="CN4" s="33">
        <v>4801736642</v>
      </c>
      <c r="CO4" s="33">
        <v>65005340</v>
      </c>
      <c r="CP4" s="33">
        <v>288086051</v>
      </c>
      <c r="CQ4" s="33">
        <v>288049109</v>
      </c>
      <c r="CR4" s="33">
        <v>411166042</v>
      </c>
      <c r="CS4" s="33">
        <v>865804015</v>
      </c>
      <c r="CT4" s="33">
        <v>865804015</v>
      </c>
      <c r="CU4" s="33">
        <v>865794015</v>
      </c>
      <c r="CV4" s="33">
        <v>865794015</v>
      </c>
      <c r="CW4" s="35"/>
    </row>
    <row r="5" spans="1:101" x14ac:dyDescent="0.25">
      <c r="B5" s="36"/>
      <c r="C5" s="37" t="s">
        <v>92</v>
      </c>
      <c r="D5" s="38"/>
      <c r="E5" s="38" t="s">
        <v>93</v>
      </c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9"/>
      <c r="AI5" s="39"/>
      <c r="AJ5" s="39"/>
      <c r="AK5" s="39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>
        <v>4.1765400000000001</v>
      </c>
      <c r="BT5" s="37"/>
      <c r="BU5" s="37">
        <f>+BS5</f>
        <v>4.1765400000000001</v>
      </c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40"/>
    </row>
    <row r="6" spans="1:101" x14ac:dyDescent="0.25">
      <c r="B6" s="36"/>
      <c r="C6" s="37" t="s">
        <v>94</v>
      </c>
      <c r="D6" s="37">
        <f>+D7-D8</f>
        <v>-17814.574700000521</v>
      </c>
      <c r="E6" s="37">
        <f>+E7-E8</f>
        <v>788048.60170545615</v>
      </c>
      <c r="F6" s="37">
        <f>+F7-F8</f>
        <v>1822624.2503784914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9"/>
      <c r="AI6" s="39"/>
      <c r="AJ6" s="39"/>
      <c r="AK6" s="39"/>
      <c r="AL6" s="37">
        <f t="shared" ref="AL6:BQ6" si="0">+AL7-AL8</f>
        <v>-972114.41581007838</v>
      </c>
      <c r="AM6" s="37">
        <f t="shared" si="0"/>
        <v>31664.688436470926</v>
      </c>
      <c r="AN6" s="37">
        <f t="shared" si="0"/>
        <v>131182.42516999878</v>
      </c>
      <c r="AO6" s="37">
        <f t="shared" si="0"/>
        <v>478915.66854856035</v>
      </c>
      <c r="AP6" s="37">
        <f t="shared" si="0"/>
        <v>21104767.559606247</v>
      </c>
      <c r="AQ6" s="37">
        <f t="shared" si="0"/>
        <v>1490450.9029778391</v>
      </c>
      <c r="AR6" s="37">
        <f t="shared" si="0"/>
        <v>0</v>
      </c>
      <c r="AS6" s="37">
        <f t="shared" si="0"/>
        <v>0</v>
      </c>
      <c r="AT6" s="37">
        <f t="shared" si="0"/>
        <v>0</v>
      </c>
      <c r="AU6" s="37">
        <f t="shared" si="0"/>
        <v>0</v>
      </c>
      <c r="AV6" s="37">
        <f t="shared" si="0"/>
        <v>0</v>
      </c>
      <c r="AW6" s="37">
        <f t="shared" si="0"/>
        <v>0</v>
      </c>
      <c r="AX6" s="37">
        <f t="shared" si="0"/>
        <v>0</v>
      </c>
      <c r="AY6" s="37">
        <f t="shared" si="0"/>
        <v>0</v>
      </c>
      <c r="AZ6" s="37">
        <f t="shared" si="0"/>
        <v>0</v>
      </c>
      <c r="BA6" s="37">
        <f t="shared" si="0"/>
        <v>0</v>
      </c>
      <c r="BB6" s="37">
        <f t="shared" si="0"/>
        <v>0</v>
      </c>
      <c r="BC6" s="37">
        <f t="shared" si="0"/>
        <v>0</v>
      </c>
      <c r="BD6" s="37">
        <f t="shared" si="0"/>
        <v>0</v>
      </c>
      <c r="BE6" s="37">
        <f t="shared" si="0"/>
        <v>0</v>
      </c>
      <c r="BF6" s="37">
        <f t="shared" si="0"/>
        <v>0</v>
      </c>
      <c r="BG6" s="37">
        <f t="shared" si="0"/>
        <v>0</v>
      </c>
      <c r="BH6" s="37">
        <f t="shared" si="0"/>
        <v>0</v>
      </c>
      <c r="BI6" s="37">
        <f t="shared" si="0"/>
        <v>0</v>
      </c>
      <c r="BJ6" s="37">
        <f t="shared" si="0"/>
        <v>0</v>
      </c>
      <c r="BK6" s="37">
        <f t="shared" si="0"/>
        <v>0</v>
      </c>
      <c r="BL6" s="37">
        <f t="shared" si="0"/>
        <v>0</v>
      </c>
      <c r="BM6" s="37">
        <f t="shared" si="0"/>
        <v>0</v>
      </c>
      <c r="BN6" s="37">
        <f t="shared" si="0"/>
        <v>0</v>
      </c>
      <c r="BO6" s="37">
        <f t="shared" si="0"/>
        <v>0</v>
      </c>
      <c r="BP6" s="37">
        <f t="shared" si="0"/>
        <v>0</v>
      </c>
      <c r="BQ6" s="37">
        <f t="shared" si="0"/>
        <v>0</v>
      </c>
      <c r="BR6" s="37"/>
      <c r="BS6" s="37"/>
      <c r="BT6" s="37"/>
      <c r="BU6" s="37"/>
      <c r="BV6" s="37">
        <f>+BV7-BV8-422.17</f>
        <v>-422.17</v>
      </c>
      <c r="BW6" s="37">
        <f t="shared" ref="BW6:CR6" si="1">+BW7-BW8</f>
        <v>0</v>
      </c>
      <c r="BX6" s="37">
        <f t="shared" si="1"/>
        <v>0</v>
      </c>
      <c r="BY6" s="37">
        <f t="shared" si="1"/>
        <v>-0.25699999998323619</v>
      </c>
      <c r="BZ6" s="37">
        <f t="shared" si="1"/>
        <v>226633.01400000043</v>
      </c>
      <c r="CA6" s="37">
        <f t="shared" si="1"/>
        <v>-140985.92523000017</v>
      </c>
      <c r="CB6" s="37">
        <f t="shared" si="1"/>
        <v>-2.4000000121304765E-4</v>
      </c>
      <c r="CC6" s="37">
        <f t="shared" si="1"/>
        <v>-4.1799998143687844E-3</v>
      </c>
      <c r="CD6" s="37">
        <f>+[1]Otrosbancos!$Q$29</f>
        <v>0</v>
      </c>
      <c r="CE6" s="37">
        <f t="shared" si="1"/>
        <v>0</v>
      </c>
      <c r="CF6" s="37">
        <f t="shared" si="1"/>
        <v>0</v>
      </c>
      <c r="CG6" s="37">
        <f t="shared" si="1"/>
        <v>859.73500000001513</v>
      </c>
      <c r="CH6" s="37">
        <f t="shared" si="1"/>
        <v>0</v>
      </c>
      <c r="CI6" s="37">
        <f t="shared" si="1"/>
        <v>39702.030000000028</v>
      </c>
      <c r="CJ6" s="37">
        <f t="shared" si="1"/>
        <v>16153.70895999996</v>
      </c>
      <c r="CK6" s="37">
        <f t="shared" si="1"/>
        <v>0</v>
      </c>
      <c r="CL6" s="37">
        <f t="shared" si="1"/>
        <v>0</v>
      </c>
      <c r="CM6" s="37">
        <f t="shared" si="1"/>
        <v>-1.4999999257270247E-4</v>
      </c>
      <c r="CN6" s="37">
        <f t="shared" si="1"/>
        <v>-2.9699999140575528E-3</v>
      </c>
      <c r="CO6" s="37">
        <f t="shared" si="1"/>
        <v>4.6400002902373672E-3</v>
      </c>
      <c r="CP6" s="37">
        <f t="shared" si="1"/>
        <v>-2.7600005269050598E-3</v>
      </c>
      <c r="CQ6" s="37">
        <f t="shared" si="1"/>
        <v>216.65003000001889</v>
      </c>
      <c r="CR6" s="37">
        <f t="shared" si="1"/>
        <v>-6.7999896054971032E-4</v>
      </c>
      <c r="CS6" s="37">
        <f>+CS7-CS8</f>
        <v>-5000</v>
      </c>
      <c r="CT6" s="37">
        <f>+CT7-CT8</f>
        <v>-20468.599999999999</v>
      </c>
      <c r="CU6" s="37">
        <f>+CU7-CU8</f>
        <v>-5000</v>
      </c>
      <c r="CV6" s="37">
        <f>+CV7-CV8</f>
        <v>-20468.599999999999</v>
      </c>
      <c r="CW6" s="37"/>
    </row>
    <row r="7" spans="1:101" x14ac:dyDescent="0.25">
      <c r="A7" s="41"/>
      <c r="B7" s="42"/>
      <c r="C7" s="43" t="s">
        <v>95</v>
      </c>
      <c r="D7" s="43">
        <f>+'[1]Cap,Bol,Cls'!$Q$4</f>
        <v>413630.68302</v>
      </c>
      <c r="E7" s="43">
        <f>+'[1]Cap,Bol,Cls'!$Q$13</f>
        <v>7947870.3293099999</v>
      </c>
      <c r="F7" s="43">
        <f>+'[1]Cap,Bol,Cls'!$Q$30</f>
        <v>13023010.376329999</v>
      </c>
      <c r="G7" s="43">
        <f>+G8</f>
        <v>0</v>
      </c>
      <c r="H7" s="43">
        <f>+H8</f>
        <v>0</v>
      </c>
      <c r="I7" s="43">
        <f>+'[1]Cap,Bol,Cls'!$Q$24</f>
        <v>113018.01212</v>
      </c>
      <c r="J7" s="43">
        <f>+J8</f>
        <v>0</v>
      </c>
      <c r="K7" s="43">
        <f>+K8</f>
        <v>135656.81405614308</v>
      </c>
      <c r="L7" s="43">
        <f>+L8</f>
        <v>232366.71016189826</v>
      </c>
      <c r="M7" s="43">
        <f>+M8</f>
        <v>180318.47399286652</v>
      </c>
      <c r="N7" s="43">
        <f>+N8</f>
        <v>177310.5199999999</v>
      </c>
      <c r="O7" s="43">
        <f t="shared" ref="O7:AK7" si="2">+O8</f>
        <v>743248.15264999995</v>
      </c>
      <c r="P7" s="43">
        <f t="shared" si="2"/>
        <v>22528027.280000009</v>
      </c>
      <c r="Q7" s="43">
        <f t="shared" si="2"/>
        <v>127277387.5339599</v>
      </c>
      <c r="R7" s="43">
        <f t="shared" si="2"/>
        <v>294527.93999999994</v>
      </c>
      <c r="S7" s="43">
        <f t="shared" si="2"/>
        <v>1562944.3087055988</v>
      </c>
      <c r="T7" s="43"/>
      <c r="U7" s="43"/>
      <c r="V7" s="43"/>
      <c r="W7" s="43"/>
      <c r="X7" s="43"/>
      <c r="Y7" s="43"/>
      <c r="Z7" s="43">
        <f t="shared" si="2"/>
        <v>9662.5274983807467</v>
      </c>
      <c r="AA7" s="43">
        <f t="shared" si="2"/>
        <v>40503.29</v>
      </c>
      <c r="AB7" s="43">
        <f t="shared" si="2"/>
        <v>7542.7499999967404</v>
      </c>
      <c r="AC7" s="43">
        <f t="shared" si="2"/>
        <v>31617.62</v>
      </c>
      <c r="AD7" s="43">
        <f t="shared" si="2"/>
        <v>5155</v>
      </c>
      <c r="AE7" s="43">
        <f t="shared" si="2"/>
        <v>21608.68</v>
      </c>
      <c r="AF7" s="43">
        <f t="shared" si="2"/>
        <v>7956.8699999451637</v>
      </c>
      <c r="AG7" s="43">
        <f t="shared" si="2"/>
        <v>33353.53</v>
      </c>
      <c r="AH7" s="43">
        <f t="shared" si="2"/>
        <v>195459.03999999719</v>
      </c>
      <c r="AI7" s="43">
        <f t="shared" si="2"/>
        <v>819134.7964617</v>
      </c>
      <c r="AJ7" s="43">
        <f t="shared" si="2"/>
        <v>673596.71999999823</v>
      </c>
      <c r="AK7" s="43">
        <f t="shared" si="2"/>
        <v>2823324.1679230896</v>
      </c>
      <c r="AL7" s="43">
        <f>+[1]Inversoras!$Q$56</f>
        <v>22175991.213059999</v>
      </c>
      <c r="AM7" s="43">
        <f>+[1]Inversoras!$Q$57</f>
        <v>59358334.268040009</v>
      </c>
      <c r="AN7" s="43">
        <f>+[1]Inversoras!$Q$58</f>
        <v>6609525.69771</v>
      </c>
      <c r="AO7" s="43">
        <f>+[1]Inversoras!$Q$59</f>
        <v>1301715.18613</v>
      </c>
      <c r="AP7" s="43">
        <f>+[1]Inversoras!$Q$60</f>
        <v>9335825.6675600037</v>
      </c>
      <c r="AQ7" s="43">
        <f>+[1]Inversoras!$Q$61</f>
        <v>2110308.6492499998</v>
      </c>
      <c r="AR7" s="43">
        <f>+AR8</f>
        <v>33752.683643993005</v>
      </c>
      <c r="AS7" s="43">
        <f t="shared" ref="AS7:BQ7" si="3">+AS8</f>
        <v>6.2719079996137461</v>
      </c>
      <c r="AT7" s="43">
        <f t="shared" si="3"/>
        <v>11.210432002509913</v>
      </c>
      <c r="AU7" s="43">
        <f t="shared" si="3"/>
        <v>70709.869203997281</v>
      </c>
      <c r="AV7" s="43">
        <f t="shared" si="3"/>
        <v>523662.90839880263</v>
      </c>
      <c r="AW7" s="43">
        <f t="shared" si="3"/>
        <v>85667.9885699968</v>
      </c>
      <c r="AX7" s="43">
        <f t="shared" si="3"/>
        <v>1041.3974240010875</v>
      </c>
      <c r="AY7" s="43">
        <f t="shared" si="3"/>
        <v>59646.012311997983</v>
      </c>
      <c r="AZ7" s="43">
        <f t="shared" si="3"/>
        <v>23267.345377323236</v>
      </c>
      <c r="BA7" s="43">
        <f t="shared" si="3"/>
        <v>202483.17672400692</v>
      </c>
      <c r="BB7" s="43">
        <f t="shared" si="3"/>
        <v>70118.760219991149</v>
      </c>
      <c r="BC7" s="43">
        <f t="shared" si="3"/>
        <v>267480.02684799867</v>
      </c>
      <c r="BD7" s="43">
        <f t="shared" si="3"/>
        <v>17090.159599989831</v>
      </c>
      <c r="BE7" s="43">
        <f t="shared" si="3"/>
        <v>256586.81289368056</v>
      </c>
      <c r="BF7" s="43">
        <f t="shared" si="3"/>
        <v>321949.5492303599</v>
      </c>
      <c r="BG7" s="43">
        <f t="shared" si="3"/>
        <v>35109.232018882758</v>
      </c>
      <c r="BH7" s="43">
        <f t="shared" si="3"/>
        <v>27273.514880002102</v>
      </c>
      <c r="BI7" s="43">
        <f t="shared" si="3"/>
        <v>630661.83776839031</v>
      </c>
      <c r="BJ7" s="43">
        <f t="shared" si="3"/>
        <v>197783.28604456017</v>
      </c>
      <c r="BK7" s="43">
        <f t="shared" si="3"/>
        <v>3408870.6208220124</v>
      </c>
      <c r="BL7" s="43">
        <f t="shared" si="3"/>
        <v>113012.65230244608</v>
      </c>
      <c r="BM7" s="43">
        <f t="shared" si="3"/>
        <v>1071401.749497151</v>
      </c>
      <c r="BN7" s="43">
        <f t="shared" si="3"/>
        <v>23217440.521237377</v>
      </c>
      <c r="BO7" s="43">
        <f t="shared" si="3"/>
        <v>3.4691202304202307E-3</v>
      </c>
      <c r="BP7" s="43">
        <f t="shared" si="3"/>
        <v>255.86877932906549</v>
      </c>
      <c r="BQ7" s="43">
        <f t="shared" si="3"/>
        <v>4.0128798844989433E-3</v>
      </c>
      <c r="BR7" s="43">
        <f>+[1]Otrosbancos!$Q$49</f>
        <v>645623.82000000007</v>
      </c>
      <c r="BS7" s="43">
        <f>+BS8</f>
        <v>2662944.0693795886</v>
      </c>
      <c r="BT7" s="43">
        <f>+[1]Otrosbancos!$Q$51</f>
        <v>1087022.54</v>
      </c>
      <c r="BU7" s="43">
        <f>+BU8</f>
        <v>4529252.830922991</v>
      </c>
      <c r="BV7" s="43">
        <f>+BV8+BV5</f>
        <v>8400.1908600000006</v>
      </c>
      <c r="BW7" s="43">
        <f>+BW8+BW5</f>
        <v>384552.75899000082</v>
      </c>
      <c r="BX7" s="43">
        <f>+BX8+BX5</f>
        <v>12663.664475599246</v>
      </c>
      <c r="BY7" s="43">
        <f>+[1]Otrosbancos!$Q$5</f>
        <v>770736.027</v>
      </c>
      <c r="BZ7" s="43">
        <f>+[1]Otrosbancos!$Q$10</f>
        <v>4832494.6780000003</v>
      </c>
      <c r="CA7" s="43">
        <f>+[1]Otrosbancos!$Q$15</f>
        <v>6430520.2927700002</v>
      </c>
      <c r="CB7" s="43">
        <f>+[1]Otrosbancos!$Q$23</f>
        <v>18918.565999999999</v>
      </c>
      <c r="CC7" s="43">
        <f>+[1]Otrosbancos!$Q$26</f>
        <v>896273.37600000005</v>
      </c>
      <c r="CD7" s="43">
        <f>+[1]Otrosbancos!$Q$29</f>
        <v>0</v>
      </c>
      <c r="CE7" s="43">
        <f>+[1]Otrosbancos!$Q$33</f>
        <v>27036.502</v>
      </c>
      <c r="CF7" s="43">
        <f>+[1]Otrosbancos!$Q$37</f>
        <v>528153.19958999997</v>
      </c>
      <c r="CG7" s="43">
        <f>+[1]Otrosbancos!$Q$41</f>
        <v>193030.94500000001</v>
      </c>
      <c r="CH7" s="43">
        <f>+[1]Otrosbancos!$Q$46</f>
        <v>2.9318200000000001</v>
      </c>
      <c r="CI7" s="43">
        <f>+[1]Otrosbancos!$Q$54</f>
        <v>979650.76</v>
      </c>
      <c r="CJ7" s="43">
        <f>+[1]Otrosbancos!$Q$56</f>
        <v>312752.69799999997</v>
      </c>
      <c r="CK7" s="43">
        <f>+[1]Liberty!$Q$3</f>
        <v>0</v>
      </c>
      <c r="CL7" s="43">
        <f>+[1]Liberty!$Q$4</f>
        <v>0</v>
      </c>
      <c r="CM7" s="43">
        <f>+[1]Liberty!$Q$6</f>
        <v>79545.214000000007</v>
      </c>
      <c r="CN7" s="43">
        <f>+[1]Liberty!$Q$8</f>
        <v>662749.23600000003</v>
      </c>
      <c r="CO7" s="43">
        <f>+[1]Liberty!$Q$10</f>
        <v>736440.24595999997</v>
      </c>
      <c r="CP7" s="43">
        <f>+[1]Liberty!$Q$12</f>
        <v>9152723.6699999999</v>
      </c>
      <c r="CQ7" s="43">
        <f>+[1]Liberty!$Q$13</f>
        <v>378135.14942999999</v>
      </c>
      <c r="CR7" s="43">
        <f>+[1]Otrosbancos!$Q$58</f>
        <v>20872.374</v>
      </c>
      <c r="CS7" s="43">
        <v>0</v>
      </c>
      <c r="CT7" s="43">
        <v>0</v>
      </c>
      <c r="CU7" s="43">
        <v>0</v>
      </c>
      <c r="CV7" s="43">
        <v>0</v>
      </c>
      <c r="CW7" s="43">
        <f>SUM(D7:CV7)</f>
        <v>346175712.01175576</v>
      </c>
    </row>
    <row r="8" spans="1:101" x14ac:dyDescent="0.25">
      <c r="A8" s="41"/>
      <c r="B8" s="44" t="s">
        <v>96</v>
      </c>
      <c r="C8" s="45" t="s">
        <v>97</v>
      </c>
      <c r="D8" s="45">
        <f>+'May, 22'!D40</f>
        <v>431445.25772000052</v>
      </c>
      <c r="E8" s="45">
        <f>+'May, 22'!E40</f>
        <v>7159821.7276045438</v>
      </c>
      <c r="F8" s="45">
        <f>+'May, 22'!F40</f>
        <v>11200386.125951508</v>
      </c>
      <c r="G8" s="45">
        <f>+'May, 22'!G40</f>
        <v>0</v>
      </c>
      <c r="H8" s="45">
        <f>+'May, 22'!H40</f>
        <v>0</v>
      </c>
      <c r="I8" s="45">
        <f>+'May, 22'!I40</f>
        <v>112998.56759999423</v>
      </c>
      <c r="J8" s="45">
        <f>+'May, 22'!J40</f>
        <v>0</v>
      </c>
      <c r="K8" s="45">
        <f>+'May, 22'!K40</f>
        <v>135656.81405614308</v>
      </c>
      <c r="L8" s="45">
        <f>+'May, 22'!L40</f>
        <v>232366.71016189826</v>
      </c>
      <c r="M8" s="45">
        <f>+'May, 22'!M40</f>
        <v>180318.47399286652</v>
      </c>
      <c r="N8" s="45">
        <f>+'May, 22'!N40</f>
        <v>177310.5199999999</v>
      </c>
      <c r="O8" s="45">
        <f>+'May, 22'!O40</f>
        <v>743248.15264999995</v>
      </c>
      <c r="P8" s="45">
        <f>+'May, 22'!P40</f>
        <v>22528027.280000009</v>
      </c>
      <c r="Q8" s="45">
        <f>+'May, 22'!Q40</f>
        <v>127277387.5339599</v>
      </c>
      <c r="R8" s="45">
        <f>+'May, 22'!R40</f>
        <v>294527.93999999994</v>
      </c>
      <c r="S8" s="45">
        <f>+'May, 22'!S40</f>
        <v>1562944.3087055988</v>
      </c>
      <c r="T8" s="45">
        <f>+'May, 22'!T40</f>
        <v>0</v>
      </c>
      <c r="U8" s="45">
        <f>+'May, 22'!U40</f>
        <v>0</v>
      </c>
      <c r="V8" s="45">
        <f>+'May, 22'!V40</f>
        <v>0</v>
      </c>
      <c r="W8" s="45">
        <f>+'May, 22'!W40</f>
        <v>0</v>
      </c>
      <c r="X8" s="45">
        <f>+'May, 22'!X40</f>
        <v>0</v>
      </c>
      <c r="Y8" s="45">
        <f>+'May, 22'!Y40</f>
        <v>0</v>
      </c>
      <c r="Z8" s="45">
        <f>+'May, 22'!Z40</f>
        <v>9662.5274983807467</v>
      </c>
      <c r="AA8" s="45">
        <f>+'May, 22'!AA40</f>
        <v>40503.29</v>
      </c>
      <c r="AB8" s="45">
        <f>+'May, 22'!AB40</f>
        <v>7542.7499999967404</v>
      </c>
      <c r="AC8" s="45">
        <f>+'May, 22'!AC40</f>
        <v>31617.62</v>
      </c>
      <c r="AD8" s="45">
        <f>+'May, 22'!AD40</f>
        <v>5155</v>
      </c>
      <c r="AE8" s="45">
        <f>+'May, 22'!AE40</f>
        <v>21608.68</v>
      </c>
      <c r="AF8" s="45">
        <f>+'May, 22'!AF40</f>
        <v>7956.8699999451637</v>
      </c>
      <c r="AG8" s="45">
        <f>+'May, 22'!AG40</f>
        <v>33353.53</v>
      </c>
      <c r="AH8" s="45">
        <f>+'May, 22'!AH40</f>
        <v>195459.03999999719</v>
      </c>
      <c r="AI8" s="45">
        <f>+'May, 22'!AI40</f>
        <v>819134.7964617</v>
      </c>
      <c r="AJ8" s="45">
        <f>+'May, 22'!AJ40</f>
        <v>673596.71999999823</v>
      </c>
      <c r="AK8" s="45">
        <f>+'May, 22'!AK40</f>
        <v>2823324.1679230896</v>
      </c>
      <c r="AL8" s="45">
        <f>+'May, 22'!AL40</f>
        <v>23148105.628870077</v>
      </c>
      <c r="AM8" s="45">
        <f>+'May, 22'!AM40</f>
        <v>59326669.579603538</v>
      </c>
      <c r="AN8" s="45">
        <f>+'May, 22'!AN40</f>
        <v>6478343.2725400012</v>
      </c>
      <c r="AO8" s="45">
        <f>+'May, 22'!AO40</f>
        <v>822799.51758143969</v>
      </c>
      <c r="AP8" s="45">
        <f>+'May, 22'!AP40</f>
        <v>-11768941.892046245</v>
      </c>
      <c r="AQ8" s="45">
        <f>+'May, 22'!AQ40</f>
        <v>619857.74627216067</v>
      </c>
      <c r="AR8" s="45">
        <f>+'May, 22'!AR40</f>
        <v>33752.683643993005</v>
      </c>
      <c r="AS8" s="45">
        <f>+'May, 22'!AS40</f>
        <v>6.2719079996137461</v>
      </c>
      <c r="AT8" s="45">
        <f>+'May, 22'!AT40</f>
        <v>11.210432002509913</v>
      </c>
      <c r="AU8" s="45">
        <f>+'May, 22'!AU40</f>
        <v>70709.869203997281</v>
      </c>
      <c r="AV8" s="45">
        <f>+'May, 22'!AV40</f>
        <v>523662.90839880263</v>
      </c>
      <c r="AW8" s="45">
        <f>+'May, 22'!AW40</f>
        <v>85667.9885699968</v>
      </c>
      <c r="AX8" s="45">
        <f>+'May, 22'!AX40</f>
        <v>1041.3974240010875</v>
      </c>
      <c r="AY8" s="45">
        <f>+'May, 22'!AY40</f>
        <v>59646.012311997983</v>
      </c>
      <c r="AZ8" s="45">
        <f>+'May, 22'!AZ40</f>
        <v>23267.345377323236</v>
      </c>
      <c r="BA8" s="45">
        <f>+'May, 22'!BA40</f>
        <v>202483.17672400692</v>
      </c>
      <c r="BB8" s="45">
        <f>+'May, 22'!BB40</f>
        <v>70118.760219991149</v>
      </c>
      <c r="BC8" s="45">
        <f>+'May, 22'!BC40</f>
        <v>267480.02684799867</v>
      </c>
      <c r="BD8" s="45">
        <f>+'May, 22'!BD40</f>
        <v>17090.159599989831</v>
      </c>
      <c r="BE8" s="45">
        <f>+'May, 22'!BE40</f>
        <v>256586.81289368056</v>
      </c>
      <c r="BF8" s="45">
        <f>+'May, 22'!BF40</f>
        <v>321949.5492303599</v>
      </c>
      <c r="BG8" s="45">
        <f>+'May, 22'!BG40</f>
        <v>35109.232018882758</v>
      </c>
      <c r="BH8" s="45">
        <f>+'May, 22'!BH40</f>
        <v>27273.514880002102</v>
      </c>
      <c r="BI8" s="45">
        <f>+'May, 22'!BI40</f>
        <v>630661.83776839031</v>
      </c>
      <c r="BJ8" s="45">
        <f>+'May, 22'!BJ40</f>
        <v>197783.28604456017</v>
      </c>
      <c r="BK8" s="45">
        <f>+'May, 22'!BK40</f>
        <v>3408870.6208220124</v>
      </c>
      <c r="BL8" s="45">
        <f>+'May, 22'!BL40</f>
        <v>113012.65230244608</v>
      </c>
      <c r="BM8" s="45">
        <f>+'May, 22'!BM40</f>
        <v>1071401.749497151</v>
      </c>
      <c r="BN8" s="45">
        <f>+'May, 22'!BN40</f>
        <v>23217440.521237377</v>
      </c>
      <c r="BO8" s="45">
        <f>+'May, 22'!BO40</f>
        <v>3.4691202304202307E-3</v>
      </c>
      <c r="BP8" s="45">
        <f>+'May, 22'!BP40</f>
        <v>255.86877932906549</v>
      </c>
      <c r="BQ8" s="45">
        <f>+'May, 22'!BQ40</f>
        <v>4.0128798844989433E-3</v>
      </c>
      <c r="BR8" s="45">
        <f>+'May, 22'!BR40</f>
        <v>645623.81600000313</v>
      </c>
      <c r="BS8" s="45">
        <f>+'May, 22'!BS40</f>
        <v>2662944.0693795886</v>
      </c>
      <c r="BT8" s="45">
        <f>+'May, 22'!BT40</f>
        <v>1087022.5449320192</v>
      </c>
      <c r="BU8" s="45">
        <f>+'May, 22'!BU40</f>
        <v>4529252.830922991</v>
      </c>
      <c r="BV8" s="45">
        <f>+'May, 22'!BV40</f>
        <v>8400.1908600000006</v>
      </c>
      <c r="BW8" s="45">
        <f>+'May, 22'!BW40</f>
        <v>384552.75899000082</v>
      </c>
      <c r="BX8" s="45">
        <f>+'May, 22'!BX40</f>
        <v>12663.664475599246</v>
      </c>
      <c r="BY8" s="45">
        <f>+'May, 22'!BY40</f>
        <v>770736.28399999999</v>
      </c>
      <c r="BZ8" s="45">
        <f>+'May, 22'!BZ40</f>
        <v>4605861.6639999999</v>
      </c>
      <c r="CA8" s="45">
        <f>+'May, 22'!CA40</f>
        <v>6571506.2180000003</v>
      </c>
      <c r="CB8" s="45">
        <f>+'May, 22'!CB40</f>
        <v>18918.56624</v>
      </c>
      <c r="CC8" s="45">
        <f>+'May, 22'!CC40</f>
        <v>896273.38017999986</v>
      </c>
      <c r="CD8" s="45">
        <f>+'May, 22'!CD40</f>
        <v>0</v>
      </c>
      <c r="CE8" s="45">
        <f>+'May, 22'!CE40</f>
        <v>27036.502</v>
      </c>
      <c r="CF8" s="45">
        <f>+'May, 22'!CF40</f>
        <v>528153.19958999997</v>
      </c>
      <c r="CG8" s="45">
        <f>+'May, 22'!CG40</f>
        <v>192171.21</v>
      </c>
      <c r="CH8" s="45">
        <f>+'May, 22'!CH40</f>
        <v>2.9318200000000001</v>
      </c>
      <c r="CI8" s="45">
        <f>+'May, 22'!CI40</f>
        <v>939948.73</v>
      </c>
      <c r="CJ8" s="45">
        <f>+'May, 22'!CJ40</f>
        <v>296598.98904000001</v>
      </c>
      <c r="CK8" s="45">
        <f>+'May, 22'!CK40</f>
        <v>0</v>
      </c>
      <c r="CL8" s="45">
        <f>+'May, 22'!CL40</f>
        <v>0</v>
      </c>
      <c r="CM8" s="45">
        <f>+'May, 22'!CM40</f>
        <v>79545.21415</v>
      </c>
      <c r="CN8" s="45">
        <f>+'May, 22'!CN40</f>
        <v>662749.23896999995</v>
      </c>
      <c r="CO8" s="45">
        <f>+'May, 22'!CO40</f>
        <v>736440.24131999968</v>
      </c>
      <c r="CP8" s="45">
        <f>+'May, 22'!CP40</f>
        <v>9152723.6727600005</v>
      </c>
      <c r="CQ8" s="45">
        <f>+'May, 22'!CQ40</f>
        <v>377918.49939999997</v>
      </c>
      <c r="CR8" s="45">
        <f>+'May, 22'!CR40</f>
        <v>20872.37467999896</v>
      </c>
      <c r="CS8" s="45">
        <f>+'May, 22'!CS40</f>
        <v>5000</v>
      </c>
      <c r="CT8" s="45">
        <f>+'May, 22'!CT40</f>
        <v>20468.599999999999</v>
      </c>
      <c r="CU8" s="45">
        <f>+'May, 22'!CU40</f>
        <v>5000</v>
      </c>
      <c r="CV8" s="45">
        <f>+'May, 22'!CV40</f>
        <v>20468.599999999999</v>
      </c>
      <c r="CW8" s="43">
        <f t="shared" ref="CW8:CW40" si="4">SUM(D8:CV8)</f>
        <v>321226325.71243495</v>
      </c>
    </row>
    <row r="9" spans="1:101" x14ac:dyDescent="0.25">
      <c r="B9" s="46" t="s">
        <v>96</v>
      </c>
      <c r="C9" s="47" t="s">
        <v>98</v>
      </c>
      <c r="D9" s="47">
        <v>2850</v>
      </c>
      <c r="E9" s="48">
        <v>51275293.31532</v>
      </c>
      <c r="F9" s="48">
        <v>8505377.9119199999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>
        <v>0</v>
      </c>
      <c r="AM9" s="47">
        <v>275819.42700000003</v>
      </c>
      <c r="AN9" s="47">
        <v>395033.89500000002</v>
      </c>
      <c r="AO9" s="47">
        <v>627665.79200000002</v>
      </c>
      <c r="AP9" s="47">
        <v>22206398.4034</v>
      </c>
      <c r="AQ9" s="47">
        <v>2734879.3051999998</v>
      </c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>
        <f>IF(BY6&gt;0,BY6,0)</f>
        <v>0</v>
      </c>
      <c r="BZ9" s="47">
        <f>IF(BZ6&gt;0,BZ6,0)</f>
        <v>226633.01400000043</v>
      </c>
      <c r="CA9" s="47">
        <f>IF(CA6&gt;0,CA6,0)</f>
        <v>0</v>
      </c>
      <c r="CB9" s="47"/>
      <c r="CC9" s="47">
        <v>3535.6489999999999</v>
      </c>
      <c r="CD9" s="47"/>
      <c r="CE9" s="47">
        <f>IF(CE6&gt;0,CE6,0)</f>
        <v>0</v>
      </c>
      <c r="CF9" s="47">
        <f>IF(CF6&gt;0,CF6,0)</f>
        <v>0</v>
      </c>
      <c r="CG9" s="47">
        <f>IF(CG6&gt;0,CG6,0)</f>
        <v>859.73500000001513</v>
      </c>
      <c r="CH9" s="47"/>
      <c r="CI9" s="47">
        <f>IF(CI6&gt;0,CI6,0)</f>
        <v>39702.030000000028</v>
      </c>
      <c r="CJ9" s="47">
        <f>IF(CJ6&gt;0,CJ6,0)</f>
        <v>16153.70895999996</v>
      </c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3">
        <f t="shared" si="4"/>
        <v>86310202.186800003</v>
      </c>
    </row>
    <row r="10" spans="1:101" x14ac:dyDescent="0.25">
      <c r="B10" s="46" t="s">
        <v>99</v>
      </c>
      <c r="C10" s="47" t="s">
        <v>100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>
        <v>0</v>
      </c>
      <c r="AM10" s="47">
        <v>0</v>
      </c>
      <c r="AN10" s="47">
        <v>0</v>
      </c>
      <c r="AO10" s="47">
        <v>0</v>
      </c>
      <c r="AP10" s="47">
        <v>0</v>
      </c>
      <c r="AQ10" s="47">
        <v>0</v>
      </c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>
        <f>IF(BY6&lt;0,BY6,0)</f>
        <v>-0.25699999998323619</v>
      </c>
      <c r="BZ10" s="47">
        <f>IF(BZ6&lt;0,BZ6,0)</f>
        <v>0</v>
      </c>
      <c r="CA10" s="47">
        <f>IF(CA6&lt;0,CA6,0)</f>
        <v>-140985.92523000017</v>
      </c>
      <c r="CB10" s="47"/>
      <c r="CC10" s="47"/>
      <c r="CD10" s="47"/>
      <c r="CE10" s="47">
        <f>IF(CE6&lt;0,CE6,0)</f>
        <v>0</v>
      </c>
      <c r="CF10" s="47">
        <f>IF(CF6&lt;0,CF6,0)</f>
        <v>0</v>
      </c>
      <c r="CG10" s="47">
        <f>IF(CG6&lt;0,CG6,0)</f>
        <v>0</v>
      </c>
      <c r="CH10" s="47"/>
      <c r="CI10" s="47">
        <f>IF(CI6&lt;0,CI6,0)</f>
        <v>0</v>
      </c>
      <c r="CJ10" s="47">
        <f>IF(CJ6&lt;0,CJ6,0)</f>
        <v>0</v>
      </c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3">
        <f t="shared" si="4"/>
        <v>-140986.18223000015</v>
      </c>
    </row>
    <row r="11" spans="1:101" x14ac:dyDescent="0.25">
      <c r="A11" s="41"/>
      <c r="B11" s="49" t="s">
        <v>99</v>
      </c>
      <c r="C11" s="50" t="s">
        <v>101</v>
      </c>
      <c r="D11" s="50">
        <v>-75.518390000000593</v>
      </c>
      <c r="E11" s="50">
        <v>-40339.757349998501</v>
      </c>
      <c r="F11" s="50">
        <v>-43697.411029998802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>
        <f>+[1]Otrosbancos!$Q$6+[1]Otrosbancos!$Q$7</f>
        <v>-15928.823</v>
      </c>
      <c r="BZ11" s="50">
        <f>+[1]Otrosbancos!$Q$11+[1]Otrosbancos!$Q$12</f>
        <v>-906491.18099999998</v>
      </c>
      <c r="CA11" s="50">
        <f>+[1]Otrosbancos!$Q$16+[1]Otrosbancos!$Q$17</f>
        <v>-1982265.3920000002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43">
        <f t="shared" si="4"/>
        <v>-2988798.0827699974</v>
      </c>
    </row>
    <row r="12" spans="1:101" x14ac:dyDescent="0.25">
      <c r="B12" s="46" t="s">
        <v>96</v>
      </c>
      <c r="C12" s="47" t="s">
        <v>102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1"/>
      <c r="AS12" s="51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3">
        <f t="shared" si="4"/>
        <v>0</v>
      </c>
    </row>
    <row r="13" spans="1:101" x14ac:dyDescent="0.25">
      <c r="B13" s="46" t="s">
        <v>96</v>
      </c>
      <c r="C13" s="47" t="s">
        <v>103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51"/>
      <c r="AS13" s="51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3">
        <f t="shared" si="4"/>
        <v>0</v>
      </c>
    </row>
    <row r="14" spans="1:101" x14ac:dyDescent="0.25">
      <c r="B14" s="46" t="s">
        <v>96</v>
      </c>
      <c r="C14" s="47" t="s">
        <v>104</v>
      </c>
      <c r="D14" s="47"/>
      <c r="E14" s="47"/>
      <c r="F14" s="47">
        <v>115403.15399999999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51"/>
      <c r="AS14" s="51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3">
        <f t="shared" si="4"/>
        <v>115403.15399999999</v>
      </c>
    </row>
    <row r="15" spans="1:101" x14ac:dyDescent="0.25">
      <c r="B15" s="46" t="s">
        <v>96</v>
      </c>
      <c r="C15" s="47" t="s">
        <v>105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>
        <v>13292.678620000001</v>
      </c>
      <c r="AM15" s="47">
        <v>66680.89622000001</v>
      </c>
      <c r="AN15" s="47">
        <v>7927.2182400000002</v>
      </c>
      <c r="AO15" s="47">
        <v>1223.7030500000001</v>
      </c>
      <c r="AP15" s="47">
        <v>9635.6604800000005</v>
      </c>
      <c r="AQ15" s="47">
        <v>2308.8580499999998</v>
      </c>
      <c r="AR15" s="51"/>
      <c r="AS15" s="51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3">
        <f t="shared" si="4"/>
        <v>101069.01466000002</v>
      </c>
    </row>
    <row r="16" spans="1:101" x14ac:dyDescent="0.25">
      <c r="B16" s="46" t="s">
        <v>96</v>
      </c>
      <c r="C16" s="47" t="s">
        <v>106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51"/>
      <c r="AS16" s="51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3">
        <f t="shared" si="4"/>
        <v>0</v>
      </c>
    </row>
    <row r="17" spans="1:101" x14ac:dyDescent="0.25">
      <c r="B17" s="46" t="s">
        <v>99</v>
      </c>
      <c r="C17" s="47" t="s">
        <v>107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51"/>
      <c r="AS17" s="51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>
        <v>-873541.36</v>
      </c>
      <c r="BU17" s="47">
        <f>+BT17*BU5</f>
        <v>-3648380.4316944</v>
      </c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3">
        <f t="shared" si="4"/>
        <v>-4521921.7916943999</v>
      </c>
    </row>
    <row r="18" spans="1:101" x14ac:dyDescent="0.25">
      <c r="B18" s="46" t="s">
        <v>96</v>
      </c>
      <c r="C18" s="47" t="s">
        <v>108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1"/>
      <c r="AS18" s="51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3">
        <f t="shared" si="4"/>
        <v>0</v>
      </c>
    </row>
    <row r="19" spans="1:101" x14ac:dyDescent="0.25">
      <c r="B19" s="46" t="s">
        <v>99</v>
      </c>
      <c r="C19" s="47" t="s">
        <v>109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51"/>
      <c r="AS19" s="51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3">
        <f t="shared" si="4"/>
        <v>0</v>
      </c>
    </row>
    <row r="20" spans="1:101" x14ac:dyDescent="0.25">
      <c r="B20" s="46" t="s">
        <v>99</v>
      </c>
      <c r="C20" s="47" t="s">
        <v>110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>
        <v>0</v>
      </c>
      <c r="AM20" s="47">
        <v>0</v>
      </c>
      <c r="AN20" s="47">
        <v>0</v>
      </c>
      <c r="AO20" s="47">
        <v>0</v>
      </c>
      <c r="AP20" s="47">
        <v>-2750000</v>
      </c>
      <c r="AQ20" s="47">
        <v>0</v>
      </c>
      <c r="AR20" s="51"/>
      <c r="AS20" s="51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3">
        <f t="shared" si="4"/>
        <v>-2750000</v>
      </c>
    </row>
    <row r="21" spans="1:101" x14ac:dyDescent="0.25">
      <c r="B21" s="46" t="s">
        <v>96</v>
      </c>
      <c r="C21" s="47" t="s">
        <v>111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>
        <v>0</v>
      </c>
      <c r="AM21" s="47">
        <v>0</v>
      </c>
      <c r="AN21" s="47">
        <v>0</v>
      </c>
      <c r="AO21" s="47">
        <v>0</v>
      </c>
      <c r="AP21" s="47">
        <v>2750000</v>
      </c>
      <c r="AQ21" s="47">
        <v>0</v>
      </c>
      <c r="AR21" s="51"/>
      <c r="AS21" s="51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3">
        <f t="shared" si="4"/>
        <v>2750000</v>
      </c>
    </row>
    <row r="22" spans="1:101" x14ac:dyDescent="0.25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>
        <v>0</v>
      </c>
      <c r="AM22" s="47">
        <v>0</v>
      </c>
      <c r="AN22" s="47">
        <v>0</v>
      </c>
      <c r="AO22" s="47">
        <v>0</v>
      </c>
      <c r="AP22" s="47">
        <v>0</v>
      </c>
      <c r="AQ22" s="47">
        <v>0</v>
      </c>
      <c r="AR22" s="51"/>
      <c r="AS22" s="51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3">
        <f t="shared" si="4"/>
        <v>0</v>
      </c>
    </row>
    <row r="23" spans="1:101" x14ac:dyDescent="0.25">
      <c r="B23" s="46" t="s">
        <v>99</v>
      </c>
      <c r="C23" s="47" t="s">
        <v>112</v>
      </c>
      <c r="D23" s="47">
        <v>-2153.0250000000001</v>
      </c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>
        <v>0</v>
      </c>
      <c r="AM23" s="47">
        <v>0</v>
      </c>
      <c r="AN23" s="47">
        <v>0</v>
      </c>
      <c r="AO23" s="47">
        <v>0</v>
      </c>
      <c r="AP23" s="47">
        <v>0</v>
      </c>
      <c r="AQ23" s="47">
        <v>0</v>
      </c>
      <c r="AR23" s="51"/>
      <c r="AS23" s="51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3">
        <f t="shared" si="4"/>
        <v>-2153.0250000000001</v>
      </c>
    </row>
    <row r="24" spans="1:101" x14ac:dyDescent="0.25">
      <c r="B24" s="46" t="s">
        <v>99</v>
      </c>
      <c r="C24" s="47" t="s">
        <v>113</v>
      </c>
      <c r="D24" s="47">
        <f>-211-9.456</f>
        <v>-220.45599999999999</v>
      </c>
      <c r="E24" s="47">
        <f>-55.15-95940-98.33-196.72-1600-1423.5-7117.5-14235-1423.5-1423.5-2847-4270.5-1423.5-1423.5-2735.784-3812</f>
        <v>-140025.48400000003</v>
      </c>
      <c r="F24" s="47">
        <f>-314.856-184617.6834</f>
        <v>-184932.53940000001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>
        <v>-33.929000000000002</v>
      </c>
      <c r="AM24" s="47">
        <v>-2.7294</v>
      </c>
      <c r="AN24" s="47">
        <v>-76.696619999999996</v>
      </c>
      <c r="AO24" s="47">
        <v>-2763.3658399999999</v>
      </c>
      <c r="AP24" s="47">
        <v>-106792.86377000064</v>
      </c>
      <c r="AQ24" s="47">
        <v>-23008.325860000001</v>
      </c>
      <c r="AR24" s="51"/>
      <c r="AS24" s="51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3">
        <f t="shared" si="4"/>
        <v>-457856.38989000069</v>
      </c>
    </row>
    <row r="25" spans="1:101" x14ac:dyDescent="0.25">
      <c r="A25" s="41"/>
      <c r="B25" s="52" t="s">
        <v>99</v>
      </c>
      <c r="C25" s="53" t="s">
        <v>114</v>
      </c>
      <c r="D25" s="53">
        <v>-14647.75238</v>
      </c>
      <c r="E25" s="53">
        <v>-1750241.4696299999</v>
      </c>
      <c r="F25" s="53">
        <v>-3345461.0432000002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>
        <v>-17142.812999999998</v>
      </c>
      <c r="AM25" s="53">
        <v>-2700</v>
      </c>
      <c r="AN25" s="53">
        <v>-220813.90400000001</v>
      </c>
      <c r="AO25" s="53">
        <v>-316555.821</v>
      </c>
      <c r="AP25" s="53">
        <v>-640331.40599999996</v>
      </c>
      <c r="AQ25" s="53">
        <v>-1203041.1229999999</v>
      </c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43">
        <f t="shared" si="4"/>
        <v>-7510935.3322099987</v>
      </c>
    </row>
    <row r="26" spans="1:101" x14ac:dyDescent="0.25">
      <c r="B26" s="46"/>
      <c r="C26" s="47" t="s">
        <v>115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>
        <v>0</v>
      </c>
      <c r="AM26" s="47">
        <v>0</v>
      </c>
      <c r="AN26" s="47">
        <v>0</v>
      </c>
      <c r="AO26" s="47">
        <v>0</v>
      </c>
      <c r="AP26" s="47">
        <v>0</v>
      </c>
      <c r="AQ26" s="47">
        <v>0</v>
      </c>
      <c r="AR26" s="51"/>
      <c r="AS26" s="51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3">
        <f t="shared" si="4"/>
        <v>0</v>
      </c>
    </row>
    <row r="27" spans="1:101" x14ac:dyDescent="0.25">
      <c r="B27" s="46" t="s">
        <v>99</v>
      </c>
      <c r="C27" s="47" t="s">
        <v>116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51"/>
      <c r="AS27" s="51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3">
        <f t="shared" si="4"/>
        <v>0</v>
      </c>
    </row>
    <row r="28" spans="1:101" x14ac:dyDescent="0.25">
      <c r="B28" s="47" t="s">
        <v>99</v>
      </c>
      <c r="C28" s="47" t="s">
        <v>117</v>
      </c>
      <c r="D28" s="48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51"/>
      <c r="AS28" s="51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3">
        <f t="shared" si="4"/>
        <v>0</v>
      </c>
    </row>
    <row r="29" spans="1:101" x14ac:dyDescent="0.25">
      <c r="B29" s="47"/>
      <c r="C29" s="47" t="s">
        <v>118</v>
      </c>
      <c r="D29" s="48">
        <v>-20002.630740000001</v>
      </c>
      <c r="E29" s="47">
        <v>-17763899.22047</v>
      </c>
      <c r="F29" s="47">
        <v>-3045044.04257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>
        <v>-308039.033</v>
      </c>
      <c r="AM29" s="47">
        <v>0</v>
      </c>
      <c r="AN29" s="47">
        <v>-180145.253</v>
      </c>
      <c r="AO29" s="47">
        <v>-160908.742</v>
      </c>
      <c r="AP29" s="47">
        <v>-1186794.4920000001</v>
      </c>
      <c r="AQ29" s="47">
        <v>-360068.40399999998</v>
      </c>
      <c r="AR29" s="51"/>
      <c r="AS29" s="51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3">
        <f t="shared" si="4"/>
        <v>-23024901.817779996</v>
      </c>
    </row>
    <row r="30" spans="1:101" x14ac:dyDescent="0.25">
      <c r="B30" s="47"/>
      <c r="C30" s="47" t="s">
        <v>119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51"/>
      <c r="AS30" s="51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3">
        <f t="shared" si="4"/>
        <v>0</v>
      </c>
    </row>
    <row r="31" spans="1:101" x14ac:dyDescent="0.25">
      <c r="B31" s="47" t="s">
        <v>99</v>
      </c>
      <c r="C31" s="47" t="s">
        <v>120</v>
      </c>
      <c r="D31" s="47"/>
      <c r="E31" s="47">
        <f>-55.5-54.5-592-28.5-28.5-587-28.5-28.5-57-8503.3</f>
        <v>-9963.2999999999993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>
        <v>0</v>
      </c>
      <c r="AM31" s="47">
        <v>0</v>
      </c>
      <c r="AN31" s="47">
        <v>0</v>
      </c>
      <c r="AO31" s="47">
        <v>0</v>
      </c>
      <c r="AP31" s="47">
        <v>0</v>
      </c>
      <c r="AQ31" s="47">
        <v>0</v>
      </c>
      <c r="AR31" s="51"/>
      <c r="AS31" s="51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3">
        <f t="shared" si="4"/>
        <v>-9963.2999999999993</v>
      </c>
    </row>
    <row r="32" spans="1:101" x14ac:dyDescent="0.25">
      <c r="B32" s="47" t="s">
        <v>99</v>
      </c>
      <c r="C32" s="47" t="s">
        <v>121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51"/>
      <c r="AS32" s="51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3">
        <f t="shared" si="4"/>
        <v>0</v>
      </c>
    </row>
    <row r="33" spans="2:101" x14ac:dyDescent="0.25">
      <c r="B33" s="47" t="s">
        <v>99</v>
      </c>
      <c r="C33" s="47" t="s">
        <v>122</v>
      </c>
      <c r="D33" s="47"/>
      <c r="E33" s="47">
        <f>-389768-146925</f>
        <v>-536693</v>
      </c>
      <c r="F33" s="47">
        <f>-39830976-5709573-596291-651-16615</f>
        <v>-46154106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>
        <v>-950123</v>
      </c>
      <c r="AM33" s="47">
        <v>-6022</v>
      </c>
      <c r="AN33" s="47">
        <v>-162</v>
      </c>
      <c r="AO33" s="47">
        <v>-12049</v>
      </c>
      <c r="AP33" s="47">
        <v>-42002</v>
      </c>
      <c r="AQ33" s="47">
        <v>-29614</v>
      </c>
      <c r="AR33" s="51"/>
      <c r="AS33" s="51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3">
        <f t="shared" si="4"/>
        <v>-47730771</v>
      </c>
    </row>
    <row r="34" spans="2:101" x14ac:dyDescent="0.25">
      <c r="B34" s="54" t="s">
        <v>99</v>
      </c>
      <c r="C34" s="55" t="s">
        <v>123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>
        <v>0</v>
      </c>
      <c r="AM34" s="55">
        <v>0</v>
      </c>
      <c r="AN34" s="55">
        <v>0</v>
      </c>
      <c r="AO34" s="55">
        <v>0</v>
      </c>
      <c r="AP34" s="55">
        <v>0</v>
      </c>
      <c r="AQ34" s="55">
        <v>0</v>
      </c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43">
        <f t="shared" si="4"/>
        <v>0</v>
      </c>
    </row>
    <row r="35" spans="2:101" x14ac:dyDescent="0.25">
      <c r="B35" s="54" t="s">
        <v>99</v>
      </c>
      <c r="C35" s="55" t="s">
        <v>124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>
        <v>-5101.35509</v>
      </c>
      <c r="AM35" s="55">
        <v>-34.898910000000001</v>
      </c>
      <c r="AN35" s="55">
        <v>0</v>
      </c>
      <c r="AO35" s="55">
        <v>-1969.1076399999999</v>
      </c>
      <c r="AP35" s="55">
        <v>-7902.9290199999996</v>
      </c>
      <c r="AQ35" s="55">
        <v>-6462.9273300000004</v>
      </c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43">
        <f t="shared" si="4"/>
        <v>-21471.217989999997</v>
      </c>
    </row>
    <row r="36" spans="2:101" ht="15.75" thickBot="1" x14ac:dyDescent="0.3">
      <c r="B36" s="56"/>
      <c r="C36" s="57" t="s">
        <v>125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43">
        <f t="shared" si="4"/>
        <v>0</v>
      </c>
    </row>
    <row r="37" spans="2:101" x14ac:dyDescent="0.25">
      <c r="B37" s="58"/>
      <c r="C37" s="59" t="s">
        <v>126</v>
      </c>
      <c r="D37" s="59">
        <f>SUM(D9:D36)</f>
        <v>-34249.382510000003</v>
      </c>
      <c r="E37" s="59">
        <f>SUM(E9:E36)</f>
        <v>31034131.083870001</v>
      </c>
      <c r="F37" s="59">
        <f>SUM(F9:F35)</f>
        <v>-44152459.970279999</v>
      </c>
      <c r="G37" s="59">
        <f t="shared" ref="G37:BR37" si="5">SUM(G9:G36)</f>
        <v>0</v>
      </c>
      <c r="H37" s="59">
        <f t="shared" si="5"/>
        <v>0</v>
      </c>
      <c r="I37" s="59">
        <f t="shared" si="5"/>
        <v>0</v>
      </c>
      <c r="J37" s="59">
        <f t="shared" si="5"/>
        <v>0</v>
      </c>
      <c r="K37" s="59">
        <f t="shared" si="5"/>
        <v>0</v>
      </c>
      <c r="L37" s="59">
        <f t="shared" si="5"/>
        <v>0</v>
      </c>
      <c r="M37" s="59">
        <f t="shared" si="5"/>
        <v>0</v>
      </c>
      <c r="N37" s="59">
        <f t="shared" si="5"/>
        <v>0</v>
      </c>
      <c r="O37" s="59">
        <f t="shared" si="5"/>
        <v>0</v>
      </c>
      <c r="P37" s="59">
        <f t="shared" si="5"/>
        <v>0</v>
      </c>
      <c r="Q37" s="59">
        <f t="shared" si="5"/>
        <v>0</v>
      </c>
      <c r="R37" s="59">
        <f t="shared" si="5"/>
        <v>0</v>
      </c>
      <c r="S37" s="59">
        <f t="shared" si="5"/>
        <v>0</v>
      </c>
      <c r="T37" s="59">
        <f t="shared" si="5"/>
        <v>0</v>
      </c>
      <c r="U37" s="59">
        <f t="shared" si="5"/>
        <v>0</v>
      </c>
      <c r="V37" s="59">
        <f t="shared" si="5"/>
        <v>0</v>
      </c>
      <c r="W37" s="59">
        <f t="shared" si="5"/>
        <v>0</v>
      </c>
      <c r="X37" s="59">
        <f t="shared" si="5"/>
        <v>0</v>
      </c>
      <c r="Y37" s="59">
        <f t="shared" si="5"/>
        <v>0</v>
      </c>
      <c r="Z37" s="59">
        <f t="shared" si="5"/>
        <v>0</v>
      </c>
      <c r="AA37" s="59">
        <f t="shared" si="5"/>
        <v>0</v>
      </c>
      <c r="AB37" s="59">
        <f t="shared" si="5"/>
        <v>0</v>
      </c>
      <c r="AC37" s="59">
        <f t="shared" si="5"/>
        <v>0</v>
      </c>
      <c r="AD37" s="59">
        <f t="shared" si="5"/>
        <v>0</v>
      </c>
      <c r="AE37" s="59">
        <f t="shared" si="5"/>
        <v>0</v>
      </c>
      <c r="AF37" s="59">
        <f t="shared" si="5"/>
        <v>0</v>
      </c>
      <c r="AG37" s="59">
        <f t="shared" si="5"/>
        <v>0</v>
      </c>
      <c r="AH37" s="59">
        <f t="shared" si="5"/>
        <v>0</v>
      </c>
      <c r="AI37" s="59">
        <f t="shared" si="5"/>
        <v>0</v>
      </c>
      <c r="AJ37" s="59">
        <f t="shared" si="5"/>
        <v>0</v>
      </c>
      <c r="AK37" s="59">
        <f t="shared" si="5"/>
        <v>0</v>
      </c>
      <c r="AL37" s="59">
        <f t="shared" si="5"/>
        <v>-1267147.45147</v>
      </c>
      <c r="AM37" s="59">
        <f t="shared" si="5"/>
        <v>333740.69491000002</v>
      </c>
      <c r="AN37" s="59">
        <f t="shared" si="5"/>
        <v>1763.2596200000262</v>
      </c>
      <c r="AO37" s="59">
        <f t="shared" si="5"/>
        <v>134643.45857000005</v>
      </c>
      <c r="AP37" s="59">
        <f t="shared" si="5"/>
        <v>20232210.373090003</v>
      </c>
      <c r="AQ37" s="59">
        <f t="shared" si="5"/>
        <v>1114993.3830599997</v>
      </c>
      <c r="AR37" s="59">
        <f t="shared" si="5"/>
        <v>0</v>
      </c>
      <c r="AS37" s="59">
        <f t="shared" si="5"/>
        <v>0</v>
      </c>
      <c r="AT37" s="59">
        <f t="shared" si="5"/>
        <v>0</v>
      </c>
      <c r="AU37" s="59">
        <f t="shared" si="5"/>
        <v>0</v>
      </c>
      <c r="AV37" s="59">
        <f t="shared" si="5"/>
        <v>0</v>
      </c>
      <c r="AW37" s="59">
        <f t="shared" si="5"/>
        <v>0</v>
      </c>
      <c r="AX37" s="59">
        <f t="shared" si="5"/>
        <v>0</v>
      </c>
      <c r="AY37" s="59">
        <f t="shared" si="5"/>
        <v>0</v>
      </c>
      <c r="AZ37" s="59">
        <f t="shared" si="5"/>
        <v>0</v>
      </c>
      <c r="BA37" s="59">
        <f t="shared" si="5"/>
        <v>0</v>
      </c>
      <c r="BB37" s="59">
        <f t="shared" si="5"/>
        <v>0</v>
      </c>
      <c r="BC37" s="59">
        <f t="shared" si="5"/>
        <v>0</v>
      </c>
      <c r="BD37" s="59">
        <f t="shared" si="5"/>
        <v>0</v>
      </c>
      <c r="BE37" s="59">
        <f t="shared" si="5"/>
        <v>0</v>
      </c>
      <c r="BF37" s="59">
        <f t="shared" si="5"/>
        <v>0</v>
      </c>
      <c r="BG37" s="59">
        <f t="shared" si="5"/>
        <v>0</v>
      </c>
      <c r="BH37" s="59">
        <f t="shared" si="5"/>
        <v>0</v>
      </c>
      <c r="BI37" s="59">
        <f t="shared" si="5"/>
        <v>0</v>
      </c>
      <c r="BJ37" s="59">
        <f t="shared" si="5"/>
        <v>0</v>
      </c>
      <c r="BK37" s="59">
        <f t="shared" si="5"/>
        <v>0</v>
      </c>
      <c r="BL37" s="59">
        <f t="shared" si="5"/>
        <v>0</v>
      </c>
      <c r="BM37" s="59">
        <f t="shared" si="5"/>
        <v>0</v>
      </c>
      <c r="BN37" s="59">
        <f t="shared" si="5"/>
        <v>0</v>
      </c>
      <c r="BO37" s="59">
        <f t="shared" si="5"/>
        <v>0</v>
      </c>
      <c r="BP37" s="59">
        <f t="shared" si="5"/>
        <v>0</v>
      </c>
      <c r="BQ37" s="59">
        <f t="shared" si="5"/>
        <v>0</v>
      </c>
      <c r="BR37" s="59">
        <f t="shared" si="5"/>
        <v>0</v>
      </c>
      <c r="BS37" s="59">
        <f t="shared" ref="BS37:CV37" si="6">SUM(BS9:BS36)</f>
        <v>0</v>
      </c>
      <c r="BT37" s="59">
        <f t="shared" si="6"/>
        <v>-873541.36</v>
      </c>
      <c r="BU37" s="59">
        <f t="shared" si="6"/>
        <v>-3648380.4316944</v>
      </c>
      <c r="BV37" s="59">
        <f t="shared" si="6"/>
        <v>0</v>
      </c>
      <c r="BW37" s="59">
        <f t="shared" si="6"/>
        <v>0</v>
      </c>
      <c r="BX37" s="59">
        <f t="shared" si="6"/>
        <v>0</v>
      </c>
      <c r="BY37" s="59">
        <f t="shared" si="6"/>
        <v>-15929.079999999984</v>
      </c>
      <c r="BZ37" s="59">
        <f t="shared" si="6"/>
        <v>-679858.16699999955</v>
      </c>
      <c r="CA37" s="59">
        <f t="shared" si="6"/>
        <v>-2123251.3172300002</v>
      </c>
      <c r="CB37" s="59">
        <f t="shared" si="6"/>
        <v>0</v>
      </c>
      <c r="CC37" s="59">
        <f t="shared" si="6"/>
        <v>3535.6489999999999</v>
      </c>
      <c r="CD37" s="59">
        <f t="shared" si="6"/>
        <v>0</v>
      </c>
      <c r="CE37" s="59">
        <f t="shared" si="6"/>
        <v>0</v>
      </c>
      <c r="CF37" s="59">
        <f t="shared" si="6"/>
        <v>0</v>
      </c>
      <c r="CG37" s="59">
        <f t="shared" si="6"/>
        <v>859.73500000001513</v>
      </c>
      <c r="CH37" s="59">
        <f t="shared" si="6"/>
        <v>0</v>
      </c>
      <c r="CI37" s="59">
        <f t="shared" si="6"/>
        <v>39702.030000000028</v>
      </c>
      <c r="CJ37" s="59">
        <f t="shared" si="6"/>
        <v>16153.70895999996</v>
      </c>
      <c r="CK37" s="59">
        <f t="shared" si="6"/>
        <v>0</v>
      </c>
      <c r="CL37" s="59">
        <f t="shared" si="6"/>
        <v>0</v>
      </c>
      <c r="CM37" s="59">
        <f t="shared" si="6"/>
        <v>0</v>
      </c>
      <c r="CN37" s="59">
        <f t="shared" si="6"/>
        <v>0</v>
      </c>
      <c r="CO37" s="59">
        <f t="shared" si="6"/>
        <v>0</v>
      </c>
      <c r="CP37" s="59">
        <f t="shared" si="6"/>
        <v>0</v>
      </c>
      <c r="CQ37" s="59">
        <f t="shared" si="6"/>
        <v>0</v>
      </c>
      <c r="CR37" s="59">
        <f t="shared" si="6"/>
        <v>0</v>
      </c>
      <c r="CS37" s="59">
        <f t="shared" si="6"/>
        <v>0</v>
      </c>
      <c r="CT37" s="59">
        <f t="shared" si="6"/>
        <v>0</v>
      </c>
      <c r="CU37" s="59">
        <f t="shared" si="6"/>
        <v>0</v>
      </c>
      <c r="CV37" s="59">
        <f t="shared" si="6"/>
        <v>0</v>
      </c>
      <c r="CW37" s="43">
        <f t="shared" si="4"/>
        <v>116916.21589560359</v>
      </c>
    </row>
    <row r="38" spans="2:101" x14ac:dyDescent="0.25">
      <c r="B38" s="60"/>
      <c r="C38" s="61" t="s">
        <v>127</v>
      </c>
      <c r="D38" s="61">
        <f>+D37+D8</f>
        <v>397195.87521000049</v>
      </c>
      <c r="E38" s="61">
        <f>+E37+E8</f>
        <v>38193952.811474547</v>
      </c>
      <c r="F38" s="61">
        <f>+F37+F8</f>
        <v>-32952073.844328493</v>
      </c>
      <c r="G38" s="61">
        <f t="shared" ref="G38:BR38" si="7">+G37+G8</f>
        <v>0</v>
      </c>
      <c r="H38" s="61">
        <f t="shared" si="7"/>
        <v>0</v>
      </c>
      <c r="I38" s="61">
        <f t="shared" si="7"/>
        <v>112998.56759999423</v>
      </c>
      <c r="J38" s="61">
        <f t="shared" si="7"/>
        <v>0</v>
      </c>
      <c r="K38" s="61">
        <f t="shared" si="7"/>
        <v>135656.81405614308</v>
      </c>
      <c r="L38" s="61">
        <f t="shared" si="7"/>
        <v>232366.71016189826</v>
      </c>
      <c r="M38" s="61">
        <f t="shared" si="7"/>
        <v>180318.47399286652</v>
      </c>
      <c r="N38" s="61">
        <f t="shared" si="7"/>
        <v>177310.5199999999</v>
      </c>
      <c r="O38" s="61">
        <f t="shared" si="7"/>
        <v>743248.15264999995</v>
      </c>
      <c r="P38" s="61">
        <f t="shared" si="7"/>
        <v>22528027.280000009</v>
      </c>
      <c r="Q38" s="61">
        <f t="shared" si="7"/>
        <v>127277387.5339599</v>
      </c>
      <c r="R38" s="61">
        <f t="shared" si="7"/>
        <v>294527.93999999994</v>
      </c>
      <c r="S38" s="61">
        <f t="shared" si="7"/>
        <v>1562944.3087055988</v>
      </c>
      <c r="T38" s="61">
        <f t="shared" si="7"/>
        <v>0</v>
      </c>
      <c r="U38" s="61">
        <f t="shared" si="7"/>
        <v>0</v>
      </c>
      <c r="V38" s="61">
        <f t="shared" si="7"/>
        <v>0</v>
      </c>
      <c r="W38" s="61">
        <f t="shared" si="7"/>
        <v>0</v>
      </c>
      <c r="X38" s="61">
        <f t="shared" si="7"/>
        <v>0</v>
      </c>
      <c r="Y38" s="61">
        <f t="shared" si="7"/>
        <v>0</v>
      </c>
      <c r="Z38" s="61">
        <f t="shared" si="7"/>
        <v>9662.5274983807467</v>
      </c>
      <c r="AA38" s="61">
        <f t="shared" si="7"/>
        <v>40503.29</v>
      </c>
      <c r="AB38" s="61">
        <f t="shared" si="7"/>
        <v>7542.7499999967404</v>
      </c>
      <c r="AC38" s="61">
        <f t="shared" si="7"/>
        <v>31617.62</v>
      </c>
      <c r="AD38" s="61">
        <f t="shared" si="7"/>
        <v>5155</v>
      </c>
      <c r="AE38" s="61">
        <f t="shared" si="7"/>
        <v>21608.68</v>
      </c>
      <c r="AF38" s="61">
        <f t="shared" si="7"/>
        <v>7956.8699999451637</v>
      </c>
      <c r="AG38" s="61">
        <f t="shared" si="7"/>
        <v>33353.53</v>
      </c>
      <c r="AH38" s="61">
        <f t="shared" si="7"/>
        <v>195459.03999999719</v>
      </c>
      <c r="AI38" s="61">
        <f t="shared" si="7"/>
        <v>819134.7964617</v>
      </c>
      <c r="AJ38" s="61">
        <f t="shared" si="7"/>
        <v>673596.71999999823</v>
      </c>
      <c r="AK38" s="61">
        <f t="shared" si="7"/>
        <v>2823324.1679230896</v>
      </c>
      <c r="AL38" s="61">
        <f t="shared" si="7"/>
        <v>21880958.177400079</v>
      </c>
      <c r="AM38" s="61">
        <f t="shared" si="7"/>
        <v>59660410.274513535</v>
      </c>
      <c r="AN38" s="61">
        <f t="shared" si="7"/>
        <v>6480106.5321600009</v>
      </c>
      <c r="AO38" s="61">
        <f t="shared" si="7"/>
        <v>957442.97615143971</v>
      </c>
      <c r="AP38" s="61">
        <f t="shared" si="7"/>
        <v>8463268.4810437579</v>
      </c>
      <c r="AQ38" s="61">
        <f t="shared" si="7"/>
        <v>1734851.1293321603</v>
      </c>
      <c r="AR38" s="61">
        <f t="shared" si="7"/>
        <v>33752.683643993005</v>
      </c>
      <c r="AS38" s="61">
        <f t="shared" si="7"/>
        <v>6.2719079996137461</v>
      </c>
      <c r="AT38" s="61">
        <f t="shared" si="7"/>
        <v>11.210432002509913</v>
      </c>
      <c r="AU38" s="61">
        <f t="shared" si="7"/>
        <v>70709.869203997281</v>
      </c>
      <c r="AV38" s="61">
        <f t="shared" si="7"/>
        <v>523662.90839880263</v>
      </c>
      <c r="AW38" s="61">
        <f t="shared" si="7"/>
        <v>85667.9885699968</v>
      </c>
      <c r="AX38" s="61">
        <f t="shared" si="7"/>
        <v>1041.3974240010875</v>
      </c>
      <c r="AY38" s="61">
        <f t="shared" si="7"/>
        <v>59646.012311997983</v>
      </c>
      <c r="AZ38" s="61">
        <f t="shared" si="7"/>
        <v>23267.345377323236</v>
      </c>
      <c r="BA38" s="61">
        <f t="shared" si="7"/>
        <v>202483.17672400692</v>
      </c>
      <c r="BB38" s="61">
        <f t="shared" si="7"/>
        <v>70118.760219991149</v>
      </c>
      <c r="BC38" s="61">
        <f t="shared" si="7"/>
        <v>267480.02684799867</v>
      </c>
      <c r="BD38" s="61">
        <f t="shared" si="7"/>
        <v>17090.159599989831</v>
      </c>
      <c r="BE38" s="61">
        <f t="shared" si="7"/>
        <v>256586.81289368056</v>
      </c>
      <c r="BF38" s="61">
        <f t="shared" si="7"/>
        <v>321949.5492303599</v>
      </c>
      <c r="BG38" s="61">
        <f t="shared" si="7"/>
        <v>35109.232018882758</v>
      </c>
      <c r="BH38" s="61">
        <f t="shared" si="7"/>
        <v>27273.514880002102</v>
      </c>
      <c r="BI38" s="61">
        <f t="shared" si="7"/>
        <v>630661.83776839031</v>
      </c>
      <c r="BJ38" s="61">
        <f t="shared" si="7"/>
        <v>197783.28604456017</v>
      </c>
      <c r="BK38" s="61">
        <f t="shared" si="7"/>
        <v>3408870.6208220124</v>
      </c>
      <c r="BL38" s="61">
        <f t="shared" si="7"/>
        <v>113012.65230244608</v>
      </c>
      <c r="BM38" s="61">
        <f t="shared" si="7"/>
        <v>1071401.749497151</v>
      </c>
      <c r="BN38" s="61">
        <f t="shared" si="7"/>
        <v>23217440.521237377</v>
      </c>
      <c r="BO38" s="61">
        <f t="shared" si="7"/>
        <v>3.4691202304202307E-3</v>
      </c>
      <c r="BP38" s="61">
        <f t="shared" si="7"/>
        <v>255.86877932906549</v>
      </c>
      <c r="BQ38" s="61">
        <f t="shared" si="7"/>
        <v>4.0128798844989433E-3</v>
      </c>
      <c r="BR38" s="61">
        <f t="shared" si="7"/>
        <v>645623.81600000313</v>
      </c>
      <c r="BS38" s="61">
        <f t="shared" ref="BS38:CV38" si="8">+BS37+BS8</f>
        <v>2662944.0693795886</v>
      </c>
      <c r="BT38" s="61">
        <f t="shared" si="8"/>
        <v>213481.18493201921</v>
      </c>
      <c r="BU38" s="61">
        <f t="shared" si="8"/>
        <v>880872.39922859101</v>
      </c>
      <c r="BV38" s="61">
        <f t="shared" si="8"/>
        <v>8400.1908600000006</v>
      </c>
      <c r="BW38" s="61">
        <f t="shared" si="8"/>
        <v>384552.75899000082</v>
      </c>
      <c r="BX38" s="61">
        <f t="shared" si="8"/>
        <v>12663.664475599246</v>
      </c>
      <c r="BY38" s="61">
        <f t="shared" si="8"/>
        <v>754807.20400000003</v>
      </c>
      <c r="BZ38" s="61">
        <f t="shared" si="8"/>
        <v>3926003.4970000004</v>
      </c>
      <c r="CA38" s="61">
        <f t="shared" si="8"/>
        <v>4448254.9007700002</v>
      </c>
      <c r="CB38" s="61">
        <f t="shared" si="8"/>
        <v>18918.56624</v>
      </c>
      <c r="CC38" s="61">
        <f t="shared" si="8"/>
        <v>899809.02917999984</v>
      </c>
      <c r="CD38" s="61">
        <f t="shared" si="8"/>
        <v>0</v>
      </c>
      <c r="CE38" s="61">
        <f t="shared" si="8"/>
        <v>27036.502</v>
      </c>
      <c r="CF38" s="61">
        <f t="shared" si="8"/>
        <v>528153.19958999997</v>
      </c>
      <c r="CG38" s="61">
        <f t="shared" si="8"/>
        <v>193030.94500000001</v>
      </c>
      <c r="CH38" s="61">
        <f t="shared" si="8"/>
        <v>2.9318200000000001</v>
      </c>
      <c r="CI38" s="61">
        <f t="shared" si="8"/>
        <v>979650.76</v>
      </c>
      <c r="CJ38" s="61">
        <f t="shared" si="8"/>
        <v>312752.69799999997</v>
      </c>
      <c r="CK38" s="61">
        <f t="shared" si="8"/>
        <v>0</v>
      </c>
      <c r="CL38" s="61">
        <f t="shared" si="8"/>
        <v>0</v>
      </c>
      <c r="CM38" s="61">
        <f t="shared" si="8"/>
        <v>79545.21415</v>
      </c>
      <c r="CN38" s="61">
        <f t="shared" si="8"/>
        <v>662749.23896999995</v>
      </c>
      <c r="CO38" s="61">
        <f t="shared" si="8"/>
        <v>736440.24131999968</v>
      </c>
      <c r="CP38" s="61">
        <f t="shared" si="8"/>
        <v>9152723.6727600005</v>
      </c>
      <c r="CQ38" s="61">
        <f t="shared" si="8"/>
        <v>377918.49939999997</v>
      </c>
      <c r="CR38" s="61">
        <f t="shared" si="8"/>
        <v>20872.37467999896</v>
      </c>
      <c r="CS38" s="61">
        <f t="shared" si="8"/>
        <v>5000</v>
      </c>
      <c r="CT38" s="61">
        <f t="shared" si="8"/>
        <v>20468.599999999999</v>
      </c>
      <c r="CU38" s="61">
        <f t="shared" si="8"/>
        <v>5000</v>
      </c>
      <c r="CV38" s="61">
        <f t="shared" si="8"/>
        <v>20468.599999999999</v>
      </c>
      <c r="CW38" s="43">
        <f t="shared" si="4"/>
        <v>321343241.9283306</v>
      </c>
    </row>
    <row r="39" spans="2:101" x14ac:dyDescent="0.25">
      <c r="B39" s="62"/>
      <c r="C39" s="63" t="s">
        <v>128</v>
      </c>
      <c r="D39" s="63">
        <v>45000</v>
      </c>
      <c r="E39" s="63">
        <v>11098921.33152</v>
      </c>
      <c r="F39" s="63">
        <v>40645000</v>
      </c>
      <c r="G39" s="63">
        <v>0</v>
      </c>
      <c r="H39" s="63">
        <v>0</v>
      </c>
      <c r="I39" s="63">
        <v>19.44173</v>
      </c>
      <c r="J39" s="63">
        <v>0</v>
      </c>
      <c r="K39" s="63">
        <v>-4.1555559999999989</v>
      </c>
      <c r="L39" s="63">
        <v>-25649.996840882901</v>
      </c>
      <c r="M39" s="63">
        <v>-4.1455159999999998</v>
      </c>
      <c r="N39" s="63">
        <v>0</v>
      </c>
      <c r="O39" s="63">
        <v>0</v>
      </c>
      <c r="P39" s="63">
        <v>-1989788</v>
      </c>
      <c r="Q39" s="63">
        <v>-8310429.1735200025</v>
      </c>
      <c r="R39" s="63">
        <v>700610.41</v>
      </c>
      <c r="S39" s="63">
        <v>2926127.4017813997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99.673000000000016</v>
      </c>
      <c r="BB39" s="63">
        <v>34.505000000000003</v>
      </c>
      <c r="BC39" s="63">
        <v>131.67699999999999</v>
      </c>
      <c r="BD39" s="63">
        <v>8.4130000000000003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19.430610000000001</v>
      </c>
      <c r="BM39" s="63">
        <v>184.30207000000001</v>
      </c>
      <c r="BN39" s="63">
        <v>-21996005.564659998</v>
      </c>
      <c r="BO39" s="63">
        <v>0</v>
      </c>
      <c r="BP39" s="63">
        <v>5.7329999999999999E-2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0</v>
      </c>
      <c r="BX39" s="63">
        <v>0</v>
      </c>
      <c r="BY39" s="63">
        <v>0</v>
      </c>
      <c r="BZ39" s="63">
        <v>5483217.7459999993</v>
      </c>
      <c r="CA39" s="63">
        <v>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43">
        <f t="shared" si="4"/>
        <v>28577493.352948528</v>
      </c>
    </row>
    <row r="40" spans="2:101" ht="15.75" thickBot="1" x14ac:dyDescent="0.3">
      <c r="B40" s="64"/>
      <c r="C40" s="65" t="s">
        <v>129</v>
      </c>
      <c r="D40" s="65">
        <f>+D39+D38</f>
        <v>442195.87521000049</v>
      </c>
      <c r="E40" s="65">
        <f>+E39+E38</f>
        <v>49292874.142994545</v>
      </c>
      <c r="F40" s="65">
        <f>+F39+F38</f>
        <v>7692926.1556715071</v>
      </c>
      <c r="G40" s="65">
        <f t="shared" ref="G40:BR40" si="9">+G39+G38</f>
        <v>0</v>
      </c>
      <c r="H40" s="65">
        <f t="shared" si="9"/>
        <v>0</v>
      </c>
      <c r="I40" s="65">
        <f t="shared" si="9"/>
        <v>113018.00932999424</v>
      </c>
      <c r="J40" s="65">
        <f t="shared" si="9"/>
        <v>0</v>
      </c>
      <c r="K40" s="65">
        <f t="shared" si="9"/>
        <v>135652.65850014306</v>
      </c>
      <c r="L40" s="65">
        <f t="shared" si="9"/>
        <v>206716.71332101536</v>
      </c>
      <c r="M40" s="65">
        <f t="shared" si="9"/>
        <v>180314.32847686653</v>
      </c>
      <c r="N40" s="65">
        <f t="shared" si="9"/>
        <v>177310.5199999999</v>
      </c>
      <c r="O40" s="65">
        <f t="shared" si="9"/>
        <v>743248.15264999995</v>
      </c>
      <c r="P40" s="65">
        <f t="shared" si="9"/>
        <v>20538239.280000009</v>
      </c>
      <c r="Q40" s="65">
        <f t="shared" si="9"/>
        <v>118966958.3604399</v>
      </c>
      <c r="R40" s="65">
        <f t="shared" si="9"/>
        <v>995138.35</v>
      </c>
      <c r="S40" s="65">
        <f t="shared" si="9"/>
        <v>4489071.7104869988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9662.5274983807467</v>
      </c>
      <c r="AA40" s="65">
        <f t="shared" si="9"/>
        <v>40503.29</v>
      </c>
      <c r="AB40" s="65">
        <f t="shared" si="9"/>
        <v>7542.7499999967404</v>
      </c>
      <c r="AC40" s="65">
        <f t="shared" si="9"/>
        <v>31617.62</v>
      </c>
      <c r="AD40" s="65">
        <f t="shared" si="9"/>
        <v>5155</v>
      </c>
      <c r="AE40" s="65">
        <f t="shared" si="9"/>
        <v>21608.68</v>
      </c>
      <c r="AF40" s="65">
        <f t="shared" si="9"/>
        <v>7956.8699999451637</v>
      </c>
      <c r="AG40" s="65">
        <f t="shared" si="9"/>
        <v>33353.53</v>
      </c>
      <c r="AH40" s="65">
        <f t="shared" si="9"/>
        <v>195459.03999999719</v>
      </c>
      <c r="AI40" s="65">
        <f t="shared" si="9"/>
        <v>819134.7964617</v>
      </c>
      <c r="AJ40" s="65">
        <f t="shared" si="9"/>
        <v>673596.71999999823</v>
      </c>
      <c r="AK40" s="65">
        <f t="shared" si="9"/>
        <v>2823324.1679230896</v>
      </c>
      <c r="AL40" s="65">
        <f t="shared" si="9"/>
        <v>21880958.177400079</v>
      </c>
      <c r="AM40" s="65">
        <f t="shared" si="9"/>
        <v>59660410.274513535</v>
      </c>
      <c r="AN40" s="65">
        <f t="shared" si="9"/>
        <v>6480106.5321600009</v>
      </c>
      <c r="AO40" s="65">
        <f t="shared" si="9"/>
        <v>957442.97615143971</v>
      </c>
      <c r="AP40" s="65">
        <f t="shared" si="9"/>
        <v>8463268.4810437579</v>
      </c>
      <c r="AQ40" s="65">
        <f t="shared" si="9"/>
        <v>1734851.1293321603</v>
      </c>
      <c r="AR40" s="65">
        <f t="shared" si="9"/>
        <v>33752.683643993005</v>
      </c>
      <c r="AS40" s="65">
        <f t="shared" si="9"/>
        <v>6.2719079996137461</v>
      </c>
      <c r="AT40" s="65">
        <f t="shared" si="9"/>
        <v>11.210432002509913</v>
      </c>
      <c r="AU40" s="65">
        <f t="shared" si="9"/>
        <v>70709.869203997281</v>
      </c>
      <c r="AV40" s="65">
        <f t="shared" si="9"/>
        <v>523662.90839880263</v>
      </c>
      <c r="AW40" s="65">
        <f t="shared" si="9"/>
        <v>85667.9885699968</v>
      </c>
      <c r="AX40" s="65">
        <f t="shared" si="9"/>
        <v>1041.3974240010875</v>
      </c>
      <c r="AY40" s="65">
        <f t="shared" si="9"/>
        <v>59646.012311997983</v>
      </c>
      <c r="AZ40" s="65">
        <f t="shared" si="9"/>
        <v>23267.345377323236</v>
      </c>
      <c r="BA40" s="65">
        <f t="shared" si="9"/>
        <v>202582.84972400693</v>
      </c>
      <c r="BB40" s="65">
        <f t="shared" si="9"/>
        <v>70153.265219991154</v>
      </c>
      <c r="BC40" s="65">
        <f t="shared" si="9"/>
        <v>267611.70384799869</v>
      </c>
      <c r="BD40" s="65">
        <f t="shared" si="9"/>
        <v>17098.572599989831</v>
      </c>
      <c r="BE40" s="65">
        <f t="shared" si="9"/>
        <v>256586.81289368056</v>
      </c>
      <c r="BF40" s="65">
        <f t="shared" si="9"/>
        <v>321949.5492303599</v>
      </c>
      <c r="BG40" s="65">
        <f t="shared" si="9"/>
        <v>35109.232018882758</v>
      </c>
      <c r="BH40" s="65">
        <f t="shared" si="9"/>
        <v>27273.514880002102</v>
      </c>
      <c r="BI40" s="65">
        <f t="shared" si="9"/>
        <v>630661.83776839031</v>
      </c>
      <c r="BJ40" s="65">
        <f t="shared" si="9"/>
        <v>197783.28604456017</v>
      </c>
      <c r="BK40" s="65">
        <f t="shared" si="9"/>
        <v>3408870.6208220124</v>
      </c>
      <c r="BL40" s="65">
        <f t="shared" si="9"/>
        <v>113032.08291244607</v>
      </c>
      <c r="BM40" s="65">
        <f t="shared" si="9"/>
        <v>1071586.051567151</v>
      </c>
      <c r="BN40" s="65">
        <f t="shared" si="9"/>
        <v>1221434.9565773793</v>
      </c>
      <c r="BO40" s="65">
        <f t="shared" si="9"/>
        <v>3.4691202304202307E-3</v>
      </c>
      <c r="BP40" s="65">
        <f t="shared" si="9"/>
        <v>255.9261093290655</v>
      </c>
      <c r="BQ40" s="65">
        <f t="shared" si="9"/>
        <v>4.0128798844989433E-3</v>
      </c>
      <c r="BR40" s="65">
        <f t="shared" si="9"/>
        <v>645623.81600000313</v>
      </c>
      <c r="BS40" s="65">
        <f t="shared" ref="BS40:CV40" si="10">+BS39+BS38</f>
        <v>2662944.0693795886</v>
      </c>
      <c r="BT40" s="65">
        <f t="shared" si="10"/>
        <v>213481.18493201921</v>
      </c>
      <c r="BU40" s="65">
        <f t="shared" si="10"/>
        <v>880872.39922859101</v>
      </c>
      <c r="BV40" s="65">
        <f t="shared" si="10"/>
        <v>8400.1908600000006</v>
      </c>
      <c r="BW40" s="65">
        <f t="shared" si="10"/>
        <v>384552.75899000082</v>
      </c>
      <c r="BX40" s="65">
        <f t="shared" si="10"/>
        <v>12663.664475599246</v>
      </c>
      <c r="BY40" s="65">
        <f t="shared" si="10"/>
        <v>754807.20400000003</v>
      </c>
      <c r="BZ40" s="65">
        <f t="shared" si="10"/>
        <v>9409221.2430000007</v>
      </c>
      <c r="CA40" s="65">
        <f t="shared" si="10"/>
        <v>4448254.9007700002</v>
      </c>
      <c r="CB40" s="65">
        <f t="shared" si="10"/>
        <v>18918.56624</v>
      </c>
      <c r="CC40" s="65">
        <f t="shared" si="10"/>
        <v>899809.02917999984</v>
      </c>
      <c r="CD40" s="65">
        <f t="shared" si="10"/>
        <v>0</v>
      </c>
      <c r="CE40" s="65">
        <f t="shared" si="10"/>
        <v>27036.502</v>
      </c>
      <c r="CF40" s="65">
        <f t="shared" si="10"/>
        <v>528153.19958999997</v>
      </c>
      <c r="CG40" s="65">
        <f t="shared" si="10"/>
        <v>193030.94500000001</v>
      </c>
      <c r="CH40" s="65">
        <f>+CH39+CH38</f>
        <v>2.9318200000000001</v>
      </c>
      <c r="CI40" s="65">
        <f t="shared" si="10"/>
        <v>979650.76</v>
      </c>
      <c r="CJ40" s="65">
        <f t="shared" si="10"/>
        <v>312752.69799999997</v>
      </c>
      <c r="CK40" s="65">
        <f t="shared" si="10"/>
        <v>0</v>
      </c>
      <c r="CL40" s="65">
        <f t="shared" si="10"/>
        <v>0</v>
      </c>
      <c r="CM40" s="65">
        <f t="shared" si="10"/>
        <v>79545.21415</v>
      </c>
      <c r="CN40" s="65">
        <f t="shared" si="10"/>
        <v>662749.23896999995</v>
      </c>
      <c r="CO40" s="65">
        <f t="shared" si="10"/>
        <v>736440.24131999968</v>
      </c>
      <c r="CP40" s="65">
        <f t="shared" si="10"/>
        <v>9152723.6727600005</v>
      </c>
      <c r="CQ40" s="65">
        <f t="shared" si="10"/>
        <v>377918.49939999997</v>
      </c>
      <c r="CR40" s="65">
        <f t="shared" si="10"/>
        <v>20872.37467999896</v>
      </c>
      <c r="CS40" s="65">
        <f t="shared" si="10"/>
        <v>5000</v>
      </c>
      <c r="CT40" s="65">
        <f t="shared" si="10"/>
        <v>20468.599999999999</v>
      </c>
      <c r="CU40" s="65">
        <f t="shared" si="10"/>
        <v>5000</v>
      </c>
      <c r="CV40" s="65">
        <f t="shared" si="10"/>
        <v>20468.599999999999</v>
      </c>
      <c r="CW40" s="43">
        <f t="shared" si="4"/>
        <v>349920735.28127897</v>
      </c>
    </row>
    <row r="41" spans="2:101" ht="15.75" thickBot="1" x14ac:dyDescent="0.3"/>
    <row r="42" spans="2:101" x14ac:dyDescent="0.25">
      <c r="C42" s="67" t="s">
        <v>130</v>
      </c>
      <c r="D42" s="68">
        <f>+D37+D39</f>
        <v>10750.617489999997</v>
      </c>
      <c r="E42" s="68">
        <f>+E37+E39</f>
        <v>42133052.41539</v>
      </c>
      <c r="F42" s="69">
        <f>+F37+F39</f>
        <v>-3507459.9702799991</v>
      </c>
      <c r="G42" s="88">
        <v>20375.599999999999</v>
      </c>
      <c r="H42" s="88">
        <v>20376.599999999999</v>
      </c>
      <c r="I42" s="88">
        <v>20377.599999999999</v>
      </c>
      <c r="J42" s="88">
        <v>20378.599999999999</v>
      </c>
      <c r="K42" s="88">
        <v>20379.599999999999</v>
      </c>
      <c r="L42" s="88">
        <v>20380.599999999999</v>
      </c>
      <c r="M42" s="88">
        <v>20381.599999999999</v>
      </c>
      <c r="N42" s="88">
        <v>20382.599999999999</v>
      </c>
      <c r="O42" s="88">
        <v>20383.599999999999</v>
      </c>
      <c r="P42" s="88">
        <v>20384.599999999999</v>
      </c>
      <c r="Q42" s="88">
        <v>20385.599999999999</v>
      </c>
      <c r="R42" s="88">
        <v>20386.599999999999</v>
      </c>
      <c r="S42" s="88">
        <v>20387.599999999999</v>
      </c>
      <c r="T42" s="88">
        <v>20388.599999999999</v>
      </c>
      <c r="U42" s="88">
        <v>20389.599999999999</v>
      </c>
      <c r="V42" s="88">
        <v>20390.599999999999</v>
      </c>
      <c r="W42" s="88">
        <v>20391.599999999999</v>
      </c>
      <c r="X42" s="88">
        <v>20392.599999999999</v>
      </c>
      <c r="Y42" s="88">
        <v>20393.599999999999</v>
      </c>
      <c r="Z42" s="88">
        <v>20394.599999999999</v>
      </c>
      <c r="AA42" s="88">
        <v>20395.599999999999</v>
      </c>
      <c r="AB42" s="88">
        <v>20396.599999999999</v>
      </c>
      <c r="AC42" s="88">
        <v>20397.599999999999</v>
      </c>
      <c r="AD42" s="88">
        <v>20398.599999999999</v>
      </c>
      <c r="AE42" s="88">
        <v>20399.599999999999</v>
      </c>
      <c r="AF42" s="88">
        <v>20400.599999999999</v>
      </c>
      <c r="AG42" s="88">
        <v>20401.599999999999</v>
      </c>
      <c r="AH42" s="88">
        <v>20402.599999999999</v>
      </c>
      <c r="AI42" s="88">
        <v>20403.599999999999</v>
      </c>
      <c r="AJ42" s="88">
        <v>20404.599999999999</v>
      </c>
      <c r="AK42" s="88">
        <v>20405.599999999999</v>
      </c>
      <c r="AL42" s="88">
        <v>20406.599999999999</v>
      </c>
      <c r="AM42" s="88">
        <v>20407.599999999999</v>
      </c>
      <c r="AN42" s="88">
        <v>20408.599999999999</v>
      </c>
      <c r="AO42" s="88">
        <v>20409.599999999999</v>
      </c>
      <c r="AP42" s="88">
        <v>20410.599999999999</v>
      </c>
      <c r="AQ42" s="88">
        <v>20411.599999999999</v>
      </c>
      <c r="AR42" s="88">
        <v>20412.599999999999</v>
      </c>
      <c r="AS42" s="88">
        <v>20413.599999999999</v>
      </c>
      <c r="AT42" s="88">
        <v>20414.599999999999</v>
      </c>
      <c r="AU42" s="88">
        <v>20415.599999999999</v>
      </c>
      <c r="AV42" s="88">
        <v>20416.599999999999</v>
      </c>
      <c r="AW42" s="88">
        <v>20417.599999999999</v>
      </c>
      <c r="AX42" s="88">
        <v>20418.599999999999</v>
      </c>
      <c r="AY42" s="88">
        <v>20419.599999999999</v>
      </c>
      <c r="AZ42" s="88">
        <v>20420.599999999999</v>
      </c>
      <c r="BA42" s="88">
        <v>20421.599999999999</v>
      </c>
      <c r="BB42" s="88">
        <v>20422.599999999999</v>
      </c>
      <c r="BC42" s="88">
        <v>20423.599999999999</v>
      </c>
      <c r="BD42" s="88">
        <v>20424.599999999999</v>
      </c>
      <c r="BE42" s="88">
        <v>20425.599999999999</v>
      </c>
      <c r="BF42" s="88">
        <v>20426.599999999999</v>
      </c>
      <c r="BG42" s="88">
        <v>20427.599999999999</v>
      </c>
      <c r="BH42" s="88">
        <v>20428.599999999999</v>
      </c>
      <c r="BI42" s="88">
        <v>20429.599999999999</v>
      </c>
      <c r="BJ42" s="88">
        <v>20430.599999999999</v>
      </c>
      <c r="BK42" s="88">
        <v>20431.599999999999</v>
      </c>
      <c r="BL42" s="88">
        <v>20432.599999999999</v>
      </c>
      <c r="BM42" s="88">
        <v>20433.599999999999</v>
      </c>
      <c r="BN42" s="88">
        <v>20434.599999999999</v>
      </c>
      <c r="BO42" s="88">
        <v>20435.599999999999</v>
      </c>
      <c r="BP42" s="88">
        <v>20436.599999999999</v>
      </c>
      <c r="BQ42" s="88">
        <v>20437.599999999999</v>
      </c>
      <c r="BR42" s="88">
        <v>20438.599999999999</v>
      </c>
      <c r="BS42" s="88">
        <v>20439.599999999999</v>
      </c>
      <c r="BT42" s="88">
        <v>20440.599999999999</v>
      </c>
      <c r="BU42" s="88">
        <v>20441.599999999999</v>
      </c>
      <c r="BV42" s="88">
        <v>20442.599999999999</v>
      </c>
      <c r="BW42" s="88">
        <v>20443.599999999999</v>
      </c>
      <c r="BX42" s="88">
        <v>20444.599999999999</v>
      </c>
      <c r="BY42" s="88">
        <v>20445.599999999999</v>
      </c>
      <c r="BZ42" s="88">
        <v>20446.599999999999</v>
      </c>
      <c r="CA42" s="88">
        <v>20447.599999999999</v>
      </c>
      <c r="CB42" s="88">
        <v>20448.599999999999</v>
      </c>
      <c r="CC42" s="88">
        <v>20449.599999999999</v>
      </c>
      <c r="CD42" s="88">
        <v>20450.599999999999</v>
      </c>
      <c r="CE42" s="88">
        <v>20451.599999999999</v>
      </c>
      <c r="CF42" s="88">
        <v>20452.599999999999</v>
      </c>
      <c r="CG42" s="88">
        <v>20453.599999999999</v>
      </c>
      <c r="CH42" s="88">
        <v>20454.599999999999</v>
      </c>
      <c r="CI42" s="88">
        <v>20455.599999999999</v>
      </c>
      <c r="CJ42" s="88">
        <v>20456.599999999999</v>
      </c>
      <c r="CK42" s="88">
        <v>20457.599999999999</v>
      </c>
      <c r="CL42" s="88">
        <v>20458.599999999999</v>
      </c>
      <c r="CM42" s="88">
        <v>20459.599999999999</v>
      </c>
      <c r="CN42" s="88">
        <v>20460.599999999999</v>
      </c>
      <c r="CO42" s="88">
        <v>20461.599999999999</v>
      </c>
      <c r="CP42" s="88">
        <v>20462.599999999999</v>
      </c>
      <c r="CQ42" s="88">
        <v>20463.599999999999</v>
      </c>
      <c r="CR42" s="88">
        <v>20464.599999999999</v>
      </c>
      <c r="CS42" s="88">
        <v>20465.599999999999</v>
      </c>
      <c r="CT42" s="88">
        <v>20466.599999999999</v>
      </c>
      <c r="CU42" s="88">
        <v>20467.599999999999</v>
      </c>
      <c r="CV42" s="88">
        <v>20468.599999999999</v>
      </c>
    </row>
    <row r="43" spans="2:101" x14ac:dyDescent="0.25">
      <c r="C43" s="70" t="s">
        <v>131</v>
      </c>
      <c r="D43" s="71">
        <v>10750.617389999999</v>
      </c>
      <c r="E43" s="71">
        <v>42133052.41539</v>
      </c>
      <c r="F43" s="71">
        <v>-3507459.9703000002</v>
      </c>
      <c r="G43" s="66"/>
      <c r="H43" s="66"/>
      <c r="CT43" s="66"/>
      <c r="CU43" s="66"/>
      <c r="CV43" s="66"/>
    </row>
    <row r="44" spans="2:101" ht="15.75" thickBot="1" x14ac:dyDescent="0.3">
      <c r="C44" s="73" t="s">
        <v>132</v>
      </c>
      <c r="D44" s="74">
        <f>+D42-D43</f>
        <v>9.9999997473787516E-5</v>
      </c>
      <c r="E44" s="74">
        <f>+E42-E43</f>
        <v>0</v>
      </c>
      <c r="F44" s="75">
        <f>+F42-F43</f>
        <v>2.0001083612442017E-5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</row>
    <row r="45" spans="2:101" ht="15.75" thickBot="1" x14ac:dyDescent="0.3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</row>
    <row r="46" spans="2:101" ht="15.75" thickBot="1" x14ac:dyDescent="0.3">
      <c r="D46" s="10">
        <v>9610</v>
      </c>
      <c r="E46" s="80">
        <v>1017142675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2:101" ht="15.75" thickBot="1" x14ac:dyDescent="0.3">
      <c r="D47" s="10">
        <v>8236</v>
      </c>
      <c r="E47" s="80">
        <v>46793289609.849998</v>
      </c>
      <c r="I47" s="66" t="s">
        <v>133</v>
      </c>
      <c r="AL47" s="76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</row>
    <row r="48" spans="2:101" ht="15.75" thickBot="1" x14ac:dyDescent="0.3">
      <c r="D48" s="10">
        <v>9594</v>
      </c>
      <c r="E48" s="80">
        <v>2642411174</v>
      </c>
      <c r="F48" s="81"/>
      <c r="AL48" s="76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</row>
    <row r="49" spans="2:97" x14ac:dyDescent="0.25">
      <c r="C49" s="78"/>
      <c r="E49" s="82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</row>
    <row r="50" spans="2:97" x14ac:dyDescent="0.25"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/>
    </row>
    <row r="51" spans="2:97" x14ac:dyDescent="0.25">
      <c r="CS51"/>
    </row>
    <row r="52" spans="2:97" x14ac:dyDescent="0.25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/>
    </row>
    <row r="53" spans="2:97" x14ac:dyDescent="0.25">
      <c r="CS53"/>
    </row>
    <row r="54" spans="2:97" x14ac:dyDescent="0.25">
      <c r="CS54"/>
    </row>
    <row r="55" spans="2:97" x14ac:dyDescent="0.25">
      <c r="CS55"/>
    </row>
    <row r="58" spans="2:97" x14ac:dyDescent="0.25">
      <c r="B58" s="66"/>
      <c r="C58" s="66"/>
      <c r="D58" s="66"/>
      <c r="E58" s="66"/>
      <c r="F58" s="66"/>
      <c r="G58" s="66"/>
      <c r="H58" s="66"/>
      <c r="CM58"/>
      <c r="CN58"/>
      <c r="CO58"/>
      <c r="CP58"/>
      <c r="CQ58"/>
      <c r="CR58"/>
    </row>
    <row r="59" spans="2:97" x14ac:dyDescent="0.25">
      <c r="B59" s="66"/>
      <c r="C59" s="66"/>
      <c r="D59" s="66"/>
      <c r="E59" s="66"/>
      <c r="F59" s="66"/>
      <c r="G59" s="66"/>
      <c r="H59" s="66"/>
      <c r="CM59"/>
      <c r="CN59"/>
      <c r="CO59"/>
      <c r="CP59"/>
      <c r="CQ59"/>
      <c r="CR59"/>
    </row>
    <row r="60" spans="2:97" x14ac:dyDescent="0.25">
      <c r="B60" s="66"/>
      <c r="C60" s="66"/>
      <c r="D60" s="66"/>
      <c r="E60" s="66"/>
      <c r="F60" s="66"/>
      <c r="G60" s="66"/>
      <c r="H60" s="66"/>
      <c r="CM60"/>
      <c r="CN60"/>
      <c r="CO60"/>
      <c r="CP60"/>
      <c r="CQ60"/>
      <c r="CR60"/>
    </row>
    <row r="61" spans="2:97" x14ac:dyDescent="0.25">
      <c r="B61" s="66"/>
      <c r="C61" s="66"/>
      <c r="D61" s="66"/>
      <c r="E61" s="66"/>
      <c r="F61" s="66"/>
      <c r="G61" s="66"/>
      <c r="H61" s="66"/>
      <c r="CM61"/>
      <c r="CN61"/>
      <c r="CO61"/>
      <c r="CP61"/>
      <c r="CQ61"/>
      <c r="CR61"/>
    </row>
    <row r="62" spans="2:97" x14ac:dyDescent="0.25">
      <c r="B62" s="66"/>
      <c r="C62" s="66"/>
      <c r="D62" s="66"/>
      <c r="E62" s="66"/>
      <c r="F62" s="66"/>
      <c r="G62" s="66"/>
      <c r="H62" s="66"/>
      <c r="CM62"/>
      <c r="CN62"/>
      <c r="CO62"/>
      <c r="CP62"/>
      <c r="CQ62"/>
      <c r="CR62"/>
    </row>
    <row r="63" spans="2:97" x14ac:dyDescent="0.25">
      <c r="B63" s="66"/>
      <c r="C63" s="66"/>
      <c r="D63" s="66"/>
      <c r="E63" s="66"/>
      <c r="F63" s="66"/>
      <c r="G63" s="66"/>
      <c r="H63" s="66"/>
      <c r="CM63"/>
      <c r="CN63"/>
      <c r="CO63"/>
      <c r="CP63"/>
      <c r="CQ63"/>
      <c r="CR63"/>
    </row>
  </sheetData>
  <mergeCells count="1">
    <mergeCell ref="AP2:AP3"/>
  </mergeCells>
  <pageMargins left="0.7" right="0.7" top="0.75" bottom="0.75" header="0.3" footer="0.3"/>
  <pageSetup orientation="portrait" r:id="rId1"/>
  <customProperties>
    <customPr name="QAA_DRILLPATH_NODE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3"/>
  <sheetViews>
    <sheetView zoomScale="112" zoomScaleNormal="112" workbookViewId="0">
      <selection activeCell="BS5" sqref="BS5"/>
    </sheetView>
  </sheetViews>
  <sheetFormatPr baseColWidth="10" defaultRowHeight="15" outlineLevelCol="2" x14ac:dyDescent="0.25"/>
  <cols>
    <col min="1" max="1" width="8.5703125" style="10" customWidth="1"/>
    <col min="2" max="2" width="10" style="10" bestFit="1" customWidth="1"/>
    <col min="3" max="3" width="43" style="10" bestFit="1" customWidth="1"/>
    <col min="4" max="5" width="19.42578125" style="10" bestFit="1" customWidth="1"/>
    <col min="6" max="6" width="21.85546875" style="10" bestFit="1" customWidth="1"/>
    <col min="7" max="7" width="19.5703125" style="10" customWidth="1" outlineLevel="1"/>
    <col min="8" max="8" width="17.85546875" style="10" customWidth="1" outlineLevel="1"/>
    <col min="9" max="9" width="17.85546875" style="66" bestFit="1" customWidth="1"/>
    <col min="10" max="10" width="17.85546875" style="66" customWidth="1" outlineLevel="2"/>
    <col min="11" max="13" width="16.42578125" style="66" customWidth="1" outlineLevel="2"/>
    <col min="14" max="14" width="18.85546875" style="66" customWidth="1" outlineLevel="2"/>
    <col min="15" max="15" width="21" style="66" customWidth="1" outlineLevel="2"/>
    <col min="16" max="17" width="14.140625" style="66" customWidth="1" outlineLevel="2"/>
    <col min="18" max="18" width="16.42578125" style="66" customWidth="1" outlineLevel="2"/>
    <col min="19" max="25" width="18.42578125" style="66" customWidth="1" outlineLevel="2"/>
    <col min="26" max="26" width="18.85546875" style="66" customWidth="1" outlineLevel="2"/>
    <col min="27" max="27" width="21" style="66" customWidth="1" outlineLevel="2"/>
    <col min="28" max="29" width="14.5703125" style="66" customWidth="1" outlineLevel="2"/>
    <col min="30" max="30" width="16.42578125" style="66" customWidth="1" outlineLevel="2"/>
    <col min="31" max="31" width="18.42578125" style="66" customWidth="1" outlineLevel="2"/>
    <col min="32" max="32" width="18.140625" style="66" customWidth="1" outlineLevel="2"/>
    <col min="33" max="33" width="20.140625" style="66" customWidth="1" outlineLevel="2"/>
    <col min="34" max="37" width="14.5703125" style="66" customWidth="1" outlineLevel="2"/>
    <col min="38" max="38" width="14.42578125" style="66" bestFit="1" customWidth="1"/>
    <col min="39" max="40" width="13.42578125" style="66" bestFit="1" customWidth="1"/>
    <col min="41" max="41" width="12.42578125" style="66" bestFit="1" customWidth="1"/>
    <col min="42" max="42" width="17.140625" style="66" bestFit="1" customWidth="1"/>
    <col min="43" max="43" width="17.140625" style="66" customWidth="1"/>
    <col min="44" max="48" width="17.42578125" style="66" customWidth="1" outlineLevel="1"/>
    <col min="49" max="49" width="15.140625" style="66" customWidth="1" outlineLevel="1"/>
    <col min="50" max="50" width="9.85546875" style="66" customWidth="1" outlineLevel="1"/>
    <col min="51" max="51" width="12.5703125" style="66" customWidth="1" outlineLevel="1"/>
    <col min="52" max="52" width="14.42578125" style="66" customWidth="1" outlineLevel="1"/>
    <col min="53" max="53" width="15.140625" style="66" customWidth="1" outlineLevel="1"/>
    <col min="54" max="55" width="11.85546875" style="66" customWidth="1" outlineLevel="1"/>
    <col min="56" max="56" width="12.5703125" style="66" customWidth="1" outlineLevel="1"/>
    <col min="57" max="59" width="16.5703125" style="66" customWidth="1" outlineLevel="1"/>
    <col min="60" max="60" width="15.140625" style="66" customWidth="1" outlineLevel="1"/>
    <col min="61" max="62" width="13.5703125" style="66" customWidth="1" outlineLevel="1"/>
    <col min="63" max="63" width="14.42578125" style="66" customWidth="1" outlineLevel="1"/>
    <col min="64" max="64" width="19.5703125" style="66" customWidth="1" outlineLevel="1"/>
    <col min="65" max="66" width="17.85546875" style="66" customWidth="1" outlineLevel="1"/>
    <col min="67" max="67" width="12.85546875" style="66" customWidth="1" outlineLevel="1"/>
    <col min="68" max="68" width="13.5703125" style="66" customWidth="1" outlineLevel="1"/>
    <col min="69" max="69" width="18.85546875" style="66" customWidth="1" outlineLevel="1"/>
    <col min="70" max="70" width="20.140625" style="66" customWidth="1" outlineLevel="1"/>
    <col min="71" max="73" width="20.140625" style="66" bestFit="1" customWidth="1"/>
    <col min="74" max="76" width="17.42578125" style="66" bestFit="1" customWidth="1"/>
    <col min="77" max="77" width="15.140625" style="66" bestFit="1" customWidth="1"/>
    <col min="78" max="79" width="14.42578125" style="66" bestFit="1" customWidth="1"/>
    <col min="80" max="80" width="15.140625" style="66" bestFit="1" customWidth="1"/>
    <col min="81" max="82" width="15" style="66" bestFit="1" customWidth="1"/>
    <col min="83" max="83" width="15.140625" style="66" bestFit="1" customWidth="1"/>
    <col min="84" max="84" width="10.42578125" style="66" bestFit="1" customWidth="1"/>
    <col min="85" max="85" width="12.5703125" style="66" bestFit="1" customWidth="1"/>
    <col min="86" max="86" width="16.5703125" style="66" bestFit="1" customWidth="1"/>
    <col min="87" max="88" width="19.7109375" style="66" bestFit="1" customWidth="1"/>
    <col min="89" max="89" width="15.5703125" style="66" customWidth="1"/>
    <col min="90" max="90" width="11.28515625" style="66" customWidth="1"/>
    <col min="91" max="91" width="17.85546875" style="66" bestFit="1" customWidth="1"/>
    <col min="92" max="92" width="14.42578125" style="66" customWidth="1"/>
    <col min="93" max="93" width="14.28515625" style="66" bestFit="1" customWidth="1"/>
    <col min="94" max="95" width="19.7109375" style="66" bestFit="1" customWidth="1"/>
    <col min="96" max="96" width="16.5703125" style="66" bestFit="1" customWidth="1"/>
    <col min="97" max="97" width="22" style="66" bestFit="1" customWidth="1"/>
    <col min="98" max="98" width="12" bestFit="1" customWidth="1"/>
    <col min="99" max="99" width="11.5703125" bestFit="1" customWidth="1"/>
    <col min="100" max="100" width="12" bestFit="1" customWidth="1"/>
    <col min="101" max="101" width="15.28515625" bestFit="1" customWidth="1"/>
  </cols>
  <sheetData>
    <row r="1" spans="1:101" ht="28.5" x14ac:dyDescent="0.45">
      <c r="A1" s="1"/>
      <c r="B1" s="1"/>
      <c r="C1" s="1"/>
      <c r="D1" s="2"/>
      <c r="E1" s="3"/>
      <c r="F1" s="3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5"/>
      <c r="AN1" s="5"/>
      <c r="AO1" s="5"/>
      <c r="AP1" s="5"/>
      <c r="AQ1" s="5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6"/>
      <c r="BM1" s="4"/>
      <c r="BN1" s="4"/>
      <c r="BO1" s="4"/>
      <c r="BP1" s="4"/>
      <c r="BQ1" s="4"/>
      <c r="BR1" s="7"/>
      <c r="BS1" s="7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8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spans="1:101" ht="15" customHeight="1" x14ac:dyDescent="0.25">
      <c r="D2" s="11" t="s">
        <v>0</v>
      </c>
      <c r="E2" s="11" t="s">
        <v>1</v>
      </c>
      <c r="F2" s="11" t="s">
        <v>2</v>
      </c>
      <c r="G2" s="12" t="s">
        <v>3</v>
      </c>
      <c r="H2" s="12" t="s">
        <v>4</v>
      </c>
      <c r="I2" s="13" t="s">
        <v>5</v>
      </c>
      <c r="J2" s="12" t="s">
        <v>6</v>
      </c>
      <c r="K2" s="12" t="s">
        <v>0</v>
      </c>
      <c r="L2" s="12" t="s">
        <v>1</v>
      </c>
      <c r="M2" s="12" t="s">
        <v>2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12" t="s">
        <v>12</v>
      </c>
      <c r="T2" s="16" t="s">
        <v>7</v>
      </c>
      <c r="U2" s="16" t="s">
        <v>8</v>
      </c>
      <c r="V2" s="16" t="s">
        <v>134</v>
      </c>
      <c r="W2" s="16" t="s">
        <v>135</v>
      </c>
      <c r="X2" s="16" t="s">
        <v>11</v>
      </c>
      <c r="Y2" s="16" t="s">
        <v>12</v>
      </c>
      <c r="Z2" s="12" t="s">
        <v>7</v>
      </c>
      <c r="AA2" s="12" t="s">
        <v>8</v>
      </c>
      <c r="AB2" s="12" t="s">
        <v>9</v>
      </c>
      <c r="AC2" s="12" t="s">
        <v>10</v>
      </c>
      <c r="AD2" s="12" t="s">
        <v>11</v>
      </c>
      <c r="AE2" s="12" t="s">
        <v>12</v>
      </c>
      <c r="AF2" s="12" t="s">
        <v>13</v>
      </c>
      <c r="AG2" s="12" t="s">
        <v>14</v>
      </c>
      <c r="AH2" s="12" t="s">
        <v>15</v>
      </c>
      <c r="AI2" s="12" t="s">
        <v>16</v>
      </c>
      <c r="AJ2" s="12" t="s">
        <v>17</v>
      </c>
      <c r="AK2" s="12" t="s">
        <v>18</v>
      </c>
      <c r="AL2" s="14" t="s">
        <v>19</v>
      </c>
      <c r="AM2" s="14" t="s">
        <v>20</v>
      </c>
      <c r="AN2" s="15" t="s">
        <v>21</v>
      </c>
      <c r="AO2" s="15" t="s">
        <v>22</v>
      </c>
      <c r="AP2" s="89" t="s">
        <v>23</v>
      </c>
      <c r="AQ2" s="83"/>
      <c r="AR2" s="16" t="s">
        <v>0</v>
      </c>
      <c r="AS2" s="16" t="s">
        <v>24</v>
      </c>
      <c r="AT2" s="12" t="s">
        <v>5</v>
      </c>
      <c r="AU2" s="12" t="s">
        <v>2</v>
      </c>
      <c r="AV2" s="12" t="s">
        <v>19</v>
      </c>
      <c r="AW2" s="12" t="s">
        <v>0</v>
      </c>
      <c r="AX2" s="12" t="s">
        <v>24</v>
      </c>
      <c r="AY2" s="12" t="s">
        <v>2</v>
      </c>
      <c r="AZ2" s="12" t="s">
        <v>19</v>
      </c>
      <c r="BA2" s="12" t="s">
        <v>0</v>
      </c>
      <c r="BB2" s="12" t="s">
        <v>24</v>
      </c>
      <c r="BC2" s="12" t="s">
        <v>5</v>
      </c>
      <c r="BD2" s="12" t="s">
        <v>2</v>
      </c>
      <c r="BE2" s="12" t="s">
        <v>0</v>
      </c>
      <c r="BF2" s="12" t="s">
        <v>24</v>
      </c>
      <c r="BG2" s="17" t="s">
        <v>2</v>
      </c>
      <c r="BH2" s="17" t="s">
        <v>0</v>
      </c>
      <c r="BI2" s="17" t="s">
        <v>24</v>
      </c>
      <c r="BJ2" s="17" t="s">
        <v>2</v>
      </c>
      <c r="BK2" s="17" t="s">
        <v>19</v>
      </c>
      <c r="BL2" s="18" t="s">
        <v>3</v>
      </c>
      <c r="BM2" s="18" t="s">
        <v>4</v>
      </c>
      <c r="BN2" s="18" t="s">
        <v>6</v>
      </c>
      <c r="BO2" s="18" t="s">
        <v>25</v>
      </c>
      <c r="BP2" s="18" t="s">
        <v>26</v>
      </c>
      <c r="BQ2" s="18" t="s">
        <v>27</v>
      </c>
      <c r="BR2" s="14" t="s">
        <v>28</v>
      </c>
      <c r="BS2" s="14" t="s">
        <v>10</v>
      </c>
      <c r="BT2" s="14" t="s">
        <v>29</v>
      </c>
      <c r="BU2" s="14" t="s">
        <v>12</v>
      </c>
      <c r="BV2" s="14" t="s">
        <v>0</v>
      </c>
      <c r="BW2" s="14" t="s">
        <v>1</v>
      </c>
      <c r="BX2" s="14" t="s">
        <v>2</v>
      </c>
      <c r="BY2" s="14" t="s">
        <v>0</v>
      </c>
      <c r="BZ2" s="14" t="s">
        <v>1</v>
      </c>
      <c r="CA2" s="14" t="s">
        <v>2</v>
      </c>
      <c r="CB2" s="14" t="s">
        <v>0</v>
      </c>
      <c r="CC2" s="14" t="s">
        <v>1</v>
      </c>
      <c r="CD2" s="14" t="s">
        <v>2</v>
      </c>
      <c r="CE2" s="14" t="s">
        <v>0</v>
      </c>
      <c r="CF2" s="14" t="s">
        <v>1</v>
      </c>
      <c r="CG2" s="14" t="s">
        <v>2</v>
      </c>
      <c r="CH2" s="14" t="s">
        <v>2</v>
      </c>
      <c r="CI2" s="14" t="s">
        <v>1</v>
      </c>
      <c r="CJ2" s="14" t="s">
        <v>2</v>
      </c>
      <c r="CK2" s="14" t="s">
        <v>1</v>
      </c>
      <c r="CL2" s="14" t="s">
        <v>1</v>
      </c>
      <c r="CM2" s="14" t="s">
        <v>1</v>
      </c>
      <c r="CN2" s="14" t="s">
        <v>1</v>
      </c>
      <c r="CO2" s="14" t="s">
        <v>1</v>
      </c>
      <c r="CP2" s="14" t="s">
        <v>1</v>
      </c>
      <c r="CQ2" s="14" t="s">
        <v>1</v>
      </c>
      <c r="CR2" s="19" t="s">
        <v>30</v>
      </c>
      <c r="CS2" s="85" t="s">
        <v>136</v>
      </c>
      <c r="CT2" s="85" t="s">
        <v>135</v>
      </c>
      <c r="CU2" s="85" t="s">
        <v>29</v>
      </c>
      <c r="CV2" s="85" t="s">
        <v>12</v>
      </c>
      <c r="CW2" s="20" t="s">
        <v>31</v>
      </c>
    </row>
    <row r="3" spans="1:101" ht="60" x14ac:dyDescent="0.25">
      <c r="D3" s="21" t="s">
        <v>32</v>
      </c>
      <c r="E3" s="21" t="s">
        <v>32</v>
      </c>
      <c r="F3" s="21" t="s">
        <v>32</v>
      </c>
      <c r="G3" s="22" t="s">
        <v>32</v>
      </c>
      <c r="H3" s="22" t="s">
        <v>32</v>
      </c>
      <c r="I3" s="23" t="s">
        <v>32</v>
      </c>
      <c r="J3" s="22" t="s">
        <v>32</v>
      </c>
      <c r="K3" s="22" t="s">
        <v>33</v>
      </c>
      <c r="L3" s="22" t="s">
        <v>33</v>
      </c>
      <c r="M3" s="22" t="s">
        <v>33</v>
      </c>
      <c r="N3" s="22" t="s">
        <v>34</v>
      </c>
      <c r="O3" s="22" t="s">
        <v>34</v>
      </c>
      <c r="P3" s="22" t="s">
        <v>34</v>
      </c>
      <c r="Q3" s="22" t="s">
        <v>34</v>
      </c>
      <c r="R3" s="22" t="s">
        <v>34</v>
      </c>
      <c r="S3" s="22" t="s">
        <v>34</v>
      </c>
      <c r="T3" s="24" t="s">
        <v>137</v>
      </c>
      <c r="U3" s="24" t="s">
        <v>137</v>
      </c>
      <c r="V3" s="24" t="s">
        <v>137</v>
      </c>
      <c r="W3" s="24" t="s">
        <v>137</v>
      </c>
      <c r="X3" s="24" t="s">
        <v>137</v>
      </c>
      <c r="Y3" s="24" t="s">
        <v>137</v>
      </c>
      <c r="Z3" s="22" t="s">
        <v>35</v>
      </c>
      <c r="AA3" s="22" t="s">
        <v>35</v>
      </c>
      <c r="AB3" s="22" t="s">
        <v>35</v>
      </c>
      <c r="AC3" s="22" t="s">
        <v>35</v>
      </c>
      <c r="AD3" s="22" t="s">
        <v>35</v>
      </c>
      <c r="AE3" s="22" t="s">
        <v>35</v>
      </c>
      <c r="AF3" s="22" t="s">
        <v>35</v>
      </c>
      <c r="AG3" s="22" t="s">
        <v>35</v>
      </c>
      <c r="AH3" s="22" t="s">
        <v>35</v>
      </c>
      <c r="AI3" s="22" t="s">
        <v>35</v>
      </c>
      <c r="AJ3" s="22" t="s">
        <v>35</v>
      </c>
      <c r="AK3" s="22" t="s">
        <v>35</v>
      </c>
      <c r="AL3" s="23" t="s">
        <v>36</v>
      </c>
      <c r="AM3" s="23" t="s">
        <v>36</v>
      </c>
      <c r="AN3" s="23"/>
      <c r="AO3" s="23"/>
      <c r="AP3" s="90"/>
      <c r="AQ3" s="84" t="s">
        <v>37</v>
      </c>
      <c r="AR3" s="24" t="s">
        <v>38</v>
      </c>
      <c r="AS3" s="24" t="s">
        <v>38</v>
      </c>
      <c r="AT3" s="22" t="s">
        <v>38</v>
      </c>
      <c r="AU3" s="22" t="s">
        <v>38</v>
      </c>
      <c r="AV3" s="22" t="s">
        <v>38</v>
      </c>
      <c r="AW3" s="22" t="s">
        <v>39</v>
      </c>
      <c r="AX3" s="22" t="s">
        <v>39</v>
      </c>
      <c r="AY3" s="22" t="s">
        <v>39</v>
      </c>
      <c r="AZ3" s="22" t="s">
        <v>39</v>
      </c>
      <c r="BA3" s="22" t="s">
        <v>40</v>
      </c>
      <c r="BB3" s="22" t="s">
        <v>40</v>
      </c>
      <c r="BC3" s="22" t="s">
        <v>40</v>
      </c>
      <c r="BD3" s="22" t="s">
        <v>40</v>
      </c>
      <c r="BE3" s="22" t="s">
        <v>41</v>
      </c>
      <c r="BF3" s="22" t="s">
        <v>41</v>
      </c>
      <c r="BG3" s="22" t="s">
        <v>41</v>
      </c>
      <c r="BH3" s="22" t="s">
        <v>42</v>
      </c>
      <c r="BI3" s="22" t="s">
        <v>42</v>
      </c>
      <c r="BJ3" s="22" t="s">
        <v>42</v>
      </c>
      <c r="BK3" s="22" t="s">
        <v>42</v>
      </c>
      <c r="BL3" s="24" t="s">
        <v>32</v>
      </c>
      <c r="BM3" s="24" t="s">
        <v>32</v>
      </c>
      <c r="BN3" s="24" t="s">
        <v>32</v>
      </c>
      <c r="BO3" s="25" t="s">
        <v>4</v>
      </c>
      <c r="BP3" s="25" t="s">
        <v>4</v>
      </c>
      <c r="BQ3" s="25" t="s">
        <v>4</v>
      </c>
      <c r="BR3" s="84" t="s">
        <v>43</v>
      </c>
      <c r="BS3" s="84" t="s">
        <v>43</v>
      </c>
      <c r="BT3" s="84" t="s">
        <v>43</v>
      </c>
      <c r="BU3" s="84" t="s">
        <v>43</v>
      </c>
      <c r="BV3" s="84" t="s">
        <v>38</v>
      </c>
      <c r="BW3" s="84" t="s">
        <v>38</v>
      </c>
      <c r="BX3" s="84" t="s">
        <v>38</v>
      </c>
      <c r="BY3" s="84" t="s">
        <v>42</v>
      </c>
      <c r="BZ3" s="84" t="s">
        <v>42</v>
      </c>
      <c r="CA3" s="84" t="s">
        <v>42</v>
      </c>
      <c r="CB3" s="84" t="s">
        <v>44</v>
      </c>
      <c r="CC3" s="84" t="s">
        <v>44</v>
      </c>
      <c r="CD3" s="84" t="s">
        <v>44</v>
      </c>
      <c r="CE3" s="84" t="s">
        <v>45</v>
      </c>
      <c r="CF3" s="84" t="s">
        <v>45</v>
      </c>
      <c r="CG3" s="84" t="s">
        <v>45</v>
      </c>
      <c r="CH3" s="84" t="s">
        <v>41</v>
      </c>
      <c r="CI3" s="84" t="s">
        <v>46</v>
      </c>
      <c r="CJ3" s="84" t="s">
        <v>46</v>
      </c>
      <c r="CK3" s="26" t="s">
        <v>47</v>
      </c>
      <c r="CL3" s="26" t="s">
        <v>47</v>
      </c>
      <c r="CM3" s="26" t="s">
        <v>32</v>
      </c>
      <c r="CN3" s="26" t="s">
        <v>42</v>
      </c>
      <c r="CO3" s="26" t="s">
        <v>48</v>
      </c>
      <c r="CP3" s="26" t="s">
        <v>46</v>
      </c>
      <c r="CQ3" s="26" t="s">
        <v>46</v>
      </c>
      <c r="CR3" s="86" t="s">
        <v>49</v>
      </c>
      <c r="CS3" s="87" t="s">
        <v>138</v>
      </c>
      <c r="CT3" s="87" t="s">
        <v>138</v>
      </c>
      <c r="CU3" s="87" t="s">
        <v>138</v>
      </c>
      <c r="CV3" s="87" t="s">
        <v>138</v>
      </c>
      <c r="CW3" s="27"/>
    </row>
    <row r="4" spans="1:101" x14ac:dyDescent="0.25">
      <c r="A4" s="28"/>
      <c r="B4" s="29" t="s">
        <v>50</v>
      </c>
      <c r="C4" s="30" t="s">
        <v>51</v>
      </c>
      <c r="D4" s="31" t="s">
        <v>52</v>
      </c>
      <c r="E4" s="31" t="s">
        <v>53</v>
      </c>
      <c r="F4" s="31" t="s">
        <v>54</v>
      </c>
      <c r="G4" s="32">
        <v>482800001265</v>
      </c>
      <c r="H4" s="32">
        <v>482800001273</v>
      </c>
      <c r="I4" s="32">
        <v>482800002024</v>
      </c>
      <c r="J4" s="32">
        <v>482800001257</v>
      </c>
      <c r="K4" s="32" t="s">
        <v>55</v>
      </c>
      <c r="L4" s="32" t="s">
        <v>56</v>
      </c>
      <c r="M4" s="32" t="s">
        <v>57</v>
      </c>
      <c r="N4" s="32">
        <v>36203301</v>
      </c>
      <c r="O4" s="32">
        <v>36203301</v>
      </c>
      <c r="P4" s="32">
        <v>36203328</v>
      </c>
      <c r="Q4" s="32">
        <v>36203328</v>
      </c>
      <c r="R4" s="32">
        <v>36025015</v>
      </c>
      <c r="S4" s="32">
        <v>36025015</v>
      </c>
      <c r="T4" s="32"/>
      <c r="U4" s="32"/>
      <c r="V4" s="32"/>
      <c r="W4" s="32"/>
      <c r="X4" s="32"/>
      <c r="Y4" s="32"/>
      <c r="Z4" s="32">
        <v>865784010</v>
      </c>
      <c r="AA4" s="32">
        <v>865784010</v>
      </c>
      <c r="AB4" s="32">
        <v>865804010</v>
      </c>
      <c r="AC4" s="32">
        <v>865804010</v>
      </c>
      <c r="AD4" s="32">
        <v>865794010</v>
      </c>
      <c r="AE4" s="32">
        <v>865794010</v>
      </c>
      <c r="AF4" s="32" t="s">
        <v>58</v>
      </c>
      <c r="AG4" s="32" t="s">
        <v>58</v>
      </c>
      <c r="AH4" s="32" t="s">
        <v>59</v>
      </c>
      <c r="AI4" s="32" t="s">
        <v>59</v>
      </c>
      <c r="AJ4" s="32" t="s">
        <v>60</v>
      </c>
      <c r="AK4" s="32" t="s">
        <v>60</v>
      </c>
      <c r="AL4" s="33"/>
      <c r="AM4" s="33"/>
      <c r="AN4" s="33"/>
      <c r="AO4" s="33"/>
      <c r="AP4" s="33"/>
      <c r="AQ4" s="33">
        <v>3642</v>
      </c>
      <c r="AR4" s="33" t="s">
        <v>61</v>
      </c>
      <c r="AS4" s="33" t="s">
        <v>62</v>
      </c>
      <c r="AT4" s="33" t="s">
        <v>63</v>
      </c>
      <c r="AU4" s="33" t="s">
        <v>64</v>
      </c>
      <c r="AV4" s="33" t="s">
        <v>65</v>
      </c>
      <c r="AW4" s="33" t="s">
        <v>66</v>
      </c>
      <c r="AX4" s="33" t="s">
        <v>67</v>
      </c>
      <c r="AY4" s="33" t="s">
        <v>68</v>
      </c>
      <c r="AZ4" s="33" t="s">
        <v>69</v>
      </c>
      <c r="BA4" s="33" t="s">
        <v>70</v>
      </c>
      <c r="BB4" s="33" t="s">
        <v>71</v>
      </c>
      <c r="BC4" s="33" t="s">
        <v>72</v>
      </c>
      <c r="BD4" s="33" t="s">
        <v>73</v>
      </c>
      <c r="BE4" s="33" t="s">
        <v>74</v>
      </c>
      <c r="BF4" s="33" t="s">
        <v>75</v>
      </c>
      <c r="BG4" s="33" t="s">
        <v>76</v>
      </c>
      <c r="BH4" s="33" t="s">
        <v>77</v>
      </c>
      <c r="BI4" s="33" t="s">
        <v>78</v>
      </c>
      <c r="BJ4" s="33" t="s">
        <v>79</v>
      </c>
      <c r="BK4" s="33" t="s">
        <v>80</v>
      </c>
      <c r="BL4" s="34">
        <v>482800007882</v>
      </c>
      <c r="BM4" s="34">
        <v>482800007908</v>
      </c>
      <c r="BN4" s="34">
        <v>482800007890</v>
      </c>
      <c r="BO4" s="34">
        <v>482800010001</v>
      </c>
      <c r="BP4" s="34">
        <v>482800010019</v>
      </c>
      <c r="BQ4" s="34">
        <v>482800010027</v>
      </c>
      <c r="BR4" s="33">
        <v>36024995</v>
      </c>
      <c r="BS4" s="33">
        <v>36024995</v>
      </c>
      <c r="BT4" s="33">
        <v>36903922</v>
      </c>
      <c r="BU4" s="33">
        <v>36903922</v>
      </c>
      <c r="BV4" s="33">
        <v>36294346</v>
      </c>
      <c r="BW4" s="33" t="s">
        <v>81</v>
      </c>
      <c r="BX4" s="33">
        <v>36294353</v>
      </c>
      <c r="BY4" s="33" t="s">
        <v>82</v>
      </c>
      <c r="BZ4" s="33" t="s">
        <v>83</v>
      </c>
      <c r="CA4" s="33" t="s">
        <v>84</v>
      </c>
      <c r="CB4" s="33" t="s">
        <v>85</v>
      </c>
      <c r="CC4" s="33" t="s">
        <v>86</v>
      </c>
      <c r="CD4" s="33" t="s">
        <v>87</v>
      </c>
      <c r="CE4" s="33" t="s">
        <v>88</v>
      </c>
      <c r="CF4" s="33" t="s">
        <v>89</v>
      </c>
      <c r="CG4" s="33" t="s">
        <v>90</v>
      </c>
      <c r="CH4" s="33" t="s">
        <v>91</v>
      </c>
      <c r="CI4" s="33">
        <v>221816614</v>
      </c>
      <c r="CJ4" s="33">
        <v>221816598</v>
      </c>
      <c r="CK4" s="33">
        <v>60193029</v>
      </c>
      <c r="CL4" s="33">
        <v>60193401</v>
      </c>
      <c r="CM4" s="33">
        <v>1011143807</v>
      </c>
      <c r="CN4" s="33">
        <v>4801736642</v>
      </c>
      <c r="CO4" s="33">
        <v>65005340</v>
      </c>
      <c r="CP4" s="33">
        <v>288086051</v>
      </c>
      <c r="CQ4" s="33">
        <v>288049109</v>
      </c>
      <c r="CR4" s="33">
        <v>411166042</v>
      </c>
      <c r="CS4" s="33">
        <v>865804015</v>
      </c>
      <c r="CT4" s="33">
        <v>865804015</v>
      </c>
      <c r="CU4" s="33">
        <v>865794015</v>
      </c>
      <c r="CV4" s="33">
        <v>865794015</v>
      </c>
      <c r="CW4" s="35"/>
    </row>
    <row r="5" spans="1:101" x14ac:dyDescent="0.25">
      <c r="B5" s="36"/>
      <c r="C5" s="37" t="s">
        <v>92</v>
      </c>
      <c r="D5" s="38"/>
      <c r="E5" s="38" t="s">
        <v>93</v>
      </c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9"/>
      <c r="AI5" s="39"/>
      <c r="AJ5" s="39"/>
      <c r="AK5" s="39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>
        <v>4.1654099999999996</v>
      </c>
      <c r="BT5" s="37"/>
      <c r="BU5" s="37">
        <f>+BS5</f>
        <v>4.1654099999999996</v>
      </c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40"/>
    </row>
    <row r="6" spans="1:101" x14ac:dyDescent="0.25">
      <c r="B6" s="36"/>
      <c r="C6" s="37" t="s">
        <v>94</v>
      </c>
      <c r="D6" s="37">
        <f>+D7-D8</f>
        <v>-17752.513810000499</v>
      </c>
      <c r="E6" s="37">
        <f>+E7-E8</f>
        <v>607647.25908545405</v>
      </c>
      <c r="F6" s="37">
        <f>+F7-F8</f>
        <v>-398111.44354150724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9"/>
      <c r="AI6" s="39"/>
      <c r="AJ6" s="39"/>
      <c r="AK6" s="39"/>
      <c r="AL6" s="37">
        <f t="shared" ref="AL6:BQ6" si="0">+AL7-AL8</f>
        <v>-4414.6133800782263</v>
      </c>
      <c r="AM6" s="37">
        <f t="shared" si="0"/>
        <v>-276.28371354192495</v>
      </c>
      <c r="AN6" s="37">
        <f t="shared" si="0"/>
        <v>-55.758170001208782</v>
      </c>
      <c r="AO6" s="37">
        <f t="shared" si="0"/>
        <v>84.676068560336716</v>
      </c>
      <c r="AP6" s="37">
        <f t="shared" si="0"/>
        <v>-201.05616375803947</v>
      </c>
      <c r="AQ6" s="37">
        <f t="shared" si="0"/>
        <v>-88.510892160236835</v>
      </c>
      <c r="AR6" s="37">
        <f t="shared" si="0"/>
        <v>0</v>
      </c>
      <c r="AS6" s="37">
        <f t="shared" si="0"/>
        <v>0</v>
      </c>
      <c r="AT6" s="37">
        <f t="shared" si="0"/>
        <v>0</v>
      </c>
      <c r="AU6" s="37">
        <f t="shared" si="0"/>
        <v>0</v>
      </c>
      <c r="AV6" s="37">
        <f t="shared" si="0"/>
        <v>0</v>
      </c>
      <c r="AW6" s="37">
        <f t="shared" si="0"/>
        <v>0</v>
      </c>
      <c r="AX6" s="37">
        <f t="shared" si="0"/>
        <v>0</v>
      </c>
      <c r="AY6" s="37">
        <f t="shared" si="0"/>
        <v>0</v>
      </c>
      <c r="AZ6" s="37">
        <f t="shared" si="0"/>
        <v>0</v>
      </c>
      <c r="BA6" s="37">
        <f t="shared" si="0"/>
        <v>0</v>
      </c>
      <c r="BB6" s="37">
        <f t="shared" si="0"/>
        <v>0</v>
      </c>
      <c r="BC6" s="37">
        <f t="shared" si="0"/>
        <v>0</v>
      </c>
      <c r="BD6" s="37">
        <f t="shared" si="0"/>
        <v>0</v>
      </c>
      <c r="BE6" s="37">
        <f t="shared" si="0"/>
        <v>0</v>
      </c>
      <c r="BF6" s="37">
        <f t="shared" si="0"/>
        <v>0</v>
      </c>
      <c r="BG6" s="37">
        <f t="shared" si="0"/>
        <v>0</v>
      </c>
      <c r="BH6" s="37">
        <f t="shared" si="0"/>
        <v>0</v>
      </c>
      <c r="BI6" s="37">
        <f t="shared" si="0"/>
        <v>0</v>
      </c>
      <c r="BJ6" s="37">
        <f t="shared" si="0"/>
        <v>0</v>
      </c>
      <c r="BK6" s="37">
        <f t="shared" si="0"/>
        <v>0</v>
      </c>
      <c r="BL6" s="37">
        <f t="shared" si="0"/>
        <v>0</v>
      </c>
      <c r="BM6" s="37">
        <f t="shared" si="0"/>
        <v>0</v>
      </c>
      <c r="BN6" s="37">
        <f t="shared" si="0"/>
        <v>0</v>
      </c>
      <c r="BO6" s="37">
        <f t="shared" si="0"/>
        <v>0</v>
      </c>
      <c r="BP6" s="37">
        <f t="shared" si="0"/>
        <v>0</v>
      </c>
      <c r="BQ6" s="37">
        <f t="shared" si="0"/>
        <v>0</v>
      </c>
      <c r="BR6" s="37"/>
      <c r="BS6" s="37"/>
      <c r="BT6" s="37"/>
      <c r="BU6" s="37"/>
      <c r="BV6" s="37">
        <f>+BV7-BV8-422.17</f>
        <v>-422.17</v>
      </c>
      <c r="BW6" s="37">
        <f t="shared" ref="BW6:CR6" si="1">+BW7-BW8</f>
        <v>0</v>
      </c>
      <c r="BX6" s="37">
        <f t="shared" si="1"/>
        <v>0</v>
      </c>
      <c r="BY6" s="37">
        <f t="shared" si="1"/>
        <v>22297.311630000011</v>
      </c>
      <c r="BZ6" s="37">
        <f t="shared" si="1"/>
        <v>137914.51678000018</v>
      </c>
      <c r="CA6" s="37">
        <f t="shared" si="1"/>
        <v>189553.77163999993</v>
      </c>
      <c r="CB6" s="37">
        <f t="shared" si="1"/>
        <v>-2.4000000121304765E-4</v>
      </c>
      <c r="CC6" s="37">
        <f t="shared" si="1"/>
        <v>-4.1799998143687844E-3</v>
      </c>
      <c r="CD6" s="37">
        <f>+[1]Otrosbancos!$R$29</f>
        <v>0</v>
      </c>
      <c r="CE6" s="37">
        <f t="shared" si="1"/>
        <v>-15.889999999999418</v>
      </c>
      <c r="CF6" s="37">
        <f t="shared" si="1"/>
        <v>26074.699000000022</v>
      </c>
      <c r="CG6" s="37">
        <f t="shared" si="1"/>
        <v>0</v>
      </c>
      <c r="CH6" s="37">
        <f t="shared" si="1"/>
        <v>0</v>
      </c>
      <c r="CI6" s="37">
        <f t="shared" si="1"/>
        <v>1960.8025099999504</v>
      </c>
      <c r="CJ6" s="37">
        <f t="shared" si="1"/>
        <v>24194.539760000014</v>
      </c>
      <c r="CK6" s="37">
        <f t="shared" si="1"/>
        <v>0</v>
      </c>
      <c r="CL6" s="37">
        <f t="shared" si="1"/>
        <v>0</v>
      </c>
      <c r="CM6" s="37">
        <f t="shared" si="1"/>
        <v>-1.4999999257270247E-4</v>
      </c>
      <c r="CN6" s="37">
        <f t="shared" si="1"/>
        <v>-2.9699999140575528E-3</v>
      </c>
      <c r="CO6" s="37">
        <f t="shared" si="1"/>
        <v>4.6400002902373672E-3</v>
      </c>
      <c r="CP6" s="37">
        <f t="shared" si="1"/>
        <v>-2.7600005269050598E-3</v>
      </c>
      <c r="CQ6" s="37">
        <f t="shared" si="1"/>
        <v>216.65003000001889</v>
      </c>
      <c r="CR6" s="37">
        <f t="shared" si="1"/>
        <v>-6.7999896054971032E-4</v>
      </c>
      <c r="CS6" s="37">
        <f>+CS7-CS8</f>
        <v>-5000</v>
      </c>
      <c r="CT6" s="37">
        <f>+CT7-CT8</f>
        <v>-20468.599999999999</v>
      </c>
      <c r="CU6" s="37">
        <f>+CU7-CU8</f>
        <v>-5000</v>
      </c>
      <c r="CV6" s="37">
        <f>+CV7-CV8</f>
        <v>-20468.599999999999</v>
      </c>
      <c r="CW6" s="37"/>
    </row>
    <row r="7" spans="1:101" x14ac:dyDescent="0.25">
      <c r="A7" s="41"/>
      <c r="B7" s="42"/>
      <c r="C7" s="43" t="s">
        <v>95</v>
      </c>
      <c r="D7" s="43">
        <f>+'[1]Cap,Bol,Cls'!$R$4</f>
        <v>424443.36139999999</v>
      </c>
      <c r="E7" s="43">
        <f>+'[1]Cap,Bol,Cls'!$R$13</f>
        <v>49900521.402079999</v>
      </c>
      <c r="F7" s="43">
        <f>+'[1]Cap,Bol,Cls'!$R$30</f>
        <v>7294814.7121299999</v>
      </c>
      <c r="G7" s="43">
        <f>+G8</f>
        <v>0</v>
      </c>
      <c r="H7" s="43">
        <f>+H8</f>
        <v>0</v>
      </c>
      <c r="I7" s="43">
        <f>+'[1]Cap,Bol,Cls'!$R$24</f>
        <v>113076.35589000001</v>
      </c>
      <c r="J7" s="43">
        <f>+J8</f>
        <v>0</v>
      </c>
      <c r="K7" s="43">
        <f>+K8</f>
        <v>135652.65850014306</v>
      </c>
      <c r="L7" s="43">
        <f>+L8</f>
        <v>206716.71332101536</v>
      </c>
      <c r="M7" s="43">
        <f>+M8</f>
        <v>180314.32847686653</v>
      </c>
      <c r="N7" s="43">
        <f>+N8</f>
        <v>177310.5199999999</v>
      </c>
      <c r="O7" s="43">
        <f t="shared" ref="O7:AK7" si="2">+O8</f>
        <v>743248.15264999995</v>
      </c>
      <c r="P7" s="43">
        <f t="shared" si="2"/>
        <v>20538239.280000009</v>
      </c>
      <c r="Q7" s="43">
        <f t="shared" si="2"/>
        <v>118966958.3604399</v>
      </c>
      <c r="R7" s="43">
        <f t="shared" si="2"/>
        <v>995138.35</v>
      </c>
      <c r="S7" s="43">
        <f t="shared" si="2"/>
        <v>4489071.7104869988</v>
      </c>
      <c r="T7" s="43"/>
      <c r="U7" s="43"/>
      <c r="V7" s="43"/>
      <c r="W7" s="43"/>
      <c r="X7" s="43"/>
      <c r="Y7" s="43"/>
      <c r="Z7" s="43">
        <f t="shared" si="2"/>
        <v>9662.5274983807467</v>
      </c>
      <c r="AA7" s="43">
        <f t="shared" si="2"/>
        <v>40503.29</v>
      </c>
      <c r="AB7" s="43">
        <f t="shared" si="2"/>
        <v>7542.7499999967404</v>
      </c>
      <c r="AC7" s="43">
        <f t="shared" si="2"/>
        <v>31617.62</v>
      </c>
      <c r="AD7" s="43">
        <f t="shared" si="2"/>
        <v>5155</v>
      </c>
      <c r="AE7" s="43">
        <f t="shared" si="2"/>
        <v>21608.68</v>
      </c>
      <c r="AF7" s="43">
        <f t="shared" si="2"/>
        <v>7956.8699999451637</v>
      </c>
      <c r="AG7" s="43">
        <f t="shared" si="2"/>
        <v>33353.53</v>
      </c>
      <c r="AH7" s="43">
        <f t="shared" si="2"/>
        <v>195459.03999999719</v>
      </c>
      <c r="AI7" s="43">
        <f t="shared" si="2"/>
        <v>819134.7964617</v>
      </c>
      <c r="AJ7" s="43">
        <f t="shared" si="2"/>
        <v>673596.71999999823</v>
      </c>
      <c r="AK7" s="43">
        <f t="shared" si="2"/>
        <v>2823324.1679230896</v>
      </c>
      <c r="AL7" s="43">
        <f>+[1]Inversoras!$R$56</f>
        <v>21876543.56402</v>
      </c>
      <c r="AM7" s="43">
        <f>+[1]Inversoras!$R$57</f>
        <v>59660133.990799993</v>
      </c>
      <c r="AN7" s="43">
        <f>+[1]Inversoras!$R$58</f>
        <v>6480050.7739899997</v>
      </c>
      <c r="AO7" s="43">
        <f>+[1]Inversoras!$R$59</f>
        <v>957527.65222000005</v>
      </c>
      <c r="AP7" s="43">
        <f>+[1]Inversoras!$R$60</f>
        <v>8463067.4248799998</v>
      </c>
      <c r="AQ7" s="43">
        <f>+[1]Inversoras!$R$61</f>
        <v>1734762.6184400001</v>
      </c>
      <c r="AR7" s="43">
        <f>+AR8</f>
        <v>33752.683643993005</v>
      </c>
      <c r="AS7" s="43">
        <f t="shared" ref="AS7:BQ7" si="3">+AS8</f>
        <v>6.2719079996137461</v>
      </c>
      <c r="AT7" s="43">
        <f t="shared" si="3"/>
        <v>11.210432002509913</v>
      </c>
      <c r="AU7" s="43">
        <f t="shared" si="3"/>
        <v>70709.869203997281</v>
      </c>
      <c r="AV7" s="43">
        <f t="shared" si="3"/>
        <v>523662.90839880263</v>
      </c>
      <c r="AW7" s="43">
        <f t="shared" si="3"/>
        <v>85667.9885699968</v>
      </c>
      <c r="AX7" s="43">
        <f t="shared" si="3"/>
        <v>1041.3974240010875</v>
      </c>
      <c r="AY7" s="43">
        <f t="shared" si="3"/>
        <v>59646.012311997983</v>
      </c>
      <c r="AZ7" s="43">
        <f t="shared" si="3"/>
        <v>23267.345377323236</v>
      </c>
      <c r="BA7" s="43">
        <f t="shared" si="3"/>
        <v>202582.84972400693</v>
      </c>
      <c r="BB7" s="43">
        <f t="shared" si="3"/>
        <v>70153.265219991154</v>
      </c>
      <c r="BC7" s="43">
        <f t="shared" si="3"/>
        <v>267611.70384799869</v>
      </c>
      <c r="BD7" s="43">
        <f t="shared" si="3"/>
        <v>17098.572599989831</v>
      </c>
      <c r="BE7" s="43">
        <f t="shared" si="3"/>
        <v>256586.81289368056</v>
      </c>
      <c r="BF7" s="43">
        <f t="shared" si="3"/>
        <v>321949.5492303599</v>
      </c>
      <c r="BG7" s="43">
        <f t="shared" si="3"/>
        <v>35109.232018882758</v>
      </c>
      <c r="BH7" s="43">
        <f t="shared" si="3"/>
        <v>27273.514880002102</v>
      </c>
      <c r="BI7" s="43">
        <f t="shared" si="3"/>
        <v>630661.83776839031</v>
      </c>
      <c r="BJ7" s="43">
        <f t="shared" si="3"/>
        <v>197783.28604456017</v>
      </c>
      <c r="BK7" s="43">
        <f t="shared" si="3"/>
        <v>3408870.6208220124</v>
      </c>
      <c r="BL7" s="43">
        <f t="shared" si="3"/>
        <v>113032.08291244607</v>
      </c>
      <c r="BM7" s="43">
        <f t="shared" si="3"/>
        <v>1071586.051567151</v>
      </c>
      <c r="BN7" s="43">
        <f t="shared" si="3"/>
        <v>1221434.9565773793</v>
      </c>
      <c r="BO7" s="43">
        <f t="shared" si="3"/>
        <v>3.4691202304202307E-3</v>
      </c>
      <c r="BP7" s="43">
        <f t="shared" si="3"/>
        <v>255.9261093290655</v>
      </c>
      <c r="BQ7" s="43">
        <f t="shared" si="3"/>
        <v>4.0128798844989433E-3</v>
      </c>
      <c r="BR7" s="43">
        <f>+[1]Otrosbancos!$R$49</f>
        <v>645623.82000000007</v>
      </c>
      <c r="BS7" s="43">
        <f>+BS8</f>
        <v>2662944.0693795886</v>
      </c>
      <c r="BT7" s="43">
        <f>+[1]Otrosbancos!$R$51</f>
        <v>1087022.54</v>
      </c>
      <c r="BU7" s="43">
        <f>+BU8</f>
        <v>880872.39922859101</v>
      </c>
      <c r="BV7" s="43">
        <f>+BV8+BV5</f>
        <v>8400.1908600000006</v>
      </c>
      <c r="BW7" s="43">
        <f>+BW8+BW5</f>
        <v>384552.75899000082</v>
      </c>
      <c r="BX7" s="43">
        <f>+BX8+BX5</f>
        <v>12663.664475599246</v>
      </c>
      <c r="BY7" s="43">
        <f>+[1]Otrosbancos!$R$5</f>
        <v>777104.51563000004</v>
      </c>
      <c r="BZ7" s="43">
        <f>+[1]Otrosbancos!$R$10</f>
        <v>9547135.7597800009</v>
      </c>
      <c r="CA7" s="43">
        <f>+[1]Otrosbancos!$R$15</f>
        <v>4637808.6724100001</v>
      </c>
      <c r="CB7" s="43">
        <f>+[1]Otrosbancos!$R$23</f>
        <v>18918.565999999999</v>
      </c>
      <c r="CC7" s="43">
        <f>+[1]Otrosbancos!$R$26</f>
        <v>899809.02500000002</v>
      </c>
      <c r="CD7" s="43">
        <f>+[1]Otrosbancos!$R$29</f>
        <v>0</v>
      </c>
      <c r="CE7" s="43">
        <f>+[1]Otrosbancos!$R$33</f>
        <v>27020.612000000001</v>
      </c>
      <c r="CF7" s="43">
        <f>+[1]Otrosbancos!$R$37</f>
        <v>554227.89859</v>
      </c>
      <c r="CG7" s="43">
        <f>+[1]Otrosbancos!$R$41</f>
        <v>193030.94500000001</v>
      </c>
      <c r="CH7" s="43">
        <f>+[1]Otrosbancos!$R$46</f>
        <v>2.9318200000000001</v>
      </c>
      <c r="CI7" s="43">
        <f>+[1]Otrosbancos!$R$54</f>
        <v>981611.56250999996</v>
      </c>
      <c r="CJ7" s="43">
        <f>+[1]Otrosbancos!$R$56</f>
        <v>336947.23775999999</v>
      </c>
      <c r="CK7" s="43">
        <f>+[1]Liberty!$R$3</f>
        <v>0</v>
      </c>
      <c r="CL7" s="43">
        <f>+[1]Liberty!$R$4</f>
        <v>0</v>
      </c>
      <c r="CM7" s="43">
        <f>+[1]Liberty!$R$6</f>
        <v>79545.214000000007</v>
      </c>
      <c r="CN7" s="43">
        <f>+[1]Liberty!$R$8</f>
        <v>662749.23600000003</v>
      </c>
      <c r="CO7" s="43">
        <f>+[1]Liberty!$R$10</f>
        <v>736440.24595999997</v>
      </c>
      <c r="CP7" s="43">
        <f>+[1]Liberty!$R$12</f>
        <v>9152723.6699999999</v>
      </c>
      <c r="CQ7" s="43">
        <f>+[1]Liberty!$R$13</f>
        <v>378135.14942999999</v>
      </c>
      <c r="CR7" s="43">
        <f>+[1]Otrosbancos!$R$58</f>
        <v>20872.374</v>
      </c>
      <c r="CS7" s="43">
        <v>0</v>
      </c>
      <c r="CT7" s="43">
        <v>0</v>
      </c>
      <c r="CU7" s="43">
        <v>0</v>
      </c>
      <c r="CV7" s="43">
        <v>0</v>
      </c>
      <c r="CW7" s="43">
        <f>SUM(D7:CV7)</f>
        <v>351332425.93739992</v>
      </c>
    </row>
    <row r="8" spans="1:101" x14ac:dyDescent="0.25">
      <c r="A8" s="41"/>
      <c r="B8" s="44" t="s">
        <v>96</v>
      </c>
      <c r="C8" s="45" t="s">
        <v>97</v>
      </c>
      <c r="D8" s="45">
        <f>+'May, 23'!D40</f>
        <v>442195.87521000049</v>
      </c>
      <c r="E8" s="45">
        <f>+'May, 23'!E40</f>
        <v>49292874.142994545</v>
      </c>
      <c r="F8" s="45">
        <f>+'May, 23'!F40</f>
        <v>7692926.1556715071</v>
      </c>
      <c r="G8" s="45">
        <f>+'May, 23'!G40</f>
        <v>0</v>
      </c>
      <c r="H8" s="45">
        <f>+'May, 23'!H40</f>
        <v>0</v>
      </c>
      <c r="I8" s="45">
        <f>+'May, 23'!I40</f>
        <v>113018.00932999424</v>
      </c>
      <c r="J8" s="45">
        <f>+'May, 23'!J40</f>
        <v>0</v>
      </c>
      <c r="K8" s="45">
        <f>+'May, 23'!K40</f>
        <v>135652.65850014306</v>
      </c>
      <c r="L8" s="45">
        <f>+'May, 23'!L40</f>
        <v>206716.71332101536</v>
      </c>
      <c r="M8" s="45">
        <f>+'May, 23'!M40</f>
        <v>180314.32847686653</v>
      </c>
      <c r="N8" s="45">
        <f>+'May, 23'!N40</f>
        <v>177310.5199999999</v>
      </c>
      <c r="O8" s="45">
        <f>+'May, 23'!O40</f>
        <v>743248.15264999995</v>
      </c>
      <c r="P8" s="45">
        <f>+'May, 23'!P40</f>
        <v>20538239.280000009</v>
      </c>
      <c r="Q8" s="45">
        <f>+'May, 23'!Q40</f>
        <v>118966958.3604399</v>
      </c>
      <c r="R8" s="45">
        <f>+'May, 23'!R40</f>
        <v>995138.35</v>
      </c>
      <c r="S8" s="45">
        <f>+'May, 23'!S40</f>
        <v>4489071.7104869988</v>
      </c>
      <c r="T8" s="45">
        <f>+'May, 23'!T40</f>
        <v>0</v>
      </c>
      <c r="U8" s="45">
        <f>+'May, 23'!U40</f>
        <v>0</v>
      </c>
      <c r="V8" s="45">
        <f>+'May, 23'!V40</f>
        <v>0</v>
      </c>
      <c r="W8" s="45">
        <f>+'May, 23'!W40</f>
        <v>0</v>
      </c>
      <c r="X8" s="45">
        <f>+'May, 23'!X40</f>
        <v>0</v>
      </c>
      <c r="Y8" s="45">
        <f>+'May, 23'!Y40</f>
        <v>0</v>
      </c>
      <c r="Z8" s="45">
        <f>+'May, 23'!Z40</f>
        <v>9662.5274983807467</v>
      </c>
      <c r="AA8" s="45">
        <f>+'May, 23'!AA40</f>
        <v>40503.29</v>
      </c>
      <c r="AB8" s="45">
        <f>+'May, 23'!AB40</f>
        <v>7542.7499999967404</v>
      </c>
      <c r="AC8" s="45">
        <f>+'May, 23'!AC40</f>
        <v>31617.62</v>
      </c>
      <c r="AD8" s="45">
        <f>+'May, 23'!AD40</f>
        <v>5155</v>
      </c>
      <c r="AE8" s="45">
        <f>+'May, 23'!AE40</f>
        <v>21608.68</v>
      </c>
      <c r="AF8" s="45">
        <f>+'May, 23'!AF40</f>
        <v>7956.8699999451637</v>
      </c>
      <c r="AG8" s="45">
        <f>+'May, 23'!AG40</f>
        <v>33353.53</v>
      </c>
      <c r="AH8" s="45">
        <f>+'May, 23'!AH40</f>
        <v>195459.03999999719</v>
      </c>
      <c r="AI8" s="45">
        <f>+'May, 23'!AI40</f>
        <v>819134.7964617</v>
      </c>
      <c r="AJ8" s="45">
        <f>+'May, 23'!AJ40</f>
        <v>673596.71999999823</v>
      </c>
      <c r="AK8" s="45">
        <f>+'May, 23'!AK40</f>
        <v>2823324.1679230896</v>
      </c>
      <c r="AL8" s="45">
        <f>+'May, 23'!AL40</f>
        <v>21880958.177400079</v>
      </c>
      <c r="AM8" s="45">
        <f>+'May, 23'!AM40</f>
        <v>59660410.274513535</v>
      </c>
      <c r="AN8" s="45">
        <f>+'May, 23'!AN40</f>
        <v>6480106.5321600009</v>
      </c>
      <c r="AO8" s="45">
        <f>+'May, 23'!AO40</f>
        <v>957442.97615143971</v>
      </c>
      <c r="AP8" s="45">
        <f>+'May, 23'!AP40</f>
        <v>8463268.4810437579</v>
      </c>
      <c r="AQ8" s="45">
        <f>+'May, 23'!AQ40</f>
        <v>1734851.1293321603</v>
      </c>
      <c r="AR8" s="45">
        <f>+'May, 23'!AR40</f>
        <v>33752.683643993005</v>
      </c>
      <c r="AS8" s="45">
        <f>+'May, 23'!AS40</f>
        <v>6.2719079996137461</v>
      </c>
      <c r="AT8" s="45">
        <f>+'May, 23'!AT40</f>
        <v>11.210432002509913</v>
      </c>
      <c r="AU8" s="45">
        <f>+'May, 23'!AU40</f>
        <v>70709.869203997281</v>
      </c>
      <c r="AV8" s="45">
        <f>+'May, 23'!AV40</f>
        <v>523662.90839880263</v>
      </c>
      <c r="AW8" s="45">
        <f>+'May, 23'!AW40</f>
        <v>85667.9885699968</v>
      </c>
      <c r="AX8" s="45">
        <f>+'May, 23'!AX40</f>
        <v>1041.3974240010875</v>
      </c>
      <c r="AY8" s="45">
        <f>+'May, 23'!AY40</f>
        <v>59646.012311997983</v>
      </c>
      <c r="AZ8" s="45">
        <f>+'May, 23'!AZ40</f>
        <v>23267.345377323236</v>
      </c>
      <c r="BA8" s="45">
        <f>+'May, 23'!BA40</f>
        <v>202582.84972400693</v>
      </c>
      <c r="BB8" s="45">
        <f>+'May, 23'!BB40</f>
        <v>70153.265219991154</v>
      </c>
      <c r="BC8" s="45">
        <f>+'May, 23'!BC40</f>
        <v>267611.70384799869</v>
      </c>
      <c r="BD8" s="45">
        <f>+'May, 23'!BD40</f>
        <v>17098.572599989831</v>
      </c>
      <c r="BE8" s="45">
        <f>+'May, 23'!BE40</f>
        <v>256586.81289368056</v>
      </c>
      <c r="BF8" s="45">
        <f>+'May, 23'!BF40</f>
        <v>321949.5492303599</v>
      </c>
      <c r="BG8" s="45">
        <f>+'May, 23'!BG40</f>
        <v>35109.232018882758</v>
      </c>
      <c r="BH8" s="45">
        <f>+'May, 23'!BH40</f>
        <v>27273.514880002102</v>
      </c>
      <c r="BI8" s="45">
        <f>+'May, 23'!BI40</f>
        <v>630661.83776839031</v>
      </c>
      <c r="BJ8" s="45">
        <f>+'May, 23'!BJ40</f>
        <v>197783.28604456017</v>
      </c>
      <c r="BK8" s="45">
        <f>+'May, 23'!BK40</f>
        <v>3408870.6208220124</v>
      </c>
      <c r="BL8" s="45">
        <f>+'May, 23'!BL40</f>
        <v>113032.08291244607</v>
      </c>
      <c r="BM8" s="45">
        <f>+'May, 23'!BM40</f>
        <v>1071586.051567151</v>
      </c>
      <c r="BN8" s="45">
        <f>+'May, 23'!BN40</f>
        <v>1221434.9565773793</v>
      </c>
      <c r="BO8" s="45">
        <f>+'May, 23'!BO40</f>
        <v>3.4691202304202307E-3</v>
      </c>
      <c r="BP8" s="45">
        <f>+'May, 23'!BP40</f>
        <v>255.9261093290655</v>
      </c>
      <c r="BQ8" s="45">
        <f>+'May, 23'!BQ40</f>
        <v>4.0128798844989433E-3</v>
      </c>
      <c r="BR8" s="45">
        <f>+'May, 23'!BR40</f>
        <v>645623.81600000313</v>
      </c>
      <c r="BS8" s="45">
        <f>+'May, 23'!BS40</f>
        <v>2662944.0693795886</v>
      </c>
      <c r="BT8" s="45">
        <f>+'May, 23'!BT40</f>
        <v>213481.18493201921</v>
      </c>
      <c r="BU8" s="45">
        <f>+'May, 23'!BU40</f>
        <v>880872.39922859101</v>
      </c>
      <c r="BV8" s="45">
        <f>+'May, 23'!BV40</f>
        <v>8400.1908600000006</v>
      </c>
      <c r="BW8" s="45">
        <f>+'May, 23'!BW40</f>
        <v>384552.75899000082</v>
      </c>
      <c r="BX8" s="45">
        <f>+'May, 23'!BX40</f>
        <v>12663.664475599246</v>
      </c>
      <c r="BY8" s="45">
        <f>+'May, 23'!BY40</f>
        <v>754807.20400000003</v>
      </c>
      <c r="BZ8" s="45">
        <f>+'May, 23'!BZ40</f>
        <v>9409221.2430000007</v>
      </c>
      <c r="CA8" s="45">
        <f>+'May, 23'!CA40</f>
        <v>4448254.9007700002</v>
      </c>
      <c r="CB8" s="45">
        <f>+'May, 23'!CB40</f>
        <v>18918.56624</v>
      </c>
      <c r="CC8" s="45">
        <f>+'May, 23'!CC40</f>
        <v>899809.02917999984</v>
      </c>
      <c r="CD8" s="45">
        <f>+'May, 23'!CD40</f>
        <v>0</v>
      </c>
      <c r="CE8" s="45">
        <f>+'May, 23'!CE40</f>
        <v>27036.502</v>
      </c>
      <c r="CF8" s="45">
        <f>+'May, 23'!CF40</f>
        <v>528153.19958999997</v>
      </c>
      <c r="CG8" s="45">
        <f>+'May, 23'!CG40</f>
        <v>193030.94500000001</v>
      </c>
      <c r="CH8" s="45">
        <f>+'May, 23'!CH40</f>
        <v>2.9318200000000001</v>
      </c>
      <c r="CI8" s="45">
        <f>+'May, 23'!CI40</f>
        <v>979650.76</v>
      </c>
      <c r="CJ8" s="45">
        <f>+'May, 23'!CJ40</f>
        <v>312752.69799999997</v>
      </c>
      <c r="CK8" s="45">
        <f>+'May, 23'!CK40</f>
        <v>0</v>
      </c>
      <c r="CL8" s="45">
        <f>+'May, 23'!CL40</f>
        <v>0</v>
      </c>
      <c r="CM8" s="45">
        <f>+'May, 23'!CM40</f>
        <v>79545.21415</v>
      </c>
      <c r="CN8" s="45">
        <f>+'May, 23'!CN40</f>
        <v>662749.23896999995</v>
      </c>
      <c r="CO8" s="45">
        <f>+'May, 23'!CO40</f>
        <v>736440.24131999968</v>
      </c>
      <c r="CP8" s="45">
        <f>+'May, 23'!CP40</f>
        <v>9152723.6727600005</v>
      </c>
      <c r="CQ8" s="45">
        <f>+'May, 23'!CQ40</f>
        <v>377918.49939999997</v>
      </c>
      <c r="CR8" s="45">
        <f>+'May, 23'!CR40</f>
        <v>20872.37467999896</v>
      </c>
      <c r="CS8" s="45">
        <f>+'May, 23'!CS40</f>
        <v>5000</v>
      </c>
      <c r="CT8" s="45">
        <f>+'May, 23'!CT40</f>
        <v>20468.599999999999</v>
      </c>
      <c r="CU8" s="45">
        <f>+'May, 23'!CU40</f>
        <v>5000</v>
      </c>
      <c r="CV8" s="45">
        <f>+'May, 23'!CV40</f>
        <v>20468.599999999999</v>
      </c>
      <c r="CW8" s="43">
        <f t="shared" ref="CW8:CW40" si="4">SUM(D8:CV8)</f>
        <v>349920735.28127897</v>
      </c>
    </row>
    <row r="9" spans="1:101" x14ac:dyDescent="0.25">
      <c r="B9" s="46" t="s">
        <v>96</v>
      </c>
      <c r="C9" s="47" t="s">
        <v>98</v>
      </c>
      <c r="D9" s="47">
        <v>4660</v>
      </c>
      <c r="E9" s="48">
        <v>10730333.218250001</v>
      </c>
      <c r="F9" s="48">
        <v>6651580.9689999996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>
        <v>899.18399999999997</v>
      </c>
      <c r="BX9" s="47"/>
      <c r="BY9" s="47">
        <f>IF(BY6&gt;0,BY6,0)</f>
        <v>22297.311630000011</v>
      </c>
      <c r="BZ9" s="47">
        <f>IF(BZ6&gt;0,BZ6,0)</f>
        <v>137914.51678000018</v>
      </c>
      <c r="CA9" s="47">
        <f>IF(CA6&gt;0,CA6,0)</f>
        <v>189553.77163999993</v>
      </c>
      <c r="CB9" s="47"/>
      <c r="CC9" s="47"/>
      <c r="CD9" s="47"/>
      <c r="CE9" s="47">
        <f>IF(CE6&gt;0,CE6,0)</f>
        <v>0</v>
      </c>
      <c r="CF9" s="47">
        <f>IF(CF6&gt;0,CF6,0)</f>
        <v>26074.699000000022</v>
      </c>
      <c r="CG9" s="47">
        <f>IF(CG6&gt;0,CG6,0)</f>
        <v>0</v>
      </c>
      <c r="CH9" s="47"/>
      <c r="CI9" s="47">
        <f>IF(CI6&gt;0,CI6,0)</f>
        <v>1960.8025099999504</v>
      </c>
      <c r="CJ9" s="47">
        <f>IF(CJ6&gt;0,CJ6,0)</f>
        <v>24194.539760000014</v>
      </c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3">
        <f t="shared" si="4"/>
        <v>17789469.012570001</v>
      </c>
    </row>
    <row r="10" spans="1:101" x14ac:dyDescent="0.25">
      <c r="B10" s="46" t="s">
        <v>99</v>
      </c>
      <c r="C10" s="47" t="s">
        <v>100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>
        <v>-9.02</v>
      </c>
      <c r="BX10" s="47"/>
      <c r="BY10" s="47">
        <f>IF(BY6&lt;0,BY6,0)</f>
        <v>0</v>
      </c>
      <c r="BZ10" s="47">
        <f>IF(BZ6&lt;0,BZ6,0)</f>
        <v>0</v>
      </c>
      <c r="CA10" s="47">
        <f>IF(CA6&lt;0,CA6,0)</f>
        <v>0</v>
      </c>
      <c r="CB10" s="47"/>
      <c r="CC10" s="47"/>
      <c r="CD10" s="47"/>
      <c r="CE10" s="47">
        <f>IF(CE6&lt;0,CE6,0)</f>
        <v>-15.889999999999418</v>
      </c>
      <c r="CF10" s="47">
        <f>IF(CF6&lt;0,CF6,0)</f>
        <v>0</v>
      </c>
      <c r="CG10" s="47">
        <f>IF(CG6&lt;0,CG6,0)</f>
        <v>0</v>
      </c>
      <c r="CH10" s="47"/>
      <c r="CI10" s="47">
        <f>IF(CI6&lt;0,CI6,0)</f>
        <v>0</v>
      </c>
      <c r="CJ10" s="47">
        <f>IF(CJ6&lt;0,CJ6,0)</f>
        <v>0</v>
      </c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3">
        <f t="shared" si="4"/>
        <v>-24.909999999999417</v>
      </c>
    </row>
    <row r="11" spans="1:101" x14ac:dyDescent="0.25">
      <c r="A11" s="41"/>
      <c r="B11" s="49" t="s">
        <v>99</v>
      </c>
      <c r="C11" s="50" t="s">
        <v>101</v>
      </c>
      <c r="D11" s="50">
        <v>0</v>
      </c>
      <c r="E11" s="50">
        <v>-54807.293750015298</v>
      </c>
      <c r="F11" s="50">
        <v>-12391.433259999299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>
        <f>+[1]Otrosbancos!$R$6+[1]Otrosbancos!$R$7</f>
        <v>-26099.282999999999</v>
      </c>
      <c r="BZ11" s="50">
        <f>+[1]Otrosbancos!$R$11+[1]Otrosbancos!$R$12</f>
        <v>-3663715.4950000001</v>
      </c>
      <c r="CA11" s="50">
        <f>+[1]Otrosbancos!$R$16+[1]Otrosbancos!$R$17</f>
        <v>-1385272.1429999999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43">
        <f t="shared" si="4"/>
        <v>-5142285.6480100146</v>
      </c>
    </row>
    <row r="12" spans="1:101" x14ac:dyDescent="0.25">
      <c r="B12" s="46" t="s">
        <v>96</v>
      </c>
      <c r="C12" s="47" t="s">
        <v>102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1"/>
      <c r="AS12" s="51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3">
        <f t="shared" si="4"/>
        <v>0</v>
      </c>
    </row>
    <row r="13" spans="1:101" x14ac:dyDescent="0.25">
      <c r="B13" s="46" t="s">
        <v>96</v>
      </c>
      <c r="C13" s="47" t="s">
        <v>103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51"/>
      <c r="AS13" s="51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3">
        <f t="shared" si="4"/>
        <v>0</v>
      </c>
    </row>
    <row r="14" spans="1:101" x14ac:dyDescent="0.25">
      <c r="B14" s="46" t="s">
        <v>96</v>
      </c>
      <c r="C14" s="47" t="s">
        <v>104</v>
      </c>
      <c r="D14" s="47"/>
      <c r="E14" s="47"/>
      <c r="F14" s="47">
        <v>261289.84899999999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51"/>
      <c r="AS14" s="51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3">
        <f t="shared" si="4"/>
        <v>261289.84899999999</v>
      </c>
    </row>
    <row r="15" spans="1:101" x14ac:dyDescent="0.25">
      <c r="B15" s="46" t="s">
        <v>96</v>
      </c>
      <c r="C15" s="47" t="s">
        <v>105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51"/>
      <c r="AS15" s="51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3">
        <f t="shared" si="4"/>
        <v>0</v>
      </c>
    </row>
    <row r="16" spans="1:101" x14ac:dyDescent="0.25">
      <c r="B16" s="46" t="s">
        <v>96</v>
      </c>
      <c r="C16" s="47" t="s">
        <v>106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51"/>
      <c r="AS16" s="51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3">
        <f t="shared" si="4"/>
        <v>0</v>
      </c>
    </row>
    <row r="17" spans="1:101" x14ac:dyDescent="0.25">
      <c r="B17" s="46" t="s">
        <v>99</v>
      </c>
      <c r="C17" s="47" t="s">
        <v>107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51"/>
      <c r="AS17" s="51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3">
        <f t="shared" si="4"/>
        <v>0</v>
      </c>
    </row>
    <row r="18" spans="1:101" x14ac:dyDescent="0.25">
      <c r="B18" s="46" t="s">
        <v>96</v>
      </c>
      <c r="C18" s="47" t="s">
        <v>108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1"/>
      <c r="AS18" s="51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3">
        <f t="shared" si="4"/>
        <v>0</v>
      </c>
    </row>
    <row r="19" spans="1:101" x14ac:dyDescent="0.25">
      <c r="B19" s="46" t="s">
        <v>99</v>
      </c>
      <c r="C19" s="47" t="s">
        <v>109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51"/>
      <c r="AS19" s="51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3">
        <f t="shared" si="4"/>
        <v>0</v>
      </c>
    </row>
    <row r="20" spans="1:101" x14ac:dyDescent="0.25">
      <c r="B20" s="46" t="s">
        <v>99</v>
      </c>
      <c r="C20" s="47" t="s">
        <v>110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51"/>
      <c r="AS20" s="51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3">
        <f t="shared" si="4"/>
        <v>0</v>
      </c>
    </row>
    <row r="21" spans="1:101" x14ac:dyDescent="0.25">
      <c r="B21" s="46" t="s">
        <v>96</v>
      </c>
      <c r="C21" s="47" t="s">
        <v>111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51"/>
      <c r="AS21" s="51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3">
        <f t="shared" si="4"/>
        <v>0</v>
      </c>
    </row>
    <row r="22" spans="1:101" x14ac:dyDescent="0.25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51"/>
      <c r="AS22" s="51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3">
        <f t="shared" si="4"/>
        <v>0</v>
      </c>
    </row>
    <row r="23" spans="1:101" x14ac:dyDescent="0.25">
      <c r="B23" s="46" t="s">
        <v>99</v>
      </c>
      <c r="C23" s="47" t="s">
        <v>112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51"/>
      <c r="AS23" s="51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3">
        <f t="shared" si="4"/>
        <v>0</v>
      </c>
    </row>
    <row r="24" spans="1:101" x14ac:dyDescent="0.25">
      <c r="B24" s="46" t="s">
        <v>99</v>
      </c>
      <c r="C24" s="47" t="s">
        <v>113</v>
      </c>
      <c r="D24" s="47"/>
      <c r="E24" s="47">
        <f>-1423.5-1423.5-2847-6064.836-47.03534</f>
        <v>-11805.87134</v>
      </c>
      <c r="F24" s="47">
        <f>-643.92-2.575</f>
        <v>-646.495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51"/>
      <c r="AS24" s="51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3">
        <f t="shared" si="4"/>
        <v>-12452.36634</v>
      </c>
    </row>
    <row r="25" spans="1:101" x14ac:dyDescent="0.25">
      <c r="A25" s="41"/>
      <c r="B25" s="52" t="s">
        <v>99</v>
      </c>
      <c r="C25" s="53" t="s">
        <v>114</v>
      </c>
      <c r="D25" s="53">
        <v>-503.74696</v>
      </c>
      <c r="E25" s="53">
        <v>-660527.57206999999</v>
      </c>
      <c r="F25" s="53">
        <v>-2338027.58336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43">
        <f t="shared" si="4"/>
        <v>-2999058.9023899999</v>
      </c>
    </row>
    <row r="26" spans="1:101" x14ac:dyDescent="0.25">
      <c r="B26" s="46"/>
      <c r="C26" s="47" t="s">
        <v>115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51"/>
      <c r="AS26" s="51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3">
        <f t="shared" si="4"/>
        <v>0</v>
      </c>
    </row>
    <row r="27" spans="1:101" x14ac:dyDescent="0.25">
      <c r="B27" s="46" t="s">
        <v>99</v>
      </c>
      <c r="C27" s="47" t="s">
        <v>116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51"/>
      <c r="AS27" s="51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3">
        <f t="shared" si="4"/>
        <v>0</v>
      </c>
    </row>
    <row r="28" spans="1:101" x14ac:dyDescent="0.25">
      <c r="B28" s="47" t="s">
        <v>99</v>
      </c>
      <c r="C28" s="47" t="s">
        <v>117</v>
      </c>
      <c r="D28" s="48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51"/>
      <c r="AS28" s="51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3">
        <f t="shared" si="4"/>
        <v>0</v>
      </c>
    </row>
    <row r="29" spans="1:101" x14ac:dyDescent="0.25">
      <c r="B29" s="47"/>
      <c r="C29" s="47" t="s">
        <v>118</v>
      </c>
      <c r="D29" s="48"/>
      <c r="E29" s="47">
        <v>638.08199999999999</v>
      </c>
      <c r="F29" s="47">
        <v>8751.0869999999995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51"/>
      <c r="AS29" s="51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3">
        <f t="shared" si="4"/>
        <v>9389.1689999999999</v>
      </c>
    </row>
    <row r="30" spans="1:101" x14ac:dyDescent="0.25">
      <c r="B30" s="47"/>
      <c r="C30" s="47" t="s">
        <v>119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51"/>
      <c r="AS30" s="51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3">
        <f t="shared" si="4"/>
        <v>0</v>
      </c>
    </row>
    <row r="31" spans="1:101" x14ac:dyDescent="0.25">
      <c r="B31" s="47" t="s">
        <v>99</v>
      </c>
      <c r="C31" s="47" t="s">
        <v>120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51"/>
      <c r="AS31" s="51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3">
        <f t="shared" si="4"/>
        <v>0</v>
      </c>
    </row>
    <row r="32" spans="1:101" x14ac:dyDescent="0.25">
      <c r="B32" s="47" t="s">
        <v>99</v>
      </c>
      <c r="C32" s="47" t="s">
        <v>121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51"/>
      <c r="AS32" s="51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3">
        <f t="shared" si="4"/>
        <v>0</v>
      </c>
    </row>
    <row r="33" spans="2:101" x14ac:dyDescent="0.25">
      <c r="B33" s="47" t="s">
        <v>99</v>
      </c>
      <c r="C33" s="47" t="s">
        <v>122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51"/>
      <c r="AS33" s="51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3">
        <f t="shared" si="4"/>
        <v>0</v>
      </c>
    </row>
    <row r="34" spans="2:101" x14ac:dyDescent="0.25">
      <c r="B34" s="54" t="s">
        <v>99</v>
      </c>
      <c r="C34" s="55" t="s">
        <v>123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43">
        <f t="shared" si="4"/>
        <v>0</v>
      </c>
    </row>
    <row r="35" spans="2:101" x14ac:dyDescent="0.25">
      <c r="B35" s="54" t="s">
        <v>99</v>
      </c>
      <c r="C35" s="55" t="s">
        <v>124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43">
        <f t="shared" si="4"/>
        <v>0</v>
      </c>
    </row>
    <row r="36" spans="2:101" ht="15.75" thickBot="1" x14ac:dyDescent="0.3">
      <c r="B36" s="56"/>
      <c r="C36" s="57" t="s">
        <v>125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43">
        <f t="shared" si="4"/>
        <v>0</v>
      </c>
    </row>
    <row r="37" spans="2:101" x14ac:dyDescent="0.25">
      <c r="B37" s="58"/>
      <c r="C37" s="59" t="s">
        <v>126</v>
      </c>
      <c r="D37" s="59">
        <f>SUM(D9:D36)</f>
        <v>4156.2530399999996</v>
      </c>
      <c r="E37" s="59">
        <f>SUM(E9:E36)</f>
        <v>10003830.563089985</v>
      </c>
      <c r="F37" s="59">
        <f>SUM(F9:F35)</f>
        <v>4570556.3933800003</v>
      </c>
      <c r="G37" s="59">
        <f t="shared" ref="G37:BR37" si="5">SUM(G9:G36)</f>
        <v>0</v>
      </c>
      <c r="H37" s="59">
        <f t="shared" si="5"/>
        <v>0</v>
      </c>
      <c r="I37" s="59">
        <f t="shared" si="5"/>
        <v>0</v>
      </c>
      <c r="J37" s="59">
        <f t="shared" si="5"/>
        <v>0</v>
      </c>
      <c r="K37" s="59">
        <f t="shared" si="5"/>
        <v>0</v>
      </c>
      <c r="L37" s="59">
        <f t="shared" si="5"/>
        <v>0</v>
      </c>
      <c r="M37" s="59">
        <f t="shared" si="5"/>
        <v>0</v>
      </c>
      <c r="N37" s="59">
        <f t="shared" si="5"/>
        <v>0</v>
      </c>
      <c r="O37" s="59">
        <f t="shared" si="5"/>
        <v>0</v>
      </c>
      <c r="P37" s="59">
        <f t="shared" si="5"/>
        <v>0</v>
      </c>
      <c r="Q37" s="59">
        <f t="shared" si="5"/>
        <v>0</v>
      </c>
      <c r="R37" s="59">
        <f t="shared" si="5"/>
        <v>0</v>
      </c>
      <c r="S37" s="59">
        <f t="shared" si="5"/>
        <v>0</v>
      </c>
      <c r="T37" s="59">
        <f t="shared" si="5"/>
        <v>0</v>
      </c>
      <c r="U37" s="59">
        <f t="shared" si="5"/>
        <v>0</v>
      </c>
      <c r="V37" s="59">
        <f t="shared" si="5"/>
        <v>0</v>
      </c>
      <c r="W37" s="59">
        <f t="shared" si="5"/>
        <v>0</v>
      </c>
      <c r="X37" s="59">
        <f t="shared" si="5"/>
        <v>0</v>
      </c>
      <c r="Y37" s="59">
        <f t="shared" si="5"/>
        <v>0</v>
      </c>
      <c r="Z37" s="59">
        <f t="shared" si="5"/>
        <v>0</v>
      </c>
      <c r="AA37" s="59">
        <f t="shared" si="5"/>
        <v>0</v>
      </c>
      <c r="AB37" s="59">
        <f t="shared" si="5"/>
        <v>0</v>
      </c>
      <c r="AC37" s="59">
        <f t="shared" si="5"/>
        <v>0</v>
      </c>
      <c r="AD37" s="59">
        <f t="shared" si="5"/>
        <v>0</v>
      </c>
      <c r="AE37" s="59">
        <f t="shared" si="5"/>
        <v>0</v>
      </c>
      <c r="AF37" s="59">
        <f t="shared" si="5"/>
        <v>0</v>
      </c>
      <c r="AG37" s="59">
        <f t="shared" si="5"/>
        <v>0</v>
      </c>
      <c r="AH37" s="59">
        <f t="shared" si="5"/>
        <v>0</v>
      </c>
      <c r="AI37" s="59">
        <f t="shared" si="5"/>
        <v>0</v>
      </c>
      <c r="AJ37" s="59">
        <f t="shared" si="5"/>
        <v>0</v>
      </c>
      <c r="AK37" s="59">
        <f t="shared" si="5"/>
        <v>0</v>
      </c>
      <c r="AL37" s="59">
        <f t="shared" si="5"/>
        <v>0</v>
      </c>
      <c r="AM37" s="59">
        <f t="shared" si="5"/>
        <v>0</v>
      </c>
      <c r="AN37" s="59">
        <f t="shared" si="5"/>
        <v>0</v>
      </c>
      <c r="AO37" s="59">
        <f t="shared" si="5"/>
        <v>0</v>
      </c>
      <c r="AP37" s="59">
        <f t="shared" si="5"/>
        <v>0</v>
      </c>
      <c r="AQ37" s="59">
        <f t="shared" si="5"/>
        <v>0</v>
      </c>
      <c r="AR37" s="59">
        <f t="shared" si="5"/>
        <v>0</v>
      </c>
      <c r="AS37" s="59">
        <f t="shared" si="5"/>
        <v>0</v>
      </c>
      <c r="AT37" s="59">
        <f t="shared" si="5"/>
        <v>0</v>
      </c>
      <c r="AU37" s="59">
        <f t="shared" si="5"/>
        <v>0</v>
      </c>
      <c r="AV37" s="59">
        <f t="shared" si="5"/>
        <v>0</v>
      </c>
      <c r="AW37" s="59">
        <f t="shared" si="5"/>
        <v>0</v>
      </c>
      <c r="AX37" s="59">
        <f t="shared" si="5"/>
        <v>0</v>
      </c>
      <c r="AY37" s="59">
        <f t="shared" si="5"/>
        <v>0</v>
      </c>
      <c r="AZ37" s="59">
        <f t="shared" si="5"/>
        <v>0</v>
      </c>
      <c r="BA37" s="59">
        <f t="shared" si="5"/>
        <v>0</v>
      </c>
      <c r="BB37" s="59">
        <f t="shared" si="5"/>
        <v>0</v>
      </c>
      <c r="BC37" s="59">
        <f t="shared" si="5"/>
        <v>0</v>
      </c>
      <c r="BD37" s="59">
        <f t="shared" si="5"/>
        <v>0</v>
      </c>
      <c r="BE37" s="59">
        <f t="shared" si="5"/>
        <v>0</v>
      </c>
      <c r="BF37" s="59">
        <f t="shared" si="5"/>
        <v>0</v>
      </c>
      <c r="BG37" s="59">
        <f t="shared" si="5"/>
        <v>0</v>
      </c>
      <c r="BH37" s="59">
        <f t="shared" si="5"/>
        <v>0</v>
      </c>
      <c r="BI37" s="59">
        <f t="shared" si="5"/>
        <v>0</v>
      </c>
      <c r="BJ37" s="59">
        <f t="shared" si="5"/>
        <v>0</v>
      </c>
      <c r="BK37" s="59">
        <f t="shared" si="5"/>
        <v>0</v>
      </c>
      <c r="BL37" s="59">
        <f t="shared" si="5"/>
        <v>0</v>
      </c>
      <c r="BM37" s="59">
        <f t="shared" si="5"/>
        <v>0</v>
      </c>
      <c r="BN37" s="59">
        <f t="shared" si="5"/>
        <v>0</v>
      </c>
      <c r="BO37" s="59">
        <f t="shared" si="5"/>
        <v>0</v>
      </c>
      <c r="BP37" s="59">
        <f t="shared" si="5"/>
        <v>0</v>
      </c>
      <c r="BQ37" s="59">
        <f t="shared" si="5"/>
        <v>0</v>
      </c>
      <c r="BR37" s="59">
        <f t="shared" si="5"/>
        <v>0</v>
      </c>
      <c r="BS37" s="59">
        <f t="shared" ref="BS37:CV37" si="6">SUM(BS9:BS36)</f>
        <v>0</v>
      </c>
      <c r="BT37" s="59">
        <f t="shared" si="6"/>
        <v>0</v>
      </c>
      <c r="BU37" s="59">
        <f t="shared" si="6"/>
        <v>0</v>
      </c>
      <c r="BV37" s="59">
        <f t="shared" si="6"/>
        <v>0</v>
      </c>
      <c r="BW37" s="59">
        <f t="shared" si="6"/>
        <v>890.16399999999999</v>
      </c>
      <c r="BX37" s="59">
        <f t="shared" si="6"/>
        <v>0</v>
      </c>
      <c r="BY37" s="59">
        <f t="shared" si="6"/>
        <v>-3801.9713699999884</v>
      </c>
      <c r="BZ37" s="59">
        <f t="shared" si="6"/>
        <v>-3525800.9782199999</v>
      </c>
      <c r="CA37" s="59">
        <f t="shared" si="6"/>
        <v>-1195718.37136</v>
      </c>
      <c r="CB37" s="59">
        <f t="shared" si="6"/>
        <v>0</v>
      </c>
      <c r="CC37" s="59">
        <f t="shared" si="6"/>
        <v>0</v>
      </c>
      <c r="CD37" s="59">
        <f t="shared" si="6"/>
        <v>0</v>
      </c>
      <c r="CE37" s="59">
        <f t="shared" si="6"/>
        <v>-15.889999999999418</v>
      </c>
      <c r="CF37" s="59">
        <f t="shared" si="6"/>
        <v>26074.699000000022</v>
      </c>
      <c r="CG37" s="59">
        <f t="shared" si="6"/>
        <v>0</v>
      </c>
      <c r="CH37" s="59">
        <f t="shared" si="6"/>
        <v>0</v>
      </c>
      <c r="CI37" s="59">
        <f t="shared" si="6"/>
        <v>1960.8025099999504</v>
      </c>
      <c r="CJ37" s="59">
        <f t="shared" si="6"/>
        <v>24194.539760000014</v>
      </c>
      <c r="CK37" s="59">
        <f t="shared" si="6"/>
        <v>0</v>
      </c>
      <c r="CL37" s="59">
        <f t="shared" si="6"/>
        <v>0</v>
      </c>
      <c r="CM37" s="59">
        <f t="shared" si="6"/>
        <v>0</v>
      </c>
      <c r="CN37" s="59">
        <f t="shared" si="6"/>
        <v>0</v>
      </c>
      <c r="CO37" s="59">
        <f t="shared" si="6"/>
        <v>0</v>
      </c>
      <c r="CP37" s="59">
        <f t="shared" si="6"/>
        <v>0</v>
      </c>
      <c r="CQ37" s="59">
        <f t="shared" si="6"/>
        <v>0</v>
      </c>
      <c r="CR37" s="59">
        <f t="shared" si="6"/>
        <v>0</v>
      </c>
      <c r="CS37" s="59">
        <f t="shared" si="6"/>
        <v>0</v>
      </c>
      <c r="CT37" s="59">
        <f t="shared" si="6"/>
        <v>0</v>
      </c>
      <c r="CU37" s="59">
        <f t="shared" si="6"/>
        <v>0</v>
      </c>
      <c r="CV37" s="59">
        <f t="shared" si="6"/>
        <v>0</v>
      </c>
      <c r="CW37" s="43">
        <f t="shared" si="4"/>
        <v>9906326.203829987</v>
      </c>
    </row>
    <row r="38" spans="2:101" x14ac:dyDescent="0.25">
      <c r="B38" s="60"/>
      <c r="C38" s="61" t="s">
        <v>127</v>
      </c>
      <c r="D38" s="61">
        <f>+D37+D8</f>
        <v>446352.12825000047</v>
      </c>
      <c r="E38" s="61">
        <f>+E37+E8</f>
        <v>59296704.706084535</v>
      </c>
      <c r="F38" s="61">
        <f>+F37+F8</f>
        <v>12263482.549051508</v>
      </c>
      <c r="G38" s="61">
        <f t="shared" ref="G38:BR38" si="7">+G37+G8</f>
        <v>0</v>
      </c>
      <c r="H38" s="61">
        <f t="shared" si="7"/>
        <v>0</v>
      </c>
      <c r="I38" s="61">
        <f t="shared" si="7"/>
        <v>113018.00932999424</v>
      </c>
      <c r="J38" s="61">
        <f t="shared" si="7"/>
        <v>0</v>
      </c>
      <c r="K38" s="61">
        <f t="shared" si="7"/>
        <v>135652.65850014306</v>
      </c>
      <c r="L38" s="61">
        <f t="shared" si="7"/>
        <v>206716.71332101536</v>
      </c>
      <c r="M38" s="61">
        <f t="shared" si="7"/>
        <v>180314.32847686653</v>
      </c>
      <c r="N38" s="61">
        <f t="shared" si="7"/>
        <v>177310.5199999999</v>
      </c>
      <c r="O38" s="61">
        <f t="shared" si="7"/>
        <v>743248.15264999995</v>
      </c>
      <c r="P38" s="61">
        <f t="shared" si="7"/>
        <v>20538239.280000009</v>
      </c>
      <c r="Q38" s="61">
        <f t="shared" si="7"/>
        <v>118966958.3604399</v>
      </c>
      <c r="R38" s="61">
        <f t="shared" si="7"/>
        <v>995138.35</v>
      </c>
      <c r="S38" s="61">
        <f t="shared" si="7"/>
        <v>4489071.7104869988</v>
      </c>
      <c r="T38" s="61">
        <f t="shared" si="7"/>
        <v>0</v>
      </c>
      <c r="U38" s="61">
        <f t="shared" si="7"/>
        <v>0</v>
      </c>
      <c r="V38" s="61">
        <f t="shared" si="7"/>
        <v>0</v>
      </c>
      <c r="W38" s="61">
        <f t="shared" si="7"/>
        <v>0</v>
      </c>
      <c r="X38" s="61">
        <f t="shared" si="7"/>
        <v>0</v>
      </c>
      <c r="Y38" s="61">
        <f t="shared" si="7"/>
        <v>0</v>
      </c>
      <c r="Z38" s="61">
        <f t="shared" si="7"/>
        <v>9662.5274983807467</v>
      </c>
      <c r="AA38" s="61">
        <f t="shared" si="7"/>
        <v>40503.29</v>
      </c>
      <c r="AB38" s="61">
        <f t="shared" si="7"/>
        <v>7542.7499999967404</v>
      </c>
      <c r="AC38" s="61">
        <f t="shared" si="7"/>
        <v>31617.62</v>
      </c>
      <c r="AD38" s="61">
        <f t="shared" si="7"/>
        <v>5155</v>
      </c>
      <c r="AE38" s="61">
        <f t="shared" si="7"/>
        <v>21608.68</v>
      </c>
      <c r="AF38" s="61">
        <f t="shared" si="7"/>
        <v>7956.8699999451637</v>
      </c>
      <c r="AG38" s="61">
        <f t="shared" si="7"/>
        <v>33353.53</v>
      </c>
      <c r="AH38" s="61">
        <f t="shared" si="7"/>
        <v>195459.03999999719</v>
      </c>
      <c r="AI38" s="61">
        <f t="shared" si="7"/>
        <v>819134.7964617</v>
      </c>
      <c r="AJ38" s="61">
        <f t="shared" si="7"/>
        <v>673596.71999999823</v>
      </c>
      <c r="AK38" s="61">
        <f t="shared" si="7"/>
        <v>2823324.1679230896</v>
      </c>
      <c r="AL38" s="61">
        <f t="shared" si="7"/>
        <v>21880958.177400079</v>
      </c>
      <c r="AM38" s="61">
        <f t="shared" si="7"/>
        <v>59660410.274513535</v>
      </c>
      <c r="AN38" s="61">
        <f t="shared" si="7"/>
        <v>6480106.5321600009</v>
      </c>
      <c r="AO38" s="61">
        <f t="shared" si="7"/>
        <v>957442.97615143971</v>
      </c>
      <c r="AP38" s="61">
        <f t="shared" si="7"/>
        <v>8463268.4810437579</v>
      </c>
      <c r="AQ38" s="61">
        <f t="shared" si="7"/>
        <v>1734851.1293321603</v>
      </c>
      <c r="AR38" s="61">
        <f t="shared" si="7"/>
        <v>33752.683643993005</v>
      </c>
      <c r="AS38" s="61">
        <f t="shared" si="7"/>
        <v>6.2719079996137461</v>
      </c>
      <c r="AT38" s="61">
        <f t="shared" si="7"/>
        <v>11.210432002509913</v>
      </c>
      <c r="AU38" s="61">
        <f t="shared" si="7"/>
        <v>70709.869203997281</v>
      </c>
      <c r="AV38" s="61">
        <f t="shared" si="7"/>
        <v>523662.90839880263</v>
      </c>
      <c r="AW38" s="61">
        <f t="shared" si="7"/>
        <v>85667.9885699968</v>
      </c>
      <c r="AX38" s="61">
        <f t="shared" si="7"/>
        <v>1041.3974240010875</v>
      </c>
      <c r="AY38" s="61">
        <f t="shared" si="7"/>
        <v>59646.012311997983</v>
      </c>
      <c r="AZ38" s="61">
        <f t="shared" si="7"/>
        <v>23267.345377323236</v>
      </c>
      <c r="BA38" s="61">
        <f t="shared" si="7"/>
        <v>202582.84972400693</v>
      </c>
      <c r="BB38" s="61">
        <f t="shared" si="7"/>
        <v>70153.265219991154</v>
      </c>
      <c r="BC38" s="61">
        <f t="shared" si="7"/>
        <v>267611.70384799869</v>
      </c>
      <c r="BD38" s="61">
        <f t="shared" si="7"/>
        <v>17098.572599989831</v>
      </c>
      <c r="BE38" s="61">
        <f t="shared" si="7"/>
        <v>256586.81289368056</v>
      </c>
      <c r="BF38" s="61">
        <f t="shared" si="7"/>
        <v>321949.5492303599</v>
      </c>
      <c r="BG38" s="61">
        <f t="shared" si="7"/>
        <v>35109.232018882758</v>
      </c>
      <c r="BH38" s="61">
        <f t="shared" si="7"/>
        <v>27273.514880002102</v>
      </c>
      <c r="BI38" s="61">
        <f t="shared" si="7"/>
        <v>630661.83776839031</v>
      </c>
      <c r="BJ38" s="61">
        <f t="shared" si="7"/>
        <v>197783.28604456017</v>
      </c>
      <c r="BK38" s="61">
        <f t="shared" si="7"/>
        <v>3408870.6208220124</v>
      </c>
      <c r="BL38" s="61">
        <f t="shared" si="7"/>
        <v>113032.08291244607</v>
      </c>
      <c r="BM38" s="61">
        <f t="shared" si="7"/>
        <v>1071586.051567151</v>
      </c>
      <c r="BN38" s="61">
        <f t="shared" si="7"/>
        <v>1221434.9565773793</v>
      </c>
      <c r="BO38" s="61">
        <f t="shared" si="7"/>
        <v>3.4691202304202307E-3</v>
      </c>
      <c r="BP38" s="61">
        <f t="shared" si="7"/>
        <v>255.9261093290655</v>
      </c>
      <c r="BQ38" s="61">
        <f t="shared" si="7"/>
        <v>4.0128798844989433E-3</v>
      </c>
      <c r="BR38" s="61">
        <f t="shared" si="7"/>
        <v>645623.81600000313</v>
      </c>
      <c r="BS38" s="61">
        <f t="shared" ref="BS38:CV38" si="8">+BS37+BS8</f>
        <v>2662944.0693795886</v>
      </c>
      <c r="BT38" s="61">
        <f t="shared" si="8"/>
        <v>213481.18493201921</v>
      </c>
      <c r="BU38" s="61">
        <f t="shared" si="8"/>
        <v>880872.39922859101</v>
      </c>
      <c r="BV38" s="61">
        <f t="shared" si="8"/>
        <v>8400.1908600000006</v>
      </c>
      <c r="BW38" s="61">
        <f t="shared" si="8"/>
        <v>385442.92299000081</v>
      </c>
      <c r="BX38" s="61">
        <f t="shared" si="8"/>
        <v>12663.664475599246</v>
      </c>
      <c r="BY38" s="61">
        <f t="shared" si="8"/>
        <v>751005.23262999998</v>
      </c>
      <c r="BZ38" s="61">
        <f t="shared" si="8"/>
        <v>5883420.2647800008</v>
      </c>
      <c r="CA38" s="61">
        <f t="shared" si="8"/>
        <v>3252536.52941</v>
      </c>
      <c r="CB38" s="61">
        <f t="shared" si="8"/>
        <v>18918.56624</v>
      </c>
      <c r="CC38" s="61">
        <f t="shared" si="8"/>
        <v>899809.02917999984</v>
      </c>
      <c r="CD38" s="61">
        <f t="shared" si="8"/>
        <v>0</v>
      </c>
      <c r="CE38" s="61">
        <f t="shared" si="8"/>
        <v>27020.612000000001</v>
      </c>
      <c r="CF38" s="61">
        <f t="shared" si="8"/>
        <v>554227.89859</v>
      </c>
      <c r="CG38" s="61">
        <f t="shared" si="8"/>
        <v>193030.94500000001</v>
      </c>
      <c r="CH38" s="61">
        <f t="shared" si="8"/>
        <v>2.9318200000000001</v>
      </c>
      <c r="CI38" s="61">
        <f t="shared" si="8"/>
        <v>981611.56250999996</v>
      </c>
      <c r="CJ38" s="61">
        <f t="shared" si="8"/>
        <v>336947.23775999999</v>
      </c>
      <c r="CK38" s="61">
        <f t="shared" si="8"/>
        <v>0</v>
      </c>
      <c r="CL38" s="61">
        <f t="shared" si="8"/>
        <v>0</v>
      </c>
      <c r="CM38" s="61">
        <f t="shared" si="8"/>
        <v>79545.21415</v>
      </c>
      <c r="CN38" s="61">
        <f t="shared" si="8"/>
        <v>662749.23896999995</v>
      </c>
      <c r="CO38" s="61">
        <f t="shared" si="8"/>
        <v>736440.24131999968</v>
      </c>
      <c r="CP38" s="61">
        <f t="shared" si="8"/>
        <v>9152723.6727600005</v>
      </c>
      <c r="CQ38" s="61">
        <f t="shared" si="8"/>
        <v>377918.49939999997</v>
      </c>
      <c r="CR38" s="61">
        <f t="shared" si="8"/>
        <v>20872.37467999896</v>
      </c>
      <c r="CS38" s="61">
        <f t="shared" si="8"/>
        <v>5000</v>
      </c>
      <c r="CT38" s="61">
        <f t="shared" si="8"/>
        <v>20468.599999999999</v>
      </c>
      <c r="CU38" s="61">
        <f t="shared" si="8"/>
        <v>5000</v>
      </c>
      <c r="CV38" s="61">
        <f t="shared" si="8"/>
        <v>20468.599999999999</v>
      </c>
      <c r="CW38" s="43">
        <f t="shared" si="4"/>
        <v>359827061.48510903</v>
      </c>
    </row>
    <row r="39" spans="2:101" x14ac:dyDescent="0.25">
      <c r="B39" s="62"/>
      <c r="C39" s="63" t="s">
        <v>128</v>
      </c>
      <c r="D39" s="63">
        <v>108000</v>
      </c>
      <c r="E39" s="63">
        <v>-47154239.137929998</v>
      </c>
      <c r="F39" s="63">
        <v>-4914000</v>
      </c>
      <c r="G39" s="63">
        <v>0</v>
      </c>
      <c r="H39" s="63">
        <v>0</v>
      </c>
      <c r="I39" s="63">
        <v>58.353769999999997</v>
      </c>
      <c r="J39" s="63">
        <v>0</v>
      </c>
      <c r="K39" s="63">
        <v>0</v>
      </c>
      <c r="L39" s="63">
        <v>-6179.2965839977351</v>
      </c>
      <c r="M39" s="63">
        <v>3290.8122999992966</v>
      </c>
      <c r="N39" s="63">
        <v>0</v>
      </c>
      <c r="O39" s="63">
        <v>0</v>
      </c>
      <c r="P39" s="63">
        <v>0</v>
      </c>
      <c r="Q39" s="63">
        <v>0</v>
      </c>
      <c r="R39" s="63">
        <v>0</v>
      </c>
      <c r="S39" s="63">
        <v>0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103433.629</v>
      </c>
      <c r="AZ39" s="63">
        <v>0</v>
      </c>
      <c r="BA39" s="63">
        <v>33.244999999999997</v>
      </c>
      <c r="BB39" s="63">
        <v>11.519</v>
      </c>
      <c r="BC39" s="63">
        <v>43.893000000000001</v>
      </c>
      <c r="BD39" s="63">
        <v>2.7949999999999999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58.340429999999998</v>
      </c>
      <c r="BM39" s="63">
        <v>553.10579000000007</v>
      </c>
      <c r="BN39" s="63">
        <v>630.17451000000005</v>
      </c>
      <c r="BO39" s="63">
        <v>0</v>
      </c>
      <c r="BP39" s="63">
        <v>0.13202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0</v>
      </c>
      <c r="BX39" s="63">
        <v>0</v>
      </c>
      <c r="BY39" s="63">
        <v>0</v>
      </c>
      <c r="BZ39" s="63">
        <v>0</v>
      </c>
      <c r="CA39" s="63">
        <v>2500000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-180000</v>
      </c>
      <c r="CJ39" s="63">
        <v>-336000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43">
        <f t="shared" si="4"/>
        <v>-49874302.434694</v>
      </c>
    </row>
    <row r="40" spans="2:101" ht="15.75" thickBot="1" x14ac:dyDescent="0.3">
      <c r="B40" s="64"/>
      <c r="C40" s="65" t="s">
        <v>129</v>
      </c>
      <c r="D40" s="65">
        <f>+D39+D38</f>
        <v>554352.12825000053</v>
      </c>
      <c r="E40" s="65">
        <f>+E39+E38</f>
        <v>12142465.568154536</v>
      </c>
      <c r="F40" s="65">
        <f>+F39+F38</f>
        <v>7349482.5490515083</v>
      </c>
      <c r="G40" s="65">
        <f t="shared" ref="G40:BR40" si="9">+G39+G38</f>
        <v>0</v>
      </c>
      <c r="H40" s="65">
        <f t="shared" si="9"/>
        <v>0</v>
      </c>
      <c r="I40" s="65">
        <f t="shared" si="9"/>
        <v>113076.36309999424</v>
      </c>
      <c r="J40" s="65">
        <f t="shared" si="9"/>
        <v>0</v>
      </c>
      <c r="K40" s="65">
        <f t="shared" si="9"/>
        <v>135652.65850014306</v>
      </c>
      <c r="L40" s="65">
        <f t="shared" si="9"/>
        <v>200537.41673701763</v>
      </c>
      <c r="M40" s="65">
        <f t="shared" si="9"/>
        <v>183605.14077686582</v>
      </c>
      <c r="N40" s="65">
        <f t="shared" si="9"/>
        <v>177310.5199999999</v>
      </c>
      <c r="O40" s="65">
        <f t="shared" si="9"/>
        <v>743248.15264999995</v>
      </c>
      <c r="P40" s="65">
        <f t="shared" si="9"/>
        <v>20538239.280000009</v>
      </c>
      <c r="Q40" s="65">
        <f t="shared" si="9"/>
        <v>118966958.3604399</v>
      </c>
      <c r="R40" s="65">
        <f t="shared" si="9"/>
        <v>995138.35</v>
      </c>
      <c r="S40" s="65">
        <f t="shared" si="9"/>
        <v>4489071.7104869988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9662.5274983807467</v>
      </c>
      <c r="AA40" s="65">
        <f t="shared" si="9"/>
        <v>40503.29</v>
      </c>
      <c r="AB40" s="65">
        <f t="shared" si="9"/>
        <v>7542.7499999967404</v>
      </c>
      <c r="AC40" s="65">
        <f t="shared" si="9"/>
        <v>31617.62</v>
      </c>
      <c r="AD40" s="65">
        <f t="shared" si="9"/>
        <v>5155</v>
      </c>
      <c r="AE40" s="65">
        <f t="shared" si="9"/>
        <v>21608.68</v>
      </c>
      <c r="AF40" s="65">
        <f t="shared" si="9"/>
        <v>7956.8699999451637</v>
      </c>
      <c r="AG40" s="65">
        <f t="shared" si="9"/>
        <v>33353.53</v>
      </c>
      <c r="AH40" s="65">
        <f t="shared" si="9"/>
        <v>195459.03999999719</v>
      </c>
      <c r="AI40" s="65">
        <f t="shared" si="9"/>
        <v>819134.7964617</v>
      </c>
      <c r="AJ40" s="65">
        <f t="shared" si="9"/>
        <v>673596.71999999823</v>
      </c>
      <c r="AK40" s="65">
        <f t="shared" si="9"/>
        <v>2823324.1679230896</v>
      </c>
      <c r="AL40" s="65">
        <f t="shared" si="9"/>
        <v>21880958.177400079</v>
      </c>
      <c r="AM40" s="65">
        <f t="shared" si="9"/>
        <v>59660410.274513535</v>
      </c>
      <c r="AN40" s="65">
        <f t="shared" si="9"/>
        <v>6480106.5321600009</v>
      </c>
      <c r="AO40" s="65">
        <f t="shared" si="9"/>
        <v>957442.97615143971</v>
      </c>
      <c r="AP40" s="65">
        <f t="shared" si="9"/>
        <v>8463268.4810437579</v>
      </c>
      <c r="AQ40" s="65">
        <f t="shared" si="9"/>
        <v>1734851.1293321603</v>
      </c>
      <c r="AR40" s="65">
        <f t="shared" si="9"/>
        <v>33752.683643993005</v>
      </c>
      <c r="AS40" s="65">
        <f t="shared" si="9"/>
        <v>6.2719079996137461</v>
      </c>
      <c r="AT40" s="65">
        <f t="shared" si="9"/>
        <v>11.210432002509913</v>
      </c>
      <c r="AU40" s="65">
        <f t="shared" si="9"/>
        <v>70709.869203997281</v>
      </c>
      <c r="AV40" s="65">
        <f t="shared" si="9"/>
        <v>523662.90839880263</v>
      </c>
      <c r="AW40" s="65">
        <f t="shared" si="9"/>
        <v>85667.9885699968</v>
      </c>
      <c r="AX40" s="65">
        <f t="shared" si="9"/>
        <v>1041.3974240010875</v>
      </c>
      <c r="AY40" s="65">
        <f t="shared" si="9"/>
        <v>163079.64131199798</v>
      </c>
      <c r="AZ40" s="65">
        <f t="shared" si="9"/>
        <v>23267.345377323236</v>
      </c>
      <c r="BA40" s="65">
        <f t="shared" si="9"/>
        <v>202616.09472400692</v>
      </c>
      <c r="BB40" s="65">
        <f t="shared" si="9"/>
        <v>70164.784219991154</v>
      </c>
      <c r="BC40" s="65">
        <f t="shared" si="9"/>
        <v>267655.59684799868</v>
      </c>
      <c r="BD40" s="65">
        <f t="shared" si="9"/>
        <v>17101.36759998983</v>
      </c>
      <c r="BE40" s="65">
        <f t="shared" si="9"/>
        <v>256586.81289368056</v>
      </c>
      <c r="BF40" s="65">
        <f t="shared" si="9"/>
        <v>321949.5492303599</v>
      </c>
      <c r="BG40" s="65">
        <f t="shared" si="9"/>
        <v>35109.232018882758</v>
      </c>
      <c r="BH40" s="65">
        <f t="shared" si="9"/>
        <v>27273.514880002102</v>
      </c>
      <c r="BI40" s="65">
        <f t="shared" si="9"/>
        <v>630661.83776839031</v>
      </c>
      <c r="BJ40" s="65">
        <f t="shared" si="9"/>
        <v>197783.28604456017</v>
      </c>
      <c r="BK40" s="65">
        <f t="shared" si="9"/>
        <v>3408870.6208220124</v>
      </c>
      <c r="BL40" s="65">
        <f t="shared" si="9"/>
        <v>113090.42334244607</v>
      </c>
      <c r="BM40" s="65">
        <f t="shared" si="9"/>
        <v>1072139.1573571509</v>
      </c>
      <c r="BN40" s="65">
        <f t="shared" si="9"/>
        <v>1222065.1310873793</v>
      </c>
      <c r="BO40" s="65">
        <f t="shared" si="9"/>
        <v>3.4691202304202307E-3</v>
      </c>
      <c r="BP40" s="65">
        <f t="shared" si="9"/>
        <v>256.05812932906548</v>
      </c>
      <c r="BQ40" s="65">
        <f t="shared" si="9"/>
        <v>4.0128798844989433E-3</v>
      </c>
      <c r="BR40" s="65">
        <f t="shared" si="9"/>
        <v>645623.81600000313</v>
      </c>
      <c r="BS40" s="65">
        <f t="shared" ref="BS40:CV40" si="10">+BS39+BS38</f>
        <v>2662944.0693795886</v>
      </c>
      <c r="BT40" s="65">
        <f t="shared" si="10"/>
        <v>213481.18493201921</v>
      </c>
      <c r="BU40" s="65">
        <f t="shared" si="10"/>
        <v>880872.39922859101</v>
      </c>
      <c r="BV40" s="65">
        <f t="shared" si="10"/>
        <v>8400.1908600000006</v>
      </c>
      <c r="BW40" s="65">
        <f t="shared" si="10"/>
        <v>385442.92299000081</v>
      </c>
      <c r="BX40" s="65">
        <f t="shared" si="10"/>
        <v>12663.664475599246</v>
      </c>
      <c r="BY40" s="65">
        <f t="shared" si="10"/>
        <v>751005.23262999998</v>
      </c>
      <c r="BZ40" s="65">
        <f t="shared" si="10"/>
        <v>5883420.2647800008</v>
      </c>
      <c r="CA40" s="65">
        <f t="shared" si="10"/>
        <v>5752536.52941</v>
      </c>
      <c r="CB40" s="65">
        <f t="shared" si="10"/>
        <v>18918.56624</v>
      </c>
      <c r="CC40" s="65">
        <f t="shared" si="10"/>
        <v>899809.02917999984</v>
      </c>
      <c r="CD40" s="65">
        <f t="shared" si="10"/>
        <v>0</v>
      </c>
      <c r="CE40" s="65">
        <f t="shared" si="10"/>
        <v>27020.612000000001</v>
      </c>
      <c r="CF40" s="65">
        <f t="shared" si="10"/>
        <v>554227.89859</v>
      </c>
      <c r="CG40" s="65">
        <f t="shared" si="10"/>
        <v>193030.94500000001</v>
      </c>
      <c r="CH40" s="65">
        <f>+CH39+CH38</f>
        <v>2.9318200000000001</v>
      </c>
      <c r="CI40" s="65">
        <f t="shared" si="10"/>
        <v>801611.56250999996</v>
      </c>
      <c r="CJ40" s="65">
        <f t="shared" si="10"/>
        <v>947.23775999998907</v>
      </c>
      <c r="CK40" s="65">
        <f t="shared" si="10"/>
        <v>0</v>
      </c>
      <c r="CL40" s="65">
        <f t="shared" si="10"/>
        <v>0</v>
      </c>
      <c r="CM40" s="65">
        <f t="shared" si="10"/>
        <v>79545.21415</v>
      </c>
      <c r="CN40" s="65">
        <f t="shared" si="10"/>
        <v>662749.23896999995</v>
      </c>
      <c r="CO40" s="65">
        <f t="shared" si="10"/>
        <v>736440.24131999968</v>
      </c>
      <c r="CP40" s="65">
        <f t="shared" si="10"/>
        <v>9152723.6727600005</v>
      </c>
      <c r="CQ40" s="65">
        <f t="shared" si="10"/>
        <v>377918.49939999997</v>
      </c>
      <c r="CR40" s="65">
        <f t="shared" si="10"/>
        <v>20872.37467999896</v>
      </c>
      <c r="CS40" s="65">
        <f t="shared" si="10"/>
        <v>5000</v>
      </c>
      <c r="CT40" s="65">
        <f t="shared" si="10"/>
        <v>20468.599999999999</v>
      </c>
      <c r="CU40" s="65">
        <f t="shared" si="10"/>
        <v>5000</v>
      </c>
      <c r="CV40" s="65">
        <f t="shared" si="10"/>
        <v>20468.599999999999</v>
      </c>
      <c r="CW40" s="43">
        <f t="shared" si="4"/>
        <v>309952759.0504151</v>
      </c>
    </row>
    <row r="41" spans="2:101" ht="15.75" thickBot="1" x14ac:dyDescent="0.3"/>
    <row r="42" spans="2:101" x14ac:dyDescent="0.25">
      <c r="C42" s="67" t="s">
        <v>130</v>
      </c>
      <c r="D42" s="68">
        <f>+D37+D39</f>
        <v>112156.25304</v>
      </c>
      <c r="E42" s="68">
        <f>+E37+E39</f>
        <v>-37150408.574840009</v>
      </c>
      <c r="F42" s="69">
        <f>+F37+F39</f>
        <v>-343443.60661999974</v>
      </c>
      <c r="G42" s="88">
        <v>20375.599999999999</v>
      </c>
      <c r="H42" s="88">
        <v>20376.599999999999</v>
      </c>
      <c r="I42" s="88">
        <v>20377.599999999999</v>
      </c>
      <c r="J42" s="88">
        <v>20378.599999999999</v>
      </c>
      <c r="K42" s="88">
        <v>20379.599999999999</v>
      </c>
      <c r="L42" s="88">
        <v>20380.599999999999</v>
      </c>
      <c r="M42" s="88">
        <v>20381.599999999999</v>
      </c>
      <c r="N42" s="88">
        <v>20382.599999999999</v>
      </c>
      <c r="O42" s="88">
        <v>20383.599999999999</v>
      </c>
      <c r="P42" s="88">
        <v>20384.599999999999</v>
      </c>
      <c r="Q42" s="88">
        <v>20385.599999999999</v>
      </c>
      <c r="R42" s="88">
        <v>20386.599999999999</v>
      </c>
      <c r="S42" s="88">
        <v>20387.599999999999</v>
      </c>
      <c r="T42" s="88">
        <v>20388.599999999999</v>
      </c>
      <c r="U42" s="88">
        <v>20389.599999999999</v>
      </c>
      <c r="V42" s="88">
        <v>20390.599999999999</v>
      </c>
      <c r="W42" s="88">
        <v>20391.599999999999</v>
      </c>
      <c r="X42" s="88">
        <v>20392.599999999999</v>
      </c>
      <c r="Y42" s="88">
        <v>20393.599999999999</v>
      </c>
      <c r="Z42" s="88">
        <v>20394.599999999999</v>
      </c>
      <c r="AA42" s="88">
        <v>20395.599999999999</v>
      </c>
      <c r="AB42" s="88">
        <v>20396.599999999999</v>
      </c>
      <c r="AC42" s="88">
        <v>20397.599999999999</v>
      </c>
      <c r="AD42" s="88">
        <v>20398.599999999999</v>
      </c>
      <c r="AE42" s="88">
        <v>20399.599999999999</v>
      </c>
      <c r="AF42" s="88">
        <v>20400.599999999999</v>
      </c>
      <c r="AG42" s="88">
        <v>20401.599999999999</v>
      </c>
      <c r="AH42" s="88">
        <v>20402.599999999999</v>
      </c>
      <c r="AI42" s="88">
        <v>20403.599999999999</v>
      </c>
      <c r="AJ42" s="88">
        <v>20404.599999999999</v>
      </c>
      <c r="AK42" s="88">
        <v>20405.599999999999</v>
      </c>
      <c r="AL42" s="88">
        <v>20406.599999999999</v>
      </c>
      <c r="AM42" s="88">
        <v>20407.599999999999</v>
      </c>
      <c r="AN42" s="88">
        <v>20408.599999999999</v>
      </c>
      <c r="AO42" s="88">
        <v>20409.599999999999</v>
      </c>
      <c r="AP42" s="88">
        <v>20410.599999999999</v>
      </c>
      <c r="AQ42" s="88">
        <v>20411.599999999999</v>
      </c>
      <c r="AR42" s="88">
        <v>20412.599999999999</v>
      </c>
      <c r="AS42" s="88">
        <v>20413.599999999999</v>
      </c>
      <c r="AT42" s="88">
        <v>20414.599999999999</v>
      </c>
      <c r="AU42" s="88">
        <v>20415.599999999999</v>
      </c>
      <c r="AV42" s="88">
        <v>20416.599999999999</v>
      </c>
      <c r="AW42" s="88">
        <v>20417.599999999999</v>
      </c>
      <c r="AX42" s="88">
        <v>20418.599999999999</v>
      </c>
      <c r="AY42" s="88">
        <v>20419.599999999999</v>
      </c>
      <c r="AZ42" s="88">
        <v>20420.599999999999</v>
      </c>
      <c r="BA42" s="88">
        <v>20421.599999999999</v>
      </c>
      <c r="BB42" s="88">
        <v>20422.599999999999</v>
      </c>
      <c r="BC42" s="88">
        <v>20423.599999999999</v>
      </c>
      <c r="BD42" s="88">
        <v>20424.599999999999</v>
      </c>
      <c r="BE42" s="88">
        <v>20425.599999999999</v>
      </c>
      <c r="BF42" s="88">
        <v>20426.599999999999</v>
      </c>
      <c r="BG42" s="88">
        <v>20427.599999999999</v>
      </c>
      <c r="BH42" s="88">
        <v>20428.599999999999</v>
      </c>
      <c r="BI42" s="88">
        <v>20429.599999999999</v>
      </c>
      <c r="BJ42" s="88">
        <v>20430.599999999999</v>
      </c>
      <c r="BK42" s="88">
        <v>20431.599999999999</v>
      </c>
      <c r="BL42" s="88">
        <v>20432.599999999999</v>
      </c>
      <c r="BM42" s="88">
        <v>20433.599999999999</v>
      </c>
      <c r="BN42" s="88">
        <v>20434.599999999999</v>
      </c>
      <c r="BO42" s="88">
        <v>20435.599999999999</v>
      </c>
      <c r="BP42" s="88">
        <v>20436.599999999999</v>
      </c>
      <c r="BQ42" s="88">
        <v>20437.599999999999</v>
      </c>
      <c r="BR42" s="88">
        <v>20438.599999999999</v>
      </c>
      <c r="BS42" s="88">
        <v>20439.599999999999</v>
      </c>
      <c r="BT42" s="88">
        <v>20440.599999999999</v>
      </c>
      <c r="BU42" s="88">
        <v>20441.599999999999</v>
      </c>
      <c r="BV42" s="88">
        <v>20442.599999999999</v>
      </c>
      <c r="BW42" s="88">
        <v>20443.599999999999</v>
      </c>
      <c r="BX42" s="88">
        <v>20444.599999999999</v>
      </c>
      <c r="BY42" s="88">
        <v>20445.599999999999</v>
      </c>
      <c r="BZ42" s="88">
        <v>20446.599999999999</v>
      </c>
      <c r="CA42" s="88">
        <v>20447.599999999999</v>
      </c>
      <c r="CB42" s="88">
        <v>20448.599999999999</v>
      </c>
      <c r="CC42" s="88">
        <v>20449.599999999999</v>
      </c>
      <c r="CD42" s="88">
        <v>20450.599999999999</v>
      </c>
      <c r="CE42" s="88">
        <v>20451.599999999999</v>
      </c>
      <c r="CF42" s="88">
        <v>20452.599999999999</v>
      </c>
      <c r="CG42" s="88">
        <v>20453.599999999999</v>
      </c>
      <c r="CH42" s="88">
        <v>20454.599999999999</v>
      </c>
      <c r="CI42" s="88">
        <v>20455.599999999999</v>
      </c>
      <c r="CJ42" s="88">
        <v>20456.599999999999</v>
      </c>
      <c r="CK42" s="88">
        <v>20457.599999999999</v>
      </c>
      <c r="CL42" s="88">
        <v>20458.599999999999</v>
      </c>
      <c r="CM42" s="88">
        <v>20459.599999999999</v>
      </c>
      <c r="CN42" s="88">
        <v>20460.599999999999</v>
      </c>
      <c r="CO42" s="88">
        <v>20461.599999999999</v>
      </c>
      <c r="CP42" s="88">
        <v>20462.599999999999</v>
      </c>
      <c r="CQ42" s="88">
        <v>20463.599999999999</v>
      </c>
      <c r="CR42" s="88">
        <v>20464.599999999999</v>
      </c>
      <c r="CS42" s="88">
        <v>20465.599999999999</v>
      </c>
      <c r="CT42" s="88">
        <v>20466.599999999999</v>
      </c>
      <c r="CU42" s="88">
        <v>20467.599999999999</v>
      </c>
      <c r="CV42" s="88">
        <v>20468.599999999999</v>
      </c>
    </row>
    <row r="43" spans="2:101" x14ac:dyDescent="0.25">
      <c r="C43" s="70" t="s">
        <v>131</v>
      </c>
      <c r="D43" s="71">
        <v>112156.25304</v>
      </c>
      <c r="E43" s="71">
        <v>-37150408.574840002</v>
      </c>
      <c r="F43" s="71">
        <v>-343443.60729999898</v>
      </c>
      <c r="G43" s="66"/>
      <c r="H43" s="66"/>
      <c r="CT43" s="66"/>
      <c r="CU43" s="66"/>
      <c r="CV43" s="66"/>
    </row>
    <row r="44" spans="2:101" ht="15.75" thickBot="1" x14ac:dyDescent="0.3">
      <c r="C44" s="73" t="s">
        <v>132</v>
      </c>
      <c r="D44" s="74">
        <f>+D42-D43</f>
        <v>0</v>
      </c>
      <c r="E44" s="74">
        <f>+E42-E43</f>
        <v>0</v>
      </c>
      <c r="F44" s="75">
        <f>+F42-F43</f>
        <v>6.7999924067407846E-4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</row>
    <row r="45" spans="2:101" x14ac:dyDescent="0.25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</row>
    <row r="46" spans="2:101" x14ac:dyDescent="0.25">
      <c r="D46" s="10">
        <v>9610</v>
      </c>
      <c r="E46" s="10">
        <v>524582900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2:101" x14ac:dyDescent="0.25">
      <c r="D47" s="10">
        <v>8236</v>
      </c>
      <c r="E47" s="10">
        <v>6987133380</v>
      </c>
      <c r="I47" s="66" t="s">
        <v>133</v>
      </c>
      <c r="AL47" s="76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</row>
    <row r="48" spans="2:101" x14ac:dyDescent="0.25">
      <c r="D48" s="10">
        <v>9594</v>
      </c>
      <c r="E48" s="77">
        <v>3218616938.25</v>
      </c>
      <c r="AL48" s="76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</row>
    <row r="49" spans="2:97" x14ac:dyDescent="0.25">
      <c r="C49" s="78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</row>
    <row r="50" spans="2:97" x14ac:dyDescent="0.25"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/>
    </row>
    <row r="51" spans="2:97" x14ac:dyDescent="0.25">
      <c r="CS51"/>
    </row>
    <row r="52" spans="2:97" x14ac:dyDescent="0.25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/>
    </row>
    <row r="53" spans="2:97" x14ac:dyDescent="0.25">
      <c r="CS53"/>
    </row>
    <row r="54" spans="2:97" x14ac:dyDescent="0.25">
      <c r="CS54"/>
    </row>
    <row r="55" spans="2:97" x14ac:dyDescent="0.25">
      <c r="CS55"/>
    </row>
    <row r="58" spans="2:97" x14ac:dyDescent="0.25">
      <c r="B58" s="66"/>
      <c r="C58" s="66"/>
      <c r="D58" s="66"/>
      <c r="E58" s="66"/>
      <c r="F58" s="66"/>
      <c r="G58" s="66"/>
      <c r="H58" s="66"/>
      <c r="CM58"/>
      <c r="CN58"/>
      <c r="CO58"/>
      <c r="CP58"/>
      <c r="CQ58"/>
      <c r="CR58"/>
    </row>
    <row r="59" spans="2:97" x14ac:dyDescent="0.25">
      <c r="B59" s="66"/>
      <c r="C59" s="66"/>
      <c r="D59" s="66"/>
      <c r="E59" s="66"/>
      <c r="F59" s="66"/>
      <c r="G59" s="66"/>
      <c r="H59" s="66"/>
      <c r="CM59"/>
      <c r="CN59"/>
      <c r="CO59"/>
      <c r="CP59"/>
      <c r="CQ59"/>
      <c r="CR59"/>
    </row>
    <row r="60" spans="2:97" x14ac:dyDescent="0.25">
      <c r="B60" s="66"/>
      <c r="C60" s="66"/>
      <c r="D60" s="66"/>
      <c r="E60" s="66"/>
      <c r="F60" s="66"/>
      <c r="G60" s="66"/>
      <c r="H60" s="66"/>
      <c r="CM60"/>
      <c r="CN60"/>
      <c r="CO60"/>
      <c r="CP60"/>
      <c r="CQ60"/>
      <c r="CR60"/>
    </row>
    <row r="61" spans="2:97" x14ac:dyDescent="0.25">
      <c r="B61" s="66"/>
      <c r="C61" s="66"/>
      <c r="D61" s="66"/>
      <c r="E61" s="66"/>
      <c r="F61" s="66"/>
      <c r="G61" s="66"/>
      <c r="H61" s="66"/>
      <c r="CM61"/>
      <c r="CN61"/>
      <c r="CO61"/>
      <c r="CP61"/>
      <c r="CQ61"/>
      <c r="CR61"/>
    </row>
    <row r="62" spans="2:97" x14ac:dyDescent="0.25">
      <c r="B62" s="66"/>
      <c r="C62" s="66"/>
      <c r="D62" s="66"/>
      <c r="E62" s="66"/>
      <c r="F62" s="66"/>
      <c r="G62" s="66"/>
      <c r="H62" s="66"/>
      <c r="CM62"/>
      <c r="CN62"/>
      <c r="CO62"/>
      <c r="CP62"/>
      <c r="CQ62"/>
      <c r="CR62"/>
    </row>
    <row r="63" spans="2:97" x14ac:dyDescent="0.25">
      <c r="B63" s="66"/>
      <c r="C63" s="66"/>
      <c r="D63" s="66"/>
      <c r="E63" s="66"/>
      <c r="F63" s="66"/>
      <c r="G63" s="66"/>
      <c r="H63" s="66"/>
      <c r="CM63"/>
      <c r="CN63"/>
      <c r="CO63"/>
      <c r="CP63"/>
      <c r="CQ63"/>
      <c r="CR63"/>
    </row>
  </sheetData>
  <mergeCells count="1">
    <mergeCell ref="AP2:AP3"/>
  </mergeCells>
  <pageMargins left="0.7" right="0.7" top="0.75" bottom="0.75" header="0.3" footer="0.3"/>
  <pageSetup orientation="portrait" r:id="rId1"/>
  <customProperties>
    <customPr name="QAA_DRILLPATH_NODE_ID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3"/>
  <sheetViews>
    <sheetView zoomScale="112" zoomScaleNormal="112" workbookViewId="0">
      <selection activeCell="BU17" sqref="BU17"/>
    </sheetView>
  </sheetViews>
  <sheetFormatPr baseColWidth="10" defaultRowHeight="15" outlineLevelCol="2" x14ac:dyDescent="0.25"/>
  <cols>
    <col min="1" max="1" width="8.5703125" style="10" customWidth="1"/>
    <col min="2" max="2" width="10" style="10" bestFit="1" customWidth="1"/>
    <col min="3" max="3" width="43" style="10" bestFit="1" customWidth="1"/>
    <col min="4" max="5" width="19.42578125" style="10" bestFit="1" customWidth="1"/>
    <col min="6" max="6" width="21.85546875" style="10" bestFit="1" customWidth="1"/>
    <col min="7" max="7" width="19.5703125" style="10" customWidth="1" outlineLevel="1"/>
    <col min="8" max="8" width="17.85546875" style="10" customWidth="1" outlineLevel="1"/>
    <col min="9" max="9" width="17.85546875" style="66" bestFit="1" customWidth="1"/>
    <col min="10" max="10" width="17.85546875" style="66" customWidth="1" outlineLevel="2"/>
    <col min="11" max="13" width="16.42578125" style="66" customWidth="1" outlineLevel="2"/>
    <col min="14" max="14" width="18.85546875" style="66" customWidth="1" outlineLevel="2"/>
    <col min="15" max="15" width="21" style="66" customWidth="1" outlineLevel="2"/>
    <col min="16" max="17" width="14.140625" style="66" customWidth="1" outlineLevel="2"/>
    <col min="18" max="18" width="16.42578125" style="66" customWidth="1" outlineLevel="2"/>
    <col min="19" max="25" width="18.42578125" style="66" customWidth="1" outlineLevel="2"/>
    <col min="26" max="26" width="18.85546875" style="66" customWidth="1" outlineLevel="2"/>
    <col min="27" max="27" width="21" style="66" customWidth="1" outlineLevel="2"/>
    <col min="28" max="29" width="14.5703125" style="66" customWidth="1" outlineLevel="2"/>
    <col min="30" max="30" width="16.42578125" style="66" customWidth="1" outlineLevel="2"/>
    <col min="31" max="31" width="18.42578125" style="66" customWidth="1" outlineLevel="2"/>
    <col min="32" max="32" width="18.140625" style="66" customWidth="1" outlineLevel="2"/>
    <col min="33" max="33" width="20.140625" style="66" customWidth="1" outlineLevel="2"/>
    <col min="34" max="37" width="14.5703125" style="66" customWidth="1" outlineLevel="2"/>
    <col min="38" max="38" width="14.42578125" style="66" bestFit="1" customWidth="1"/>
    <col min="39" max="40" width="13.42578125" style="66" bestFit="1" customWidth="1"/>
    <col min="41" max="41" width="12.42578125" style="66" bestFit="1" customWidth="1"/>
    <col min="42" max="42" width="17.140625" style="66" bestFit="1" customWidth="1"/>
    <col min="43" max="43" width="17.140625" style="66" customWidth="1"/>
    <col min="44" max="48" width="17.42578125" style="66" customWidth="1" outlineLevel="1"/>
    <col min="49" max="49" width="15.140625" style="66" customWidth="1" outlineLevel="1"/>
    <col min="50" max="50" width="9.85546875" style="66" customWidth="1" outlineLevel="1"/>
    <col min="51" max="51" width="12.5703125" style="66" customWidth="1" outlineLevel="1"/>
    <col min="52" max="52" width="14.42578125" style="66" customWidth="1" outlineLevel="1"/>
    <col min="53" max="53" width="15.140625" style="66" customWidth="1" outlineLevel="1"/>
    <col min="54" max="55" width="11.85546875" style="66" customWidth="1" outlineLevel="1"/>
    <col min="56" max="56" width="12.5703125" style="66" customWidth="1" outlineLevel="1"/>
    <col min="57" max="59" width="16.5703125" style="66" customWidth="1" outlineLevel="1"/>
    <col min="60" max="60" width="15.140625" style="66" customWidth="1" outlineLevel="1"/>
    <col min="61" max="62" width="13.5703125" style="66" customWidth="1" outlineLevel="1"/>
    <col min="63" max="63" width="14.42578125" style="66" customWidth="1" outlineLevel="1"/>
    <col min="64" max="64" width="19.5703125" style="66" customWidth="1" outlineLevel="1"/>
    <col min="65" max="66" width="17.85546875" style="66" customWidth="1" outlineLevel="1"/>
    <col min="67" max="67" width="12.85546875" style="66" customWidth="1" outlineLevel="1"/>
    <col min="68" max="68" width="13.5703125" style="66" customWidth="1" outlineLevel="1"/>
    <col min="69" max="69" width="18.85546875" style="66" customWidth="1" outlineLevel="1"/>
    <col min="70" max="70" width="20.140625" style="66" customWidth="1" outlineLevel="1"/>
    <col min="71" max="73" width="20.140625" style="66" bestFit="1" customWidth="1"/>
    <col min="74" max="76" width="17.42578125" style="66" bestFit="1" customWidth="1"/>
    <col min="77" max="77" width="15.140625" style="66" bestFit="1" customWidth="1"/>
    <col min="78" max="79" width="14.42578125" style="66" bestFit="1" customWidth="1"/>
    <col min="80" max="80" width="15.140625" style="66" bestFit="1" customWidth="1"/>
    <col min="81" max="82" width="15" style="66" bestFit="1" customWidth="1"/>
    <col min="83" max="83" width="15.140625" style="66" bestFit="1" customWidth="1"/>
    <col min="84" max="84" width="10.42578125" style="66" bestFit="1" customWidth="1"/>
    <col min="85" max="85" width="12.5703125" style="66" bestFit="1" customWidth="1"/>
    <col min="86" max="86" width="16.5703125" style="66" bestFit="1" customWidth="1"/>
    <col min="87" max="88" width="19.7109375" style="66" bestFit="1" customWidth="1"/>
    <col min="89" max="89" width="15.5703125" style="66" customWidth="1"/>
    <col min="90" max="90" width="11.28515625" style="66" customWidth="1"/>
    <col min="91" max="91" width="17.85546875" style="66" bestFit="1" customWidth="1"/>
    <col min="92" max="92" width="14.42578125" style="66" customWidth="1"/>
    <col min="93" max="93" width="14.28515625" style="66" bestFit="1" customWidth="1"/>
    <col min="94" max="95" width="19.7109375" style="66" bestFit="1" customWidth="1"/>
    <col min="96" max="96" width="16.5703125" style="66" bestFit="1" customWidth="1"/>
    <col min="97" max="97" width="22" style="66" bestFit="1" customWidth="1"/>
    <col min="98" max="98" width="12" bestFit="1" customWidth="1"/>
    <col min="99" max="99" width="11.5703125" bestFit="1" customWidth="1"/>
    <col min="100" max="100" width="12" bestFit="1" customWidth="1"/>
    <col min="101" max="101" width="15.28515625" bestFit="1" customWidth="1"/>
  </cols>
  <sheetData>
    <row r="1" spans="1:101" ht="28.5" x14ac:dyDescent="0.45">
      <c r="A1" s="1"/>
      <c r="B1" s="1"/>
      <c r="C1" s="1"/>
      <c r="D1" s="2"/>
      <c r="E1" s="3"/>
      <c r="F1" s="3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5"/>
      <c r="AN1" s="5"/>
      <c r="AO1" s="5"/>
      <c r="AP1" s="5"/>
      <c r="AQ1" s="5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6"/>
      <c r="BM1" s="4"/>
      <c r="BN1" s="4"/>
      <c r="BO1" s="4"/>
      <c r="BP1" s="4"/>
      <c r="BQ1" s="4"/>
      <c r="BR1" s="7"/>
      <c r="BS1" s="7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8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spans="1:101" ht="15" customHeight="1" x14ac:dyDescent="0.25">
      <c r="D2" s="11" t="s">
        <v>0</v>
      </c>
      <c r="E2" s="11" t="s">
        <v>1</v>
      </c>
      <c r="F2" s="11" t="s">
        <v>2</v>
      </c>
      <c r="G2" s="12" t="s">
        <v>3</v>
      </c>
      <c r="H2" s="12" t="s">
        <v>4</v>
      </c>
      <c r="I2" s="13" t="s">
        <v>5</v>
      </c>
      <c r="J2" s="12" t="s">
        <v>6</v>
      </c>
      <c r="K2" s="12" t="s">
        <v>0</v>
      </c>
      <c r="L2" s="12" t="s">
        <v>1</v>
      </c>
      <c r="M2" s="12" t="s">
        <v>2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12" t="s">
        <v>12</v>
      </c>
      <c r="T2" s="16" t="s">
        <v>7</v>
      </c>
      <c r="U2" s="16" t="s">
        <v>8</v>
      </c>
      <c r="V2" s="16" t="s">
        <v>134</v>
      </c>
      <c r="W2" s="16" t="s">
        <v>135</v>
      </c>
      <c r="X2" s="16" t="s">
        <v>11</v>
      </c>
      <c r="Y2" s="16" t="s">
        <v>12</v>
      </c>
      <c r="Z2" s="12" t="s">
        <v>7</v>
      </c>
      <c r="AA2" s="12" t="s">
        <v>8</v>
      </c>
      <c r="AB2" s="12" t="s">
        <v>9</v>
      </c>
      <c r="AC2" s="12" t="s">
        <v>10</v>
      </c>
      <c r="AD2" s="12" t="s">
        <v>11</v>
      </c>
      <c r="AE2" s="12" t="s">
        <v>12</v>
      </c>
      <c r="AF2" s="12" t="s">
        <v>13</v>
      </c>
      <c r="AG2" s="12" t="s">
        <v>14</v>
      </c>
      <c r="AH2" s="12" t="s">
        <v>15</v>
      </c>
      <c r="AI2" s="12" t="s">
        <v>16</v>
      </c>
      <c r="AJ2" s="12" t="s">
        <v>17</v>
      </c>
      <c r="AK2" s="12" t="s">
        <v>18</v>
      </c>
      <c r="AL2" s="14" t="s">
        <v>19</v>
      </c>
      <c r="AM2" s="14" t="s">
        <v>20</v>
      </c>
      <c r="AN2" s="15" t="s">
        <v>21</v>
      </c>
      <c r="AO2" s="15" t="s">
        <v>22</v>
      </c>
      <c r="AP2" s="89" t="s">
        <v>23</v>
      </c>
      <c r="AQ2" s="83"/>
      <c r="AR2" s="16" t="s">
        <v>0</v>
      </c>
      <c r="AS2" s="16" t="s">
        <v>24</v>
      </c>
      <c r="AT2" s="12" t="s">
        <v>5</v>
      </c>
      <c r="AU2" s="12" t="s">
        <v>2</v>
      </c>
      <c r="AV2" s="12" t="s">
        <v>19</v>
      </c>
      <c r="AW2" s="12" t="s">
        <v>0</v>
      </c>
      <c r="AX2" s="12" t="s">
        <v>24</v>
      </c>
      <c r="AY2" s="12" t="s">
        <v>2</v>
      </c>
      <c r="AZ2" s="12" t="s">
        <v>19</v>
      </c>
      <c r="BA2" s="12" t="s">
        <v>0</v>
      </c>
      <c r="BB2" s="12" t="s">
        <v>24</v>
      </c>
      <c r="BC2" s="12" t="s">
        <v>5</v>
      </c>
      <c r="BD2" s="12" t="s">
        <v>2</v>
      </c>
      <c r="BE2" s="12" t="s">
        <v>0</v>
      </c>
      <c r="BF2" s="12" t="s">
        <v>24</v>
      </c>
      <c r="BG2" s="17" t="s">
        <v>2</v>
      </c>
      <c r="BH2" s="17" t="s">
        <v>0</v>
      </c>
      <c r="BI2" s="17" t="s">
        <v>24</v>
      </c>
      <c r="BJ2" s="17" t="s">
        <v>2</v>
      </c>
      <c r="BK2" s="17" t="s">
        <v>19</v>
      </c>
      <c r="BL2" s="18" t="s">
        <v>3</v>
      </c>
      <c r="BM2" s="18" t="s">
        <v>4</v>
      </c>
      <c r="BN2" s="18" t="s">
        <v>6</v>
      </c>
      <c r="BO2" s="18" t="s">
        <v>25</v>
      </c>
      <c r="BP2" s="18" t="s">
        <v>26</v>
      </c>
      <c r="BQ2" s="18" t="s">
        <v>27</v>
      </c>
      <c r="BR2" s="14" t="s">
        <v>28</v>
      </c>
      <c r="BS2" s="14" t="s">
        <v>10</v>
      </c>
      <c r="BT2" s="14" t="s">
        <v>29</v>
      </c>
      <c r="BU2" s="14" t="s">
        <v>12</v>
      </c>
      <c r="BV2" s="14" t="s">
        <v>0</v>
      </c>
      <c r="BW2" s="14" t="s">
        <v>1</v>
      </c>
      <c r="BX2" s="14" t="s">
        <v>2</v>
      </c>
      <c r="BY2" s="14" t="s">
        <v>0</v>
      </c>
      <c r="BZ2" s="14" t="s">
        <v>1</v>
      </c>
      <c r="CA2" s="14" t="s">
        <v>2</v>
      </c>
      <c r="CB2" s="14" t="s">
        <v>0</v>
      </c>
      <c r="CC2" s="14" t="s">
        <v>1</v>
      </c>
      <c r="CD2" s="14" t="s">
        <v>2</v>
      </c>
      <c r="CE2" s="14" t="s">
        <v>0</v>
      </c>
      <c r="CF2" s="14" t="s">
        <v>1</v>
      </c>
      <c r="CG2" s="14" t="s">
        <v>2</v>
      </c>
      <c r="CH2" s="14" t="s">
        <v>2</v>
      </c>
      <c r="CI2" s="14" t="s">
        <v>1</v>
      </c>
      <c r="CJ2" s="14" t="s">
        <v>2</v>
      </c>
      <c r="CK2" s="14" t="s">
        <v>1</v>
      </c>
      <c r="CL2" s="14" t="s">
        <v>1</v>
      </c>
      <c r="CM2" s="14" t="s">
        <v>1</v>
      </c>
      <c r="CN2" s="14" t="s">
        <v>1</v>
      </c>
      <c r="CO2" s="14" t="s">
        <v>1</v>
      </c>
      <c r="CP2" s="14" t="s">
        <v>1</v>
      </c>
      <c r="CQ2" s="14" t="s">
        <v>1</v>
      </c>
      <c r="CR2" s="19" t="s">
        <v>30</v>
      </c>
      <c r="CS2" s="85" t="s">
        <v>136</v>
      </c>
      <c r="CT2" s="85" t="s">
        <v>135</v>
      </c>
      <c r="CU2" s="85" t="s">
        <v>29</v>
      </c>
      <c r="CV2" s="85" t="s">
        <v>12</v>
      </c>
      <c r="CW2" s="20" t="s">
        <v>31</v>
      </c>
    </row>
    <row r="3" spans="1:101" ht="60" x14ac:dyDescent="0.25">
      <c r="D3" s="21" t="s">
        <v>32</v>
      </c>
      <c r="E3" s="21" t="s">
        <v>32</v>
      </c>
      <c r="F3" s="21" t="s">
        <v>32</v>
      </c>
      <c r="G3" s="22" t="s">
        <v>32</v>
      </c>
      <c r="H3" s="22" t="s">
        <v>32</v>
      </c>
      <c r="I3" s="23" t="s">
        <v>32</v>
      </c>
      <c r="J3" s="22" t="s">
        <v>32</v>
      </c>
      <c r="K3" s="22" t="s">
        <v>33</v>
      </c>
      <c r="L3" s="22" t="s">
        <v>33</v>
      </c>
      <c r="M3" s="22" t="s">
        <v>33</v>
      </c>
      <c r="N3" s="22" t="s">
        <v>34</v>
      </c>
      <c r="O3" s="22" t="s">
        <v>34</v>
      </c>
      <c r="P3" s="22" t="s">
        <v>34</v>
      </c>
      <c r="Q3" s="22" t="s">
        <v>34</v>
      </c>
      <c r="R3" s="22" t="s">
        <v>34</v>
      </c>
      <c r="S3" s="22" t="s">
        <v>34</v>
      </c>
      <c r="T3" s="24" t="s">
        <v>137</v>
      </c>
      <c r="U3" s="24" t="s">
        <v>137</v>
      </c>
      <c r="V3" s="24" t="s">
        <v>137</v>
      </c>
      <c r="W3" s="24" t="s">
        <v>137</v>
      </c>
      <c r="X3" s="24" t="s">
        <v>137</v>
      </c>
      <c r="Y3" s="24" t="s">
        <v>137</v>
      </c>
      <c r="Z3" s="22" t="s">
        <v>35</v>
      </c>
      <c r="AA3" s="22" t="s">
        <v>35</v>
      </c>
      <c r="AB3" s="22" t="s">
        <v>35</v>
      </c>
      <c r="AC3" s="22" t="s">
        <v>35</v>
      </c>
      <c r="AD3" s="22" t="s">
        <v>35</v>
      </c>
      <c r="AE3" s="22" t="s">
        <v>35</v>
      </c>
      <c r="AF3" s="22" t="s">
        <v>35</v>
      </c>
      <c r="AG3" s="22" t="s">
        <v>35</v>
      </c>
      <c r="AH3" s="22" t="s">
        <v>35</v>
      </c>
      <c r="AI3" s="22" t="s">
        <v>35</v>
      </c>
      <c r="AJ3" s="22" t="s">
        <v>35</v>
      </c>
      <c r="AK3" s="22" t="s">
        <v>35</v>
      </c>
      <c r="AL3" s="23" t="s">
        <v>36</v>
      </c>
      <c r="AM3" s="23" t="s">
        <v>36</v>
      </c>
      <c r="AN3" s="23"/>
      <c r="AO3" s="23"/>
      <c r="AP3" s="90"/>
      <c r="AQ3" s="84" t="s">
        <v>37</v>
      </c>
      <c r="AR3" s="24" t="s">
        <v>38</v>
      </c>
      <c r="AS3" s="24" t="s">
        <v>38</v>
      </c>
      <c r="AT3" s="22" t="s">
        <v>38</v>
      </c>
      <c r="AU3" s="22" t="s">
        <v>38</v>
      </c>
      <c r="AV3" s="22" t="s">
        <v>38</v>
      </c>
      <c r="AW3" s="22" t="s">
        <v>39</v>
      </c>
      <c r="AX3" s="22" t="s">
        <v>39</v>
      </c>
      <c r="AY3" s="22" t="s">
        <v>39</v>
      </c>
      <c r="AZ3" s="22" t="s">
        <v>39</v>
      </c>
      <c r="BA3" s="22" t="s">
        <v>40</v>
      </c>
      <c r="BB3" s="22" t="s">
        <v>40</v>
      </c>
      <c r="BC3" s="22" t="s">
        <v>40</v>
      </c>
      <c r="BD3" s="22" t="s">
        <v>40</v>
      </c>
      <c r="BE3" s="22" t="s">
        <v>41</v>
      </c>
      <c r="BF3" s="22" t="s">
        <v>41</v>
      </c>
      <c r="BG3" s="22" t="s">
        <v>41</v>
      </c>
      <c r="BH3" s="22" t="s">
        <v>42</v>
      </c>
      <c r="BI3" s="22" t="s">
        <v>42</v>
      </c>
      <c r="BJ3" s="22" t="s">
        <v>42</v>
      </c>
      <c r="BK3" s="22" t="s">
        <v>42</v>
      </c>
      <c r="BL3" s="24" t="s">
        <v>32</v>
      </c>
      <c r="BM3" s="24" t="s">
        <v>32</v>
      </c>
      <c r="BN3" s="24" t="s">
        <v>32</v>
      </c>
      <c r="BO3" s="25" t="s">
        <v>4</v>
      </c>
      <c r="BP3" s="25" t="s">
        <v>4</v>
      </c>
      <c r="BQ3" s="25" t="s">
        <v>4</v>
      </c>
      <c r="BR3" s="84" t="s">
        <v>43</v>
      </c>
      <c r="BS3" s="84" t="s">
        <v>43</v>
      </c>
      <c r="BT3" s="84" t="s">
        <v>43</v>
      </c>
      <c r="BU3" s="84" t="s">
        <v>43</v>
      </c>
      <c r="BV3" s="84" t="s">
        <v>38</v>
      </c>
      <c r="BW3" s="84" t="s">
        <v>38</v>
      </c>
      <c r="BX3" s="84" t="s">
        <v>38</v>
      </c>
      <c r="BY3" s="84" t="s">
        <v>42</v>
      </c>
      <c r="BZ3" s="84" t="s">
        <v>42</v>
      </c>
      <c r="CA3" s="84" t="s">
        <v>42</v>
      </c>
      <c r="CB3" s="84" t="s">
        <v>44</v>
      </c>
      <c r="CC3" s="84" t="s">
        <v>44</v>
      </c>
      <c r="CD3" s="84" t="s">
        <v>44</v>
      </c>
      <c r="CE3" s="84" t="s">
        <v>45</v>
      </c>
      <c r="CF3" s="84" t="s">
        <v>45</v>
      </c>
      <c r="CG3" s="84" t="s">
        <v>45</v>
      </c>
      <c r="CH3" s="84" t="s">
        <v>41</v>
      </c>
      <c r="CI3" s="84" t="s">
        <v>46</v>
      </c>
      <c r="CJ3" s="84" t="s">
        <v>46</v>
      </c>
      <c r="CK3" s="26" t="s">
        <v>47</v>
      </c>
      <c r="CL3" s="26" t="s">
        <v>47</v>
      </c>
      <c r="CM3" s="26" t="s">
        <v>32</v>
      </c>
      <c r="CN3" s="26" t="s">
        <v>42</v>
      </c>
      <c r="CO3" s="26" t="s">
        <v>48</v>
      </c>
      <c r="CP3" s="26" t="s">
        <v>46</v>
      </c>
      <c r="CQ3" s="26" t="s">
        <v>46</v>
      </c>
      <c r="CR3" s="86" t="s">
        <v>49</v>
      </c>
      <c r="CS3" s="87" t="s">
        <v>138</v>
      </c>
      <c r="CT3" s="87" t="s">
        <v>138</v>
      </c>
      <c r="CU3" s="87" t="s">
        <v>138</v>
      </c>
      <c r="CV3" s="87" t="s">
        <v>138</v>
      </c>
      <c r="CW3" s="27"/>
    </row>
    <row r="4" spans="1:101" x14ac:dyDescent="0.25">
      <c r="A4" s="28"/>
      <c r="B4" s="29" t="s">
        <v>50</v>
      </c>
      <c r="C4" s="30" t="s">
        <v>51</v>
      </c>
      <c r="D4" s="31" t="s">
        <v>52</v>
      </c>
      <c r="E4" s="31" t="s">
        <v>53</v>
      </c>
      <c r="F4" s="31" t="s">
        <v>54</v>
      </c>
      <c r="G4" s="32">
        <v>482800001265</v>
      </c>
      <c r="H4" s="32">
        <v>482800001273</v>
      </c>
      <c r="I4" s="32">
        <v>482800002024</v>
      </c>
      <c r="J4" s="32">
        <v>482800001257</v>
      </c>
      <c r="K4" s="32" t="s">
        <v>55</v>
      </c>
      <c r="L4" s="32" t="s">
        <v>56</v>
      </c>
      <c r="M4" s="32" t="s">
        <v>57</v>
      </c>
      <c r="N4" s="32">
        <v>36203301</v>
      </c>
      <c r="O4" s="32">
        <v>36203301</v>
      </c>
      <c r="P4" s="32">
        <v>36203328</v>
      </c>
      <c r="Q4" s="32">
        <v>36203328</v>
      </c>
      <c r="R4" s="32">
        <v>36025015</v>
      </c>
      <c r="S4" s="32">
        <v>36025015</v>
      </c>
      <c r="T4" s="32"/>
      <c r="U4" s="32"/>
      <c r="V4" s="32"/>
      <c r="W4" s="32"/>
      <c r="X4" s="32"/>
      <c r="Y4" s="32"/>
      <c r="Z4" s="32">
        <v>865784010</v>
      </c>
      <c r="AA4" s="32">
        <v>865784010</v>
      </c>
      <c r="AB4" s="32">
        <v>865804010</v>
      </c>
      <c r="AC4" s="32">
        <v>865804010</v>
      </c>
      <c r="AD4" s="32">
        <v>865794010</v>
      </c>
      <c r="AE4" s="32">
        <v>865794010</v>
      </c>
      <c r="AF4" s="32" t="s">
        <v>58</v>
      </c>
      <c r="AG4" s="32" t="s">
        <v>58</v>
      </c>
      <c r="AH4" s="32" t="s">
        <v>59</v>
      </c>
      <c r="AI4" s="32" t="s">
        <v>59</v>
      </c>
      <c r="AJ4" s="32" t="s">
        <v>60</v>
      </c>
      <c r="AK4" s="32" t="s">
        <v>60</v>
      </c>
      <c r="AL4" s="33"/>
      <c r="AM4" s="33"/>
      <c r="AN4" s="33"/>
      <c r="AO4" s="33"/>
      <c r="AP4" s="33"/>
      <c r="AQ4" s="33">
        <v>3642</v>
      </c>
      <c r="AR4" s="33" t="s">
        <v>61</v>
      </c>
      <c r="AS4" s="33" t="s">
        <v>62</v>
      </c>
      <c r="AT4" s="33" t="s">
        <v>63</v>
      </c>
      <c r="AU4" s="33" t="s">
        <v>64</v>
      </c>
      <c r="AV4" s="33" t="s">
        <v>65</v>
      </c>
      <c r="AW4" s="33" t="s">
        <v>66</v>
      </c>
      <c r="AX4" s="33" t="s">
        <v>67</v>
      </c>
      <c r="AY4" s="33" t="s">
        <v>68</v>
      </c>
      <c r="AZ4" s="33" t="s">
        <v>69</v>
      </c>
      <c r="BA4" s="33" t="s">
        <v>70</v>
      </c>
      <c r="BB4" s="33" t="s">
        <v>71</v>
      </c>
      <c r="BC4" s="33" t="s">
        <v>72</v>
      </c>
      <c r="BD4" s="33" t="s">
        <v>73</v>
      </c>
      <c r="BE4" s="33" t="s">
        <v>74</v>
      </c>
      <c r="BF4" s="33" t="s">
        <v>75</v>
      </c>
      <c r="BG4" s="33" t="s">
        <v>76</v>
      </c>
      <c r="BH4" s="33" t="s">
        <v>77</v>
      </c>
      <c r="BI4" s="33" t="s">
        <v>78</v>
      </c>
      <c r="BJ4" s="33" t="s">
        <v>79</v>
      </c>
      <c r="BK4" s="33" t="s">
        <v>80</v>
      </c>
      <c r="BL4" s="34">
        <v>482800007882</v>
      </c>
      <c r="BM4" s="34">
        <v>482800007908</v>
      </c>
      <c r="BN4" s="34">
        <v>482800007890</v>
      </c>
      <c r="BO4" s="34">
        <v>482800010001</v>
      </c>
      <c r="BP4" s="34">
        <v>482800010019</v>
      </c>
      <c r="BQ4" s="34">
        <v>482800010027</v>
      </c>
      <c r="BR4" s="33">
        <v>36024995</v>
      </c>
      <c r="BS4" s="33">
        <v>36024995</v>
      </c>
      <c r="BT4" s="33">
        <v>36903922</v>
      </c>
      <c r="BU4" s="33">
        <v>36903922</v>
      </c>
      <c r="BV4" s="33">
        <v>36294346</v>
      </c>
      <c r="BW4" s="33" t="s">
        <v>81</v>
      </c>
      <c r="BX4" s="33">
        <v>36294353</v>
      </c>
      <c r="BY4" s="33" t="s">
        <v>82</v>
      </c>
      <c r="BZ4" s="33" t="s">
        <v>83</v>
      </c>
      <c r="CA4" s="33" t="s">
        <v>84</v>
      </c>
      <c r="CB4" s="33" t="s">
        <v>85</v>
      </c>
      <c r="CC4" s="33" t="s">
        <v>86</v>
      </c>
      <c r="CD4" s="33" t="s">
        <v>87</v>
      </c>
      <c r="CE4" s="33" t="s">
        <v>88</v>
      </c>
      <c r="CF4" s="33" t="s">
        <v>89</v>
      </c>
      <c r="CG4" s="33" t="s">
        <v>90</v>
      </c>
      <c r="CH4" s="33" t="s">
        <v>91</v>
      </c>
      <c r="CI4" s="33">
        <v>221816614</v>
      </c>
      <c r="CJ4" s="33">
        <v>221816598</v>
      </c>
      <c r="CK4" s="33">
        <v>60193029</v>
      </c>
      <c r="CL4" s="33">
        <v>60193401</v>
      </c>
      <c r="CM4" s="33">
        <v>1011143807</v>
      </c>
      <c r="CN4" s="33">
        <v>4801736642</v>
      </c>
      <c r="CO4" s="33">
        <v>65005340</v>
      </c>
      <c r="CP4" s="33">
        <v>288086051</v>
      </c>
      <c r="CQ4" s="33">
        <v>288049109</v>
      </c>
      <c r="CR4" s="33">
        <v>411166042</v>
      </c>
      <c r="CS4" s="33">
        <v>865804015</v>
      </c>
      <c r="CT4" s="33">
        <v>865804015</v>
      </c>
      <c r="CU4" s="33">
        <v>865794015</v>
      </c>
      <c r="CV4" s="33">
        <v>865794015</v>
      </c>
      <c r="CW4" s="35"/>
    </row>
    <row r="5" spans="1:101" x14ac:dyDescent="0.25">
      <c r="B5" s="36"/>
      <c r="C5" s="37" t="s">
        <v>92</v>
      </c>
      <c r="D5" s="38"/>
      <c r="E5" s="38" t="s">
        <v>93</v>
      </c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9"/>
      <c r="AI5" s="39"/>
      <c r="AJ5" s="39"/>
      <c r="AK5" s="39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>
        <v>4.1654099999999996</v>
      </c>
      <c r="BT5" s="37"/>
      <c r="BU5" s="37">
        <f>+BS5</f>
        <v>4.1654099999999996</v>
      </c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40"/>
    </row>
    <row r="6" spans="1:101" x14ac:dyDescent="0.25">
      <c r="B6" s="36"/>
      <c r="C6" s="37" t="s">
        <v>94</v>
      </c>
      <c r="D6" s="37">
        <f>+D7-D8</f>
        <v>-17759.242510000477</v>
      </c>
      <c r="E6" s="37">
        <f>+E7-E8</f>
        <v>1056824.8806854635</v>
      </c>
      <c r="F6" s="37">
        <f>+F7-F8</f>
        <v>679987.73638849147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9"/>
      <c r="AI6" s="39"/>
      <c r="AJ6" s="39"/>
      <c r="AK6" s="39"/>
      <c r="AL6" s="37">
        <f t="shared" ref="AL6:BQ6" si="0">+AL7-AL8</f>
        <v>-657.05546007677913</v>
      </c>
      <c r="AM6" s="37">
        <f t="shared" si="0"/>
        <v>-41927.272003538907</v>
      </c>
      <c r="AN6" s="37">
        <f t="shared" si="0"/>
        <v>-146010.01052000094</v>
      </c>
      <c r="AO6" s="37">
        <f t="shared" si="0"/>
        <v>-17771.05024143972</v>
      </c>
      <c r="AP6" s="37">
        <f t="shared" si="0"/>
        <v>315893.56463624164</v>
      </c>
      <c r="AQ6" s="37">
        <f t="shared" si="0"/>
        <v>512.42454783967696</v>
      </c>
      <c r="AR6" s="37">
        <f t="shared" si="0"/>
        <v>0</v>
      </c>
      <c r="AS6" s="37">
        <f t="shared" si="0"/>
        <v>0</v>
      </c>
      <c r="AT6" s="37">
        <f t="shared" si="0"/>
        <v>0</v>
      </c>
      <c r="AU6" s="37">
        <f t="shared" si="0"/>
        <v>0</v>
      </c>
      <c r="AV6" s="37">
        <f t="shared" si="0"/>
        <v>0</v>
      </c>
      <c r="AW6" s="37">
        <f t="shared" si="0"/>
        <v>0</v>
      </c>
      <c r="AX6" s="37">
        <f t="shared" si="0"/>
        <v>0</v>
      </c>
      <c r="AY6" s="37">
        <f t="shared" si="0"/>
        <v>0</v>
      </c>
      <c r="AZ6" s="37">
        <f t="shared" si="0"/>
        <v>0</v>
      </c>
      <c r="BA6" s="37">
        <f t="shared" si="0"/>
        <v>0</v>
      </c>
      <c r="BB6" s="37">
        <f t="shared" si="0"/>
        <v>0</v>
      </c>
      <c r="BC6" s="37">
        <f t="shared" si="0"/>
        <v>0</v>
      </c>
      <c r="BD6" s="37">
        <f t="shared" si="0"/>
        <v>0</v>
      </c>
      <c r="BE6" s="37">
        <f t="shared" si="0"/>
        <v>0</v>
      </c>
      <c r="BF6" s="37">
        <f t="shared" si="0"/>
        <v>0</v>
      </c>
      <c r="BG6" s="37">
        <f t="shared" si="0"/>
        <v>0</v>
      </c>
      <c r="BH6" s="37">
        <f t="shared" si="0"/>
        <v>0</v>
      </c>
      <c r="BI6" s="37">
        <f t="shared" si="0"/>
        <v>0</v>
      </c>
      <c r="BJ6" s="37">
        <f t="shared" si="0"/>
        <v>0</v>
      </c>
      <c r="BK6" s="37">
        <f t="shared" si="0"/>
        <v>0</v>
      </c>
      <c r="BL6" s="37">
        <f t="shared" si="0"/>
        <v>0</v>
      </c>
      <c r="BM6" s="37">
        <f t="shared" si="0"/>
        <v>0</v>
      </c>
      <c r="BN6" s="37">
        <f t="shared" si="0"/>
        <v>0</v>
      </c>
      <c r="BO6" s="37">
        <f t="shared" si="0"/>
        <v>0</v>
      </c>
      <c r="BP6" s="37">
        <f t="shared" si="0"/>
        <v>0</v>
      </c>
      <c r="BQ6" s="37">
        <f t="shared" si="0"/>
        <v>0</v>
      </c>
      <c r="BR6" s="37"/>
      <c r="BS6" s="37"/>
      <c r="BT6" s="37"/>
      <c r="BU6" s="37"/>
      <c r="BV6" s="37">
        <f>+BV7-BV8-422.17</f>
        <v>-422.17</v>
      </c>
      <c r="BW6" s="37">
        <f t="shared" ref="BW6:CR6" si="1">+BW7-BW8</f>
        <v>0</v>
      </c>
      <c r="BX6" s="37">
        <f t="shared" si="1"/>
        <v>0</v>
      </c>
      <c r="BY6" s="37">
        <f t="shared" si="1"/>
        <v>6.5113699999637902</v>
      </c>
      <c r="BZ6" s="37">
        <f t="shared" si="1"/>
        <v>-121319.82078000065</v>
      </c>
      <c r="CA6" s="37">
        <f t="shared" si="1"/>
        <v>254270.81053999998</v>
      </c>
      <c r="CB6" s="37">
        <f t="shared" si="1"/>
        <v>-2.4000000121304765E-4</v>
      </c>
      <c r="CC6" s="37">
        <f t="shared" si="1"/>
        <v>-4.1799998143687844E-3</v>
      </c>
      <c r="CD6" s="37">
        <f>+[1]Otrosbancos!$S$29</f>
        <v>0</v>
      </c>
      <c r="CE6" s="37">
        <f t="shared" si="1"/>
        <v>0</v>
      </c>
      <c r="CF6" s="37">
        <f t="shared" si="1"/>
        <v>0</v>
      </c>
      <c r="CG6" s="37">
        <f t="shared" si="1"/>
        <v>0</v>
      </c>
      <c r="CH6" s="37">
        <f t="shared" si="1"/>
        <v>0</v>
      </c>
      <c r="CI6" s="37">
        <f t="shared" si="1"/>
        <v>5260.8954900000244</v>
      </c>
      <c r="CJ6" s="37">
        <f t="shared" si="1"/>
        <v>9028.4602400000113</v>
      </c>
      <c r="CK6" s="37">
        <f t="shared" si="1"/>
        <v>0</v>
      </c>
      <c r="CL6" s="37">
        <f t="shared" si="1"/>
        <v>0</v>
      </c>
      <c r="CM6" s="37">
        <f t="shared" si="1"/>
        <v>-1.4999999257270247E-4</v>
      </c>
      <c r="CN6" s="37">
        <f t="shared" si="1"/>
        <v>-2.9699999140575528E-3</v>
      </c>
      <c r="CO6" s="37">
        <f t="shared" si="1"/>
        <v>4.6400002902373672E-3</v>
      </c>
      <c r="CP6" s="37">
        <f t="shared" si="1"/>
        <v>-2.7600005269050598E-3</v>
      </c>
      <c r="CQ6" s="37">
        <f t="shared" si="1"/>
        <v>216.65003000001889</v>
      </c>
      <c r="CR6" s="37">
        <f t="shared" si="1"/>
        <v>-6.7999896054971032E-4</v>
      </c>
      <c r="CS6" s="37">
        <f>+CS7-CS8</f>
        <v>-5000</v>
      </c>
      <c r="CT6" s="37">
        <f>+CT7-CT8</f>
        <v>-20468.599999999999</v>
      </c>
      <c r="CU6" s="37">
        <f>+CU7-CU8</f>
        <v>-5000</v>
      </c>
      <c r="CV6" s="37">
        <f>+CV7-CV8</f>
        <v>-20468.599999999999</v>
      </c>
      <c r="CW6" s="37"/>
    </row>
    <row r="7" spans="1:101" x14ac:dyDescent="0.25">
      <c r="A7" s="41"/>
      <c r="B7" s="42"/>
      <c r="C7" s="43" t="s">
        <v>95</v>
      </c>
      <c r="D7" s="43">
        <f>+'[1]Cap,Bol,Cls'!$S$4</f>
        <v>536592.88574000006</v>
      </c>
      <c r="E7" s="43">
        <f>+'[1]Cap,Bol,Cls'!$S$13</f>
        <v>13199290.44884</v>
      </c>
      <c r="F7" s="43">
        <f>+'[1]Cap,Bol,Cls'!$S$30</f>
        <v>8029470.2854399998</v>
      </c>
      <c r="G7" s="43">
        <f>+G8</f>
        <v>0</v>
      </c>
      <c r="H7" s="43">
        <f>+H8</f>
        <v>0</v>
      </c>
      <c r="I7" s="43">
        <f>+'[1]Cap,Bol,Cls'!$S$24</f>
        <v>113095.81101</v>
      </c>
      <c r="J7" s="43">
        <f>+J8</f>
        <v>0</v>
      </c>
      <c r="K7" s="43">
        <f>+K8</f>
        <v>135652.65850014306</v>
      </c>
      <c r="L7" s="43">
        <f>+L8</f>
        <v>200537.41673701763</v>
      </c>
      <c r="M7" s="43">
        <f>+M8</f>
        <v>183605.14077686582</v>
      </c>
      <c r="N7" s="43">
        <f>+N8</f>
        <v>177310.5199999999</v>
      </c>
      <c r="O7" s="43">
        <f t="shared" ref="O7:AK7" si="2">+O8</f>
        <v>743248.15264999995</v>
      </c>
      <c r="P7" s="43">
        <f t="shared" si="2"/>
        <v>20538239.280000009</v>
      </c>
      <c r="Q7" s="43">
        <f t="shared" si="2"/>
        <v>118966958.3604399</v>
      </c>
      <c r="R7" s="43">
        <f t="shared" si="2"/>
        <v>995138.35</v>
      </c>
      <c r="S7" s="43">
        <f t="shared" si="2"/>
        <v>4489071.7104869988</v>
      </c>
      <c r="T7" s="43"/>
      <c r="U7" s="43"/>
      <c r="V7" s="43"/>
      <c r="W7" s="43"/>
      <c r="X7" s="43"/>
      <c r="Y7" s="43"/>
      <c r="Z7" s="43">
        <f t="shared" si="2"/>
        <v>9662.5274983807467</v>
      </c>
      <c r="AA7" s="43">
        <f t="shared" si="2"/>
        <v>40503.29</v>
      </c>
      <c r="AB7" s="43">
        <f t="shared" si="2"/>
        <v>7542.7499999967404</v>
      </c>
      <c r="AC7" s="43">
        <f t="shared" si="2"/>
        <v>31617.62</v>
      </c>
      <c r="AD7" s="43">
        <f t="shared" si="2"/>
        <v>5155</v>
      </c>
      <c r="AE7" s="43">
        <f t="shared" si="2"/>
        <v>21608.68</v>
      </c>
      <c r="AF7" s="43">
        <f t="shared" si="2"/>
        <v>7956.8699999451637</v>
      </c>
      <c r="AG7" s="43">
        <f t="shared" si="2"/>
        <v>33353.53</v>
      </c>
      <c r="AH7" s="43">
        <f t="shared" si="2"/>
        <v>195459.03999999719</v>
      </c>
      <c r="AI7" s="43">
        <f t="shared" si="2"/>
        <v>819134.7964617</v>
      </c>
      <c r="AJ7" s="43">
        <f t="shared" si="2"/>
        <v>673596.71999999823</v>
      </c>
      <c r="AK7" s="43">
        <f t="shared" si="2"/>
        <v>2823324.1679230896</v>
      </c>
      <c r="AL7" s="43">
        <f>+[1]Inversoras!$S$56</f>
        <v>21880301.121940002</v>
      </c>
      <c r="AM7" s="43">
        <f>+[1]Inversoras!$S$57</f>
        <v>59618483.002509996</v>
      </c>
      <c r="AN7" s="43">
        <f>+[1]Inversoras!$S$58</f>
        <v>6334096.5216399999</v>
      </c>
      <c r="AO7" s="43">
        <f>+[1]Inversoras!$S$59</f>
        <v>939671.92590999999</v>
      </c>
      <c r="AP7" s="43">
        <f>+[1]Inversoras!$S$60</f>
        <v>8779162.0456799995</v>
      </c>
      <c r="AQ7" s="43">
        <f>+[1]Inversoras!$S$61</f>
        <v>1735363.55388</v>
      </c>
      <c r="AR7" s="43">
        <f>+AR8</f>
        <v>33752.683643993005</v>
      </c>
      <c r="AS7" s="43">
        <f t="shared" ref="AS7:BQ7" si="3">+AS8</f>
        <v>6.2719079996137461</v>
      </c>
      <c r="AT7" s="43">
        <f t="shared" si="3"/>
        <v>11.210432002509913</v>
      </c>
      <c r="AU7" s="43">
        <f t="shared" si="3"/>
        <v>70709.869203997281</v>
      </c>
      <c r="AV7" s="43">
        <f t="shared" si="3"/>
        <v>523662.90839880263</v>
      </c>
      <c r="AW7" s="43">
        <f t="shared" si="3"/>
        <v>85667.9885699968</v>
      </c>
      <c r="AX7" s="43">
        <f t="shared" si="3"/>
        <v>1041.3974240010875</v>
      </c>
      <c r="AY7" s="43">
        <f t="shared" si="3"/>
        <v>163079.64131199798</v>
      </c>
      <c r="AZ7" s="43">
        <f t="shared" si="3"/>
        <v>23267.345377323236</v>
      </c>
      <c r="BA7" s="43">
        <f t="shared" si="3"/>
        <v>202616.09472400692</v>
      </c>
      <c r="BB7" s="43">
        <f t="shared" si="3"/>
        <v>70164.784219991154</v>
      </c>
      <c r="BC7" s="43">
        <f t="shared" si="3"/>
        <v>267655.59684799868</v>
      </c>
      <c r="BD7" s="43">
        <f t="shared" si="3"/>
        <v>17101.36759998983</v>
      </c>
      <c r="BE7" s="43">
        <f t="shared" si="3"/>
        <v>256586.81289368056</v>
      </c>
      <c r="BF7" s="43">
        <f t="shared" si="3"/>
        <v>321949.5492303599</v>
      </c>
      <c r="BG7" s="43">
        <f t="shared" si="3"/>
        <v>35109.232018882758</v>
      </c>
      <c r="BH7" s="43">
        <f t="shared" si="3"/>
        <v>27273.514880002102</v>
      </c>
      <c r="BI7" s="43">
        <f t="shared" si="3"/>
        <v>630661.83776839031</v>
      </c>
      <c r="BJ7" s="43">
        <f t="shared" si="3"/>
        <v>197783.28604456017</v>
      </c>
      <c r="BK7" s="43">
        <f t="shared" si="3"/>
        <v>3408870.6208220124</v>
      </c>
      <c r="BL7" s="43">
        <f t="shared" si="3"/>
        <v>113090.42334244607</v>
      </c>
      <c r="BM7" s="43">
        <f t="shared" si="3"/>
        <v>1072139.1573571509</v>
      </c>
      <c r="BN7" s="43">
        <f t="shared" si="3"/>
        <v>1222065.1310873793</v>
      </c>
      <c r="BO7" s="43">
        <f t="shared" si="3"/>
        <v>3.4691202304202307E-3</v>
      </c>
      <c r="BP7" s="43">
        <f t="shared" si="3"/>
        <v>256.05812932906548</v>
      </c>
      <c r="BQ7" s="43">
        <f t="shared" si="3"/>
        <v>4.0128798844989433E-3</v>
      </c>
      <c r="BR7" s="43">
        <f>+[1]Otrosbancos!$S$49</f>
        <v>645623.81999999995</v>
      </c>
      <c r="BS7" s="43">
        <f>+BS8</f>
        <v>2662944.0693795886</v>
      </c>
      <c r="BT7" s="43">
        <f>+[1]Otrosbancos!$S$51</f>
        <v>213481.18</v>
      </c>
      <c r="BU7" s="43">
        <f>+BU8</f>
        <v>880872.39922859101</v>
      </c>
      <c r="BV7" s="43">
        <f>+BV8+BV5</f>
        <v>8400.1908600000006</v>
      </c>
      <c r="BW7" s="43">
        <f>+BW8+BW5</f>
        <v>385442.92299000081</v>
      </c>
      <c r="BX7" s="43">
        <f>+BX8+BX5</f>
        <v>12663.664475599246</v>
      </c>
      <c r="BY7" s="43">
        <f>+[1]Otrosbancos!$S$5</f>
        <v>751011.74399999995</v>
      </c>
      <c r="BZ7" s="43">
        <f>+[1]Otrosbancos!$S$10</f>
        <v>5762100.4440000001</v>
      </c>
      <c r="CA7" s="43">
        <f>+[1]Otrosbancos!$S$15</f>
        <v>6006807.3399499999</v>
      </c>
      <c r="CB7" s="43">
        <f>+[1]Otrosbancos!$S$23</f>
        <v>18918.565999999999</v>
      </c>
      <c r="CC7" s="43">
        <f>+[1]Otrosbancos!$S$26</f>
        <v>899809.02500000002</v>
      </c>
      <c r="CD7" s="43">
        <f>+[1]Otrosbancos!$S$29</f>
        <v>0</v>
      </c>
      <c r="CE7" s="43">
        <f>+[1]Otrosbancos!$S$33</f>
        <v>27020.612000000001</v>
      </c>
      <c r="CF7" s="43">
        <f>+[1]Otrosbancos!$S$37</f>
        <v>554227.89859</v>
      </c>
      <c r="CG7" s="43">
        <f>+[1]Otrosbancos!$S$41</f>
        <v>193030.94500000001</v>
      </c>
      <c r="CH7" s="43">
        <f>+[1]Otrosbancos!$S$46</f>
        <v>2.9318200000000001</v>
      </c>
      <c r="CI7" s="43">
        <f>+[1]Otrosbancos!$S$54</f>
        <v>806872.45799999998</v>
      </c>
      <c r="CJ7" s="43">
        <f>+[1]Otrosbancos!$S$56</f>
        <v>9975.6980000000003</v>
      </c>
      <c r="CK7" s="43">
        <f>+[1]Liberty!$S$3</f>
        <v>0</v>
      </c>
      <c r="CL7" s="43">
        <f>+[1]Liberty!$S$4</f>
        <v>0</v>
      </c>
      <c r="CM7" s="43">
        <f>+[1]Liberty!$S$6</f>
        <v>79545.214000000007</v>
      </c>
      <c r="CN7" s="43">
        <f>+[1]Liberty!$S$8</f>
        <v>662749.23600000003</v>
      </c>
      <c r="CO7" s="43">
        <f>+[1]Liberty!$S$10</f>
        <v>736440.24595999997</v>
      </c>
      <c r="CP7" s="43">
        <f>+[1]Liberty!$S$12</f>
        <v>9152723.6699999999</v>
      </c>
      <c r="CQ7" s="43">
        <f>+[1]Liberty!$S$13</f>
        <v>378135.14942999999</v>
      </c>
      <c r="CR7" s="43">
        <f>+[1]Otrosbancos!$S$58</f>
        <v>20872.374</v>
      </c>
      <c r="CS7" s="43">
        <v>0</v>
      </c>
      <c r="CT7" s="43">
        <v>0</v>
      </c>
      <c r="CU7" s="43">
        <v>0</v>
      </c>
      <c r="CV7" s="43">
        <v>0</v>
      </c>
      <c r="CW7" s="43">
        <f>SUM(D7:CV7)</f>
        <v>311878398.77346593</v>
      </c>
    </row>
    <row r="8" spans="1:101" x14ac:dyDescent="0.25">
      <c r="A8" s="41"/>
      <c r="B8" s="44" t="s">
        <v>96</v>
      </c>
      <c r="C8" s="45" t="s">
        <v>97</v>
      </c>
      <c r="D8" s="45">
        <f>+'May, 26'!D40</f>
        <v>554352.12825000053</v>
      </c>
      <c r="E8" s="45">
        <f>+'May, 26'!E40</f>
        <v>12142465.568154536</v>
      </c>
      <c r="F8" s="45">
        <f>+'May, 26'!F40</f>
        <v>7349482.5490515083</v>
      </c>
      <c r="G8" s="45">
        <f>+'May, 26'!G40</f>
        <v>0</v>
      </c>
      <c r="H8" s="45">
        <f>+'May, 26'!H40</f>
        <v>0</v>
      </c>
      <c r="I8" s="45">
        <f>+'May, 26'!I40</f>
        <v>113076.36309999424</v>
      </c>
      <c r="J8" s="45">
        <f>+'May, 26'!J40</f>
        <v>0</v>
      </c>
      <c r="K8" s="45">
        <f>+'May, 26'!K40</f>
        <v>135652.65850014306</v>
      </c>
      <c r="L8" s="45">
        <f>+'May, 26'!L40</f>
        <v>200537.41673701763</v>
      </c>
      <c r="M8" s="45">
        <f>+'May, 26'!M40</f>
        <v>183605.14077686582</v>
      </c>
      <c r="N8" s="45">
        <f>+'May, 26'!N40</f>
        <v>177310.5199999999</v>
      </c>
      <c r="O8" s="45">
        <f>+'May, 26'!O40</f>
        <v>743248.15264999995</v>
      </c>
      <c r="P8" s="45">
        <f>+'May, 26'!P40</f>
        <v>20538239.280000009</v>
      </c>
      <c r="Q8" s="45">
        <f>+'May, 26'!Q40</f>
        <v>118966958.3604399</v>
      </c>
      <c r="R8" s="45">
        <f>+'May, 26'!R40</f>
        <v>995138.35</v>
      </c>
      <c r="S8" s="45">
        <f>+'May, 26'!S40</f>
        <v>4489071.7104869988</v>
      </c>
      <c r="T8" s="45">
        <f>+'May, 26'!T40</f>
        <v>0</v>
      </c>
      <c r="U8" s="45">
        <f>+'May, 26'!U40</f>
        <v>0</v>
      </c>
      <c r="V8" s="45">
        <f>+'May, 26'!V40</f>
        <v>0</v>
      </c>
      <c r="W8" s="45">
        <f>+'May, 26'!W40</f>
        <v>0</v>
      </c>
      <c r="X8" s="45">
        <f>+'May, 26'!X40</f>
        <v>0</v>
      </c>
      <c r="Y8" s="45">
        <f>+'May, 26'!Y40</f>
        <v>0</v>
      </c>
      <c r="Z8" s="45">
        <f>+'May, 26'!Z40</f>
        <v>9662.5274983807467</v>
      </c>
      <c r="AA8" s="45">
        <f>+'May, 26'!AA40</f>
        <v>40503.29</v>
      </c>
      <c r="AB8" s="45">
        <f>+'May, 26'!AB40</f>
        <v>7542.7499999967404</v>
      </c>
      <c r="AC8" s="45">
        <f>+'May, 26'!AC40</f>
        <v>31617.62</v>
      </c>
      <c r="AD8" s="45">
        <f>+'May, 26'!AD40</f>
        <v>5155</v>
      </c>
      <c r="AE8" s="45">
        <f>+'May, 26'!AE40</f>
        <v>21608.68</v>
      </c>
      <c r="AF8" s="45">
        <f>+'May, 26'!AF40</f>
        <v>7956.8699999451637</v>
      </c>
      <c r="AG8" s="45">
        <f>+'May, 26'!AG40</f>
        <v>33353.53</v>
      </c>
      <c r="AH8" s="45">
        <f>+'May, 26'!AH40</f>
        <v>195459.03999999719</v>
      </c>
      <c r="AI8" s="45">
        <f>+'May, 26'!AI40</f>
        <v>819134.7964617</v>
      </c>
      <c r="AJ8" s="45">
        <f>+'May, 26'!AJ40</f>
        <v>673596.71999999823</v>
      </c>
      <c r="AK8" s="45">
        <f>+'May, 26'!AK40</f>
        <v>2823324.1679230896</v>
      </c>
      <c r="AL8" s="45">
        <f>+'May, 26'!AL40</f>
        <v>21880958.177400079</v>
      </c>
      <c r="AM8" s="45">
        <f>+'May, 26'!AM40</f>
        <v>59660410.274513535</v>
      </c>
      <c r="AN8" s="45">
        <f>+'May, 26'!AN40</f>
        <v>6480106.5321600009</v>
      </c>
      <c r="AO8" s="45">
        <f>+'May, 26'!AO40</f>
        <v>957442.97615143971</v>
      </c>
      <c r="AP8" s="45">
        <f>+'May, 26'!AP40</f>
        <v>8463268.4810437579</v>
      </c>
      <c r="AQ8" s="45">
        <f>+'May, 26'!AQ40</f>
        <v>1734851.1293321603</v>
      </c>
      <c r="AR8" s="45">
        <f>+'May, 26'!AR40</f>
        <v>33752.683643993005</v>
      </c>
      <c r="AS8" s="45">
        <f>+'May, 26'!AS40</f>
        <v>6.2719079996137461</v>
      </c>
      <c r="AT8" s="45">
        <f>+'May, 26'!AT40</f>
        <v>11.210432002509913</v>
      </c>
      <c r="AU8" s="45">
        <f>+'May, 26'!AU40</f>
        <v>70709.869203997281</v>
      </c>
      <c r="AV8" s="45">
        <f>+'May, 26'!AV40</f>
        <v>523662.90839880263</v>
      </c>
      <c r="AW8" s="45">
        <f>+'May, 26'!AW40</f>
        <v>85667.9885699968</v>
      </c>
      <c r="AX8" s="45">
        <f>+'May, 26'!AX40</f>
        <v>1041.3974240010875</v>
      </c>
      <c r="AY8" s="45">
        <f>+'May, 26'!AY40</f>
        <v>163079.64131199798</v>
      </c>
      <c r="AZ8" s="45">
        <f>+'May, 26'!AZ40</f>
        <v>23267.345377323236</v>
      </c>
      <c r="BA8" s="45">
        <f>+'May, 26'!BA40</f>
        <v>202616.09472400692</v>
      </c>
      <c r="BB8" s="45">
        <f>+'May, 26'!BB40</f>
        <v>70164.784219991154</v>
      </c>
      <c r="BC8" s="45">
        <f>+'May, 26'!BC40</f>
        <v>267655.59684799868</v>
      </c>
      <c r="BD8" s="45">
        <f>+'May, 26'!BD40</f>
        <v>17101.36759998983</v>
      </c>
      <c r="BE8" s="45">
        <f>+'May, 26'!BE40</f>
        <v>256586.81289368056</v>
      </c>
      <c r="BF8" s="45">
        <f>+'May, 26'!BF40</f>
        <v>321949.5492303599</v>
      </c>
      <c r="BG8" s="45">
        <f>+'May, 26'!BG40</f>
        <v>35109.232018882758</v>
      </c>
      <c r="BH8" s="45">
        <f>+'May, 26'!BH40</f>
        <v>27273.514880002102</v>
      </c>
      <c r="BI8" s="45">
        <f>+'May, 26'!BI40</f>
        <v>630661.83776839031</v>
      </c>
      <c r="BJ8" s="45">
        <f>+'May, 26'!BJ40</f>
        <v>197783.28604456017</v>
      </c>
      <c r="BK8" s="45">
        <f>+'May, 26'!BK40</f>
        <v>3408870.6208220124</v>
      </c>
      <c r="BL8" s="45">
        <f>+'May, 26'!BL40</f>
        <v>113090.42334244607</v>
      </c>
      <c r="BM8" s="45">
        <f>+'May, 26'!BM40</f>
        <v>1072139.1573571509</v>
      </c>
      <c r="BN8" s="45">
        <f>+'May, 26'!BN40</f>
        <v>1222065.1310873793</v>
      </c>
      <c r="BO8" s="45">
        <f>+'May, 26'!BO40</f>
        <v>3.4691202304202307E-3</v>
      </c>
      <c r="BP8" s="45">
        <f>+'May, 26'!BP40</f>
        <v>256.05812932906548</v>
      </c>
      <c r="BQ8" s="45">
        <f>+'May, 26'!BQ40</f>
        <v>4.0128798844989433E-3</v>
      </c>
      <c r="BR8" s="45">
        <f>+'May, 26'!BR40</f>
        <v>645623.81600000313</v>
      </c>
      <c r="BS8" s="45">
        <f>+'May, 26'!BS40</f>
        <v>2662944.0693795886</v>
      </c>
      <c r="BT8" s="45">
        <f>+'May, 26'!BT40</f>
        <v>213481.18493201921</v>
      </c>
      <c r="BU8" s="45">
        <f>+'May, 26'!BU40</f>
        <v>880872.39922859101</v>
      </c>
      <c r="BV8" s="45">
        <f>+'May, 26'!BV40</f>
        <v>8400.1908600000006</v>
      </c>
      <c r="BW8" s="45">
        <f>+'May, 26'!BW40</f>
        <v>385442.92299000081</v>
      </c>
      <c r="BX8" s="45">
        <f>+'May, 26'!BX40</f>
        <v>12663.664475599246</v>
      </c>
      <c r="BY8" s="45">
        <f>+'May, 26'!BY40</f>
        <v>751005.23262999998</v>
      </c>
      <c r="BZ8" s="45">
        <f>+'May, 26'!BZ40</f>
        <v>5883420.2647800008</v>
      </c>
      <c r="CA8" s="45">
        <f>+'May, 26'!CA40</f>
        <v>5752536.52941</v>
      </c>
      <c r="CB8" s="45">
        <f>+'May, 26'!CB40</f>
        <v>18918.56624</v>
      </c>
      <c r="CC8" s="45">
        <f>+'May, 26'!CC40</f>
        <v>899809.02917999984</v>
      </c>
      <c r="CD8" s="45">
        <f>+'May, 26'!CD40</f>
        <v>0</v>
      </c>
      <c r="CE8" s="45">
        <f>+'May, 26'!CE40</f>
        <v>27020.612000000001</v>
      </c>
      <c r="CF8" s="45">
        <f>+'May, 26'!CF40</f>
        <v>554227.89859</v>
      </c>
      <c r="CG8" s="45">
        <f>+'May, 26'!CG40</f>
        <v>193030.94500000001</v>
      </c>
      <c r="CH8" s="45">
        <f>+'May, 26'!CH40</f>
        <v>2.9318200000000001</v>
      </c>
      <c r="CI8" s="45">
        <f>+'May, 26'!CI40</f>
        <v>801611.56250999996</v>
      </c>
      <c r="CJ8" s="45">
        <f>+'May, 26'!CJ40</f>
        <v>947.23775999998907</v>
      </c>
      <c r="CK8" s="45">
        <f>+'May, 26'!CK40</f>
        <v>0</v>
      </c>
      <c r="CL8" s="45">
        <f>+'May, 26'!CL40</f>
        <v>0</v>
      </c>
      <c r="CM8" s="45">
        <f>+'May, 26'!CM40</f>
        <v>79545.21415</v>
      </c>
      <c r="CN8" s="45">
        <f>+'May, 26'!CN40</f>
        <v>662749.23896999995</v>
      </c>
      <c r="CO8" s="45">
        <f>+'May, 26'!CO40</f>
        <v>736440.24131999968</v>
      </c>
      <c r="CP8" s="45">
        <f>+'May, 26'!CP40</f>
        <v>9152723.6727600005</v>
      </c>
      <c r="CQ8" s="45">
        <f>+'May, 26'!CQ40</f>
        <v>377918.49939999997</v>
      </c>
      <c r="CR8" s="45">
        <f>+'May, 26'!CR40</f>
        <v>20872.37467999896</v>
      </c>
      <c r="CS8" s="45">
        <f>+'May, 26'!CS40</f>
        <v>5000</v>
      </c>
      <c r="CT8" s="45">
        <f>+'May, 26'!CT40</f>
        <v>20468.599999999999</v>
      </c>
      <c r="CU8" s="45">
        <f>+'May, 26'!CU40</f>
        <v>5000</v>
      </c>
      <c r="CV8" s="45">
        <f>+'May, 26'!CV40</f>
        <v>20468.599999999999</v>
      </c>
      <c r="CW8" s="43">
        <f t="shared" ref="CW8:CW40" si="4">SUM(D8:CV8)</f>
        <v>309952759.0504151</v>
      </c>
    </row>
    <row r="9" spans="1:101" x14ac:dyDescent="0.25">
      <c r="B9" s="46" t="s">
        <v>96</v>
      </c>
      <c r="C9" s="47" t="s">
        <v>98</v>
      </c>
      <c r="D9" s="47">
        <v>600</v>
      </c>
      <c r="E9" s="48">
        <v>3392783.7069000001</v>
      </c>
      <c r="F9" s="48">
        <v>5691010.90252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>
        <v>2762.7310000000002</v>
      </c>
      <c r="BX9" s="47"/>
      <c r="BY9" s="47">
        <f>IF(BY6&gt;0,BY6,0)</f>
        <v>6.5113699999637902</v>
      </c>
      <c r="BZ9" s="47">
        <f>IF(BZ6&gt;0,BZ6,0)</f>
        <v>0</v>
      </c>
      <c r="CA9" s="47">
        <f>IF(CA6&gt;0,CA6,0)</f>
        <v>254270.81053999998</v>
      </c>
      <c r="CB9" s="47"/>
      <c r="CC9" s="47"/>
      <c r="CD9" s="47"/>
      <c r="CE9" s="47">
        <f>IF(CE6&gt;0,CE6,0)</f>
        <v>0</v>
      </c>
      <c r="CF9" s="47">
        <f>IF(CF6&gt;0,CF6,0)</f>
        <v>0</v>
      </c>
      <c r="CG9" s="47">
        <f>IF(CG6&gt;0,CG6,0)</f>
        <v>0</v>
      </c>
      <c r="CH9" s="47"/>
      <c r="CI9" s="47">
        <f>IF(CI6&gt;0,CI6,0)</f>
        <v>5260.8954900000244</v>
      </c>
      <c r="CJ9" s="47">
        <f>IF(CJ6&gt;0,CJ6,0)</f>
        <v>9028.4602400000113</v>
      </c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3">
        <f t="shared" si="4"/>
        <v>9355724.0180600006</v>
      </c>
    </row>
    <row r="10" spans="1:101" x14ac:dyDescent="0.25">
      <c r="B10" s="46" t="s">
        <v>99</v>
      </c>
      <c r="C10" s="47" t="s">
        <v>100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>
        <v>-320.60199999999998</v>
      </c>
      <c r="BW10" s="47">
        <v>-10.776999999999999</v>
      </c>
      <c r="BX10" s="47"/>
      <c r="BY10" s="47">
        <f>IF(BY6&lt;0,BY6,0)</f>
        <v>0</v>
      </c>
      <c r="BZ10" s="47">
        <f>IF(BZ6&lt;0,BZ6,0)</f>
        <v>-121319.82078000065</v>
      </c>
      <c r="CA10" s="47">
        <f>IF(CA6&lt;0,CA6,0)</f>
        <v>0</v>
      </c>
      <c r="CB10" s="47"/>
      <c r="CC10" s="47"/>
      <c r="CD10" s="47"/>
      <c r="CE10" s="47">
        <f>IF(CE6&lt;0,CE6,0)</f>
        <v>0</v>
      </c>
      <c r="CF10" s="47">
        <f>IF(CF6&lt;0,CF6,0)</f>
        <v>0</v>
      </c>
      <c r="CG10" s="47">
        <f>IF(CG6&lt;0,CG6,0)</f>
        <v>0</v>
      </c>
      <c r="CH10" s="47"/>
      <c r="CI10" s="47">
        <f>IF(CI6&lt;0,CI6,0)</f>
        <v>0</v>
      </c>
      <c r="CJ10" s="47">
        <f>IF(CJ6&lt;0,CJ6,0)</f>
        <v>0</v>
      </c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3">
        <f t="shared" si="4"/>
        <v>-121651.19978000065</v>
      </c>
    </row>
    <row r="11" spans="1:101" x14ac:dyDescent="0.25">
      <c r="A11" s="41"/>
      <c r="B11" s="49" t="s">
        <v>99</v>
      </c>
      <c r="C11" s="50" t="s">
        <v>101</v>
      </c>
      <c r="D11" s="50">
        <v>0</v>
      </c>
      <c r="E11" s="50">
        <v>-24818.034620000799</v>
      </c>
      <c r="F11" s="50">
        <v>-2356.5918099994701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>
        <f>+[1]Otrosbancos!$S$6+[1]Otrosbancos!$S$7</f>
        <v>-4842.5889999999999</v>
      </c>
      <c r="BZ11" s="50">
        <f>+[1]Otrosbancos!$S$11+[1]Otrosbancos!$S$12</f>
        <v>-3782567.8139999998</v>
      </c>
      <c r="CA11" s="50">
        <f>+[1]Otrosbancos!$S$16+[1]Otrosbancos!$S$17</f>
        <v>-4102636.7450000001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43">
        <f t="shared" si="4"/>
        <v>-7917221.7744300002</v>
      </c>
    </row>
    <row r="12" spans="1:101" x14ac:dyDescent="0.25">
      <c r="B12" s="46" t="s">
        <v>96</v>
      </c>
      <c r="C12" s="47" t="s">
        <v>102</v>
      </c>
      <c r="D12" s="47"/>
      <c r="E12" s="47">
        <v>1240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1"/>
      <c r="AS12" s="51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3">
        <f t="shared" si="4"/>
        <v>1240</v>
      </c>
    </row>
    <row r="13" spans="1:101" x14ac:dyDescent="0.25">
      <c r="B13" s="46" t="s">
        <v>96</v>
      </c>
      <c r="C13" s="47" t="s">
        <v>103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51"/>
      <c r="AS13" s="51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3">
        <f t="shared" si="4"/>
        <v>0</v>
      </c>
    </row>
    <row r="14" spans="1:101" x14ac:dyDescent="0.25">
      <c r="B14" s="46" t="s">
        <v>96</v>
      </c>
      <c r="C14" s="47" t="s">
        <v>104</v>
      </c>
      <c r="D14" s="47"/>
      <c r="E14" s="47"/>
      <c r="F14" s="47">
        <v>161563.48000000001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51"/>
      <c r="AS14" s="51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3">
        <f t="shared" si="4"/>
        <v>161563.48000000001</v>
      </c>
    </row>
    <row r="15" spans="1:101" x14ac:dyDescent="0.25">
      <c r="B15" s="46" t="s">
        <v>96</v>
      </c>
      <c r="C15" s="47" t="s">
        <v>105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51"/>
      <c r="AS15" s="51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3">
        <f t="shared" si="4"/>
        <v>0</v>
      </c>
    </row>
    <row r="16" spans="1:101" x14ac:dyDescent="0.25">
      <c r="B16" s="46" t="s">
        <v>96</v>
      </c>
      <c r="C16" s="47" t="s">
        <v>106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51"/>
      <c r="AS16" s="51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>
        <v>152.71</v>
      </c>
      <c r="BS16" s="47">
        <f>+BR16*BS5</f>
        <v>636.09976110000002</v>
      </c>
      <c r="BT16" s="47">
        <v>80000</v>
      </c>
      <c r="BU16" s="47">
        <f>+BT16*BU5</f>
        <v>333232.8</v>
      </c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3">
        <f t="shared" si="4"/>
        <v>414021.60976109997</v>
      </c>
    </row>
    <row r="17" spans="1:101" x14ac:dyDescent="0.25">
      <c r="B17" s="46" t="s">
        <v>99</v>
      </c>
      <c r="C17" s="47" t="s">
        <v>107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51"/>
      <c r="AS17" s="51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3">
        <f t="shared" si="4"/>
        <v>0</v>
      </c>
    </row>
    <row r="18" spans="1:101" x14ac:dyDescent="0.25">
      <c r="B18" s="46" t="s">
        <v>96</v>
      </c>
      <c r="C18" s="47" t="s">
        <v>108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1"/>
      <c r="AS18" s="51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3">
        <f t="shared" si="4"/>
        <v>0</v>
      </c>
    </row>
    <row r="19" spans="1:101" x14ac:dyDescent="0.25">
      <c r="B19" s="46" t="s">
        <v>99</v>
      </c>
      <c r="C19" s="47" t="s">
        <v>109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51"/>
      <c r="AS19" s="51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3">
        <f t="shared" si="4"/>
        <v>0</v>
      </c>
    </row>
    <row r="20" spans="1:101" x14ac:dyDescent="0.25">
      <c r="B20" s="46" t="s">
        <v>99</v>
      </c>
      <c r="C20" s="47" t="s">
        <v>110</v>
      </c>
      <c r="D20" s="47" t="s">
        <v>93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51"/>
      <c r="AS20" s="51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3">
        <f t="shared" si="4"/>
        <v>0</v>
      </c>
    </row>
    <row r="21" spans="1:101" x14ac:dyDescent="0.25">
      <c r="B21" s="46" t="s">
        <v>96</v>
      </c>
      <c r="C21" s="47" t="s">
        <v>111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51"/>
      <c r="AS21" s="51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3">
        <f t="shared" si="4"/>
        <v>0</v>
      </c>
    </row>
    <row r="22" spans="1:101" x14ac:dyDescent="0.25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51"/>
      <c r="AS22" s="51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3">
        <f t="shared" si="4"/>
        <v>0</v>
      </c>
    </row>
    <row r="23" spans="1:101" x14ac:dyDescent="0.25">
      <c r="B23" s="46" t="s">
        <v>99</v>
      </c>
      <c r="C23" s="47" t="s">
        <v>112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51"/>
      <c r="AS23" s="51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3">
        <f t="shared" si="4"/>
        <v>0</v>
      </c>
    </row>
    <row r="24" spans="1:101" x14ac:dyDescent="0.25">
      <c r="B24" s="46" t="s">
        <v>99</v>
      </c>
      <c r="C24" s="47" t="s">
        <v>113</v>
      </c>
      <c r="D24" s="47">
        <f>-41.258-420.99-1.848</f>
        <v>-464.096</v>
      </c>
      <c r="E24" s="47">
        <f>-25371.757-2847-1423.5-1423.5-7117.5-1423.5-7117.5-2847-4270.5-25623-1423.5-2272.121-7767.23-394.72</f>
        <v>-91322.327999999994</v>
      </c>
      <c r="F24" s="47">
        <f>-5633.023-467.811-1045.94-4270.5-7117.5-4270.5-21305.024-6076.772-8705.917-24954.413-335.389</f>
        <v>-84182.78899999999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51"/>
      <c r="AS24" s="51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3">
        <f t="shared" si="4"/>
        <v>-175969.21299999999</v>
      </c>
    </row>
    <row r="25" spans="1:101" x14ac:dyDescent="0.25">
      <c r="A25" s="41"/>
      <c r="B25" s="52" t="s">
        <v>99</v>
      </c>
      <c r="C25" s="53" t="s">
        <v>114</v>
      </c>
      <c r="D25" s="53">
        <v>-3335.0068799999999</v>
      </c>
      <c r="E25" s="53">
        <v>-7431303.0329799997</v>
      </c>
      <c r="F25" s="53">
        <v>-2522150.0103799999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43">
        <f t="shared" si="4"/>
        <v>-9956788.0502399988</v>
      </c>
    </row>
    <row r="26" spans="1:101" x14ac:dyDescent="0.25">
      <c r="B26" s="46"/>
      <c r="C26" s="47" t="s">
        <v>115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51"/>
      <c r="AS26" s="51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3">
        <f t="shared" si="4"/>
        <v>0</v>
      </c>
    </row>
    <row r="27" spans="1:101" x14ac:dyDescent="0.25">
      <c r="B27" s="46" t="s">
        <v>99</v>
      </c>
      <c r="C27" s="47" t="s">
        <v>116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51"/>
      <c r="AS27" s="51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3">
        <f t="shared" si="4"/>
        <v>0</v>
      </c>
    </row>
    <row r="28" spans="1:101" x14ac:dyDescent="0.25">
      <c r="B28" s="47" t="s">
        <v>99</v>
      </c>
      <c r="C28" s="47" t="s">
        <v>117</v>
      </c>
      <c r="D28" s="48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51"/>
      <c r="AS28" s="51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3">
        <f t="shared" si="4"/>
        <v>0</v>
      </c>
    </row>
    <row r="29" spans="1:101" x14ac:dyDescent="0.25">
      <c r="B29" s="47"/>
      <c r="C29" s="47" t="s">
        <v>118</v>
      </c>
      <c r="D29" s="48"/>
      <c r="E29" s="47">
        <v>2254.5540000000001</v>
      </c>
      <c r="F29" s="47">
        <v>19618.987000000001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51"/>
      <c r="AS29" s="51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3">
        <f t="shared" si="4"/>
        <v>21873.541000000001</v>
      </c>
    </row>
    <row r="30" spans="1:101" x14ac:dyDescent="0.25">
      <c r="B30" s="47"/>
      <c r="C30" s="47" t="s">
        <v>119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51"/>
      <c r="AS30" s="51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3">
        <f t="shared" si="4"/>
        <v>0</v>
      </c>
    </row>
    <row r="31" spans="1:101" x14ac:dyDescent="0.25">
      <c r="B31" s="47" t="s">
        <v>99</v>
      </c>
      <c r="C31" s="47" t="s">
        <v>120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51"/>
      <c r="AS31" s="51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3">
        <f t="shared" si="4"/>
        <v>0</v>
      </c>
    </row>
    <row r="32" spans="1:101" x14ac:dyDescent="0.25">
      <c r="B32" s="47" t="s">
        <v>99</v>
      </c>
      <c r="C32" s="47" t="s">
        <v>121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51"/>
      <c r="AS32" s="51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3">
        <f t="shared" si="4"/>
        <v>0</v>
      </c>
    </row>
    <row r="33" spans="2:101" x14ac:dyDescent="0.25">
      <c r="B33" s="47" t="s">
        <v>99</v>
      </c>
      <c r="C33" s="47" t="s">
        <v>122</v>
      </c>
      <c r="D33" s="47"/>
      <c r="E33" s="47">
        <v>-7753</v>
      </c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51"/>
      <c r="AS33" s="51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3">
        <f t="shared" si="4"/>
        <v>-7753</v>
      </c>
    </row>
    <row r="34" spans="2:101" x14ac:dyDescent="0.25">
      <c r="B34" s="54" t="s">
        <v>99</v>
      </c>
      <c r="C34" s="55" t="s">
        <v>123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43">
        <f t="shared" si="4"/>
        <v>0</v>
      </c>
    </row>
    <row r="35" spans="2:101" x14ac:dyDescent="0.25">
      <c r="B35" s="54" t="s">
        <v>99</v>
      </c>
      <c r="C35" s="55" t="s">
        <v>124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43">
        <f t="shared" si="4"/>
        <v>0</v>
      </c>
    </row>
    <row r="36" spans="2:101" ht="15.75" thickBot="1" x14ac:dyDescent="0.3">
      <c r="B36" s="56"/>
      <c r="C36" s="57" t="s">
        <v>125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43">
        <f t="shared" si="4"/>
        <v>0</v>
      </c>
    </row>
    <row r="37" spans="2:101" x14ac:dyDescent="0.25">
      <c r="B37" s="58"/>
      <c r="C37" s="59" t="s">
        <v>126</v>
      </c>
      <c r="D37" s="59">
        <f>SUM(D9:D36)</f>
        <v>-3199.1028799999999</v>
      </c>
      <c r="E37" s="59">
        <f>SUM(E9:E36)</f>
        <v>-4158918.1347000008</v>
      </c>
      <c r="F37" s="59">
        <f>SUM(F9:F35)</f>
        <v>3263503.9783300017</v>
      </c>
      <c r="G37" s="59">
        <f t="shared" ref="G37:BR37" si="5">SUM(G9:G36)</f>
        <v>0</v>
      </c>
      <c r="H37" s="59">
        <f t="shared" si="5"/>
        <v>0</v>
      </c>
      <c r="I37" s="59">
        <f t="shared" si="5"/>
        <v>0</v>
      </c>
      <c r="J37" s="59">
        <f t="shared" si="5"/>
        <v>0</v>
      </c>
      <c r="K37" s="59">
        <f t="shared" si="5"/>
        <v>0</v>
      </c>
      <c r="L37" s="59">
        <f t="shared" si="5"/>
        <v>0</v>
      </c>
      <c r="M37" s="59">
        <f t="shared" si="5"/>
        <v>0</v>
      </c>
      <c r="N37" s="59">
        <f t="shared" si="5"/>
        <v>0</v>
      </c>
      <c r="O37" s="59">
        <f t="shared" si="5"/>
        <v>0</v>
      </c>
      <c r="P37" s="59">
        <f t="shared" si="5"/>
        <v>0</v>
      </c>
      <c r="Q37" s="59">
        <f t="shared" si="5"/>
        <v>0</v>
      </c>
      <c r="R37" s="59">
        <f t="shared" si="5"/>
        <v>0</v>
      </c>
      <c r="S37" s="59">
        <f t="shared" si="5"/>
        <v>0</v>
      </c>
      <c r="T37" s="59">
        <f t="shared" si="5"/>
        <v>0</v>
      </c>
      <c r="U37" s="59">
        <f t="shared" si="5"/>
        <v>0</v>
      </c>
      <c r="V37" s="59">
        <f t="shared" si="5"/>
        <v>0</v>
      </c>
      <c r="W37" s="59">
        <f t="shared" si="5"/>
        <v>0</v>
      </c>
      <c r="X37" s="59">
        <f t="shared" si="5"/>
        <v>0</v>
      </c>
      <c r="Y37" s="59">
        <f t="shared" si="5"/>
        <v>0</v>
      </c>
      <c r="Z37" s="59">
        <f t="shared" si="5"/>
        <v>0</v>
      </c>
      <c r="AA37" s="59">
        <f t="shared" si="5"/>
        <v>0</v>
      </c>
      <c r="AB37" s="59">
        <f t="shared" si="5"/>
        <v>0</v>
      </c>
      <c r="AC37" s="59">
        <f t="shared" si="5"/>
        <v>0</v>
      </c>
      <c r="AD37" s="59">
        <f t="shared" si="5"/>
        <v>0</v>
      </c>
      <c r="AE37" s="59">
        <f t="shared" si="5"/>
        <v>0</v>
      </c>
      <c r="AF37" s="59">
        <f t="shared" si="5"/>
        <v>0</v>
      </c>
      <c r="AG37" s="59">
        <f t="shared" si="5"/>
        <v>0</v>
      </c>
      <c r="AH37" s="59">
        <f t="shared" si="5"/>
        <v>0</v>
      </c>
      <c r="AI37" s="59">
        <f t="shared" si="5"/>
        <v>0</v>
      </c>
      <c r="AJ37" s="59">
        <f t="shared" si="5"/>
        <v>0</v>
      </c>
      <c r="AK37" s="59">
        <f t="shared" si="5"/>
        <v>0</v>
      </c>
      <c r="AL37" s="59">
        <f t="shared" si="5"/>
        <v>0</v>
      </c>
      <c r="AM37" s="59">
        <f t="shared" si="5"/>
        <v>0</v>
      </c>
      <c r="AN37" s="59">
        <f t="shared" si="5"/>
        <v>0</v>
      </c>
      <c r="AO37" s="59">
        <f t="shared" si="5"/>
        <v>0</v>
      </c>
      <c r="AP37" s="59">
        <f t="shared" si="5"/>
        <v>0</v>
      </c>
      <c r="AQ37" s="59">
        <f t="shared" si="5"/>
        <v>0</v>
      </c>
      <c r="AR37" s="59">
        <f t="shared" si="5"/>
        <v>0</v>
      </c>
      <c r="AS37" s="59">
        <f t="shared" si="5"/>
        <v>0</v>
      </c>
      <c r="AT37" s="59">
        <f t="shared" si="5"/>
        <v>0</v>
      </c>
      <c r="AU37" s="59">
        <f t="shared" si="5"/>
        <v>0</v>
      </c>
      <c r="AV37" s="59">
        <f t="shared" si="5"/>
        <v>0</v>
      </c>
      <c r="AW37" s="59">
        <f t="shared" si="5"/>
        <v>0</v>
      </c>
      <c r="AX37" s="59">
        <f t="shared" si="5"/>
        <v>0</v>
      </c>
      <c r="AY37" s="59">
        <f t="shared" si="5"/>
        <v>0</v>
      </c>
      <c r="AZ37" s="59">
        <f t="shared" si="5"/>
        <v>0</v>
      </c>
      <c r="BA37" s="59">
        <f t="shared" si="5"/>
        <v>0</v>
      </c>
      <c r="BB37" s="59">
        <f t="shared" si="5"/>
        <v>0</v>
      </c>
      <c r="BC37" s="59">
        <f t="shared" si="5"/>
        <v>0</v>
      </c>
      <c r="BD37" s="59">
        <f t="shared" si="5"/>
        <v>0</v>
      </c>
      <c r="BE37" s="59">
        <f t="shared" si="5"/>
        <v>0</v>
      </c>
      <c r="BF37" s="59">
        <f t="shared" si="5"/>
        <v>0</v>
      </c>
      <c r="BG37" s="59">
        <f t="shared" si="5"/>
        <v>0</v>
      </c>
      <c r="BH37" s="59">
        <f t="shared" si="5"/>
        <v>0</v>
      </c>
      <c r="BI37" s="59">
        <f t="shared" si="5"/>
        <v>0</v>
      </c>
      <c r="BJ37" s="59">
        <f t="shared" si="5"/>
        <v>0</v>
      </c>
      <c r="BK37" s="59">
        <f t="shared" si="5"/>
        <v>0</v>
      </c>
      <c r="BL37" s="59">
        <f t="shared" si="5"/>
        <v>0</v>
      </c>
      <c r="BM37" s="59">
        <f t="shared" si="5"/>
        <v>0</v>
      </c>
      <c r="BN37" s="59">
        <f t="shared" si="5"/>
        <v>0</v>
      </c>
      <c r="BO37" s="59">
        <f t="shared" si="5"/>
        <v>0</v>
      </c>
      <c r="BP37" s="59">
        <f t="shared" si="5"/>
        <v>0</v>
      </c>
      <c r="BQ37" s="59">
        <f t="shared" si="5"/>
        <v>0</v>
      </c>
      <c r="BR37" s="59">
        <f t="shared" si="5"/>
        <v>152.71</v>
      </c>
      <c r="BS37" s="59">
        <f t="shared" ref="BS37:CV37" si="6">SUM(BS9:BS36)</f>
        <v>636.09976110000002</v>
      </c>
      <c r="BT37" s="59">
        <f t="shared" si="6"/>
        <v>80000</v>
      </c>
      <c r="BU37" s="59">
        <f t="shared" si="6"/>
        <v>333232.8</v>
      </c>
      <c r="BV37" s="59">
        <f t="shared" si="6"/>
        <v>-320.60199999999998</v>
      </c>
      <c r="BW37" s="59">
        <f t="shared" si="6"/>
        <v>2751.9540000000002</v>
      </c>
      <c r="BX37" s="59">
        <f t="shared" si="6"/>
        <v>0</v>
      </c>
      <c r="BY37" s="59">
        <f t="shared" si="6"/>
        <v>-4836.0776300000362</v>
      </c>
      <c r="BZ37" s="59">
        <f t="shared" si="6"/>
        <v>-3903887.6347800004</v>
      </c>
      <c r="CA37" s="59">
        <f t="shared" si="6"/>
        <v>-3848365.9344600001</v>
      </c>
      <c r="CB37" s="59">
        <f t="shared" si="6"/>
        <v>0</v>
      </c>
      <c r="CC37" s="59">
        <f t="shared" si="6"/>
        <v>0</v>
      </c>
      <c r="CD37" s="59">
        <f t="shared" si="6"/>
        <v>0</v>
      </c>
      <c r="CE37" s="59">
        <f t="shared" si="6"/>
        <v>0</v>
      </c>
      <c r="CF37" s="59">
        <f t="shared" si="6"/>
        <v>0</v>
      </c>
      <c r="CG37" s="59">
        <f t="shared" si="6"/>
        <v>0</v>
      </c>
      <c r="CH37" s="59">
        <f t="shared" si="6"/>
        <v>0</v>
      </c>
      <c r="CI37" s="59">
        <f t="shared" si="6"/>
        <v>5260.8954900000244</v>
      </c>
      <c r="CJ37" s="59">
        <f t="shared" si="6"/>
        <v>9028.4602400000113</v>
      </c>
      <c r="CK37" s="59">
        <f t="shared" si="6"/>
        <v>0</v>
      </c>
      <c r="CL37" s="59">
        <f t="shared" si="6"/>
        <v>0</v>
      </c>
      <c r="CM37" s="59">
        <f t="shared" si="6"/>
        <v>0</v>
      </c>
      <c r="CN37" s="59">
        <f t="shared" si="6"/>
        <v>0</v>
      </c>
      <c r="CO37" s="59">
        <f t="shared" si="6"/>
        <v>0</v>
      </c>
      <c r="CP37" s="59">
        <f t="shared" si="6"/>
        <v>0</v>
      </c>
      <c r="CQ37" s="59">
        <f t="shared" si="6"/>
        <v>0</v>
      </c>
      <c r="CR37" s="59">
        <f t="shared" si="6"/>
        <v>0</v>
      </c>
      <c r="CS37" s="59">
        <f t="shared" si="6"/>
        <v>0</v>
      </c>
      <c r="CT37" s="59">
        <f t="shared" si="6"/>
        <v>0</v>
      </c>
      <c r="CU37" s="59">
        <f t="shared" si="6"/>
        <v>0</v>
      </c>
      <c r="CV37" s="59">
        <f t="shared" si="6"/>
        <v>0</v>
      </c>
      <c r="CW37" s="43">
        <f t="shared" si="4"/>
        <v>-8224960.5886289002</v>
      </c>
    </row>
    <row r="38" spans="2:101" x14ac:dyDescent="0.25">
      <c r="B38" s="60"/>
      <c r="C38" s="61" t="s">
        <v>127</v>
      </c>
      <c r="D38" s="61">
        <f>+D37+D8</f>
        <v>551153.02537000051</v>
      </c>
      <c r="E38" s="61">
        <f>+E37+E8</f>
        <v>7983547.4334545359</v>
      </c>
      <c r="F38" s="61">
        <f>+F37+F8</f>
        <v>10612986.52738151</v>
      </c>
      <c r="G38" s="61">
        <f t="shared" ref="G38:BR38" si="7">+G37+G8</f>
        <v>0</v>
      </c>
      <c r="H38" s="61">
        <f t="shared" si="7"/>
        <v>0</v>
      </c>
      <c r="I38" s="61">
        <f t="shared" si="7"/>
        <v>113076.36309999424</v>
      </c>
      <c r="J38" s="61">
        <f t="shared" si="7"/>
        <v>0</v>
      </c>
      <c r="K38" s="61">
        <f t="shared" si="7"/>
        <v>135652.65850014306</v>
      </c>
      <c r="L38" s="61">
        <f t="shared" si="7"/>
        <v>200537.41673701763</v>
      </c>
      <c r="M38" s="61">
        <f t="shared" si="7"/>
        <v>183605.14077686582</v>
      </c>
      <c r="N38" s="61">
        <f t="shared" si="7"/>
        <v>177310.5199999999</v>
      </c>
      <c r="O38" s="61">
        <f t="shared" si="7"/>
        <v>743248.15264999995</v>
      </c>
      <c r="P38" s="61">
        <f t="shared" si="7"/>
        <v>20538239.280000009</v>
      </c>
      <c r="Q38" s="61">
        <f t="shared" si="7"/>
        <v>118966958.3604399</v>
      </c>
      <c r="R38" s="61">
        <f t="shared" si="7"/>
        <v>995138.35</v>
      </c>
      <c r="S38" s="61">
        <f t="shared" si="7"/>
        <v>4489071.7104869988</v>
      </c>
      <c r="T38" s="61">
        <f t="shared" si="7"/>
        <v>0</v>
      </c>
      <c r="U38" s="61">
        <f t="shared" si="7"/>
        <v>0</v>
      </c>
      <c r="V38" s="61">
        <f t="shared" si="7"/>
        <v>0</v>
      </c>
      <c r="W38" s="61">
        <f t="shared" si="7"/>
        <v>0</v>
      </c>
      <c r="X38" s="61">
        <f t="shared" si="7"/>
        <v>0</v>
      </c>
      <c r="Y38" s="61">
        <f t="shared" si="7"/>
        <v>0</v>
      </c>
      <c r="Z38" s="61">
        <f t="shared" si="7"/>
        <v>9662.5274983807467</v>
      </c>
      <c r="AA38" s="61">
        <f t="shared" si="7"/>
        <v>40503.29</v>
      </c>
      <c r="AB38" s="61">
        <f t="shared" si="7"/>
        <v>7542.7499999967404</v>
      </c>
      <c r="AC38" s="61">
        <f t="shared" si="7"/>
        <v>31617.62</v>
      </c>
      <c r="AD38" s="61">
        <f t="shared" si="7"/>
        <v>5155</v>
      </c>
      <c r="AE38" s="61">
        <f t="shared" si="7"/>
        <v>21608.68</v>
      </c>
      <c r="AF38" s="61">
        <f t="shared" si="7"/>
        <v>7956.8699999451637</v>
      </c>
      <c r="AG38" s="61">
        <f t="shared" si="7"/>
        <v>33353.53</v>
      </c>
      <c r="AH38" s="61">
        <f t="shared" si="7"/>
        <v>195459.03999999719</v>
      </c>
      <c r="AI38" s="61">
        <f t="shared" si="7"/>
        <v>819134.7964617</v>
      </c>
      <c r="AJ38" s="61">
        <f t="shared" si="7"/>
        <v>673596.71999999823</v>
      </c>
      <c r="AK38" s="61">
        <f t="shared" si="7"/>
        <v>2823324.1679230896</v>
      </c>
      <c r="AL38" s="61">
        <f t="shared" si="7"/>
        <v>21880958.177400079</v>
      </c>
      <c r="AM38" s="61">
        <f t="shared" si="7"/>
        <v>59660410.274513535</v>
      </c>
      <c r="AN38" s="61">
        <f t="shared" si="7"/>
        <v>6480106.5321600009</v>
      </c>
      <c r="AO38" s="61">
        <f t="shared" si="7"/>
        <v>957442.97615143971</v>
      </c>
      <c r="AP38" s="61">
        <f t="shared" si="7"/>
        <v>8463268.4810437579</v>
      </c>
      <c r="AQ38" s="61">
        <f t="shared" si="7"/>
        <v>1734851.1293321603</v>
      </c>
      <c r="AR38" s="61">
        <f t="shared" si="7"/>
        <v>33752.683643993005</v>
      </c>
      <c r="AS38" s="61">
        <f t="shared" si="7"/>
        <v>6.2719079996137461</v>
      </c>
      <c r="AT38" s="61">
        <f t="shared" si="7"/>
        <v>11.210432002509913</v>
      </c>
      <c r="AU38" s="61">
        <f t="shared" si="7"/>
        <v>70709.869203997281</v>
      </c>
      <c r="AV38" s="61">
        <f t="shared" si="7"/>
        <v>523662.90839880263</v>
      </c>
      <c r="AW38" s="61">
        <f t="shared" si="7"/>
        <v>85667.9885699968</v>
      </c>
      <c r="AX38" s="61">
        <f t="shared" si="7"/>
        <v>1041.3974240010875</v>
      </c>
      <c r="AY38" s="61">
        <f t="shared" si="7"/>
        <v>163079.64131199798</v>
      </c>
      <c r="AZ38" s="61">
        <f t="shared" si="7"/>
        <v>23267.345377323236</v>
      </c>
      <c r="BA38" s="61">
        <f t="shared" si="7"/>
        <v>202616.09472400692</v>
      </c>
      <c r="BB38" s="61">
        <f t="shared" si="7"/>
        <v>70164.784219991154</v>
      </c>
      <c r="BC38" s="61">
        <f t="shared" si="7"/>
        <v>267655.59684799868</v>
      </c>
      <c r="BD38" s="61">
        <f t="shared" si="7"/>
        <v>17101.36759998983</v>
      </c>
      <c r="BE38" s="61">
        <f t="shared" si="7"/>
        <v>256586.81289368056</v>
      </c>
      <c r="BF38" s="61">
        <f t="shared" si="7"/>
        <v>321949.5492303599</v>
      </c>
      <c r="BG38" s="61">
        <f t="shared" si="7"/>
        <v>35109.232018882758</v>
      </c>
      <c r="BH38" s="61">
        <f t="shared" si="7"/>
        <v>27273.514880002102</v>
      </c>
      <c r="BI38" s="61">
        <f t="shared" si="7"/>
        <v>630661.83776839031</v>
      </c>
      <c r="BJ38" s="61">
        <f t="shared" si="7"/>
        <v>197783.28604456017</v>
      </c>
      <c r="BK38" s="61">
        <f t="shared" si="7"/>
        <v>3408870.6208220124</v>
      </c>
      <c r="BL38" s="61">
        <f t="shared" si="7"/>
        <v>113090.42334244607</v>
      </c>
      <c r="BM38" s="61">
        <f t="shared" si="7"/>
        <v>1072139.1573571509</v>
      </c>
      <c r="BN38" s="61">
        <f t="shared" si="7"/>
        <v>1222065.1310873793</v>
      </c>
      <c r="BO38" s="61">
        <f t="shared" si="7"/>
        <v>3.4691202304202307E-3</v>
      </c>
      <c r="BP38" s="61">
        <f t="shared" si="7"/>
        <v>256.05812932906548</v>
      </c>
      <c r="BQ38" s="61">
        <f t="shared" si="7"/>
        <v>4.0128798844989433E-3</v>
      </c>
      <c r="BR38" s="61">
        <f t="shared" si="7"/>
        <v>645776.5260000031</v>
      </c>
      <c r="BS38" s="61">
        <f t="shared" ref="BS38:CV38" si="8">+BS37+BS8</f>
        <v>2663580.1691406886</v>
      </c>
      <c r="BT38" s="61">
        <f t="shared" si="8"/>
        <v>293481.18493201921</v>
      </c>
      <c r="BU38" s="61">
        <f t="shared" si="8"/>
        <v>1214105.1992285911</v>
      </c>
      <c r="BV38" s="61">
        <f t="shared" si="8"/>
        <v>8079.5888600000008</v>
      </c>
      <c r="BW38" s="61">
        <f t="shared" si="8"/>
        <v>388194.87699000083</v>
      </c>
      <c r="BX38" s="61">
        <f t="shared" si="8"/>
        <v>12663.664475599246</v>
      </c>
      <c r="BY38" s="61">
        <f t="shared" si="8"/>
        <v>746169.15499999991</v>
      </c>
      <c r="BZ38" s="61">
        <f t="shared" si="8"/>
        <v>1979532.6300000004</v>
      </c>
      <c r="CA38" s="61">
        <f t="shared" si="8"/>
        <v>1904170.5949499998</v>
      </c>
      <c r="CB38" s="61">
        <f t="shared" si="8"/>
        <v>18918.56624</v>
      </c>
      <c r="CC38" s="61">
        <f t="shared" si="8"/>
        <v>899809.02917999984</v>
      </c>
      <c r="CD38" s="61">
        <f t="shared" si="8"/>
        <v>0</v>
      </c>
      <c r="CE38" s="61">
        <f t="shared" si="8"/>
        <v>27020.612000000001</v>
      </c>
      <c r="CF38" s="61">
        <f t="shared" si="8"/>
        <v>554227.89859</v>
      </c>
      <c r="CG38" s="61">
        <f t="shared" si="8"/>
        <v>193030.94500000001</v>
      </c>
      <c r="CH38" s="61">
        <f t="shared" si="8"/>
        <v>2.9318200000000001</v>
      </c>
      <c r="CI38" s="61">
        <f t="shared" si="8"/>
        <v>806872.45799999998</v>
      </c>
      <c r="CJ38" s="61">
        <f t="shared" si="8"/>
        <v>9975.6980000000003</v>
      </c>
      <c r="CK38" s="61">
        <f t="shared" si="8"/>
        <v>0</v>
      </c>
      <c r="CL38" s="61">
        <f t="shared" si="8"/>
        <v>0</v>
      </c>
      <c r="CM38" s="61">
        <f t="shared" si="8"/>
        <v>79545.21415</v>
      </c>
      <c r="CN38" s="61">
        <f t="shared" si="8"/>
        <v>662749.23896999995</v>
      </c>
      <c r="CO38" s="61">
        <f t="shared" si="8"/>
        <v>736440.24131999968</v>
      </c>
      <c r="CP38" s="61">
        <f t="shared" si="8"/>
        <v>9152723.6727600005</v>
      </c>
      <c r="CQ38" s="61">
        <f t="shared" si="8"/>
        <v>377918.49939999997</v>
      </c>
      <c r="CR38" s="61">
        <f t="shared" si="8"/>
        <v>20872.37467999896</v>
      </c>
      <c r="CS38" s="61">
        <f t="shared" si="8"/>
        <v>5000</v>
      </c>
      <c r="CT38" s="61">
        <f t="shared" si="8"/>
        <v>20468.599999999999</v>
      </c>
      <c r="CU38" s="61">
        <f t="shared" si="8"/>
        <v>5000</v>
      </c>
      <c r="CV38" s="61">
        <f t="shared" si="8"/>
        <v>20468.599999999999</v>
      </c>
      <c r="CW38" s="43">
        <f t="shared" si="4"/>
        <v>301727798.46178621</v>
      </c>
    </row>
    <row r="39" spans="2:101" x14ac:dyDescent="0.25">
      <c r="B39" s="62"/>
      <c r="C39" s="63" t="s">
        <v>128</v>
      </c>
      <c r="D39" s="63">
        <v>-103000</v>
      </c>
      <c r="E39" s="63">
        <v>-4966125.5884100003</v>
      </c>
      <c r="F39" s="63">
        <v>-4245986.9939999999</v>
      </c>
      <c r="G39" s="63">
        <v>0</v>
      </c>
      <c r="H39" s="63">
        <v>0</v>
      </c>
      <c r="I39" s="63">
        <v>19.445119999999999</v>
      </c>
      <c r="J39" s="63">
        <v>0</v>
      </c>
      <c r="K39" s="63">
        <v>79880</v>
      </c>
      <c r="L39" s="63">
        <v>1408995.4778959954</v>
      </c>
      <c r="M39" s="63">
        <v>11048.674924000476</v>
      </c>
      <c r="N39" s="63">
        <v>0</v>
      </c>
      <c r="O39" s="63">
        <v>0</v>
      </c>
      <c r="P39" s="63">
        <v>-4937695.6900000004</v>
      </c>
      <c r="Q39" s="63">
        <v>-20567527.0040829</v>
      </c>
      <c r="R39" s="63">
        <v>21675.280000000101</v>
      </c>
      <c r="S39" s="63">
        <v>90286.428064800042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33.231000000000002</v>
      </c>
      <c r="BB39" s="63">
        <v>11.501000000000001</v>
      </c>
      <c r="BC39" s="63">
        <v>43.911000000000001</v>
      </c>
      <c r="BD39" s="63">
        <v>2.8159999999999998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-0.64300000000000201</v>
      </c>
      <c r="BM39" s="63">
        <v>-6.1315100000000147</v>
      </c>
      <c r="BN39" s="63">
        <v>-520.40910999999994</v>
      </c>
      <c r="BO39" s="63">
        <v>0</v>
      </c>
      <c r="BP39" s="63">
        <v>7.3599999999999985E-3</v>
      </c>
      <c r="BQ39" s="63">
        <v>0</v>
      </c>
      <c r="BR39" s="63">
        <v>0</v>
      </c>
      <c r="BS39" s="63">
        <v>0</v>
      </c>
      <c r="BT39" s="63">
        <v>400000</v>
      </c>
      <c r="BU39" s="63">
        <v>1657600</v>
      </c>
      <c r="BV39" s="63">
        <v>0</v>
      </c>
      <c r="BW39" s="63">
        <v>0</v>
      </c>
      <c r="BX39" s="63">
        <v>0</v>
      </c>
      <c r="BY39" s="63">
        <v>0</v>
      </c>
      <c r="BZ39" s="63">
        <v>3000000</v>
      </c>
      <c r="CA39" s="63">
        <v>4500000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43">
        <f t="shared" si="4"/>
        <v>-23651265.687748104</v>
      </c>
    </row>
    <row r="40" spans="2:101" ht="15.75" thickBot="1" x14ac:dyDescent="0.3">
      <c r="B40" s="64"/>
      <c r="C40" s="65" t="s">
        <v>129</v>
      </c>
      <c r="D40" s="65">
        <f>+D39+D38</f>
        <v>448153.02537000051</v>
      </c>
      <c r="E40" s="65">
        <f>+E39+E38</f>
        <v>3017421.8450445356</v>
      </c>
      <c r="F40" s="65">
        <f>+F39+F38</f>
        <v>6366999.5333815096</v>
      </c>
      <c r="G40" s="65">
        <f t="shared" ref="G40:BR40" si="9">+G39+G38</f>
        <v>0</v>
      </c>
      <c r="H40" s="65">
        <f t="shared" si="9"/>
        <v>0</v>
      </c>
      <c r="I40" s="65">
        <f t="shared" si="9"/>
        <v>113095.80821999424</v>
      </c>
      <c r="J40" s="65">
        <f t="shared" si="9"/>
        <v>0</v>
      </c>
      <c r="K40" s="65">
        <f t="shared" si="9"/>
        <v>215532.65850014306</v>
      </c>
      <c r="L40" s="65">
        <f t="shared" si="9"/>
        <v>1609532.8946330131</v>
      </c>
      <c r="M40" s="65">
        <f t="shared" si="9"/>
        <v>194653.81570086631</v>
      </c>
      <c r="N40" s="65">
        <f t="shared" si="9"/>
        <v>177310.5199999999</v>
      </c>
      <c r="O40" s="65">
        <f t="shared" si="9"/>
        <v>743248.15264999995</v>
      </c>
      <c r="P40" s="65">
        <f t="shared" si="9"/>
        <v>15600543.590000007</v>
      </c>
      <c r="Q40" s="65">
        <f t="shared" si="9"/>
        <v>98399431.356356993</v>
      </c>
      <c r="R40" s="65">
        <f t="shared" si="9"/>
        <v>1016813.6300000001</v>
      </c>
      <c r="S40" s="65">
        <f t="shared" si="9"/>
        <v>4579358.1385517986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9662.5274983807467</v>
      </c>
      <c r="AA40" s="65">
        <f t="shared" si="9"/>
        <v>40503.29</v>
      </c>
      <c r="AB40" s="65">
        <f t="shared" si="9"/>
        <v>7542.7499999967404</v>
      </c>
      <c r="AC40" s="65">
        <f t="shared" si="9"/>
        <v>31617.62</v>
      </c>
      <c r="AD40" s="65">
        <f t="shared" si="9"/>
        <v>5155</v>
      </c>
      <c r="AE40" s="65">
        <f t="shared" si="9"/>
        <v>21608.68</v>
      </c>
      <c r="AF40" s="65">
        <f t="shared" si="9"/>
        <v>7956.8699999451637</v>
      </c>
      <c r="AG40" s="65">
        <f t="shared" si="9"/>
        <v>33353.53</v>
      </c>
      <c r="AH40" s="65">
        <f t="shared" si="9"/>
        <v>195459.03999999719</v>
      </c>
      <c r="AI40" s="65">
        <f t="shared" si="9"/>
        <v>819134.7964617</v>
      </c>
      <c r="AJ40" s="65">
        <f t="shared" si="9"/>
        <v>673596.71999999823</v>
      </c>
      <c r="AK40" s="65">
        <f t="shared" si="9"/>
        <v>2823324.1679230896</v>
      </c>
      <c r="AL40" s="65">
        <f t="shared" si="9"/>
        <v>21880958.177400079</v>
      </c>
      <c r="AM40" s="65">
        <f t="shared" si="9"/>
        <v>59660410.274513535</v>
      </c>
      <c r="AN40" s="65">
        <f t="shared" si="9"/>
        <v>6480106.5321600009</v>
      </c>
      <c r="AO40" s="65">
        <f t="shared" si="9"/>
        <v>957442.97615143971</v>
      </c>
      <c r="AP40" s="65">
        <f t="shared" si="9"/>
        <v>8463268.4810437579</v>
      </c>
      <c r="AQ40" s="65">
        <f t="shared" si="9"/>
        <v>1734851.1293321603</v>
      </c>
      <c r="AR40" s="65">
        <f t="shared" si="9"/>
        <v>33752.683643993005</v>
      </c>
      <c r="AS40" s="65">
        <f t="shared" si="9"/>
        <v>6.2719079996137461</v>
      </c>
      <c r="AT40" s="65">
        <f t="shared" si="9"/>
        <v>11.210432002509913</v>
      </c>
      <c r="AU40" s="65">
        <f t="shared" si="9"/>
        <v>70709.869203997281</v>
      </c>
      <c r="AV40" s="65">
        <f t="shared" si="9"/>
        <v>523662.90839880263</v>
      </c>
      <c r="AW40" s="65">
        <f t="shared" si="9"/>
        <v>85667.9885699968</v>
      </c>
      <c r="AX40" s="65">
        <f t="shared" si="9"/>
        <v>1041.3974240010875</v>
      </c>
      <c r="AY40" s="65">
        <f t="shared" si="9"/>
        <v>163079.64131199798</v>
      </c>
      <c r="AZ40" s="65">
        <f t="shared" si="9"/>
        <v>23267.345377323236</v>
      </c>
      <c r="BA40" s="65">
        <f t="shared" si="9"/>
        <v>202649.32572400692</v>
      </c>
      <c r="BB40" s="65">
        <f t="shared" si="9"/>
        <v>70176.285219991158</v>
      </c>
      <c r="BC40" s="65">
        <f t="shared" si="9"/>
        <v>267699.5078479987</v>
      </c>
      <c r="BD40" s="65">
        <f t="shared" si="9"/>
        <v>17104.183599989829</v>
      </c>
      <c r="BE40" s="65">
        <f t="shared" si="9"/>
        <v>256586.81289368056</v>
      </c>
      <c r="BF40" s="65">
        <f t="shared" si="9"/>
        <v>321949.5492303599</v>
      </c>
      <c r="BG40" s="65">
        <f t="shared" si="9"/>
        <v>35109.232018882758</v>
      </c>
      <c r="BH40" s="65">
        <f t="shared" si="9"/>
        <v>27273.514880002102</v>
      </c>
      <c r="BI40" s="65">
        <f t="shared" si="9"/>
        <v>630661.83776839031</v>
      </c>
      <c r="BJ40" s="65">
        <f t="shared" si="9"/>
        <v>197783.28604456017</v>
      </c>
      <c r="BK40" s="65">
        <f t="shared" si="9"/>
        <v>3408870.6208220124</v>
      </c>
      <c r="BL40" s="65">
        <f t="shared" si="9"/>
        <v>113089.78034244607</v>
      </c>
      <c r="BM40" s="65">
        <f t="shared" si="9"/>
        <v>1072133.0258471509</v>
      </c>
      <c r="BN40" s="65">
        <f t="shared" si="9"/>
        <v>1221544.7219773794</v>
      </c>
      <c r="BO40" s="65">
        <f t="shared" si="9"/>
        <v>3.4691202304202307E-3</v>
      </c>
      <c r="BP40" s="65">
        <f t="shared" si="9"/>
        <v>256.06548932906549</v>
      </c>
      <c r="BQ40" s="65">
        <f t="shared" si="9"/>
        <v>4.0128798844989433E-3</v>
      </c>
      <c r="BR40" s="65">
        <f t="shared" si="9"/>
        <v>645776.5260000031</v>
      </c>
      <c r="BS40" s="65">
        <f t="shared" ref="BS40:CV40" si="10">+BS39+BS38</f>
        <v>2663580.1691406886</v>
      </c>
      <c r="BT40" s="65">
        <f t="shared" si="10"/>
        <v>693481.18493201921</v>
      </c>
      <c r="BU40" s="65">
        <f t="shared" si="10"/>
        <v>2871705.1992285913</v>
      </c>
      <c r="BV40" s="65">
        <f t="shared" si="10"/>
        <v>8079.5888600000008</v>
      </c>
      <c r="BW40" s="65">
        <f t="shared" si="10"/>
        <v>388194.87699000083</v>
      </c>
      <c r="BX40" s="65">
        <f t="shared" si="10"/>
        <v>12663.664475599246</v>
      </c>
      <c r="BY40" s="65">
        <f t="shared" si="10"/>
        <v>746169.15499999991</v>
      </c>
      <c r="BZ40" s="65">
        <f t="shared" si="10"/>
        <v>4979532.6300000008</v>
      </c>
      <c r="CA40" s="65">
        <f t="shared" si="10"/>
        <v>6404170.5949499998</v>
      </c>
      <c r="CB40" s="65">
        <f t="shared" si="10"/>
        <v>18918.56624</v>
      </c>
      <c r="CC40" s="65">
        <f t="shared" si="10"/>
        <v>899809.02917999984</v>
      </c>
      <c r="CD40" s="65">
        <f t="shared" si="10"/>
        <v>0</v>
      </c>
      <c r="CE40" s="65">
        <f t="shared" si="10"/>
        <v>27020.612000000001</v>
      </c>
      <c r="CF40" s="65">
        <f t="shared" si="10"/>
        <v>554227.89859</v>
      </c>
      <c r="CG40" s="65">
        <f t="shared" si="10"/>
        <v>193030.94500000001</v>
      </c>
      <c r="CH40" s="65">
        <f>+CH39+CH38</f>
        <v>2.9318200000000001</v>
      </c>
      <c r="CI40" s="65">
        <f t="shared" si="10"/>
        <v>806872.45799999998</v>
      </c>
      <c r="CJ40" s="65">
        <f t="shared" si="10"/>
        <v>9975.6980000000003</v>
      </c>
      <c r="CK40" s="65">
        <f t="shared" si="10"/>
        <v>0</v>
      </c>
      <c r="CL40" s="65">
        <f t="shared" si="10"/>
        <v>0</v>
      </c>
      <c r="CM40" s="65">
        <f t="shared" si="10"/>
        <v>79545.21415</v>
      </c>
      <c r="CN40" s="65">
        <f t="shared" si="10"/>
        <v>662749.23896999995</v>
      </c>
      <c r="CO40" s="65">
        <f t="shared" si="10"/>
        <v>736440.24131999968</v>
      </c>
      <c r="CP40" s="65">
        <f t="shared" si="10"/>
        <v>9152723.6727600005</v>
      </c>
      <c r="CQ40" s="65">
        <f t="shared" si="10"/>
        <v>377918.49939999997</v>
      </c>
      <c r="CR40" s="65">
        <f t="shared" si="10"/>
        <v>20872.37467999896</v>
      </c>
      <c r="CS40" s="65">
        <f t="shared" si="10"/>
        <v>5000</v>
      </c>
      <c r="CT40" s="65">
        <f t="shared" si="10"/>
        <v>20468.599999999999</v>
      </c>
      <c r="CU40" s="65">
        <f t="shared" si="10"/>
        <v>5000</v>
      </c>
      <c r="CV40" s="65">
        <f t="shared" si="10"/>
        <v>20468.599999999999</v>
      </c>
      <c r="CW40" s="43">
        <f t="shared" si="4"/>
        <v>278076532.7740382</v>
      </c>
    </row>
    <row r="41" spans="2:101" ht="15.75" thickBot="1" x14ac:dyDescent="0.3"/>
    <row r="42" spans="2:101" x14ac:dyDescent="0.25">
      <c r="C42" s="67" t="s">
        <v>130</v>
      </c>
      <c r="D42" s="68">
        <f>+D37+D39</f>
        <v>-106199.10288000001</v>
      </c>
      <c r="E42" s="68">
        <f>+E37+E39</f>
        <v>-9125043.7231100015</v>
      </c>
      <c r="F42" s="69">
        <f>+F37+F39</f>
        <v>-982483.01566999825</v>
      </c>
      <c r="G42" s="88">
        <v>20375.599999999999</v>
      </c>
      <c r="H42" s="88">
        <v>20376.599999999999</v>
      </c>
      <c r="I42" s="88">
        <v>20377.599999999999</v>
      </c>
      <c r="J42" s="88">
        <v>20378.599999999999</v>
      </c>
      <c r="K42" s="88">
        <v>20379.599999999999</v>
      </c>
      <c r="L42" s="88">
        <v>20380.599999999999</v>
      </c>
      <c r="M42" s="88">
        <v>20381.599999999999</v>
      </c>
      <c r="N42" s="88">
        <v>20382.599999999999</v>
      </c>
      <c r="O42" s="88">
        <v>20383.599999999999</v>
      </c>
      <c r="P42" s="88">
        <v>20384.599999999999</v>
      </c>
      <c r="Q42" s="88">
        <v>20385.599999999999</v>
      </c>
      <c r="R42" s="88">
        <v>20386.599999999999</v>
      </c>
      <c r="S42" s="88">
        <v>20387.599999999999</v>
      </c>
      <c r="T42" s="88">
        <v>20388.599999999999</v>
      </c>
      <c r="U42" s="88">
        <v>20389.599999999999</v>
      </c>
      <c r="V42" s="88">
        <v>20390.599999999999</v>
      </c>
      <c r="W42" s="88">
        <v>20391.599999999999</v>
      </c>
      <c r="X42" s="88">
        <v>20392.599999999999</v>
      </c>
      <c r="Y42" s="88">
        <v>20393.599999999999</v>
      </c>
      <c r="Z42" s="88">
        <v>20394.599999999999</v>
      </c>
      <c r="AA42" s="88">
        <v>20395.599999999999</v>
      </c>
      <c r="AB42" s="88">
        <v>20396.599999999999</v>
      </c>
      <c r="AC42" s="88">
        <v>20397.599999999999</v>
      </c>
      <c r="AD42" s="88">
        <v>20398.599999999999</v>
      </c>
      <c r="AE42" s="88">
        <v>20399.599999999999</v>
      </c>
      <c r="AF42" s="88">
        <v>20400.599999999999</v>
      </c>
      <c r="AG42" s="88">
        <v>20401.599999999999</v>
      </c>
      <c r="AH42" s="88">
        <v>20402.599999999999</v>
      </c>
      <c r="AI42" s="88">
        <v>20403.599999999999</v>
      </c>
      <c r="AJ42" s="88">
        <v>20404.599999999999</v>
      </c>
      <c r="AK42" s="88">
        <v>20405.599999999999</v>
      </c>
      <c r="AL42" s="88">
        <v>20406.599999999999</v>
      </c>
      <c r="AM42" s="88">
        <v>20407.599999999999</v>
      </c>
      <c r="AN42" s="88">
        <v>20408.599999999999</v>
      </c>
      <c r="AO42" s="88">
        <v>20409.599999999999</v>
      </c>
      <c r="AP42" s="88">
        <v>20410.599999999999</v>
      </c>
      <c r="AQ42" s="88">
        <v>20411.599999999999</v>
      </c>
      <c r="AR42" s="88">
        <v>20412.599999999999</v>
      </c>
      <c r="AS42" s="88">
        <v>20413.599999999999</v>
      </c>
      <c r="AT42" s="88">
        <v>20414.599999999999</v>
      </c>
      <c r="AU42" s="88">
        <v>20415.599999999999</v>
      </c>
      <c r="AV42" s="88">
        <v>20416.599999999999</v>
      </c>
      <c r="AW42" s="88">
        <v>20417.599999999999</v>
      </c>
      <c r="AX42" s="88">
        <v>20418.599999999999</v>
      </c>
      <c r="AY42" s="88">
        <v>20419.599999999999</v>
      </c>
      <c r="AZ42" s="88">
        <v>20420.599999999999</v>
      </c>
      <c r="BA42" s="88">
        <v>20421.599999999999</v>
      </c>
      <c r="BB42" s="88">
        <v>20422.599999999999</v>
      </c>
      <c r="BC42" s="88">
        <v>20423.599999999999</v>
      </c>
      <c r="BD42" s="88">
        <v>20424.599999999999</v>
      </c>
      <c r="BE42" s="88">
        <v>20425.599999999999</v>
      </c>
      <c r="BF42" s="88">
        <v>20426.599999999999</v>
      </c>
      <c r="BG42" s="88">
        <v>20427.599999999999</v>
      </c>
      <c r="BH42" s="88">
        <v>20428.599999999999</v>
      </c>
      <c r="BI42" s="88">
        <v>20429.599999999999</v>
      </c>
      <c r="BJ42" s="88">
        <v>20430.599999999999</v>
      </c>
      <c r="BK42" s="88">
        <v>20431.599999999999</v>
      </c>
      <c r="BL42" s="88">
        <v>20432.599999999999</v>
      </c>
      <c r="BM42" s="88">
        <v>20433.599999999999</v>
      </c>
      <c r="BN42" s="88">
        <v>20434.599999999999</v>
      </c>
      <c r="BO42" s="88">
        <v>20435.599999999999</v>
      </c>
      <c r="BP42" s="88">
        <v>20436.599999999999</v>
      </c>
      <c r="BQ42" s="88">
        <v>20437.599999999999</v>
      </c>
      <c r="BR42" s="88">
        <v>20438.599999999999</v>
      </c>
      <c r="BS42" s="88">
        <v>20439.599999999999</v>
      </c>
      <c r="BT42" s="88">
        <v>20440.599999999999</v>
      </c>
      <c r="BU42" s="88">
        <v>20441.599999999999</v>
      </c>
      <c r="BV42" s="88">
        <v>20442.599999999999</v>
      </c>
      <c r="BW42" s="88">
        <v>20443.599999999999</v>
      </c>
      <c r="BX42" s="88">
        <v>20444.599999999999</v>
      </c>
      <c r="BY42" s="88">
        <v>20445.599999999999</v>
      </c>
      <c r="BZ42" s="88">
        <v>20446.599999999999</v>
      </c>
      <c r="CA42" s="88">
        <v>20447.599999999999</v>
      </c>
      <c r="CB42" s="88">
        <v>20448.599999999999</v>
      </c>
      <c r="CC42" s="88">
        <v>20449.599999999999</v>
      </c>
      <c r="CD42" s="88">
        <v>20450.599999999999</v>
      </c>
      <c r="CE42" s="88">
        <v>20451.599999999999</v>
      </c>
      <c r="CF42" s="88">
        <v>20452.599999999999</v>
      </c>
      <c r="CG42" s="88">
        <v>20453.599999999999</v>
      </c>
      <c r="CH42" s="88">
        <v>20454.599999999999</v>
      </c>
      <c r="CI42" s="88">
        <v>20455.599999999999</v>
      </c>
      <c r="CJ42" s="88">
        <v>20456.599999999999</v>
      </c>
      <c r="CK42" s="88">
        <v>20457.599999999999</v>
      </c>
      <c r="CL42" s="88">
        <v>20458.599999999999</v>
      </c>
      <c r="CM42" s="88">
        <v>20459.599999999999</v>
      </c>
      <c r="CN42" s="88">
        <v>20460.599999999999</v>
      </c>
      <c r="CO42" s="88">
        <v>20461.599999999999</v>
      </c>
      <c r="CP42" s="88">
        <v>20462.599999999999</v>
      </c>
      <c r="CQ42" s="88">
        <v>20463.599999999999</v>
      </c>
      <c r="CR42" s="88">
        <v>20464.599999999999</v>
      </c>
      <c r="CS42" s="88">
        <v>20465.599999999999</v>
      </c>
      <c r="CT42" s="88">
        <v>20466.599999999999</v>
      </c>
      <c r="CU42" s="88">
        <v>20467.599999999999</v>
      </c>
      <c r="CV42" s="88">
        <v>20468.599999999999</v>
      </c>
    </row>
    <row r="43" spans="2:101" x14ac:dyDescent="0.25">
      <c r="C43" s="70" t="s">
        <v>131</v>
      </c>
      <c r="D43" s="71">
        <v>-106199.10387000001</v>
      </c>
      <c r="E43" s="71">
        <v>-9125043.7255300004</v>
      </c>
      <c r="F43" s="71">
        <v>-982483.01624000003</v>
      </c>
      <c r="G43" s="66"/>
      <c r="H43" s="66"/>
      <c r="CT43" s="66"/>
      <c r="CU43" s="66"/>
      <c r="CV43" s="66"/>
    </row>
    <row r="44" spans="2:101" ht="15.75" thickBot="1" x14ac:dyDescent="0.3">
      <c r="C44" s="73" t="s">
        <v>132</v>
      </c>
      <c r="D44" s="74">
        <f>+D42-D43</f>
        <v>9.9000000045634806E-4</v>
      </c>
      <c r="E44" s="74">
        <f>+E42-E43</f>
        <v>2.4199988692998886E-3</v>
      </c>
      <c r="F44" s="75">
        <f>+F42-F43</f>
        <v>5.7000177912414074E-4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</row>
    <row r="45" spans="2:101" x14ac:dyDescent="0.25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</row>
    <row r="46" spans="2:101" x14ac:dyDescent="0.25">
      <c r="D46" s="10">
        <v>9610</v>
      </c>
      <c r="E46" s="10">
        <v>241461110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2:101" x14ac:dyDescent="0.25">
      <c r="D47" s="10">
        <v>8236</v>
      </c>
      <c r="E47" s="10">
        <v>1231150519</v>
      </c>
      <c r="I47" s="66" t="s">
        <v>133</v>
      </c>
      <c r="AL47" s="76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</row>
    <row r="48" spans="2:101" x14ac:dyDescent="0.25">
      <c r="D48" s="10">
        <v>9594</v>
      </c>
      <c r="E48" s="77">
        <v>1920172077.9000001</v>
      </c>
      <c r="AL48" s="76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</row>
    <row r="49" spans="2:97" x14ac:dyDescent="0.25">
      <c r="C49" s="78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</row>
    <row r="50" spans="2:97" x14ac:dyDescent="0.25"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/>
    </row>
    <row r="51" spans="2:97" x14ac:dyDescent="0.25">
      <c r="CS51"/>
    </row>
    <row r="52" spans="2:97" x14ac:dyDescent="0.25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/>
    </row>
    <row r="53" spans="2:97" x14ac:dyDescent="0.25">
      <c r="CS53"/>
    </row>
    <row r="54" spans="2:97" x14ac:dyDescent="0.25">
      <c r="CS54"/>
    </row>
    <row r="55" spans="2:97" x14ac:dyDescent="0.25">
      <c r="CS55"/>
    </row>
    <row r="58" spans="2:97" x14ac:dyDescent="0.25">
      <c r="B58" s="66"/>
      <c r="C58" s="66"/>
      <c r="D58" s="66"/>
      <c r="E58" s="66"/>
      <c r="F58" s="66"/>
      <c r="G58" s="66"/>
      <c r="H58" s="66"/>
      <c r="CM58"/>
      <c r="CN58"/>
      <c r="CO58"/>
      <c r="CP58"/>
      <c r="CQ58"/>
      <c r="CR58"/>
    </row>
    <row r="59" spans="2:97" x14ac:dyDescent="0.25">
      <c r="B59" s="66"/>
      <c r="C59" s="66"/>
      <c r="D59" s="66"/>
      <c r="E59" s="66"/>
      <c r="F59" s="66"/>
      <c r="G59" s="66"/>
      <c r="H59" s="66"/>
      <c r="CM59"/>
      <c r="CN59"/>
      <c r="CO59"/>
      <c r="CP59"/>
      <c r="CQ59"/>
      <c r="CR59"/>
    </row>
    <row r="60" spans="2:97" x14ac:dyDescent="0.25">
      <c r="B60" s="66"/>
      <c r="C60" s="66"/>
      <c r="D60" s="66"/>
      <c r="E60" s="66"/>
      <c r="F60" s="66"/>
      <c r="G60" s="66"/>
      <c r="H60" s="66"/>
      <c r="CM60"/>
      <c r="CN60"/>
      <c r="CO60"/>
      <c r="CP60"/>
      <c r="CQ60"/>
      <c r="CR60"/>
    </row>
    <row r="61" spans="2:97" x14ac:dyDescent="0.25">
      <c r="B61" s="66"/>
      <c r="C61" s="66"/>
      <c r="D61" s="66"/>
      <c r="E61" s="66"/>
      <c r="F61" s="66"/>
      <c r="G61" s="66"/>
      <c r="H61" s="66"/>
      <c r="CM61"/>
      <c r="CN61"/>
      <c r="CO61"/>
      <c r="CP61"/>
      <c r="CQ61"/>
      <c r="CR61"/>
    </row>
    <row r="62" spans="2:97" x14ac:dyDescent="0.25">
      <c r="B62" s="66"/>
      <c r="C62" s="66"/>
      <c r="D62" s="66"/>
      <c r="E62" s="66"/>
      <c r="F62" s="66"/>
      <c r="G62" s="66"/>
      <c r="H62" s="66"/>
      <c r="CM62"/>
      <c r="CN62"/>
      <c r="CO62"/>
      <c r="CP62"/>
      <c r="CQ62"/>
      <c r="CR62"/>
    </row>
    <row r="63" spans="2:97" x14ac:dyDescent="0.25">
      <c r="B63" s="66"/>
      <c r="C63" s="66"/>
      <c r="D63" s="66"/>
      <c r="E63" s="66"/>
      <c r="F63" s="66"/>
      <c r="G63" s="66"/>
      <c r="H63" s="66"/>
      <c r="CM63"/>
      <c r="CN63"/>
      <c r="CO63"/>
      <c r="CP63"/>
      <c r="CQ63"/>
      <c r="CR63"/>
    </row>
  </sheetData>
  <mergeCells count="1">
    <mergeCell ref="AP2:AP3"/>
  </mergeCells>
  <pageMargins left="0.7" right="0.7" top="0.75" bottom="0.75" header="0.3" footer="0.3"/>
  <pageSetup orientation="portrait" r:id="rId1"/>
  <customProperties>
    <customPr name="QAA_DRILLPATH_NODE_ID" r:id="rId2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3"/>
  <sheetViews>
    <sheetView zoomScale="112" zoomScaleNormal="112" workbookViewId="0">
      <selection activeCell="BS5" sqref="BS5"/>
    </sheetView>
  </sheetViews>
  <sheetFormatPr baseColWidth="10" defaultRowHeight="15" outlineLevelCol="2" x14ac:dyDescent="0.25"/>
  <cols>
    <col min="1" max="1" width="8.5703125" style="10" customWidth="1"/>
    <col min="2" max="2" width="10" style="10" bestFit="1" customWidth="1"/>
    <col min="3" max="3" width="43" style="10" bestFit="1" customWidth="1"/>
    <col min="4" max="5" width="19.42578125" style="10" bestFit="1" customWidth="1"/>
    <col min="6" max="6" width="21.85546875" style="10" bestFit="1" customWidth="1"/>
    <col min="7" max="7" width="19.5703125" style="10" customWidth="1" outlineLevel="1"/>
    <col min="8" max="8" width="17.85546875" style="10" customWidth="1" outlineLevel="1"/>
    <col min="9" max="9" width="17.85546875" style="66" bestFit="1" customWidth="1"/>
    <col min="10" max="10" width="17.85546875" style="66" customWidth="1" outlineLevel="2"/>
    <col min="11" max="13" width="16.42578125" style="66" customWidth="1" outlineLevel="2"/>
    <col min="14" max="14" width="18.85546875" style="66" customWidth="1" outlineLevel="2"/>
    <col min="15" max="15" width="21" style="66" customWidth="1" outlineLevel="2"/>
    <col min="16" max="17" width="14.140625" style="66" customWidth="1" outlineLevel="2"/>
    <col min="18" max="18" width="16.42578125" style="66" customWidth="1" outlineLevel="2"/>
    <col min="19" max="25" width="18.42578125" style="66" customWidth="1" outlineLevel="2"/>
    <col min="26" max="26" width="18.85546875" style="66" customWidth="1" outlineLevel="2"/>
    <col min="27" max="27" width="21" style="66" customWidth="1" outlineLevel="2"/>
    <col min="28" max="29" width="14.5703125" style="66" customWidth="1" outlineLevel="2"/>
    <col min="30" max="30" width="16.42578125" style="66" customWidth="1" outlineLevel="2"/>
    <col min="31" max="31" width="18.42578125" style="66" customWidth="1" outlineLevel="2"/>
    <col min="32" max="32" width="18.140625" style="66" customWidth="1" outlineLevel="2"/>
    <col min="33" max="33" width="20.140625" style="66" customWidth="1" outlineLevel="2"/>
    <col min="34" max="37" width="14.5703125" style="66" customWidth="1" outlineLevel="2"/>
    <col min="38" max="38" width="14.42578125" style="66" bestFit="1" customWidth="1"/>
    <col min="39" max="40" width="13.42578125" style="66" bestFit="1" customWidth="1"/>
    <col min="41" max="41" width="12.42578125" style="66" bestFit="1" customWidth="1"/>
    <col min="42" max="42" width="17.140625" style="66" bestFit="1" customWidth="1"/>
    <col min="43" max="43" width="17.140625" style="66" customWidth="1"/>
    <col min="44" max="48" width="17.42578125" style="66" customWidth="1" outlineLevel="1"/>
    <col min="49" max="49" width="15.140625" style="66" customWidth="1" outlineLevel="1"/>
    <col min="50" max="50" width="9.85546875" style="66" customWidth="1" outlineLevel="1"/>
    <col min="51" max="51" width="12.5703125" style="66" customWidth="1" outlineLevel="1"/>
    <col min="52" max="52" width="14.42578125" style="66" customWidth="1" outlineLevel="1"/>
    <col min="53" max="53" width="15.140625" style="66" customWidth="1" outlineLevel="1"/>
    <col min="54" max="55" width="11.85546875" style="66" customWidth="1" outlineLevel="1"/>
    <col min="56" max="56" width="12.5703125" style="66" customWidth="1" outlineLevel="1"/>
    <col min="57" max="59" width="16.5703125" style="66" customWidth="1" outlineLevel="1"/>
    <col min="60" max="60" width="15.140625" style="66" customWidth="1" outlineLevel="1"/>
    <col min="61" max="62" width="13.5703125" style="66" customWidth="1" outlineLevel="1"/>
    <col min="63" max="63" width="14.42578125" style="66" customWidth="1" outlineLevel="1"/>
    <col min="64" max="64" width="19.5703125" style="66" customWidth="1" outlineLevel="1"/>
    <col min="65" max="66" width="17.85546875" style="66" customWidth="1" outlineLevel="1"/>
    <col min="67" max="67" width="12.85546875" style="66" customWidth="1" outlineLevel="1"/>
    <col min="68" max="68" width="13.5703125" style="66" customWidth="1" outlineLevel="1"/>
    <col min="69" max="69" width="18.85546875" style="66" customWidth="1" outlineLevel="1"/>
    <col min="70" max="70" width="20.140625" style="66" customWidth="1" outlineLevel="1"/>
    <col min="71" max="73" width="20.140625" style="66" bestFit="1" customWidth="1"/>
    <col min="74" max="76" width="17.42578125" style="66" bestFit="1" customWidth="1"/>
    <col min="77" max="77" width="15.140625" style="66" bestFit="1" customWidth="1"/>
    <col min="78" max="79" width="14.42578125" style="66" bestFit="1" customWidth="1"/>
    <col min="80" max="80" width="15.140625" style="66" bestFit="1" customWidth="1"/>
    <col min="81" max="82" width="15" style="66" bestFit="1" customWidth="1"/>
    <col min="83" max="83" width="15.140625" style="66" bestFit="1" customWidth="1"/>
    <col min="84" max="84" width="10.42578125" style="66" bestFit="1" customWidth="1"/>
    <col min="85" max="85" width="12.5703125" style="66" bestFit="1" customWidth="1"/>
    <col min="86" max="86" width="16.5703125" style="66" bestFit="1" customWidth="1"/>
    <col min="87" max="88" width="19.7109375" style="66" bestFit="1" customWidth="1"/>
    <col min="89" max="89" width="15.5703125" style="66" customWidth="1"/>
    <col min="90" max="90" width="11.28515625" style="66" customWidth="1"/>
    <col min="91" max="91" width="17.85546875" style="66" bestFit="1" customWidth="1"/>
    <col min="92" max="92" width="14.42578125" style="66" customWidth="1"/>
    <col min="93" max="93" width="14.28515625" style="66" bestFit="1" customWidth="1"/>
    <col min="94" max="95" width="19.7109375" style="66" bestFit="1" customWidth="1"/>
    <col min="96" max="96" width="16.5703125" style="66" bestFit="1" customWidth="1"/>
    <col min="97" max="97" width="22" style="66" bestFit="1" customWidth="1"/>
    <col min="98" max="98" width="12" bestFit="1" customWidth="1"/>
    <col min="99" max="99" width="11.5703125" bestFit="1" customWidth="1"/>
    <col min="100" max="100" width="12" bestFit="1" customWidth="1"/>
    <col min="101" max="101" width="15.28515625" bestFit="1" customWidth="1"/>
  </cols>
  <sheetData>
    <row r="1" spans="1:101" ht="28.5" x14ac:dyDescent="0.45">
      <c r="A1" s="1"/>
      <c r="B1" s="1"/>
      <c r="C1" s="1"/>
      <c r="D1" s="2"/>
      <c r="E1" s="3"/>
      <c r="F1" s="3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5"/>
      <c r="AN1" s="5"/>
      <c r="AO1" s="5"/>
      <c r="AP1" s="5"/>
      <c r="AQ1" s="5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6"/>
      <c r="BM1" s="4"/>
      <c r="BN1" s="4"/>
      <c r="BO1" s="4"/>
      <c r="BP1" s="4"/>
      <c r="BQ1" s="4"/>
      <c r="BR1" s="7"/>
      <c r="BS1" s="7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8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spans="1:101" ht="15" customHeight="1" x14ac:dyDescent="0.25">
      <c r="D2" s="11" t="s">
        <v>0</v>
      </c>
      <c r="E2" s="11" t="s">
        <v>1</v>
      </c>
      <c r="F2" s="11" t="s">
        <v>2</v>
      </c>
      <c r="G2" s="12" t="s">
        <v>3</v>
      </c>
      <c r="H2" s="12" t="s">
        <v>4</v>
      </c>
      <c r="I2" s="13" t="s">
        <v>5</v>
      </c>
      <c r="J2" s="12" t="s">
        <v>6</v>
      </c>
      <c r="K2" s="12" t="s">
        <v>0</v>
      </c>
      <c r="L2" s="12" t="s">
        <v>1</v>
      </c>
      <c r="M2" s="12" t="s">
        <v>2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12" t="s">
        <v>12</v>
      </c>
      <c r="T2" s="16" t="s">
        <v>7</v>
      </c>
      <c r="U2" s="16" t="s">
        <v>8</v>
      </c>
      <c r="V2" s="16" t="s">
        <v>134</v>
      </c>
      <c r="W2" s="16" t="s">
        <v>135</v>
      </c>
      <c r="X2" s="16" t="s">
        <v>11</v>
      </c>
      <c r="Y2" s="16" t="s">
        <v>12</v>
      </c>
      <c r="Z2" s="12" t="s">
        <v>7</v>
      </c>
      <c r="AA2" s="12" t="s">
        <v>8</v>
      </c>
      <c r="AB2" s="12" t="s">
        <v>9</v>
      </c>
      <c r="AC2" s="12" t="s">
        <v>10</v>
      </c>
      <c r="AD2" s="12" t="s">
        <v>11</v>
      </c>
      <c r="AE2" s="12" t="s">
        <v>12</v>
      </c>
      <c r="AF2" s="12" t="s">
        <v>13</v>
      </c>
      <c r="AG2" s="12" t="s">
        <v>14</v>
      </c>
      <c r="AH2" s="12" t="s">
        <v>15</v>
      </c>
      <c r="AI2" s="12" t="s">
        <v>16</v>
      </c>
      <c r="AJ2" s="12" t="s">
        <v>17</v>
      </c>
      <c r="AK2" s="12" t="s">
        <v>18</v>
      </c>
      <c r="AL2" s="14" t="s">
        <v>19</v>
      </c>
      <c r="AM2" s="14" t="s">
        <v>20</v>
      </c>
      <c r="AN2" s="15" t="s">
        <v>21</v>
      </c>
      <c r="AO2" s="15" t="s">
        <v>22</v>
      </c>
      <c r="AP2" s="89" t="s">
        <v>23</v>
      </c>
      <c r="AQ2" s="83"/>
      <c r="AR2" s="16" t="s">
        <v>0</v>
      </c>
      <c r="AS2" s="16" t="s">
        <v>24</v>
      </c>
      <c r="AT2" s="12" t="s">
        <v>5</v>
      </c>
      <c r="AU2" s="12" t="s">
        <v>2</v>
      </c>
      <c r="AV2" s="12" t="s">
        <v>19</v>
      </c>
      <c r="AW2" s="12" t="s">
        <v>0</v>
      </c>
      <c r="AX2" s="12" t="s">
        <v>24</v>
      </c>
      <c r="AY2" s="12" t="s">
        <v>2</v>
      </c>
      <c r="AZ2" s="12" t="s">
        <v>19</v>
      </c>
      <c r="BA2" s="12" t="s">
        <v>0</v>
      </c>
      <c r="BB2" s="12" t="s">
        <v>24</v>
      </c>
      <c r="BC2" s="12" t="s">
        <v>5</v>
      </c>
      <c r="BD2" s="12" t="s">
        <v>2</v>
      </c>
      <c r="BE2" s="12" t="s">
        <v>0</v>
      </c>
      <c r="BF2" s="12" t="s">
        <v>24</v>
      </c>
      <c r="BG2" s="17" t="s">
        <v>2</v>
      </c>
      <c r="BH2" s="17" t="s">
        <v>0</v>
      </c>
      <c r="BI2" s="17" t="s">
        <v>24</v>
      </c>
      <c r="BJ2" s="17" t="s">
        <v>2</v>
      </c>
      <c r="BK2" s="17" t="s">
        <v>19</v>
      </c>
      <c r="BL2" s="18" t="s">
        <v>3</v>
      </c>
      <c r="BM2" s="18" t="s">
        <v>4</v>
      </c>
      <c r="BN2" s="18" t="s">
        <v>6</v>
      </c>
      <c r="BO2" s="18" t="s">
        <v>25</v>
      </c>
      <c r="BP2" s="18" t="s">
        <v>26</v>
      </c>
      <c r="BQ2" s="18" t="s">
        <v>27</v>
      </c>
      <c r="BR2" s="14" t="s">
        <v>28</v>
      </c>
      <c r="BS2" s="14" t="s">
        <v>10</v>
      </c>
      <c r="BT2" s="14" t="s">
        <v>29</v>
      </c>
      <c r="BU2" s="14" t="s">
        <v>12</v>
      </c>
      <c r="BV2" s="14" t="s">
        <v>0</v>
      </c>
      <c r="BW2" s="14" t="s">
        <v>1</v>
      </c>
      <c r="BX2" s="14" t="s">
        <v>2</v>
      </c>
      <c r="BY2" s="14" t="s">
        <v>0</v>
      </c>
      <c r="BZ2" s="14" t="s">
        <v>1</v>
      </c>
      <c r="CA2" s="14" t="s">
        <v>2</v>
      </c>
      <c r="CB2" s="14" t="s">
        <v>0</v>
      </c>
      <c r="CC2" s="14" t="s">
        <v>1</v>
      </c>
      <c r="CD2" s="14" t="s">
        <v>2</v>
      </c>
      <c r="CE2" s="14" t="s">
        <v>0</v>
      </c>
      <c r="CF2" s="14" t="s">
        <v>1</v>
      </c>
      <c r="CG2" s="14" t="s">
        <v>2</v>
      </c>
      <c r="CH2" s="14" t="s">
        <v>2</v>
      </c>
      <c r="CI2" s="14" t="s">
        <v>1</v>
      </c>
      <c r="CJ2" s="14" t="s">
        <v>2</v>
      </c>
      <c r="CK2" s="14" t="s">
        <v>1</v>
      </c>
      <c r="CL2" s="14" t="s">
        <v>1</v>
      </c>
      <c r="CM2" s="14" t="s">
        <v>1</v>
      </c>
      <c r="CN2" s="14" t="s">
        <v>1</v>
      </c>
      <c r="CO2" s="14" t="s">
        <v>1</v>
      </c>
      <c r="CP2" s="14" t="s">
        <v>1</v>
      </c>
      <c r="CQ2" s="14" t="s">
        <v>1</v>
      </c>
      <c r="CR2" s="19" t="s">
        <v>30</v>
      </c>
      <c r="CS2" s="85" t="s">
        <v>136</v>
      </c>
      <c r="CT2" s="85" t="s">
        <v>135</v>
      </c>
      <c r="CU2" s="85" t="s">
        <v>29</v>
      </c>
      <c r="CV2" s="85" t="s">
        <v>12</v>
      </c>
      <c r="CW2" s="20" t="s">
        <v>31</v>
      </c>
    </row>
    <row r="3" spans="1:101" ht="60" x14ac:dyDescent="0.25">
      <c r="D3" s="21" t="s">
        <v>32</v>
      </c>
      <c r="E3" s="21" t="s">
        <v>32</v>
      </c>
      <c r="F3" s="21" t="s">
        <v>32</v>
      </c>
      <c r="G3" s="22" t="s">
        <v>32</v>
      </c>
      <c r="H3" s="22" t="s">
        <v>32</v>
      </c>
      <c r="I3" s="23" t="s">
        <v>32</v>
      </c>
      <c r="J3" s="22" t="s">
        <v>32</v>
      </c>
      <c r="K3" s="22" t="s">
        <v>33</v>
      </c>
      <c r="L3" s="22" t="s">
        <v>33</v>
      </c>
      <c r="M3" s="22" t="s">
        <v>33</v>
      </c>
      <c r="N3" s="22" t="s">
        <v>34</v>
      </c>
      <c r="O3" s="22" t="s">
        <v>34</v>
      </c>
      <c r="P3" s="22" t="s">
        <v>34</v>
      </c>
      <c r="Q3" s="22" t="s">
        <v>34</v>
      </c>
      <c r="R3" s="22" t="s">
        <v>34</v>
      </c>
      <c r="S3" s="22" t="s">
        <v>34</v>
      </c>
      <c r="T3" s="24" t="s">
        <v>137</v>
      </c>
      <c r="U3" s="24" t="s">
        <v>137</v>
      </c>
      <c r="V3" s="24" t="s">
        <v>137</v>
      </c>
      <c r="W3" s="24" t="s">
        <v>137</v>
      </c>
      <c r="X3" s="24" t="s">
        <v>137</v>
      </c>
      <c r="Y3" s="24" t="s">
        <v>137</v>
      </c>
      <c r="Z3" s="22" t="s">
        <v>35</v>
      </c>
      <c r="AA3" s="22" t="s">
        <v>35</v>
      </c>
      <c r="AB3" s="22" t="s">
        <v>35</v>
      </c>
      <c r="AC3" s="22" t="s">
        <v>35</v>
      </c>
      <c r="AD3" s="22" t="s">
        <v>35</v>
      </c>
      <c r="AE3" s="22" t="s">
        <v>35</v>
      </c>
      <c r="AF3" s="22" t="s">
        <v>35</v>
      </c>
      <c r="AG3" s="22" t="s">
        <v>35</v>
      </c>
      <c r="AH3" s="22" t="s">
        <v>35</v>
      </c>
      <c r="AI3" s="22" t="s">
        <v>35</v>
      </c>
      <c r="AJ3" s="22" t="s">
        <v>35</v>
      </c>
      <c r="AK3" s="22" t="s">
        <v>35</v>
      </c>
      <c r="AL3" s="23" t="s">
        <v>36</v>
      </c>
      <c r="AM3" s="23" t="s">
        <v>36</v>
      </c>
      <c r="AN3" s="23"/>
      <c r="AO3" s="23"/>
      <c r="AP3" s="90"/>
      <c r="AQ3" s="84" t="s">
        <v>37</v>
      </c>
      <c r="AR3" s="24" t="s">
        <v>38</v>
      </c>
      <c r="AS3" s="24" t="s">
        <v>38</v>
      </c>
      <c r="AT3" s="22" t="s">
        <v>38</v>
      </c>
      <c r="AU3" s="22" t="s">
        <v>38</v>
      </c>
      <c r="AV3" s="22" t="s">
        <v>38</v>
      </c>
      <c r="AW3" s="22" t="s">
        <v>39</v>
      </c>
      <c r="AX3" s="22" t="s">
        <v>39</v>
      </c>
      <c r="AY3" s="22" t="s">
        <v>39</v>
      </c>
      <c r="AZ3" s="22" t="s">
        <v>39</v>
      </c>
      <c r="BA3" s="22" t="s">
        <v>40</v>
      </c>
      <c r="BB3" s="22" t="s">
        <v>40</v>
      </c>
      <c r="BC3" s="22" t="s">
        <v>40</v>
      </c>
      <c r="BD3" s="22" t="s">
        <v>40</v>
      </c>
      <c r="BE3" s="22" t="s">
        <v>41</v>
      </c>
      <c r="BF3" s="22" t="s">
        <v>41</v>
      </c>
      <c r="BG3" s="22" t="s">
        <v>41</v>
      </c>
      <c r="BH3" s="22" t="s">
        <v>42</v>
      </c>
      <c r="BI3" s="22" t="s">
        <v>42</v>
      </c>
      <c r="BJ3" s="22" t="s">
        <v>42</v>
      </c>
      <c r="BK3" s="22" t="s">
        <v>42</v>
      </c>
      <c r="BL3" s="24" t="s">
        <v>32</v>
      </c>
      <c r="BM3" s="24" t="s">
        <v>32</v>
      </c>
      <c r="BN3" s="24" t="s">
        <v>32</v>
      </c>
      <c r="BO3" s="25" t="s">
        <v>4</v>
      </c>
      <c r="BP3" s="25" t="s">
        <v>4</v>
      </c>
      <c r="BQ3" s="25" t="s">
        <v>4</v>
      </c>
      <c r="BR3" s="84" t="s">
        <v>43</v>
      </c>
      <c r="BS3" s="84" t="s">
        <v>43</v>
      </c>
      <c r="BT3" s="84" t="s">
        <v>43</v>
      </c>
      <c r="BU3" s="84" t="s">
        <v>43</v>
      </c>
      <c r="BV3" s="84" t="s">
        <v>38</v>
      </c>
      <c r="BW3" s="84" t="s">
        <v>38</v>
      </c>
      <c r="BX3" s="84" t="s">
        <v>38</v>
      </c>
      <c r="BY3" s="84" t="s">
        <v>42</v>
      </c>
      <c r="BZ3" s="84" t="s">
        <v>42</v>
      </c>
      <c r="CA3" s="84" t="s">
        <v>42</v>
      </c>
      <c r="CB3" s="84" t="s">
        <v>44</v>
      </c>
      <c r="CC3" s="84" t="s">
        <v>44</v>
      </c>
      <c r="CD3" s="84" t="s">
        <v>44</v>
      </c>
      <c r="CE3" s="84" t="s">
        <v>45</v>
      </c>
      <c r="CF3" s="84" t="s">
        <v>45</v>
      </c>
      <c r="CG3" s="84" t="s">
        <v>45</v>
      </c>
      <c r="CH3" s="84" t="s">
        <v>41</v>
      </c>
      <c r="CI3" s="84" t="s">
        <v>46</v>
      </c>
      <c r="CJ3" s="84" t="s">
        <v>46</v>
      </c>
      <c r="CK3" s="26" t="s">
        <v>47</v>
      </c>
      <c r="CL3" s="26" t="s">
        <v>47</v>
      </c>
      <c r="CM3" s="26" t="s">
        <v>32</v>
      </c>
      <c r="CN3" s="26" t="s">
        <v>42</v>
      </c>
      <c r="CO3" s="26" t="s">
        <v>48</v>
      </c>
      <c r="CP3" s="26" t="s">
        <v>46</v>
      </c>
      <c r="CQ3" s="26" t="s">
        <v>46</v>
      </c>
      <c r="CR3" s="86" t="s">
        <v>49</v>
      </c>
      <c r="CS3" s="87" t="s">
        <v>138</v>
      </c>
      <c r="CT3" s="87" t="s">
        <v>138</v>
      </c>
      <c r="CU3" s="87" t="s">
        <v>138</v>
      </c>
      <c r="CV3" s="87" t="s">
        <v>138</v>
      </c>
      <c r="CW3" s="27"/>
    </row>
    <row r="4" spans="1:101" x14ac:dyDescent="0.25">
      <c r="A4" s="28"/>
      <c r="B4" s="29" t="s">
        <v>50</v>
      </c>
      <c r="C4" s="30" t="s">
        <v>51</v>
      </c>
      <c r="D4" s="31" t="s">
        <v>52</v>
      </c>
      <c r="E4" s="31" t="s">
        <v>53</v>
      </c>
      <c r="F4" s="31" t="s">
        <v>54</v>
      </c>
      <c r="G4" s="32">
        <v>482800001265</v>
      </c>
      <c r="H4" s="32">
        <v>482800001273</v>
      </c>
      <c r="I4" s="32">
        <v>482800002024</v>
      </c>
      <c r="J4" s="32">
        <v>482800001257</v>
      </c>
      <c r="K4" s="32" t="s">
        <v>55</v>
      </c>
      <c r="L4" s="32" t="s">
        <v>56</v>
      </c>
      <c r="M4" s="32" t="s">
        <v>57</v>
      </c>
      <c r="N4" s="32">
        <v>36203301</v>
      </c>
      <c r="O4" s="32">
        <v>36203301</v>
      </c>
      <c r="P4" s="32">
        <v>36203328</v>
      </c>
      <c r="Q4" s="32">
        <v>36203328</v>
      </c>
      <c r="R4" s="32">
        <v>36025015</v>
      </c>
      <c r="S4" s="32">
        <v>36025015</v>
      </c>
      <c r="T4" s="32"/>
      <c r="U4" s="32"/>
      <c r="V4" s="32"/>
      <c r="W4" s="32"/>
      <c r="X4" s="32"/>
      <c r="Y4" s="32"/>
      <c r="Z4" s="32">
        <v>865784010</v>
      </c>
      <c r="AA4" s="32">
        <v>865784010</v>
      </c>
      <c r="AB4" s="32">
        <v>865804010</v>
      </c>
      <c r="AC4" s="32">
        <v>865804010</v>
      </c>
      <c r="AD4" s="32">
        <v>865794010</v>
      </c>
      <c r="AE4" s="32">
        <v>865794010</v>
      </c>
      <c r="AF4" s="32" t="s">
        <v>58</v>
      </c>
      <c r="AG4" s="32" t="s">
        <v>58</v>
      </c>
      <c r="AH4" s="32" t="s">
        <v>59</v>
      </c>
      <c r="AI4" s="32" t="s">
        <v>59</v>
      </c>
      <c r="AJ4" s="32" t="s">
        <v>60</v>
      </c>
      <c r="AK4" s="32" t="s">
        <v>60</v>
      </c>
      <c r="AL4" s="33"/>
      <c r="AM4" s="33"/>
      <c r="AN4" s="33"/>
      <c r="AO4" s="33"/>
      <c r="AP4" s="33"/>
      <c r="AQ4" s="33">
        <v>3642</v>
      </c>
      <c r="AR4" s="33" t="s">
        <v>61</v>
      </c>
      <c r="AS4" s="33" t="s">
        <v>62</v>
      </c>
      <c r="AT4" s="33" t="s">
        <v>63</v>
      </c>
      <c r="AU4" s="33" t="s">
        <v>64</v>
      </c>
      <c r="AV4" s="33" t="s">
        <v>65</v>
      </c>
      <c r="AW4" s="33" t="s">
        <v>66</v>
      </c>
      <c r="AX4" s="33" t="s">
        <v>67</v>
      </c>
      <c r="AY4" s="33" t="s">
        <v>68</v>
      </c>
      <c r="AZ4" s="33" t="s">
        <v>69</v>
      </c>
      <c r="BA4" s="33" t="s">
        <v>70</v>
      </c>
      <c r="BB4" s="33" t="s">
        <v>71</v>
      </c>
      <c r="BC4" s="33" t="s">
        <v>72</v>
      </c>
      <c r="BD4" s="33" t="s">
        <v>73</v>
      </c>
      <c r="BE4" s="33" t="s">
        <v>74</v>
      </c>
      <c r="BF4" s="33" t="s">
        <v>75</v>
      </c>
      <c r="BG4" s="33" t="s">
        <v>76</v>
      </c>
      <c r="BH4" s="33" t="s">
        <v>77</v>
      </c>
      <c r="BI4" s="33" t="s">
        <v>78</v>
      </c>
      <c r="BJ4" s="33" t="s">
        <v>79</v>
      </c>
      <c r="BK4" s="33" t="s">
        <v>80</v>
      </c>
      <c r="BL4" s="34">
        <v>482800007882</v>
      </c>
      <c r="BM4" s="34">
        <v>482800007908</v>
      </c>
      <c r="BN4" s="34">
        <v>482800007890</v>
      </c>
      <c r="BO4" s="34">
        <v>482800010001</v>
      </c>
      <c r="BP4" s="34">
        <v>482800010019</v>
      </c>
      <c r="BQ4" s="34">
        <v>482800010027</v>
      </c>
      <c r="BR4" s="33">
        <v>36024995</v>
      </c>
      <c r="BS4" s="33">
        <v>36024995</v>
      </c>
      <c r="BT4" s="33">
        <v>36903922</v>
      </c>
      <c r="BU4" s="33">
        <v>36903922</v>
      </c>
      <c r="BV4" s="33">
        <v>36294346</v>
      </c>
      <c r="BW4" s="33" t="s">
        <v>81</v>
      </c>
      <c r="BX4" s="33">
        <v>36294353</v>
      </c>
      <c r="BY4" s="33" t="s">
        <v>82</v>
      </c>
      <c r="BZ4" s="33" t="s">
        <v>83</v>
      </c>
      <c r="CA4" s="33" t="s">
        <v>84</v>
      </c>
      <c r="CB4" s="33" t="s">
        <v>85</v>
      </c>
      <c r="CC4" s="33" t="s">
        <v>86</v>
      </c>
      <c r="CD4" s="33" t="s">
        <v>87</v>
      </c>
      <c r="CE4" s="33" t="s">
        <v>88</v>
      </c>
      <c r="CF4" s="33" t="s">
        <v>89</v>
      </c>
      <c r="CG4" s="33" t="s">
        <v>90</v>
      </c>
      <c r="CH4" s="33" t="s">
        <v>91</v>
      </c>
      <c r="CI4" s="33">
        <v>221816614</v>
      </c>
      <c r="CJ4" s="33">
        <v>221816598</v>
      </c>
      <c r="CK4" s="33">
        <v>60193029</v>
      </c>
      <c r="CL4" s="33">
        <v>60193401</v>
      </c>
      <c r="CM4" s="33">
        <v>1011143807</v>
      </c>
      <c r="CN4" s="33">
        <v>4801736642</v>
      </c>
      <c r="CO4" s="33">
        <v>65005340</v>
      </c>
      <c r="CP4" s="33">
        <v>288086051</v>
      </c>
      <c r="CQ4" s="33">
        <v>288049109</v>
      </c>
      <c r="CR4" s="33">
        <v>411166042</v>
      </c>
      <c r="CS4" s="33">
        <v>865804015</v>
      </c>
      <c r="CT4" s="33">
        <v>865804015</v>
      </c>
      <c r="CU4" s="33">
        <v>865794015</v>
      </c>
      <c r="CV4" s="33">
        <v>865794015</v>
      </c>
      <c r="CW4" s="35"/>
    </row>
    <row r="5" spans="1:101" x14ac:dyDescent="0.25">
      <c r="B5" s="36"/>
      <c r="C5" s="37" t="s">
        <v>92</v>
      </c>
      <c r="D5" s="38"/>
      <c r="E5" s="38" t="s">
        <v>93</v>
      </c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9"/>
      <c r="AI5" s="39"/>
      <c r="AJ5" s="39"/>
      <c r="AK5" s="39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>
        <v>4.1281499999999998</v>
      </c>
      <c r="BT5" s="37"/>
      <c r="BU5" s="37">
        <f>+BS5</f>
        <v>4.1281499999999998</v>
      </c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40"/>
    </row>
    <row r="6" spans="1:101" x14ac:dyDescent="0.25">
      <c r="B6" s="36"/>
      <c r="C6" s="37" t="s">
        <v>94</v>
      </c>
      <c r="D6" s="37">
        <f>+D7-D8</f>
        <v>-17768.215100000496</v>
      </c>
      <c r="E6" s="37">
        <f>+E7-E8</f>
        <v>1640250.720885464</v>
      </c>
      <c r="F6" s="37">
        <f>+F7-F8</f>
        <v>607198.48021849059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9"/>
      <c r="AI6" s="39"/>
      <c r="AJ6" s="39"/>
      <c r="AK6" s="39"/>
      <c r="AL6" s="37">
        <f t="shared" ref="AL6:BQ6" si="0">+AL7-AL8</f>
        <v>-121097.41001007706</v>
      </c>
      <c r="AM6" s="37">
        <f t="shared" si="0"/>
        <v>-32366.534633539617</v>
      </c>
      <c r="AN6" s="37">
        <f t="shared" si="0"/>
        <v>-201038.74476000108</v>
      </c>
      <c r="AO6" s="37">
        <f t="shared" si="0"/>
        <v>14144.852148560341</v>
      </c>
      <c r="AP6" s="37">
        <f t="shared" si="0"/>
        <v>177487.25994624384</v>
      </c>
      <c r="AQ6" s="37">
        <f t="shared" si="0"/>
        <v>517998.06707783951</v>
      </c>
      <c r="AR6" s="37">
        <f t="shared" si="0"/>
        <v>0</v>
      </c>
      <c r="AS6" s="37">
        <f t="shared" si="0"/>
        <v>0</v>
      </c>
      <c r="AT6" s="37">
        <f t="shared" si="0"/>
        <v>0</v>
      </c>
      <c r="AU6" s="37">
        <f t="shared" si="0"/>
        <v>0</v>
      </c>
      <c r="AV6" s="37">
        <f t="shared" si="0"/>
        <v>0</v>
      </c>
      <c r="AW6" s="37">
        <f t="shared" si="0"/>
        <v>0</v>
      </c>
      <c r="AX6" s="37">
        <f t="shared" si="0"/>
        <v>0</v>
      </c>
      <c r="AY6" s="37">
        <f t="shared" si="0"/>
        <v>0</v>
      </c>
      <c r="AZ6" s="37">
        <f t="shared" si="0"/>
        <v>0</v>
      </c>
      <c r="BA6" s="37">
        <f t="shared" si="0"/>
        <v>0</v>
      </c>
      <c r="BB6" s="37">
        <f t="shared" si="0"/>
        <v>0</v>
      </c>
      <c r="BC6" s="37">
        <f t="shared" si="0"/>
        <v>0</v>
      </c>
      <c r="BD6" s="37">
        <f t="shared" si="0"/>
        <v>0</v>
      </c>
      <c r="BE6" s="37">
        <f t="shared" si="0"/>
        <v>0</v>
      </c>
      <c r="BF6" s="37">
        <f t="shared" si="0"/>
        <v>0</v>
      </c>
      <c r="BG6" s="37">
        <f t="shared" si="0"/>
        <v>0</v>
      </c>
      <c r="BH6" s="37">
        <f t="shared" si="0"/>
        <v>0</v>
      </c>
      <c r="BI6" s="37">
        <f t="shared" si="0"/>
        <v>0</v>
      </c>
      <c r="BJ6" s="37">
        <f t="shared" si="0"/>
        <v>0</v>
      </c>
      <c r="BK6" s="37">
        <f t="shared" si="0"/>
        <v>0</v>
      </c>
      <c r="BL6" s="37">
        <f t="shared" si="0"/>
        <v>0</v>
      </c>
      <c r="BM6" s="37">
        <f t="shared" si="0"/>
        <v>0</v>
      </c>
      <c r="BN6" s="37">
        <f t="shared" si="0"/>
        <v>0</v>
      </c>
      <c r="BO6" s="37">
        <f t="shared" si="0"/>
        <v>0</v>
      </c>
      <c r="BP6" s="37">
        <f t="shared" si="0"/>
        <v>0</v>
      </c>
      <c r="BQ6" s="37">
        <f t="shared" si="0"/>
        <v>0</v>
      </c>
      <c r="BR6" s="37"/>
      <c r="BS6" s="37"/>
      <c r="BT6" s="37"/>
      <c r="BU6" s="37"/>
      <c r="BV6" s="37">
        <f>+BV7-BV8-422.17</f>
        <v>-422.17</v>
      </c>
      <c r="BW6" s="37">
        <f t="shared" ref="BW6:CR6" si="1">+BW7-BW8</f>
        <v>0</v>
      </c>
      <c r="BX6" s="37">
        <f t="shared" si="1"/>
        <v>0</v>
      </c>
      <c r="BY6" s="37">
        <f t="shared" si="1"/>
        <v>-150.96299999987241</v>
      </c>
      <c r="BZ6" s="37">
        <f t="shared" si="1"/>
        <v>367731.16275999881</v>
      </c>
      <c r="CA6" s="37">
        <f t="shared" si="1"/>
        <v>162446.61650000047</v>
      </c>
      <c r="CB6" s="37">
        <f t="shared" si="1"/>
        <v>-2.4000000121304765E-4</v>
      </c>
      <c r="CC6" s="37">
        <f t="shared" si="1"/>
        <v>-4.1799998143687844E-3</v>
      </c>
      <c r="CD6" s="37">
        <f>+[1]Otrosbancos!$T$29</f>
        <v>0</v>
      </c>
      <c r="CE6" s="37">
        <f t="shared" si="1"/>
        <v>1184.1100000000006</v>
      </c>
      <c r="CF6" s="37">
        <f t="shared" si="1"/>
        <v>49029.59600000002</v>
      </c>
      <c r="CG6" s="37">
        <f t="shared" si="1"/>
        <v>870.21499999999651</v>
      </c>
      <c r="CH6" s="37">
        <f t="shared" si="1"/>
        <v>0</v>
      </c>
      <c r="CI6" s="37">
        <f t="shared" si="1"/>
        <v>2327.6700000000419</v>
      </c>
      <c r="CJ6" s="37">
        <f t="shared" si="1"/>
        <v>40962.596000000005</v>
      </c>
      <c r="CK6" s="37">
        <f t="shared" si="1"/>
        <v>0</v>
      </c>
      <c r="CL6" s="37">
        <f t="shared" si="1"/>
        <v>0</v>
      </c>
      <c r="CM6" s="37">
        <f t="shared" si="1"/>
        <v>-1.4999999257270247E-4</v>
      </c>
      <c r="CN6" s="37">
        <f t="shared" si="1"/>
        <v>-2.9699999140575528E-3</v>
      </c>
      <c r="CO6" s="37">
        <f t="shared" si="1"/>
        <v>4.6400002902373672E-3</v>
      </c>
      <c r="CP6" s="37">
        <f t="shared" si="1"/>
        <v>-2.7600005269050598E-3</v>
      </c>
      <c r="CQ6" s="37">
        <f t="shared" si="1"/>
        <v>216.65003000001889</v>
      </c>
      <c r="CR6" s="37">
        <f t="shared" si="1"/>
        <v>-6.7999896054971032E-4</v>
      </c>
      <c r="CS6" s="37">
        <f>+CS7-CS8</f>
        <v>-5000</v>
      </c>
      <c r="CT6" s="37">
        <f>+CT7-CT8</f>
        <v>-20468.599999999999</v>
      </c>
      <c r="CU6" s="37">
        <f>+CU7-CU8</f>
        <v>-5000</v>
      </c>
      <c r="CV6" s="37">
        <f>+CV7-CV8</f>
        <v>-20468.599999999999</v>
      </c>
      <c r="CW6" s="37"/>
    </row>
    <row r="7" spans="1:101" x14ac:dyDescent="0.25">
      <c r="A7" s="41"/>
      <c r="B7" s="42"/>
      <c r="C7" s="43" t="s">
        <v>95</v>
      </c>
      <c r="D7" s="43">
        <f>+'[1]Cap,Bol,Cls'!$T$4</f>
        <v>430384.81027000002</v>
      </c>
      <c r="E7" s="43">
        <f>+'[1]Cap,Bol,Cls'!$T$13</f>
        <v>4657672.5659299996</v>
      </c>
      <c r="F7" s="43">
        <f>+'[1]Cap,Bol,Cls'!$T$30</f>
        <v>6974198.0136000002</v>
      </c>
      <c r="G7" s="43">
        <f>+G8</f>
        <v>0</v>
      </c>
      <c r="H7" s="43">
        <f>+H8</f>
        <v>0</v>
      </c>
      <c r="I7" s="43">
        <f>+'[1]Cap,Bol,Cls'!$T$24</f>
        <v>113115.26873</v>
      </c>
      <c r="J7" s="43">
        <f>+J8</f>
        <v>0</v>
      </c>
      <c r="K7" s="43">
        <f>+K8</f>
        <v>215532.65850014306</v>
      </c>
      <c r="L7" s="43">
        <f>+L8</f>
        <v>1609532.8946330131</v>
      </c>
      <c r="M7" s="43">
        <f>+M8</f>
        <v>194653.81570086631</v>
      </c>
      <c r="N7" s="43">
        <f>+N8</f>
        <v>177310.5199999999</v>
      </c>
      <c r="O7" s="43">
        <f t="shared" ref="O7:AK7" si="2">+O8</f>
        <v>743248.15264999995</v>
      </c>
      <c r="P7" s="43">
        <f t="shared" si="2"/>
        <v>15600543.590000007</v>
      </c>
      <c r="Q7" s="43">
        <f t="shared" si="2"/>
        <v>98399431.356356993</v>
      </c>
      <c r="R7" s="43">
        <f t="shared" si="2"/>
        <v>1016813.6300000001</v>
      </c>
      <c r="S7" s="43">
        <f t="shared" si="2"/>
        <v>4579358.1385517986</v>
      </c>
      <c r="T7" s="43"/>
      <c r="U7" s="43"/>
      <c r="V7" s="43"/>
      <c r="W7" s="43"/>
      <c r="X7" s="43"/>
      <c r="Y7" s="43"/>
      <c r="Z7" s="43">
        <f t="shared" si="2"/>
        <v>9662.5274983807467</v>
      </c>
      <c r="AA7" s="43">
        <f t="shared" si="2"/>
        <v>40503.29</v>
      </c>
      <c r="AB7" s="43">
        <f t="shared" si="2"/>
        <v>7542.7499999967404</v>
      </c>
      <c r="AC7" s="43">
        <f t="shared" si="2"/>
        <v>31617.62</v>
      </c>
      <c r="AD7" s="43">
        <f t="shared" si="2"/>
        <v>5155</v>
      </c>
      <c r="AE7" s="43">
        <f t="shared" si="2"/>
        <v>21608.68</v>
      </c>
      <c r="AF7" s="43">
        <f t="shared" si="2"/>
        <v>7956.8699999451637</v>
      </c>
      <c r="AG7" s="43">
        <f t="shared" si="2"/>
        <v>33353.53</v>
      </c>
      <c r="AH7" s="43">
        <f t="shared" si="2"/>
        <v>195459.03999999719</v>
      </c>
      <c r="AI7" s="43">
        <f t="shared" si="2"/>
        <v>819134.7964617</v>
      </c>
      <c r="AJ7" s="43">
        <f t="shared" si="2"/>
        <v>673596.71999999823</v>
      </c>
      <c r="AK7" s="43">
        <f t="shared" si="2"/>
        <v>2823324.1679230896</v>
      </c>
      <c r="AL7" s="43">
        <f>+[1]Inversoras!$T$56</f>
        <v>21759860.767390002</v>
      </c>
      <c r="AM7" s="43">
        <f>+[1]Inversoras!$T$57</f>
        <v>59628043.739879996</v>
      </c>
      <c r="AN7" s="43">
        <f>+[1]Inversoras!$T$58</f>
        <v>6279067.7873999998</v>
      </c>
      <c r="AO7" s="43">
        <f>+[1]Inversoras!$T$59</f>
        <v>971587.82830000005</v>
      </c>
      <c r="AP7" s="43">
        <f>+[1]Inversoras!$T$60</f>
        <v>8640755.7409900017</v>
      </c>
      <c r="AQ7" s="43">
        <f>+[1]Inversoras!$T$61</f>
        <v>2252849.1964099999</v>
      </c>
      <c r="AR7" s="43">
        <f>+AR8</f>
        <v>33752.683643993005</v>
      </c>
      <c r="AS7" s="43">
        <f t="shared" ref="AS7:BQ7" si="3">+AS8</f>
        <v>6.2719079996137461</v>
      </c>
      <c r="AT7" s="43">
        <f t="shared" si="3"/>
        <v>11.210432002509913</v>
      </c>
      <c r="AU7" s="43">
        <f t="shared" si="3"/>
        <v>70709.869203997281</v>
      </c>
      <c r="AV7" s="43">
        <f t="shared" si="3"/>
        <v>523662.90839880263</v>
      </c>
      <c r="AW7" s="43">
        <f t="shared" si="3"/>
        <v>85667.9885699968</v>
      </c>
      <c r="AX7" s="43">
        <f t="shared" si="3"/>
        <v>1041.3974240010875</v>
      </c>
      <c r="AY7" s="43">
        <f t="shared" si="3"/>
        <v>163079.64131199798</v>
      </c>
      <c r="AZ7" s="43">
        <f t="shared" si="3"/>
        <v>23267.345377323236</v>
      </c>
      <c r="BA7" s="43">
        <f t="shared" si="3"/>
        <v>202649.32572400692</v>
      </c>
      <c r="BB7" s="43">
        <f t="shared" si="3"/>
        <v>70176.285219991158</v>
      </c>
      <c r="BC7" s="43">
        <f t="shared" si="3"/>
        <v>267699.5078479987</v>
      </c>
      <c r="BD7" s="43">
        <f t="shared" si="3"/>
        <v>17104.183599989829</v>
      </c>
      <c r="BE7" s="43">
        <f t="shared" si="3"/>
        <v>256586.81289368056</v>
      </c>
      <c r="BF7" s="43">
        <f t="shared" si="3"/>
        <v>321949.5492303599</v>
      </c>
      <c r="BG7" s="43">
        <f t="shared" si="3"/>
        <v>35109.232018882758</v>
      </c>
      <c r="BH7" s="43">
        <f t="shared" si="3"/>
        <v>27273.514880002102</v>
      </c>
      <c r="BI7" s="43">
        <f t="shared" si="3"/>
        <v>630661.83776839031</v>
      </c>
      <c r="BJ7" s="43">
        <f t="shared" si="3"/>
        <v>197783.28604456017</v>
      </c>
      <c r="BK7" s="43">
        <f t="shared" si="3"/>
        <v>3408870.6208220124</v>
      </c>
      <c r="BL7" s="43">
        <f t="shared" si="3"/>
        <v>113089.78034244607</v>
      </c>
      <c r="BM7" s="43">
        <f t="shared" si="3"/>
        <v>1072133.0258471509</v>
      </c>
      <c r="BN7" s="43">
        <f t="shared" si="3"/>
        <v>1221544.7219773794</v>
      </c>
      <c r="BO7" s="43">
        <f t="shared" si="3"/>
        <v>3.4691202304202307E-3</v>
      </c>
      <c r="BP7" s="43">
        <f t="shared" si="3"/>
        <v>256.06548932906549</v>
      </c>
      <c r="BQ7" s="43">
        <f t="shared" si="3"/>
        <v>4.0128798844989433E-3</v>
      </c>
      <c r="BR7" s="43">
        <f>+[1]Otrosbancos!$T$49</f>
        <v>645776.53</v>
      </c>
      <c r="BS7" s="43">
        <f>+BS8</f>
        <v>2663580.1691406886</v>
      </c>
      <c r="BT7" s="43">
        <f>+[1]Otrosbancos!$T$51</f>
        <v>693481.18</v>
      </c>
      <c r="BU7" s="43">
        <f>+BU8</f>
        <v>2871705.1992285913</v>
      </c>
      <c r="BV7" s="43">
        <f>+BV8+BV5</f>
        <v>8079.5888600000008</v>
      </c>
      <c r="BW7" s="43">
        <f>+BW8+BW5</f>
        <v>388194.87699000083</v>
      </c>
      <c r="BX7" s="43">
        <f>+BX8+BX5</f>
        <v>12663.664475599246</v>
      </c>
      <c r="BY7" s="43">
        <f>+[1]Otrosbancos!$T$5</f>
        <v>746018.19200000004</v>
      </c>
      <c r="BZ7" s="43">
        <f>+[1]Otrosbancos!$T$10</f>
        <v>5347263.7927599996</v>
      </c>
      <c r="CA7" s="43">
        <f>+[1]Otrosbancos!$T$15</f>
        <v>6566617.2114500003</v>
      </c>
      <c r="CB7" s="43">
        <f>+[1]Otrosbancos!$T$23</f>
        <v>18918.565999999999</v>
      </c>
      <c r="CC7" s="43">
        <f>+[1]Otrosbancos!$T$26</f>
        <v>899809.02500000002</v>
      </c>
      <c r="CD7" s="43">
        <f>+[1]Otrosbancos!$T$29</f>
        <v>0</v>
      </c>
      <c r="CE7" s="43">
        <f>+[1]Otrosbancos!$T$33</f>
        <v>28204.722000000002</v>
      </c>
      <c r="CF7" s="43">
        <f>+[1]Otrosbancos!$T$37</f>
        <v>603257.49459000002</v>
      </c>
      <c r="CG7" s="43">
        <f>+[1]Otrosbancos!$T$41</f>
        <v>193901.16</v>
      </c>
      <c r="CH7" s="43">
        <f>+[1]Otrosbancos!$T$46</f>
        <v>2.9318200000000001</v>
      </c>
      <c r="CI7" s="43">
        <f>+[1]Otrosbancos!$T$54</f>
        <v>809200.12800000003</v>
      </c>
      <c r="CJ7" s="43">
        <f>+[1]Otrosbancos!$T$56</f>
        <v>50938.294000000002</v>
      </c>
      <c r="CK7" s="43">
        <f>+[1]Liberty!$T$3</f>
        <v>0</v>
      </c>
      <c r="CL7" s="43">
        <f>+[1]Liberty!$T$4</f>
        <v>0</v>
      </c>
      <c r="CM7" s="43">
        <f>+[1]Liberty!$T$6</f>
        <v>79545.214000000007</v>
      </c>
      <c r="CN7" s="43">
        <f>+[1]Liberty!$T$8</f>
        <v>662749.23600000003</v>
      </c>
      <c r="CO7" s="43">
        <f>+[1]Liberty!$T$10</f>
        <v>736440.24595999997</v>
      </c>
      <c r="CP7" s="43">
        <f>+[1]Liberty!$T$12</f>
        <v>9152723.6699999999</v>
      </c>
      <c r="CQ7" s="43">
        <f>+[1]Liberty!$T$13</f>
        <v>378135.14942999999</v>
      </c>
      <c r="CR7" s="43">
        <f>+[1]Otrosbancos!$T$58</f>
        <v>20872.374</v>
      </c>
      <c r="CS7" s="43">
        <v>0</v>
      </c>
      <c r="CT7" s="43">
        <v>0</v>
      </c>
      <c r="CU7" s="43">
        <v>0</v>
      </c>
      <c r="CV7" s="43">
        <v>0</v>
      </c>
      <c r="CW7" s="43">
        <f>SUM(D7:CV7)</f>
        <v>281235041.15633917</v>
      </c>
    </row>
    <row r="8" spans="1:101" x14ac:dyDescent="0.25">
      <c r="A8" s="41"/>
      <c r="B8" s="44" t="s">
        <v>96</v>
      </c>
      <c r="C8" s="45" t="s">
        <v>97</v>
      </c>
      <c r="D8" s="45">
        <f>+'May, 27'!D40</f>
        <v>448153.02537000051</v>
      </c>
      <c r="E8" s="45">
        <f>+'May, 27'!E40</f>
        <v>3017421.8450445356</v>
      </c>
      <c r="F8" s="45">
        <f>+'May, 27'!F40</f>
        <v>6366999.5333815096</v>
      </c>
      <c r="G8" s="45">
        <f>+'May, 27'!G40</f>
        <v>0</v>
      </c>
      <c r="H8" s="45">
        <f>+'May, 27'!H40</f>
        <v>0</v>
      </c>
      <c r="I8" s="45">
        <f>+'May, 27'!I40</f>
        <v>113095.80821999424</v>
      </c>
      <c r="J8" s="45">
        <f>+'May, 27'!J40</f>
        <v>0</v>
      </c>
      <c r="K8" s="45">
        <f>+'May, 27'!K40</f>
        <v>215532.65850014306</v>
      </c>
      <c r="L8" s="45">
        <f>+'May, 27'!L40</f>
        <v>1609532.8946330131</v>
      </c>
      <c r="M8" s="45">
        <f>+'May, 27'!M40</f>
        <v>194653.81570086631</v>
      </c>
      <c r="N8" s="45">
        <f>+'May, 27'!N40</f>
        <v>177310.5199999999</v>
      </c>
      <c r="O8" s="45">
        <f>+'May, 27'!O40</f>
        <v>743248.15264999995</v>
      </c>
      <c r="P8" s="45">
        <f>+'May, 27'!P40</f>
        <v>15600543.590000007</v>
      </c>
      <c r="Q8" s="45">
        <f>+'May, 27'!Q40</f>
        <v>98399431.356356993</v>
      </c>
      <c r="R8" s="45">
        <f>+'May, 27'!R40</f>
        <v>1016813.6300000001</v>
      </c>
      <c r="S8" s="45">
        <f>+'May, 27'!S40</f>
        <v>4579358.1385517986</v>
      </c>
      <c r="T8" s="45">
        <f>+'May, 27'!T40</f>
        <v>0</v>
      </c>
      <c r="U8" s="45">
        <f>+'May, 27'!U40</f>
        <v>0</v>
      </c>
      <c r="V8" s="45">
        <f>+'May, 27'!V40</f>
        <v>0</v>
      </c>
      <c r="W8" s="45">
        <f>+'May, 27'!W40</f>
        <v>0</v>
      </c>
      <c r="X8" s="45">
        <f>+'May, 27'!X40</f>
        <v>0</v>
      </c>
      <c r="Y8" s="45">
        <f>+'May, 27'!Y40</f>
        <v>0</v>
      </c>
      <c r="Z8" s="45">
        <f>+'May, 27'!Z40</f>
        <v>9662.5274983807467</v>
      </c>
      <c r="AA8" s="45">
        <f>+'May, 27'!AA40</f>
        <v>40503.29</v>
      </c>
      <c r="AB8" s="45">
        <f>+'May, 27'!AB40</f>
        <v>7542.7499999967404</v>
      </c>
      <c r="AC8" s="45">
        <f>+'May, 27'!AC40</f>
        <v>31617.62</v>
      </c>
      <c r="AD8" s="45">
        <f>+'May, 27'!AD40</f>
        <v>5155</v>
      </c>
      <c r="AE8" s="45">
        <f>+'May, 27'!AE40</f>
        <v>21608.68</v>
      </c>
      <c r="AF8" s="45">
        <f>+'May, 27'!AF40</f>
        <v>7956.8699999451637</v>
      </c>
      <c r="AG8" s="45">
        <f>+'May, 27'!AG40</f>
        <v>33353.53</v>
      </c>
      <c r="AH8" s="45">
        <f>+'May, 27'!AH40</f>
        <v>195459.03999999719</v>
      </c>
      <c r="AI8" s="45">
        <f>+'May, 27'!AI40</f>
        <v>819134.7964617</v>
      </c>
      <c r="AJ8" s="45">
        <f>+'May, 27'!AJ40</f>
        <v>673596.71999999823</v>
      </c>
      <c r="AK8" s="45">
        <f>+'May, 27'!AK40</f>
        <v>2823324.1679230896</v>
      </c>
      <c r="AL8" s="45">
        <f>+'May, 27'!AL40</f>
        <v>21880958.177400079</v>
      </c>
      <c r="AM8" s="45">
        <f>+'May, 27'!AM40</f>
        <v>59660410.274513535</v>
      </c>
      <c r="AN8" s="45">
        <f>+'May, 27'!AN40</f>
        <v>6480106.5321600009</v>
      </c>
      <c r="AO8" s="45">
        <f>+'May, 27'!AO40</f>
        <v>957442.97615143971</v>
      </c>
      <c r="AP8" s="45">
        <f>+'May, 27'!AP40</f>
        <v>8463268.4810437579</v>
      </c>
      <c r="AQ8" s="45">
        <f>+'May, 27'!AQ40</f>
        <v>1734851.1293321603</v>
      </c>
      <c r="AR8" s="45">
        <f>+'May, 27'!AR40</f>
        <v>33752.683643993005</v>
      </c>
      <c r="AS8" s="45">
        <f>+'May, 27'!AS40</f>
        <v>6.2719079996137461</v>
      </c>
      <c r="AT8" s="45">
        <f>+'May, 27'!AT40</f>
        <v>11.210432002509913</v>
      </c>
      <c r="AU8" s="45">
        <f>+'May, 27'!AU40</f>
        <v>70709.869203997281</v>
      </c>
      <c r="AV8" s="45">
        <f>+'May, 27'!AV40</f>
        <v>523662.90839880263</v>
      </c>
      <c r="AW8" s="45">
        <f>+'May, 27'!AW40</f>
        <v>85667.9885699968</v>
      </c>
      <c r="AX8" s="45">
        <f>+'May, 27'!AX40</f>
        <v>1041.3974240010875</v>
      </c>
      <c r="AY8" s="45">
        <f>+'May, 27'!AY40</f>
        <v>163079.64131199798</v>
      </c>
      <c r="AZ8" s="45">
        <f>+'May, 27'!AZ40</f>
        <v>23267.345377323236</v>
      </c>
      <c r="BA8" s="45">
        <f>+'May, 27'!BA40</f>
        <v>202649.32572400692</v>
      </c>
      <c r="BB8" s="45">
        <f>+'May, 27'!BB40</f>
        <v>70176.285219991158</v>
      </c>
      <c r="BC8" s="45">
        <f>+'May, 27'!BC40</f>
        <v>267699.5078479987</v>
      </c>
      <c r="BD8" s="45">
        <f>+'May, 27'!BD40</f>
        <v>17104.183599989829</v>
      </c>
      <c r="BE8" s="45">
        <f>+'May, 27'!BE40</f>
        <v>256586.81289368056</v>
      </c>
      <c r="BF8" s="45">
        <f>+'May, 27'!BF40</f>
        <v>321949.5492303599</v>
      </c>
      <c r="BG8" s="45">
        <f>+'May, 27'!BG40</f>
        <v>35109.232018882758</v>
      </c>
      <c r="BH8" s="45">
        <f>+'May, 27'!BH40</f>
        <v>27273.514880002102</v>
      </c>
      <c r="BI8" s="45">
        <f>+'May, 27'!BI40</f>
        <v>630661.83776839031</v>
      </c>
      <c r="BJ8" s="45">
        <f>+'May, 27'!BJ40</f>
        <v>197783.28604456017</v>
      </c>
      <c r="BK8" s="45">
        <f>+'May, 27'!BK40</f>
        <v>3408870.6208220124</v>
      </c>
      <c r="BL8" s="45">
        <f>+'May, 27'!BL40</f>
        <v>113089.78034244607</v>
      </c>
      <c r="BM8" s="45">
        <f>+'May, 27'!BM40</f>
        <v>1072133.0258471509</v>
      </c>
      <c r="BN8" s="45">
        <f>+'May, 27'!BN40</f>
        <v>1221544.7219773794</v>
      </c>
      <c r="BO8" s="45">
        <f>+'May, 27'!BO40</f>
        <v>3.4691202304202307E-3</v>
      </c>
      <c r="BP8" s="45">
        <f>+'May, 27'!BP40</f>
        <v>256.06548932906549</v>
      </c>
      <c r="BQ8" s="45">
        <f>+'May, 27'!BQ40</f>
        <v>4.0128798844989433E-3</v>
      </c>
      <c r="BR8" s="45">
        <f>+'May, 27'!BR40</f>
        <v>645776.5260000031</v>
      </c>
      <c r="BS8" s="45">
        <f>+'May, 27'!BS40</f>
        <v>2663580.1691406886</v>
      </c>
      <c r="BT8" s="45">
        <f>+'May, 27'!BT40</f>
        <v>693481.18493201921</v>
      </c>
      <c r="BU8" s="45">
        <f>+'May, 27'!BU40</f>
        <v>2871705.1992285913</v>
      </c>
      <c r="BV8" s="45">
        <f>+'May, 27'!BV40</f>
        <v>8079.5888600000008</v>
      </c>
      <c r="BW8" s="45">
        <f>+'May, 27'!BW40</f>
        <v>388194.87699000083</v>
      </c>
      <c r="BX8" s="45">
        <f>+'May, 27'!BX40</f>
        <v>12663.664475599246</v>
      </c>
      <c r="BY8" s="45">
        <f>+'May, 27'!BY40</f>
        <v>746169.15499999991</v>
      </c>
      <c r="BZ8" s="45">
        <f>+'May, 27'!BZ40</f>
        <v>4979532.6300000008</v>
      </c>
      <c r="CA8" s="45">
        <f>+'May, 27'!CA40</f>
        <v>6404170.5949499998</v>
      </c>
      <c r="CB8" s="45">
        <f>+'May, 27'!CB40</f>
        <v>18918.56624</v>
      </c>
      <c r="CC8" s="45">
        <f>+'May, 27'!CC40</f>
        <v>899809.02917999984</v>
      </c>
      <c r="CD8" s="45">
        <f>+'May, 27'!CD40</f>
        <v>0</v>
      </c>
      <c r="CE8" s="45">
        <f>+'May, 27'!CE40</f>
        <v>27020.612000000001</v>
      </c>
      <c r="CF8" s="45">
        <f>+'May, 27'!CF40</f>
        <v>554227.89859</v>
      </c>
      <c r="CG8" s="45">
        <f>+'May, 27'!CG40</f>
        <v>193030.94500000001</v>
      </c>
      <c r="CH8" s="45">
        <f>+'May, 27'!CH40</f>
        <v>2.9318200000000001</v>
      </c>
      <c r="CI8" s="45">
        <f>+'May, 27'!CI40</f>
        <v>806872.45799999998</v>
      </c>
      <c r="CJ8" s="45">
        <f>+'May, 27'!CJ40</f>
        <v>9975.6980000000003</v>
      </c>
      <c r="CK8" s="45">
        <f>+'May, 27'!CK40</f>
        <v>0</v>
      </c>
      <c r="CL8" s="45">
        <f>+'May, 27'!CL40</f>
        <v>0</v>
      </c>
      <c r="CM8" s="45">
        <f>+'May, 27'!CM40</f>
        <v>79545.21415</v>
      </c>
      <c r="CN8" s="45">
        <f>+'May, 27'!CN40</f>
        <v>662749.23896999995</v>
      </c>
      <c r="CO8" s="45">
        <f>+'May, 27'!CO40</f>
        <v>736440.24131999968</v>
      </c>
      <c r="CP8" s="45">
        <f>+'May, 27'!CP40</f>
        <v>9152723.6727600005</v>
      </c>
      <c r="CQ8" s="45">
        <f>+'May, 27'!CQ40</f>
        <v>377918.49939999997</v>
      </c>
      <c r="CR8" s="45">
        <f>+'May, 27'!CR40</f>
        <v>20872.37467999896</v>
      </c>
      <c r="CS8" s="45">
        <f>+'May, 27'!CS40</f>
        <v>5000</v>
      </c>
      <c r="CT8" s="45">
        <f>+'May, 27'!CT40</f>
        <v>20468.599999999999</v>
      </c>
      <c r="CU8" s="45">
        <f>+'May, 27'!CU40</f>
        <v>5000</v>
      </c>
      <c r="CV8" s="45">
        <f>+'May, 27'!CV40</f>
        <v>20468.599999999999</v>
      </c>
      <c r="CW8" s="43">
        <f t="shared" ref="CW8:CW40" si="4">SUM(D8:CV8)</f>
        <v>278076532.7740382</v>
      </c>
    </row>
    <row r="9" spans="1:101" x14ac:dyDescent="0.25">
      <c r="B9" s="46" t="s">
        <v>96</v>
      </c>
      <c r="C9" s="47" t="s">
        <v>98</v>
      </c>
      <c r="D9" s="47">
        <v>1610</v>
      </c>
      <c r="E9" s="48">
        <v>19682182.797449999</v>
      </c>
      <c r="F9" s="48">
        <v>29550209.789009999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>
        <v>1892.0730000000001</v>
      </c>
      <c r="BX9" s="47"/>
      <c r="BY9" s="47">
        <f>IF(BY6&gt;0,BY6,0)</f>
        <v>0</v>
      </c>
      <c r="BZ9" s="47">
        <f>IF(BZ6&gt;0,BZ6,0)</f>
        <v>367731.16275999881</v>
      </c>
      <c r="CA9" s="47">
        <f>IF(CA6&gt;0,CA6,0)</f>
        <v>162446.61650000047</v>
      </c>
      <c r="CB9" s="47"/>
      <c r="CC9" s="47">
        <v>4067.6970000000001</v>
      </c>
      <c r="CD9" s="47"/>
      <c r="CE9" s="47">
        <f>IF(CE6&gt;0,CE6,0)</f>
        <v>1184.1100000000006</v>
      </c>
      <c r="CF9" s="47">
        <f>IF(CF6&gt;0,CF6,0)</f>
        <v>49029.59600000002</v>
      </c>
      <c r="CG9" s="47">
        <f>IF(CG6&gt;0,CG6,0)</f>
        <v>870.21499999999651</v>
      </c>
      <c r="CH9" s="47"/>
      <c r="CI9" s="47">
        <f>IF(CI6&gt;0,CI6,0)</f>
        <v>2327.6700000000419</v>
      </c>
      <c r="CJ9" s="47">
        <f>IF(CJ6&gt;0,CJ6,0)</f>
        <v>40962.596000000005</v>
      </c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3">
        <f t="shared" si="4"/>
        <v>49864514.322719991</v>
      </c>
    </row>
    <row r="10" spans="1:101" x14ac:dyDescent="0.25">
      <c r="B10" s="46" t="s">
        <v>99</v>
      </c>
      <c r="C10" s="47" t="s">
        <v>100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>
        <v>-10.776999999999999</v>
      </c>
      <c r="BX10" s="47"/>
      <c r="BY10" s="47">
        <f>IF(BY6&lt;0,BY6,0)</f>
        <v>-150.96299999987241</v>
      </c>
      <c r="BZ10" s="47">
        <f>IF(BZ6&lt;0,BZ6,0)</f>
        <v>0</v>
      </c>
      <c r="CA10" s="47">
        <f>IF(CA6&lt;0,CA6,0)</f>
        <v>0</v>
      </c>
      <c r="CB10" s="47"/>
      <c r="CC10" s="47"/>
      <c r="CD10" s="47"/>
      <c r="CE10" s="47">
        <f>IF(CE6&lt;0,CE6,0)</f>
        <v>0</v>
      </c>
      <c r="CF10" s="47">
        <f>IF(CF6&lt;0,CF6,0)</f>
        <v>0</v>
      </c>
      <c r="CG10" s="47">
        <f>IF(CG6&lt;0,CG6,0)</f>
        <v>0</v>
      </c>
      <c r="CH10" s="47"/>
      <c r="CI10" s="47">
        <f>IF(CI6&lt;0,CI6,0)</f>
        <v>0</v>
      </c>
      <c r="CJ10" s="47">
        <f>IF(CJ6&lt;0,CJ6,0)</f>
        <v>0</v>
      </c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3">
        <f t="shared" si="4"/>
        <v>-161.7399999998724</v>
      </c>
    </row>
    <row r="11" spans="1:101" x14ac:dyDescent="0.25">
      <c r="A11" s="41"/>
      <c r="B11" s="49" t="s">
        <v>99</v>
      </c>
      <c r="C11" s="50" t="s">
        <v>101</v>
      </c>
      <c r="D11" s="50">
        <v>0</v>
      </c>
      <c r="E11" s="50">
        <v>-12854.3294600067</v>
      </c>
      <c r="F11" s="50">
        <v>-1748.6838600006099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>
        <f>+[1]Otrosbancos!$T$6+[1]Otrosbancos!$T$7</f>
        <v>-8355.8690000000006</v>
      </c>
      <c r="BZ11" s="50">
        <f>+[1]Otrosbancos!$T$11+[1]Otrosbancos!$T$12</f>
        <v>-4240760.3450000007</v>
      </c>
      <c r="CA11" s="50">
        <f>+[1]Otrosbancos!$T$16+[1]Otrosbancos!$T$17</f>
        <v>-1556947.155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43">
        <f t="shared" si="4"/>
        <v>-5820666.3823200082</v>
      </c>
    </row>
    <row r="12" spans="1:101" x14ac:dyDescent="0.25">
      <c r="B12" s="46" t="s">
        <v>96</v>
      </c>
      <c r="C12" s="47" t="s">
        <v>102</v>
      </c>
      <c r="D12" s="47"/>
      <c r="E12" s="47">
        <f>1760432.637-1760432.637</f>
        <v>0</v>
      </c>
      <c r="F12" s="47">
        <f>3818911.709-3818911.709</f>
        <v>0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1"/>
      <c r="AS12" s="51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3">
        <f t="shared" si="4"/>
        <v>0</v>
      </c>
    </row>
    <row r="13" spans="1:101" x14ac:dyDescent="0.25">
      <c r="B13" s="46" t="s">
        <v>96</v>
      </c>
      <c r="C13" s="47" t="s">
        <v>103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51"/>
      <c r="AS13" s="51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3">
        <f t="shared" si="4"/>
        <v>0</v>
      </c>
    </row>
    <row r="14" spans="1:101" x14ac:dyDescent="0.25">
      <c r="B14" s="46" t="s">
        <v>96</v>
      </c>
      <c r="C14" s="47" t="s">
        <v>104</v>
      </c>
      <c r="D14" s="47"/>
      <c r="E14" s="47"/>
      <c r="F14" s="47">
        <v>294083.21000000002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51"/>
      <c r="AS14" s="51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3">
        <f t="shared" si="4"/>
        <v>294083.21000000002</v>
      </c>
    </row>
    <row r="15" spans="1:101" x14ac:dyDescent="0.25">
      <c r="B15" s="46" t="s">
        <v>96</v>
      </c>
      <c r="C15" s="47" t="s">
        <v>105</v>
      </c>
      <c r="D15" s="47"/>
      <c r="E15" s="47">
        <f>1760432.637-155396.369</f>
        <v>1605036.2680000002</v>
      </c>
      <c r="F15" s="47">
        <f>3818911.709-1390590.448</f>
        <v>2428321.2609999999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51"/>
      <c r="AS15" s="51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3">
        <f t="shared" si="4"/>
        <v>4033357.5290000001</v>
      </c>
    </row>
    <row r="16" spans="1:101" x14ac:dyDescent="0.25">
      <c r="B16" s="46" t="s">
        <v>96</v>
      </c>
      <c r="C16" s="47" t="s">
        <v>106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51"/>
      <c r="AS16" s="51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3">
        <f t="shared" si="4"/>
        <v>0</v>
      </c>
    </row>
    <row r="17" spans="1:101" x14ac:dyDescent="0.25">
      <c r="B17" s="46" t="s">
        <v>99</v>
      </c>
      <c r="C17" s="47" t="s">
        <v>107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51"/>
      <c r="AS17" s="51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3">
        <f t="shared" si="4"/>
        <v>0</v>
      </c>
    </row>
    <row r="18" spans="1:101" x14ac:dyDescent="0.25">
      <c r="B18" s="46" t="s">
        <v>96</v>
      </c>
      <c r="C18" s="47" t="s">
        <v>108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1"/>
      <c r="AS18" s="51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3">
        <f t="shared" si="4"/>
        <v>0</v>
      </c>
    </row>
    <row r="19" spans="1:101" x14ac:dyDescent="0.25">
      <c r="B19" s="46" t="s">
        <v>99</v>
      </c>
      <c r="C19" s="47" t="s">
        <v>109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51"/>
      <c r="AS19" s="51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3">
        <f t="shared" si="4"/>
        <v>0</v>
      </c>
    </row>
    <row r="20" spans="1:101" x14ac:dyDescent="0.25">
      <c r="B20" s="46" t="s">
        <v>99</v>
      </c>
      <c r="C20" s="47" t="s">
        <v>110</v>
      </c>
      <c r="D20" s="47" t="s">
        <v>93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51"/>
      <c r="AS20" s="51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3">
        <f t="shared" si="4"/>
        <v>0</v>
      </c>
    </row>
    <row r="21" spans="1:101" x14ac:dyDescent="0.25">
      <c r="B21" s="46" t="s">
        <v>96</v>
      </c>
      <c r="C21" s="47" t="s">
        <v>111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51"/>
      <c r="AS21" s="51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3">
        <f t="shared" si="4"/>
        <v>0</v>
      </c>
    </row>
    <row r="22" spans="1:101" x14ac:dyDescent="0.25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51"/>
      <c r="AS22" s="51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3">
        <f t="shared" si="4"/>
        <v>0</v>
      </c>
    </row>
    <row r="23" spans="1:101" x14ac:dyDescent="0.25">
      <c r="B23" s="46" t="s">
        <v>99</v>
      </c>
      <c r="C23" s="47" t="s">
        <v>112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51"/>
      <c r="AS23" s="51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3">
        <f t="shared" si="4"/>
        <v>0</v>
      </c>
    </row>
    <row r="24" spans="1:101" x14ac:dyDescent="0.25">
      <c r="B24" s="46" t="s">
        <v>99</v>
      </c>
      <c r="C24" s="47" t="s">
        <v>113</v>
      </c>
      <c r="D24" s="47">
        <v>-25.63</v>
      </c>
      <c r="E24" s="47">
        <f>-22776-7473.375-1494.675-4484.025-38434.5-10088-1423.5-3604.4-22776-11098-2500-1200.33-565.875</f>
        <v>-127918.68</v>
      </c>
      <c r="F24" s="47">
        <f>-24579-12166-1494.675-2847-4270.5-1423.5-1647.86-1200-5224.91</f>
        <v>-54853.445000000007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51"/>
      <c r="AS24" s="51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3">
        <f t="shared" si="4"/>
        <v>-182797.755</v>
      </c>
    </row>
    <row r="25" spans="1:101" x14ac:dyDescent="0.25">
      <c r="A25" s="41"/>
      <c r="B25" s="52" t="s">
        <v>99</v>
      </c>
      <c r="C25" s="53" t="s">
        <v>114</v>
      </c>
      <c r="D25" s="53">
        <v>-279.58267000000001</v>
      </c>
      <c r="E25" s="53">
        <f>-11050807.57933+155396.369</f>
        <v>-10895411.210329998</v>
      </c>
      <c r="F25" s="53">
        <f>-2945171.10863+1390590.448</f>
        <v>-1554580.6606300001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43">
        <f t="shared" si="4"/>
        <v>-12450271.453629998</v>
      </c>
    </row>
    <row r="26" spans="1:101" x14ac:dyDescent="0.25">
      <c r="B26" s="46"/>
      <c r="C26" s="47" t="s">
        <v>115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51"/>
      <c r="AS26" s="51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3">
        <f t="shared" si="4"/>
        <v>0</v>
      </c>
    </row>
    <row r="27" spans="1:101" x14ac:dyDescent="0.25">
      <c r="B27" s="46" t="s">
        <v>99</v>
      </c>
      <c r="C27" s="47" t="s">
        <v>116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51"/>
      <c r="AS27" s="51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3">
        <f t="shared" si="4"/>
        <v>0</v>
      </c>
    </row>
    <row r="28" spans="1:101" x14ac:dyDescent="0.25">
      <c r="B28" s="47" t="s">
        <v>99</v>
      </c>
      <c r="C28" s="47" t="s">
        <v>117</v>
      </c>
      <c r="D28" s="48">
        <v>-2739.4802500000001</v>
      </c>
      <c r="E28" s="47">
        <v>-5503251.3481400004</v>
      </c>
      <c r="F28" s="47">
        <v>-6259007.79703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51"/>
      <c r="AS28" s="51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3">
        <f t="shared" si="4"/>
        <v>-11764998.62542</v>
      </c>
    </row>
    <row r="29" spans="1:101" x14ac:dyDescent="0.25">
      <c r="B29" s="47"/>
      <c r="C29" s="47" t="s">
        <v>118</v>
      </c>
      <c r="D29" s="48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51"/>
      <c r="AS29" s="51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3">
        <f t="shared" si="4"/>
        <v>0</v>
      </c>
    </row>
    <row r="30" spans="1:101" x14ac:dyDescent="0.25">
      <c r="B30" s="47"/>
      <c r="C30" s="47" t="s">
        <v>119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51"/>
      <c r="AS30" s="51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3">
        <f t="shared" si="4"/>
        <v>0</v>
      </c>
    </row>
    <row r="31" spans="1:101" x14ac:dyDescent="0.25">
      <c r="B31" s="47" t="s">
        <v>99</v>
      </c>
      <c r="C31" s="47" t="s">
        <v>120</v>
      </c>
      <c r="D31" s="47">
        <v>-6407.7</v>
      </c>
      <c r="E31" s="47">
        <v>-14116.1</v>
      </c>
      <c r="F31" s="47">
        <v>-1256599.2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51"/>
      <c r="AS31" s="51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3">
        <f t="shared" si="4"/>
        <v>-1277123</v>
      </c>
    </row>
    <row r="32" spans="1:101" x14ac:dyDescent="0.25">
      <c r="B32" s="47" t="s">
        <v>99</v>
      </c>
      <c r="C32" s="47" t="s">
        <v>121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51"/>
      <c r="AS32" s="51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3">
        <f t="shared" si="4"/>
        <v>0</v>
      </c>
    </row>
    <row r="33" spans="2:101" x14ac:dyDescent="0.25">
      <c r="B33" s="47" t="s">
        <v>99</v>
      </c>
      <c r="C33" s="47" t="s">
        <v>122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51"/>
      <c r="AS33" s="51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3">
        <f t="shared" si="4"/>
        <v>0</v>
      </c>
    </row>
    <row r="34" spans="2:101" x14ac:dyDescent="0.25">
      <c r="B34" s="54" t="s">
        <v>99</v>
      </c>
      <c r="C34" s="55" t="s">
        <v>123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43">
        <f t="shared" si="4"/>
        <v>0</v>
      </c>
    </row>
    <row r="35" spans="2:101" x14ac:dyDescent="0.25">
      <c r="B35" s="54" t="s">
        <v>99</v>
      </c>
      <c r="C35" s="55" t="s">
        <v>124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43">
        <f t="shared" si="4"/>
        <v>0</v>
      </c>
    </row>
    <row r="36" spans="2:101" ht="15.75" thickBot="1" x14ac:dyDescent="0.3">
      <c r="B36" s="56"/>
      <c r="C36" s="57" t="s">
        <v>125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43">
        <f t="shared" si="4"/>
        <v>0</v>
      </c>
    </row>
    <row r="37" spans="2:101" x14ac:dyDescent="0.25">
      <c r="B37" s="58"/>
      <c r="C37" s="59" t="s">
        <v>126</v>
      </c>
      <c r="D37" s="59">
        <f>SUM(D9:D36)</f>
        <v>-7842.3929200000002</v>
      </c>
      <c r="E37" s="59">
        <f>SUM(E9:E36)</f>
        <v>4733667.3975199936</v>
      </c>
      <c r="F37" s="59">
        <f>SUM(F9:F35)</f>
        <v>23145824.473490003</v>
      </c>
      <c r="G37" s="59">
        <f t="shared" ref="G37:BR37" si="5">SUM(G9:G36)</f>
        <v>0</v>
      </c>
      <c r="H37" s="59">
        <f t="shared" si="5"/>
        <v>0</v>
      </c>
      <c r="I37" s="59">
        <f t="shared" si="5"/>
        <v>0</v>
      </c>
      <c r="J37" s="59">
        <f t="shared" si="5"/>
        <v>0</v>
      </c>
      <c r="K37" s="59">
        <f t="shared" si="5"/>
        <v>0</v>
      </c>
      <c r="L37" s="59">
        <f t="shared" si="5"/>
        <v>0</v>
      </c>
      <c r="M37" s="59">
        <f t="shared" si="5"/>
        <v>0</v>
      </c>
      <c r="N37" s="59">
        <f t="shared" si="5"/>
        <v>0</v>
      </c>
      <c r="O37" s="59">
        <f t="shared" si="5"/>
        <v>0</v>
      </c>
      <c r="P37" s="59">
        <f t="shared" si="5"/>
        <v>0</v>
      </c>
      <c r="Q37" s="59">
        <f t="shared" si="5"/>
        <v>0</v>
      </c>
      <c r="R37" s="59">
        <f t="shared" si="5"/>
        <v>0</v>
      </c>
      <c r="S37" s="59">
        <f t="shared" si="5"/>
        <v>0</v>
      </c>
      <c r="T37" s="59">
        <f t="shared" si="5"/>
        <v>0</v>
      </c>
      <c r="U37" s="59">
        <f t="shared" si="5"/>
        <v>0</v>
      </c>
      <c r="V37" s="59">
        <f t="shared" si="5"/>
        <v>0</v>
      </c>
      <c r="W37" s="59">
        <f t="shared" si="5"/>
        <v>0</v>
      </c>
      <c r="X37" s="59">
        <f t="shared" si="5"/>
        <v>0</v>
      </c>
      <c r="Y37" s="59">
        <f t="shared" si="5"/>
        <v>0</v>
      </c>
      <c r="Z37" s="59">
        <f t="shared" si="5"/>
        <v>0</v>
      </c>
      <c r="AA37" s="59">
        <f t="shared" si="5"/>
        <v>0</v>
      </c>
      <c r="AB37" s="59">
        <f t="shared" si="5"/>
        <v>0</v>
      </c>
      <c r="AC37" s="59">
        <f t="shared" si="5"/>
        <v>0</v>
      </c>
      <c r="AD37" s="59">
        <f t="shared" si="5"/>
        <v>0</v>
      </c>
      <c r="AE37" s="59">
        <f t="shared" si="5"/>
        <v>0</v>
      </c>
      <c r="AF37" s="59">
        <f t="shared" si="5"/>
        <v>0</v>
      </c>
      <c r="AG37" s="59">
        <f t="shared" si="5"/>
        <v>0</v>
      </c>
      <c r="AH37" s="59">
        <f t="shared" si="5"/>
        <v>0</v>
      </c>
      <c r="AI37" s="59">
        <f t="shared" si="5"/>
        <v>0</v>
      </c>
      <c r="AJ37" s="59">
        <f t="shared" si="5"/>
        <v>0</v>
      </c>
      <c r="AK37" s="59">
        <f t="shared" si="5"/>
        <v>0</v>
      </c>
      <c r="AL37" s="59">
        <f t="shared" si="5"/>
        <v>0</v>
      </c>
      <c r="AM37" s="59">
        <f t="shared" si="5"/>
        <v>0</v>
      </c>
      <c r="AN37" s="59">
        <f t="shared" si="5"/>
        <v>0</v>
      </c>
      <c r="AO37" s="59">
        <f t="shared" si="5"/>
        <v>0</v>
      </c>
      <c r="AP37" s="59">
        <f t="shared" si="5"/>
        <v>0</v>
      </c>
      <c r="AQ37" s="59">
        <f t="shared" si="5"/>
        <v>0</v>
      </c>
      <c r="AR37" s="59">
        <f t="shared" si="5"/>
        <v>0</v>
      </c>
      <c r="AS37" s="59">
        <f t="shared" si="5"/>
        <v>0</v>
      </c>
      <c r="AT37" s="59">
        <f t="shared" si="5"/>
        <v>0</v>
      </c>
      <c r="AU37" s="59">
        <f t="shared" si="5"/>
        <v>0</v>
      </c>
      <c r="AV37" s="59">
        <f t="shared" si="5"/>
        <v>0</v>
      </c>
      <c r="AW37" s="59">
        <f t="shared" si="5"/>
        <v>0</v>
      </c>
      <c r="AX37" s="59">
        <f t="shared" si="5"/>
        <v>0</v>
      </c>
      <c r="AY37" s="59">
        <f t="shared" si="5"/>
        <v>0</v>
      </c>
      <c r="AZ37" s="59">
        <f t="shared" si="5"/>
        <v>0</v>
      </c>
      <c r="BA37" s="59">
        <f t="shared" si="5"/>
        <v>0</v>
      </c>
      <c r="BB37" s="59">
        <f t="shared" si="5"/>
        <v>0</v>
      </c>
      <c r="BC37" s="59">
        <f t="shared" si="5"/>
        <v>0</v>
      </c>
      <c r="BD37" s="59">
        <f t="shared" si="5"/>
        <v>0</v>
      </c>
      <c r="BE37" s="59">
        <f t="shared" si="5"/>
        <v>0</v>
      </c>
      <c r="BF37" s="59">
        <f t="shared" si="5"/>
        <v>0</v>
      </c>
      <c r="BG37" s="59">
        <f t="shared" si="5"/>
        <v>0</v>
      </c>
      <c r="BH37" s="59">
        <f t="shared" si="5"/>
        <v>0</v>
      </c>
      <c r="BI37" s="59">
        <f t="shared" si="5"/>
        <v>0</v>
      </c>
      <c r="BJ37" s="59">
        <f t="shared" si="5"/>
        <v>0</v>
      </c>
      <c r="BK37" s="59">
        <f t="shared" si="5"/>
        <v>0</v>
      </c>
      <c r="BL37" s="59">
        <f t="shared" si="5"/>
        <v>0</v>
      </c>
      <c r="BM37" s="59">
        <f t="shared" si="5"/>
        <v>0</v>
      </c>
      <c r="BN37" s="59">
        <f t="shared" si="5"/>
        <v>0</v>
      </c>
      <c r="BO37" s="59">
        <f t="shared" si="5"/>
        <v>0</v>
      </c>
      <c r="BP37" s="59">
        <f t="shared" si="5"/>
        <v>0</v>
      </c>
      <c r="BQ37" s="59">
        <f t="shared" si="5"/>
        <v>0</v>
      </c>
      <c r="BR37" s="59">
        <f t="shared" si="5"/>
        <v>0</v>
      </c>
      <c r="BS37" s="59">
        <f t="shared" ref="BS37:CV37" si="6">SUM(BS9:BS36)</f>
        <v>0</v>
      </c>
      <c r="BT37" s="59">
        <f t="shared" si="6"/>
        <v>0</v>
      </c>
      <c r="BU37" s="59">
        <f t="shared" si="6"/>
        <v>0</v>
      </c>
      <c r="BV37" s="59">
        <f t="shared" si="6"/>
        <v>0</v>
      </c>
      <c r="BW37" s="59">
        <f t="shared" si="6"/>
        <v>1881.296</v>
      </c>
      <c r="BX37" s="59">
        <f t="shared" si="6"/>
        <v>0</v>
      </c>
      <c r="BY37" s="59">
        <f t="shared" si="6"/>
        <v>-8506.831999999873</v>
      </c>
      <c r="BZ37" s="59">
        <f t="shared" si="6"/>
        <v>-3873029.1822400019</v>
      </c>
      <c r="CA37" s="59">
        <f t="shared" si="6"/>
        <v>-1394500.5384999996</v>
      </c>
      <c r="CB37" s="59">
        <f t="shared" si="6"/>
        <v>0</v>
      </c>
      <c r="CC37" s="59">
        <f t="shared" si="6"/>
        <v>4067.6970000000001</v>
      </c>
      <c r="CD37" s="59">
        <f t="shared" si="6"/>
        <v>0</v>
      </c>
      <c r="CE37" s="59">
        <f t="shared" si="6"/>
        <v>1184.1100000000006</v>
      </c>
      <c r="CF37" s="59">
        <f t="shared" si="6"/>
        <v>49029.59600000002</v>
      </c>
      <c r="CG37" s="59">
        <f t="shared" si="6"/>
        <v>870.21499999999651</v>
      </c>
      <c r="CH37" s="59">
        <f t="shared" si="6"/>
        <v>0</v>
      </c>
      <c r="CI37" s="59">
        <f t="shared" si="6"/>
        <v>2327.6700000000419</v>
      </c>
      <c r="CJ37" s="59">
        <f t="shared" si="6"/>
        <v>40962.596000000005</v>
      </c>
      <c r="CK37" s="59">
        <f t="shared" si="6"/>
        <v>0</v>
      </c>
      <c r="CL37" s="59">
        <f t="shared" si="6"/>
        <v>0</v>
      </c>
      <c r="CM37" s="59">
        <f t="shared" si="6"/>
        <v>0</v>
      </c>
      <c r="CN37" s="59">
        <f t="shared" si="6"/>
        <v>0</v>
      </c>
      <c r="CO37" s="59">
        <f t="shared" si="6"/>
        <v>0</v>
      </c>
      <c r="CP37" s="59">
        <f t="shared" si="6"/>
        <v>0</v>
      </c>
      <c r="CQ37" s="59">
        <f t="shared" si="6"/>
        <v>0</v>
      </c>
      <c r="CR37" s="59">
        <f t="shared" si="6"/>
        <v>0</v>
      </c>
      <c r="CS37" s="59">
        <f t="shared" si="6"/>
        <v>0</v>
      </c>
      <c r="CT37" s="59">
        <f t="shared" si="6"/>
        <v>0</v>
      </c>
      <c r="CU37" s="59">
        <f t="shared" si="6"/>
        <v>0</v>
      </c>
      <c r="CV37" s="59">
        <f t="shared" si="6"/>
        <v>0</v>
      </c>
      <c r="CW37" s="43">
        <f t="shared" si="4"/>
        <v>22695936.105349999</v>
      </c>
    </row>
    <row r="38" spans="2:101" x14ac:dyDescent="0.25">
      <c r="B38" s="60"/>
      <c r="C38" s="61" t="s">
        <v>127</v>
      </c>
      <c r="D38" s="61">
        <f>+D37+D8</f>
        <v>440310.6324500005</v>
      </c>
      <c r="E38" s="61">
        <f>+E37+E8</f>
        <v>7751089.2425645292</v>
      </c>
      <c r="F38" s="61">
        <f>+F37+F8</f>
        <v>29512824.006871514</v>
      </c>
      <c r="G38" s="61">
        <f t="shared" ref="G38:BR38" si="7">+G37+G8</f>
        <v>0</v>
      </c>
      <c r="H38" s="61">
        <f t="shared" si="7"/>
        <v>0</v>
      </c>
      <c r="I38" s="61">
        <f t="shared" si="7"/>
        <v>113095.80821999424</v>
      </c>
      <c r="J38" s="61">
        <f t="shared" si="7"/>
        <v>0</v>
      </c>
      <c r="K38" s="61">
        <f t="shared" si="7"/>
        <v>215532.65850014306</v>
      </c>
      <c r="L38" s="61">
        <f t="shared" si="7"/>
        <v>1609532.8946330131</v>
      </c>
      <c r="M38" s="61">
        <f t="shared" si="7"/>
        <v>194653.81570086631</v>
      </c>
      <c r="N38" s="61">
        <f t="shared" si="7"/>
        <v>177310.5199999999</v>
      </c>
      <c r="O38" s="61">
        <f t="shared" si="7"/>
        <v>743248.15264999995</v>
      </c>
      <c r="P38" s="61">
        <f t="shared" si="7"/>
        <v>15600543.590000007</v>
      </c>
      <c r="Q38" s="61">
        <f t="shared" si="7"/>
        <v>98399431.356356993</v>
      </c>
      <c r="R38" s="61">
        <f t="shared" si="7"/>
        <v>1016813.6300000001</v>
      </c>
      <c r="S38" s="61">
        <f t="shared" si="7"/>
        <v>4579358.1385517986</v>
      </c>
      <c r="T38" s="61">
        <f t="shared" si="7"/>
        <v>0</v>
      </c>
      <c r="U38" s="61">
        <f t="shared" si="7"/>
        <v>0</v>
      </c>
      <c r="V38" s="61">
        <f t="shared" si="7"/>
        <v>0</v>
      </c>
      <c r="W38" s="61">
        <f t="shared" si="7"/>
        <v>0</v>
      </c>
      <c r="X38" s="61">
        <f t="shared" si="7"/>
        <v>0</v>
      </c>
      <c r="Y38" s="61">
        <f t="shared" si="7"/>
        <v>0</v>
      </c>
      <c r="Z38" s="61">
        <f t="shared" si="7"/>
        <v>9662.5274983807467</v>
      </c>
      <c r="AA38" s="61">
        <f t="shared" si="7"/>
        <v>40503.29</v>
      </c>
      <c r="AB38" s="61">
        <f t="shared" si="7"/>
        <v>7542.7499999967404</v>
      </c>
      <c r="AC38" s="61">
        <f t="shared" si="7"/>
        <v>31617.62</v>
      </c>
      <c r="AD38" s="61">
        <f t="shared" si="7"/>
        <v>5155</v>
      </c>
      <c r="AE38" s="61">
        <f t="shared" si="7"/>
        <v>21608.68</v>
      </c>
      <c r="AF38" s="61">
        <f t="shared" si="7"/>
        <v>7956.8699999451637</v>
      </c>
      <c r="AG38" s="61">
        <f t="shared" si="7"/>
        <v>33353.53</v>
      </c>
      <c r="AH38" s="61">
        <f t="shared" si="7"/>
        <v>195459.03999999719</v>
      </c>
      <c r="AI38" s="61">
        <f t="shared" si="7"/>
        <v>819134.7964617</v>
      </c>
      <c r="AJ38" s="61">
        <f t="shared" si="7"/>
        <v>673596.71999999823</v>
      </c>
      <c r="AK38" s="61">
        <f t="shared" si="7"/>
        <v>2823324.1679230896</v>
      </c>
      <c r="AL38" s="61">
        <f t="shared" si="7"/>
        <v>21880958.177400079</v>
      </c>
      <c r="AM38" s="61">
        <f t="shared" si="7"/>
        <v>59660410.274513535</v>
      </c>
      <c r="AN38" s="61">
        <f t="shared" si="7"/>
        <v>6480106.5321600009</v>
      </c>
      <c r="AO38" s="61">
        <f t="shared" si="7"/>
        <v>957442.97615143971</v>
      </c>
      <c r="AP38" s="61">
        <f t="shared" si="7"/>
        <v>8463268.4810437579</v>
      </c>
      <c r="AQ38" s="61">
        <f t="shared" si="7"/>
        <v>1734851.1293321603</v>
      </c>
      <c r="AR38" s="61">
        <f t="shared" si="7"/>
        <v>33752.683643993005</v>
      </c>
      <c r="AS38" s="61">
        <f t="shared" si="7"/>
        <v>6.2719079996137461</v>
      </c>
      <c r="AT38" s="61">
        <f t="shared" si="7"/>
        <v>11.210432002509913</v>
      </c>
      <c r="AU38" s="61">
        <f t="shared" si="7"/>
        <v>70709.869203997281</v>
      </c>
      <c r="AV38" s="61">
        <f t="shared" si="7"/>
        <v>523662.90839880263</v>
      </c>
      <c r="AW38" s="61">
        <f t="shared" si="7"/>
        <v>85667.9885699968</v>
      </c>
      <c r="AX38" s="61">
        <f t="shared" si="7"/>
        <v>1041.3974240010875</v>
      </c>
      <c r="AY38" s="61">
        <f t="shared" si="7"/>
        <v>163079.64131199798</v>
      </c>
      <c r="AZ38" s="61">
        <f t="shared" si="7"/>
        <v>23267.345377323236</v>
      </c>
      <c r="BA38" s="61">
        <f t="shared" si="7"/>
        <v>202649.32572400692</v>
      </c>
      <c r="BB38" s="61">
        <f t="shared" si="7"/>
        <v>70176.285219991158</v>
      </c>
      <c r="BC38" s="61">
        <f t="shared" si="7"/>
        <v>267699.5078479987</v>
      </c>
      <c r="BD38" s="61">
        <f t="shared" si="7"/>
        <v>17104.183599989829</v>
      </c>
      <c r="BE38" s="61">
        <f t="shared" si="7"/>
        <v>256586.81289368056</v>
      </c>
      <c r="BF38" s="61">
        <f t="shared" si="7"/>
        <v>321949.5492303599</v>
      </c>
      <c r="BG38" s="61">
        <f t="shared" si="7"/>
        <v>35109.232018882758</v>
      </c>
      <c r="BH38" s="61">
        <f t="shared" si="7"/>
        <v>27273.514880002102</v>
      </c>
      <c r="BI38" s="61">
        <f t="shared" si="7"/>
        <v>630661.83776839031</v>
      </c>
      <c r="BJ38" s="61">
        <f t="shared" si="7"/>
        <v>197783.28604456017</v>
      </c>
      <c r="BK38" s="61">
        <f t="shared" si="7"/>
        <v>3408870.6208220124</v>
      </c>
      <c r="BL38" s="61">
        <f t="shared" si="7"/>
        <v>113089.78034244607</v>
      </c>
      <c r="BM38" s="61">
        <f t="shared" si="7"/>
        <v>1072133.0258471509</v>
      </c>
      <c r="BN38" s="61">
        <f t="shared" si="7"/>
        <v>1221544.7219773794</v>
      </c>
      <c r="BO38" s="61">
        <f t="shared" si="7"/>
        <v>3.4691202304202307E-3</v>
      </c>
      <c r="BP38" s="61">
        <f t="shared" si="7"/>
        <v>256.06548932906549</v>
      </c>
      <c r="BQ38" s="61">
        <f t="shared" si="7"/>
        <v>4.0128798844989433E-3</v>
      </c>
      <c r="BR38" s="61">
        <f t="shared" si="7"/>
        <v>645776.5260000031</v>
      </c>
      <c r="BS38" s="61">
        <f t="shared" ref="BS38:CV38" si="8">+BS37+BS8</f>
        <v>2663580.1691406886</v>
      </c>
      <c r="BT38" s="61">
        <f t="shared" si="8"/>
        <v>693481.18493201921</v>
      </c>
      <c r="BU38" s="61">
        <f t="shared" si="8"/>
        <v>2871705.1992285913</v>
      </c>
      <c r="BV38" s="61">
        <f t="shared" si="8"/>
        <v>8079.5888600000008</v>
      </c>
      <c r="BW38" s="61">
        <f t="shared" si="8"/>
        <v>390076.17299000081</v>
      </c>
      <c r="BX38" s="61">
        <f t="shared" si="8"/>
        <v>12663.664475599246</v>
      </c>
      <c r="BY38" s="61">
        <f t="shared" si="8"/>
        <v>737662.32300000009</v>
      </c>
      <c r="BZ38" s="61">
        <f t="shared" si="8"/>
        <v>1106503.447759999</v>
      </c>
      <c r="CA38" s="61">
        <f t="shared" si="8"/>
        <v>5009670.05645</v>
      </c>
      <c r="CB38" s="61">
        <f t="shared" si="8"/>
        <v>18918.56624</v>
      </c>
      <c r="CC38" s="61">
        <f t="shared" si="8"/>
        <v>903876.72617999988</v>
      </c>
      <c r="CD38" s="61">
        <f t="shared" si="8"/>
        <v>0</v>
      </c>
      <c r="CE38" s="61">
        <f t="shared" si="8"/>
        <v>28204.722000000002</v>
      </c>
      <c r="CF38" s="61">
        <f t="shared" si="8"/>
        <v>603257.49459000002</v>
      </c>
      <c r="CG38" s="61">
        <f t="shared" si="8"/>
        <v>193901.16</v>
      </c>
      <c r="CH38" s="61">
        <f t="shared" si="8"/>
        <v>2.9318200000000001</v>
      </c>
      <c r="CI38" s="61">
        <f t="shared" si="8"/>
        <v>809200.12800000003</v>
      </c>
      <c r="CJ38" s="61">
        <f t="shared" si="8"/>
        <v>50938.294000000009</v>
      </c>
      <c r="CK38" s="61">
        <f t="shared" si="8"/>
        <v>0</v>
      </c>
      <c r="CL38" s="61">
        <f t="shared" si="8"/>
        <v>0</v>
      </c>
      <c r="CM38" s="61">
        <f t="shared" si="8"/>
        <v>79545.21415</v>
      </c>
      <c r="CN38" s="61">
        <f t="shared" si="8"/>
        <v>662749.23896999995</v>
      </c>
      <c r="CO38" s="61">
        <f t="shared" si="8"/>
        <v>736440.24131999968</v>
      </c>
      <c r="CP38" s="61">
        <f t="shared" si="8"/>
        <v>9152723.6727600005</v>
      </c>
      <c r="CQ38" s="61">
        <f t="shared" si="8"/>
        <v>377918.49939999997</v>
      </c>
      <c r="CR38" s="61">
        <f t="shared" si="8"/>
        <v>20872.37467999896</v>
      </c>
      <c r="CS38" s="61">
        <f t="shared" si="8"/>
        <v>5000</v>
      </c>
      <c r="CT38" s="61">
        <f t="shared" si="8"/>
        <v>20468.599999999999</v>
      </c>
      <c r="CU38" s="61">
        <f t="shared" si="8"/>
        <v>5000</v>
      </c>
      <c r="CV38" s="61">
        <f t="shared" si="8"/>
        <v>20468.599999999999</v>
      </c>
      <c r="CW38" s="43">
        <f t="shared" si="4"/>
        <v>300772468.87938833</v>
      </c>
    </row>
    <row r="39" spans="2:101" x14ac:dyDescent="0.25">
      <c r="B39" s="62"/>
      <c r="C39" s="63" t="s">
        <v>128</v>
      </c>
      <c r="D39" s="63">
        <v>5000</v>
      </c>
      <c r="E39" s="63">
        <v>10870923.64474</v>
      </c>
      <c r="F39" s="63">
        <v>-1432000</v>
      </c>
      <c r="G39" s="63">
        <v>0</v>
      </c>
      <c r="H39" s="63">
        <v>0</v>
      </c>
      <c r="I39" s="63">
        <v>19.457720000000002</v>
      </c>
      <c r="J39" s="63">
        <v>0</v>
      </c>
      <c r="K39" s="63">
        <v>0</v>
      </c>
      <c r="L39" s="63">
        <v>-732557.79491199937</v>
      </c>
      <c r="M39" s="63">
        <v>6631778.910484001</v>
      </c>
      <c r="N39" s="63">
        <v>0</v>
      </c>
      <c r="O39" s="63">
        <v>0</v>
      </c>
      <c r="P39" s="63">
        <v>2824716.62</v>
      </c>
      <c r="Q39" s="63">
        <v>11660853.914852999</v>
      </c>
      <c r="R39" s="63">
        <v>77.38</v>
      </c>
      <c r="S39" s="63">
        <v>319.43624699999998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-78726.652000000002</v>
      </c>
      <c r="AM39" s="63">
        <v>0</v>
      </c>
      <c r="AN39" s="63">
        <v>0</v>
      </c>
      <c r="AO39" s="63">
        <v>0</v>
      </c>
      <c r="AP39" s="63">
        <v>-9912.182707760001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33.245999999999995</v>
      </c>
      <c r="BB39" s="63">
        <v>11.521999999999998</v>
      </c>
      <c r="BC39" s="63">
        <v>43.917999999999999</v>
      </c>
      <c r="BD39" s="63">
        <v>2.806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19.456600000000002</v>
      </c>
      <c r="BM39" s="63">
        <v>184.4606</v>
      </c>
      <c r="BN39" s="63">
        <v>210.16677000000001</v>
      </c>
      <c r="BO39" s="63">
        <v>0</v>
      </c>
      <c r="BP39" s="63">
        <v>4.7369999999999995E-2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0</v>
      </c>
      <c r="BX39" s="63">
        <v>0</v>
      </c>
      <c r="BY39" s="63">
        <v>0</v>
      </c>
      <c r="BZ39" s="63">
        <v>4700000</v>
      </c>
      <c r="CA39" s="63">
        <v>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43">
        <f t="shared" si="4"/>
        <v>34440998.357764244</v>
      </c>
    </row>
    <row r="40" spans="2:101" ht="15.75" thickBot="1" x14ac:dyDescent="0.3">
      <c r="B40" s="64"/>
      <c r="C40" s="65" t="s">
        <v>129</v>
      </c>
      <c r="D40" s="65">
        <f>+D39+D38</f>
        <v>445310.6324500005</v>
      </c>
      <c r="E40" s="65">
        <f>+E39+E38</f>
        <v>18622012.88730453</v>
      </c>
      <c r="F40" s="65">
        <f>+F39+F38</f>
        <v>28080824.006871514</v>
      </c>
      <c r="G40" s="65">
        <f t="shared" ref="G40:BR40" si="9">+G39+G38</f>
        <v>0</v>
      </c>
      <c r="H40" s="65">
        <f t="shared" si="9"/>
        <v>0</v>
      </c>
      <c r="I40" s="65">
        <f t="shared" si="9"/>
        <v>113115.26593999425</v>
      </c>
      <c r="J40" s="65">
        <f t="shared" si="9"/>
        <v>0</v>
      </c>
      <c r="K40" s="65">
        <f t="shared" si="9"/>
        <v>215532.65850014306</v>
      </c>
      <c r="L40" s="65">
        <f t="shared" si="9"/>
        <v>876975.09972101368</v>
      </c>
      <c r="M40" s="65">
        <f t="shared" si="9"/>
        <v>6826432.7261848673</v>
      </c>
      <c r="N40" s="65">
        <f t="shared" si="9"/>
        <v>177310.5199999999</v>
      </c>
      <c r="O40" s="65">
        <f t="shared" si="9"/>
        <v>743248.15264999995</v>
      </c>
      <c r="P40" s="65">
        <f t="shared" si="9"/>
        <v>18425260.210000008</v>
      </c>
      <c r="Q40" s="65">
        <f t="shared" si="9"/>
        <v>110060285.27120999</v>
      </c>
      <c r="R40" s="65">
        <f t="shared" si="9"/>
        <v>1016891.0100000001</v>
      </c>
      <c r="S40" s="65">
        <f t="shared" si="9"/>
        <v>4579677.5747987982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9662.5274983807467</v>
      </c>
      <c r="AA40" s="65">
        <f t="shared" si="9"/>
        <v>40503.29</v>
      </c>
      <c r="AB40" s="65">
        <f t="shared" si="9"/>
        <v>7542.7499999967404</v>
      </c>
      <c r="AC40" s="65">
        <f t="shared" si="9"/>
        <v>31617.62</v>
      </c>
      <c r="AD40" s="65">
        <f t="shared" si="9"/>
        <v>5155</v>
      </c>
      <c r="AE40" s="65">
        <f t="shared" si="9"/>
        <v>21608.68</v>
      </c>
      <c r="AF40" s="65">
        <f t="shared" si="9"/>
        <v>7956.8699999451637</v>
      </c>
      <c r="AG40" s="65">
        <f t="shared" si="9"/>
        <v>33353.53</v>
      </c>
      <c r="AH40" s="65">
        <f t="shared" si="9"/>
        <v>195459.03999999719</v>
      </c>
      <c r="AI40" s="65">
        <f t="shared" si="9"/>
        <v>819134.7964617</v>
      </c>
      <c r="AJ40" s="65">
        <f t="shared" si="9"/>
        <v>673596.71999999823</v>
      </c>
      <c r="AK40" s="65">
        <f t="shared" si="9"/>
        <v>2823324.1679230896</v>
      </c>
      <c r="AL40" s="65">
        <f t="shared" si="9"/>
        <v>21802231.52540008</v>
      </c>
      <c r="AM40" s="65">
        <f t="shared" si="9"/>
        <v>59660410.274513535</v>
      </c>
      <c r="AN40" s="65">
        <f t="shared" si="9"/>
        <v>6480106.5321600009</v>
      </c>
      <c r="AO40" s="65">
        <f t="shared" si="9"/>
        <v>957442.97615143971</v>
      </c>
      <c r="AP40" s="65">
        <f t="shared" si="9"/>
        <v>8453356.2983359974</v>
      </c>
      <c r="AQ40" s="65">
        <f t="shared" si="9"/>
        <v>1734851.1293321603</v>
      </c>
      <c r="AR40" s="65">
        <f t="shared" si="9"/>
        <v>33752.683643993005</v>
      </c>
      <c r="AS40" s="65">
        <f t="shared" si="9"/>
        <v>6.2719079996137461</v>
      </c>
      <c r="AT40" s="65">
        <f t="shared" si="9"/>
        <v>11.210432002509913</v>
      </c>
      <c r="AU40" s="65">
        <f t="shared" si="9"/>
        <v>70709.869203997281</v>
      </c>
      <c r="AV40" s="65">
        <f t="shared" si="9"/>
        <v>523662.90839880263</v>
      </c>
      <c r="AW40" s="65">
        <f t="shared" si="9"/>
        <v>85667.9885699968</v>
      </c>
      <c r="AX40" s="65">
        <f t="shared" si="9"/>
        <v>1041.3974240010875</v>
      </c>
      <c r="AY40" s="65">
        <f t="shared" si="9"/>
        <v>163079.64131199798</v>
      </c>
      <c r="AZ40" s="65">
        <f t="shared" si="9"/>
        <v>23267.345377323236</v>
      </c>
      <c r="BA40" s="65">
        <f t="shared" si="9"/>
        <v>202682.57172400694</v>
      </c>
      <c r="BB40" s="65">
        <f t="shared" si="9"/>
        <v>70187.807219991155</v>
      </c>
      <c r="BC40" s="65">
        <f t="shared" si="9"/>
        <v>267743.4258479987</v>
      </c>
      <c r="BD40" s="65">
        <f t="shared" si="9"/>
        <v>17106.989599989829</v>
      </c>
      <c r="BE40" s="65">
        <f t="shared" si="9"/>
        <v>256586.81289368056</v>
      </c>
      <c r="BF40" s="65">
        <f t="shared" si="9"/>
        <v>321949.5492303599</v>
      </c>
      <c r="BG40" s="65">
        <f t="shared" si="9"/>
        <v>35109.232018882758</v>
      </c>
      <c r="BH40" s="65">
        <f t="shared" si="9"/>
        <v>27273.514880002102</v>
      </c>
      <c r="BI40" s="65">
        <f t="shared" si="9"/>
        <v>630661.83776839031</v>
      </c>
      <c r="BJ40" s="65">
        <f t="shared" si="9"/>
        <v>197783.28604456017</v>
      </c>
      <c r="BK40" s="65">
        <f t="shared" si="9"/>
        <v>3408870.6208220124</v>
      </c>
      <c r="BL40" s="65">
        <f t="shared" si="9"/>
        <v>113109.23694244608</v>
      </c>
      <c r="BM40" s="65">
        <f t="shared" si="9"/>
        <v>1072317.4864471511</v>
      </c>
      <c r="BN40" s="65">
        <f t="shared" si="9"/>
        <v>1221754.8887473794</v>
      </c>
      <c r="BO40" s="65">
        <f t="shared" si="9"/>
        <v>3.4691202304202307E-3</v>
      </c>
      <c r="BP40" s="65">
        <f t="shared" si="9"/>
        <v>256.11285932906549</v>
      </c>
      <c r="BQ40" s="65">
        <f t="shared" si="9"/>
        <v>4.0128798844989433E-3</v>
      </c>
      <c r="BR40" s="65">
        <f t="shared" si="9"/>
        <v>645776.5260000031</v>
      </c>
      <c r="BS40" s="65">
        <f t="shared" ref="BS40:CV40" si="10">+BS39+BS38</f>
        <v>2663580.1691406886</v>
      </c>
      <c r="BT40" s="65">
        <f t="shared" si="10"/>
        <v>693481.18493201921</v>
      </c>
      <c r="BU40" s="65">
        <f t="shared" si="10"/>
        <v>2871705.1992285913</v>
      </c>
      <c r="BV40" s="65">
        <f t="shared" si="10"/>
        <v>8079.5888600000008</v>
      </c>
      <c r="BW40" s="65">
        <f t="shared" si="10"/>
        <v>390076.17299000081</v>
      </c>
      <c r="BX40" s="65">
        <f t="shared" si="10"/>
        <v>12663.664475599246</v>
      </c>
      <c r="BY40" s="65">
        <f t="shared" si="10"/>
        <v>737662.32300000009</v>
      </c>
      <c r="BZ40" s="65">
        <f t="shared" si="10"/>
        <v>5806503.447759999</v>
      </c>
      <c r="CA40" s="65">
        <f t="shared" si="10"/>
        <v>5009670.05645</v>
      </c>
      <c r="CB40" s="65">
        <f t="shared" si="10"/>
        <v>18918.56624</v>
      </c>
      <c r="CC40" s="65">
        <f t="shared" si="10"/>
        <v>903876.72617999988</v>
      </c>
      <c r="CD40" s="65">
        <f t="shared" si="10"/>
        <v>0</v>
      </c>
      <c r="CE40" s="65">
        <f t="shared" si="10"/>
        <v>28204.722000000002</v>
      </c>
      <c r="CF40" s="65">
        <f t="shared" si="10"/>
        <v>603257.49459000002</v>
      </c>
      <c r="CG40" s="65">
        <f t="shared" si="10"/>
        <v>193901.16</v>
      </c>
      <c r="CH40" s="65">
        <f>+CH39+CH38</f>
        <v>2.9318200000000001</v>
      </c>
      <c r="CI40" s="65">
        <f t="shared" si="10"/>
        <v>809200.12800000003</v>
      </c>
      <c r="CJ40" s="65">
        <f t="shared" si="10"/>
        <v>50938.294000000009</v>
      </c>
      <c r="CK40" s="65">
        <f t="shared" si="10"/>
        <v>0</v>
      </c>
      <c r="CL40" s="65">
        <f t="shared" si="10"/>
        <v>0</v>
      </c>
      <c r="CM40" s="65">
        <f t="shared" si="10"/>
        <v>79545.21415</v>
      </c>
      <c r="CN40" s="65">
        <f t="shared" si="10"/>
        <v>662749.23896999995</v>
      </c>
      <c r="CO40" s="65">
        <f t="shared" si="10"/>
        <v>736440.24131999968</v>
      </c>
      <c r="CP40" s="65">
        <f t="shared" si="10"/>
        <v>9152723.6727600005</v>
      </c>
      <c r="CQ40" s="65">
        <f t="shared" si="10"/>
        <v>377918.49939999997</v>
      </c>
      <c r="CR40" s="65">
        <f t="shared" si="10"/>
        <v>20872.37467999896</v>
      </c>
      <c r="CS40" s="65">
        <f t="shared" si="10"/>
        <v>5000</v>
      </c>
      <c r="CT40" s="65">
        <f t="shared" si="10"/>
        <v>20468.599999999999</v>
      </c>
      <c r="CU40" s="65">
        <f t="shared" si="10"/>
        <v>5000</v>
      </c>
      <c r="CV40" s="65">
        <f t="shared" si="10"/>
        <v>20468.599999999999</v>
      </c>
      <c r="CW40" s="43">
        <f t="shared" si="4"/>
        <v>335213467.23715246</v>
      </c>
    </row>
    <row r="41" spans="2:101" ht="15.75" thickBot="1" x14ac:dyDescent="0.3"/>
    <row r="42" spans="2:101" x14ac:dyDescent="0.25">
      <c r="C42" s="67" t="s">
        <v>130</v>
      </c>
      <c r="D42" s="68">
        <f>+D37+D39</f>
        <v>-2842.3929200000002</v>
      </c>
      <c r="E42" s="68">
        <f>+E37+E39</f>
        <v>15604591.042259995</v>
      </c>
      <c r="F42" s="69">
        <f>+F37+F39</f>
        <v>21713824.473490003</v>
      </c>
      <c r="G42" s="88">
        <v>20375.599999999999</v>
      </c>
      <c r="H42" s="88">
        <v>20376.599999999999</v>
      </c>
      <c r="I42" s="88">
        <v>20377.599999999999</v>
      </c>
      <c r="J42" s="88">
        <v>20378.599999999999</v>
      </c>
      <c r="K42" s="88">
        <v>20379.599999999999</v>
      </c>
      <c r="L42" s="88">
        <v>20380.599999999999</v>
      </c>
      <c r="M42" s="88">
        <v>20381.599999999999</v>
      </c>
      <c r="N42" s="88">
        <v>20382.599999999999</v>
      </c>
      <c r="O42" s="88">
        <v>20383.599999999999</v>
      </c>
      <c r="P42" s="88">
        <v>20384.599999999999</v>
      </c>
      <c r="Q42" s="88">
        <v>20385.599999999999</v>
      </c>
      <c r="R42" s="88">
        <v>20386.599999999999</v>
      </c>
      <c r="S42" s="88">
        <v>20387.599999999999</v>
      </c>
      <c r="T42" s="88">
        <v>20388.599999999999</v>
      </c>
      <c r="U42" s="88">
        <v>20389.599999999999</v>
      </c>
      <c r="V42" s="88">
        <v>20390.599999999999</v>
      </c>
      <c r="W42" s="88">
        <v>20391.599999999999</v>
      </c>
      <c r="X42" s="88">
        <v>20392.599999999999</v>
      </c>
      <c r="Y42" s="88">
        <v>20393.599999999999</v>
      </c>
      <c r="Z42" s="88">
        <v>20394.599999999999</v>
      </c>
      <c r="AA42" s="88">
        <v>20395.599999999999</v>
      </c>
      <c r="AB42" s="88">
        <v>20396.599999999999</v>
      </c>
      <c r="AC42" s="88">
        <v>20397.599999999999</v>
      </c>
      <c r="AD42" s="88">
        <v>20398.599999999999</v>
      </c>
      <c r="AE42" s="88">
        <v>20399.599999999999</v>
      </c>
      <c r="AF42" s="88">
        <v>20400.599999999999</v>
      </c>
      <c r="AG42" s="88">
        <v>20401.599999999999</v>
      </c>
      <c r="AH42" s="88">
        <v>20402.599999999999</v>
      </c>
      <c r="AI42" s="88">
        <v>20403.599999999999</v>
      </c>
      <c r="AJ42" s="88">
        <v>20404.599999999999</v>
      </c>
      <c r="AK42" s="88">
        <v>20405.599999999999</v>
      </c>
      <c r="AL42" s="88">
        <v>20406.599999999999</v>
      </c>
      <c r="AM42" s="88">
        <v>20407.599999999999</v>
      </c>
      <c r="AN42" s="88">
        <v>20408.599999999999</v>
      </c>
      <c r="AO42" s="88">
        <v>20409.599999999999</v>
      </c>
      <c r="AP42" s="88">
        <v>20410.599999999999</v>
      </c>
      <c r="AQ42" s="88">
        <v>20411.599999999999</v>
      </c>
      <c r="AR42" s="88">
        <v>20412.599999999999</v>
      </c>
      <c r="AS42" s="88">
        <v>20413.599999999999</v>
      </c>
      <c r="AT42" s="88">
        <v>20414.599999999999</v>
      </c>
      <c r="AU42" s="88">
        <v>20415.599999999999</v>
      </c>
      <c r="AV42" s="88">
        <v>20416.599999999999</v>
      </c>
      <c r="AW42" s="88">
        <v>20417.599999999999</v>
      </c>
      <c r="AX42" s="88">
        <v>20418.599999999999</v>
      </c>
      <c r="AY42" s="88">
        <v>20419.599999999999</v>
      </c>
      <c r="AZ42" s="88">
        <v>20420.599999999999</v>
      </c>
      <c r="BA42" s="88">
        <v>20421.599999999999</v>
      </c>
      <c r="BB42" s="88">
        <v>20422.599999999999</v>
      </c>
      <c r="BC42" s="88">
        <v>20423.599999999999</v>
      </c>
      <c r="BD42" s="88">
        <v>20424.599999999999</v>
      </c>
      <c r="BE42" s="88">
        <v>20425.599999999999</v>
      </c>
      <c r="BF42" s="88">
        <v>20426.599999999999</v>
      </c>
      <c r="BG42" s="88">
        <v>20427.599999999999</v>
      </c>
      <c r="BH42" s="88">
        <v>20428.599999999999</v>
      </c>
      <c r="BI42" s="88">
        <v>20429.599999999999</v>
      </c>
      <c r="BJ42" s="88">
        <v>20430.599999999999</v>
      </c>
      <c r="BK42" s="88">
        <v>20431.599999999999</v>
      </c>
      <c r="BL42" s="88">
        <v>20432.599999999999</v>
      </c>
      <c r="BM42" s="88">
        <v>20433.599999999999</v>
      </c>
      <c r="BN42" s="88">
        <v>20434.599999999999</v>
      </c>
      <c r="BO42" s="88">
        <v>20435.599999999999</v>
      </c>
      <c r="BP42" s="88">
        <v>20436.599999999999</v>
      </c>
      <c r="BQ42" s="88">
        <v>20437.599999999999</v>
      </c>
      <c r="BR42" s="88">
        <v>20438.599999999999</v>
      </c>
      <c r="BS42" s="88">
        <v>20439.599999999999</v>
      </c>
      <c r="BT42" s="88">
        <v>20440.599999999999</v>
      </c>
      <c r="BU42" s="88">
        <v>20441.599999999999</v>
      </c>
      <c r="BV42" s="88">
        <v>20442.599999999999</v>
      </c>
      <c r="BW42" s="88">
        <v>20443.599999999999</v>
      </c>
      <c r="BX42" s="88">
        <v>20444.599999999999</v>
      </c>
      <c r="BY42" s="88">
        <v>20445.599999999999</v>
      </c>
      <c r="BZ42" s="88">
        <v>20446.599999999999</v>
      </c>
      <c r="CA42" s="88">
        <v>20447.599999999999</v>
      </c>
      <c r="CB42" s="88">
        <v>20448.599999999999</v>
      </c>
      <c r="CC42" s="88">
        <v>20449.599999999999</v>
      </c>
      <c r="CD42" s="88">
        <v>20450.599999999999</v>
      </c>
      <c r="CE42" s="88">
        <v>20451.599999999999</v>
      </c>
      <c r="CF42" s="88">
        <v>20452.599999999999</v>
      </c>
      <c r="CG42" s="88">
        <v>20453.599999999999</v>
      </c>
      <c r="CH42" s="88">
        <v>20454.599999999999</v>
      </c>
      <c r="CI42" s="88">
        <v>20455.599999999999</v>
      </c>
      <c r="CJ42" s="88">
        <v>20456.599999999999</v>
      </c>
      <c r="CK42" s="88">
        <v>20457.599999999999</v>
      </c>
      <c r="CL42" s="88">
        <v>20458.599999999999</v>
      </c>
      <c r="CM42" s="88">
        <v>20459.599999999999</v>
      </c>
      <c r="CN42" s="88">
        <v>20460.599999999999</v>
      </c>
      <c r="CO42" s="88">
        <v>20461.599999999999</v>
      </c>
      <c r="CP42" s="88">
        <v>20462.599999999999</v>
      </c>
      <c r="CQ42" s="88">
        <v>20463.599999999999</v>
      </c>
      <c r="CR42" s="88">
        <v>20464.599999999999</v>
      </c>
      <c r="CS42" s="88">
        <v>20465.599999999999</v>
      </c>
      <c r="CT42" s="88">
        <v>20466.599999999999</v>
      </c>
      <c r="CU42" s="88">
        <v>20467.599999999999</v>
      </c>
      <c r="CV42" s="88">
        <v>20468.599999999999</v>
      </c>
    </row>
    <row r="43" spans="2:101" x14ac:dyDescent="0.25">
      <c r="C43" s="70" t="s">
        <v>131</v>
      </c>
      <c r="D43" s="71">
        <v>-2842.39372</v>
      </c>
      <c r="E43" s="71">
        <v>15604591.04164</v>
      </c>
      <c r="F43" s="71">
        <v>21713824.472550001</v>
      </c>
      <c r="G43" s="66"/>
      <c r="H43" s="66"/>
      <c r="CT43" s="66"/>
      <c r="CU43" s="66"/>
      <c r="CV43" s="66"/>
    </row>
    <row r="44" spans="2:101" ht="15.75" thickBot="1" x14ac:dyDescent="0.3">
      <c r="C44" s="73" t="s">
        <v>132</v>
      </c>
      <c r="D44" s="74">
        <f>+D42-D43</f>
        <v>7.9999999979918357E-4</v>
      </c>
      <c r="E44" s="74">
        <f>+E42-E43</f>
        <v>6.1999447643756866E-4</v>
      </c>
      <c r="F44" s="75">
        <f>+F42-F43</f>
        <v>9.4000250101089478E-4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</row>
    <row r="45" spans="2:101" x14ac:dyDescent="0.25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</row>
    <row r="46" spans="2:101" x14ac:dyDescent="0.25">
      <c r="D46" s="10">
        <v>9610</v>
      </c>
      <c r="E46" s="10">
        <v>460396600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2:101" x14ac:dyDescent="0.25">
      <c r="D47" s="10">
        <v>8236</v>
      </c>
      <c r="E47" s="10">
        <v>913707732</v>
      </c>
      <c r="I47" s="66" t="s">
        <v>133</v>
      </c>
      <c r="AL47" s="76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</row>
    <row r="48" spans="2:101" x14ac:dyDescent="0.25">
      <c r="D48" s="10">
        <v>9594</v>
      </c>
      <c r="E48" s="77">
        <v>18307211776.450001</v>
      </c>
      <c r="AL48" s="76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</row>
    <row r="49" spans="2:97" x14ac:dyDescent="0.25">
      <c r="C49" s="78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</row>
    <row r="50" spans="2:97" x14ac:dyDescent="0.25"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/>
    </row>
    <row r="51" spans="2:97" x14ac:dyDescent="0.25">
      <c r="CS51"/>
    </row>
    <row r="52" spans="2:97" x14ac:dyDescent="0.25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/>
    </row>
    <row r="53" spans="2:97" x14ac:dyDescent="0.25">
      <c r="CS53"/>
    </row>
    <row r="54" spans="2:97" x14ac:dyDescent="0.25">
      <c r="CS54"/>
    </row>
    <row r="55" spans="2:97" x14ac:dyDescent="0.25">
      <c r="CS55"/>
    </row>
    <row r="58" spans="2:97" x14ac:dyDescent="0.25">
      <c r="B58" s="66"/>
      <c r="C58" s="66"/>
      <c r="D58" s="66"/>
      <c r="E58" s="66"/>
      <c r="F58" s="66"/>
      <c r="G58" s="66"/>
      <c r="H58" s="66"/>
      <c r="CM58"/>
      <c r="CN58"/>
      <c r="CO58"/>
      <c r="CP58"/>
      <c r="CQ58"/>
      <c r="CR58"/>
    </row>
    <row r="59" spans="2:97" x14ac:dyDescent="0.25">
      <c r="B59" s="66"/>
      <c r="C59" s="66"/>
      <c r="D59" s="66"/>
      <c r="E59" s="66"/>
      <c r="F59" s="66"/>
      <c r="G59" s="66"/>
      <c r="H59" s="66"/>
      <c r="CM59"/>
      <c r="CN59"/>
      <c r="CO59"/>
      <c r="CP59"/>
      <c r="CQ59"/>
      <c r="CR59"/>
    </row>
    <row r="60" spans="2:97" x14ac:dyDescent="0.25">
      <c r="B60" s="66"/>
      <c r="C60" s="66"/>
      <c r="D60" s="66"/>
      <c r="E60" s="66"/>
      <c r="F60" s="66"/>
      <c r="G60" s="66"/>
      <c r="H60" s="66"/>
      <c r="CM60"/>
      <c r="CN60"/>
      <c r="CO60"/>
      <c r="CP60"/>
      <c r="CQ60"/>
      <c r="CR60"/>
    </row>
    <row r="61" spans="2:97" x14ac:dyDescent="0.25">
      <c r="B61" s="66"/>
      <c r="C61" s="66"/>
      <c r="D61" s="66"/>
      <c r="E61" s="66"/>
      <c r="F61" s="66"/>
      <c r="G61" s="66"/>
      <c r="H61" s="66"/>
      <c r="CM61"/>
      <c r="CN61"/>
      <c r="CO61"/>
      <c r="CP61"/>
      <c r="CQ61"/>
      <c r="CR61"/>
    </row>
    <row r="62" spans="2:97" x14ac:dyDescent="0.25">
      <c r="B62" s="66"/>
      <c r="C62" s="66"/>
      <c r="D62" s="66"/>
      <c r="E62" s="66"/>
      <c r="F62" s="66"/>
      <c r="G62" s="66"/>
      <c r="H62" s="66"/>
      <c r="CM62"/>
      <c r="CN62"/>
      <c r="CO62"/>
      <c r="CP62"/>
      <c r="CQ62"/>
      <c r="CR62"/>
    </row>
    <row r="63" spans="2:97" x14ac:dyDescent="0.25">
      <c r="B63" s="66"/>
      <c r="C63" s="66"/>
      <c r="D63" s="66"/>
      <c r="E63" s="66"/>
      <c r="F63" s="66"/>
      <c r="G63" s="66"/>
      <c r="H63" s="66"/>
      <c r="CM63"/>
      <c r="CN63"/>
      <c r="CO63"/>
      <c r="CP63"/>
      <c r="CQ63"/>
      <c r="CR63"/>
    </row>
  </sheetData>
  <mergeCells count="1">
    <mergeCell ref="AP2:AP3"/>
  </mergeCells>
  <pageMargins left="0.7" right="0.7" top="0.75" bottom="0.75" header="0.3" footer="0.3"/>
  <pageSetup orientation="portrait" r:id="rId1"/>
  <customProperties>
    <customPr name="QAA_DRILLPATH_NODE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3"/>
  <sheetViews>
    <sheetView topLeftCell="A2" zoomScale="112" zoomScaleNormal="112" workbookViewId="0">
      <selection activeCell="BU18" sqref="BU18"/>
    </sheetView>
  </sheetViews>
  <sheetFormatPr baseColWidth="10" defaultRowHeight="15" outlineLevelCol="2" x14ac:dyDescent="0.25"/>
  <cols>
    <col min="1" max="1" width="8.5703125" style="10" customWidth="1"/>
    <col min="2" max="2" width="10" style="10" bestFit="1" customWidth="1"/>
    <col min="3" max="3" width="43" style="10" bestFit="1" customWidth="1"/>
    <col min="4" max="5" width="19.42578125" style="10" bestFit="1" customWidth="1"/>
    <col min="6" max="6" width="21.85546875" style="10" bestFit="1" customWidth="1"/>
    <col min="7" max="7" width="19.5703125" style="10" customWidth="1" outlineLevel="1"/>
    <col min="8" max="8" width="17.85546875" style="10" customWidth="1" outlineLevel="1"/>
    <col min="9" max="9" width="17.85546875" style="66" bestFit="1" customWidth="1"/>
    <col min="10" max="10" width="17.85546875" style="66" customWidth="1" outlineLevel="2"/>
    <col min="11" max="13" width="16.42578125" style="66" customWidth="1" outlineLevel="2"/>
    <col min="14" max="14" width="18.85546875" style="66" customWidth="1" outlineLevel="2"/>
    <col min="15" max="15" width="21" style="66" customWidth="1" outlineLevel="2"/>
    <col min="16" max="17" width="14.140625" style="66" customWidth="1" outlineLevel="2"/>
    <col min="18" max="18" width="16.42578125" style="66" customWidth="1" outlineLevel="2"/>
    <col min="19" max="25" width="18.42578125" style="66" customWidth="1" outlineLevel="2"/>
    <col min="26" max="26" width="18.85546875" style="66" customWidth="1" outlineLevel="2"/>
    <col min="27" max="27" width="21" style="66" customWidth="1" outlineLevel="2"/>
    <col min="28" max="29" width="14.5703125" style="66" customWidth="1" outlineLevel="2"/>
    <col min="30" max="30" width="16.42578125" style="66" customWidth="1" outlineLevel="2"/>
    <col min="31" max="31" width="18.42578125" style="66" customWidth="1" outlineLevel="2"/>
    <col min="32" max="32" width="18.140625" style="66" customWidth="1" outlineLevel="2"/>
    <col min="33" max="33" width="20.140625" style="66" customWidth="1" outlineLevel="2"/>
    <col min="34" max="37" width="14.5703125" style="66" customWidth="1" outlineLevel="2"/>
    <col min="38" max="38" width="14.42578125" style="66" bestFit="1" customWidth="1"/>
    <col min="39" max="40" width="13.42578125" style="66" bestFit="1" customWidth="1"/>
    <col min="41" max="41" width="12.42578125" style="66" bestFit="1" customWidth="1"/>
    <col min="42" max="42" width="17.140625" style="66" bestFit="1" customWidth="1"/>
    <col min="43" max="43" width="17.140625" style="66" customWidth="1"/>
    <col min="44" max="48" width="17.42578125" style="66" customWidth="1" outlineLevel="1"/>
    <col min="49" max="49" width="15.140625" style="66" customWidth="1" outlineLevel="1"/>
    <col min="50" max="50" width="9.85546875" style="66" customWidth="1" outlineLevel="1"/>
    <col min="51" max="51" width="12.5703125" style="66" customWidth="1" outlineLevel="1"/>
    <col min="52" max="52" width="14.42578125" style="66" customWidth="1" outlineLevel="1"/>
    <col min="53" max="53" width="15.140625" style="66" customWidth="1" outlineLevel="1"/>
    <col min="54" max="55" width="11.85546875" style="66" customWidth="1" outlineLevel="1"/>
    <col min="56" max="56" width="12.5703125" style="66" customWidth="1" outlineLevel="1"/>
    <col min="57" max="59" width="16.5703125" style="66" customWidth="1" outlineLevel="1"/>
    <col min="60" max="60" width="15.140625" style="66" customWidth="1" outlineLevel="1"/>
    <col min="61" max="62" width="13.5703125" style="66" customWidth="1" outlineLevel="1"/>
    <col min="63" max="63" width="14.42578125" style="66" customWidth="1" outlineLevel="1"/>
    <col min="64" max="64" width="19.5703125" style="66" customWidth="1" outlineLevel="1"/>
    <col min="65" max="66" width="17.85546875" style="66" customWidth="1" outlineLevel="1"/>
    <col min="67" max="67" width="12.85546875" style="66" customWidth="1" outlineLevel="1"/>
    <col min="68" max="68" width="13.5703125" style="66" customWidth="1" outlineLevel="1"/>
    <col min="69" max="69" width="18.85546875" style="66" customWidth="1" outlineLevel="1"/>
    <col min="70" max="70" width="20.140625" style="66" customWidth="1" outlineLevel="1"/>
    <col min="71" max="73" width="20.140625" style="66" bestFit="1" customWidth="1"/>
    <col min="74" max="76" width="17.42578125" style="66" bestFit="1" customWidth="1"/>
    <col min="77" max="77" width="15.140625" style="66" bestFit="1" customWidth="1"/>
    <col min="78" max="79" width="14.42578125" style="66" bestFit="1" customWidth="1"/>
    <col min="80" max="80" width="15.140625" style="66" bestFit="1" customWidth="1"/>
    <col min="81" max="82" width="15" style="66" bestFit="1" customWidth="1"/>
    <col min="83" max="83" width="15.140625" style="66" bestFit="1" customWidth="1"/>
    <col min="84" max="84" width="10.42578125" style="66" bestFit="1" customWidth="1"/>
    <col min="85" max="85" width="12.5703125" style="66" bestFit="1" customWidth="1"/>
    <col min="86" max="86" width="16.5703125" style="66" bestFit="1" customWidth="1"/>
    <col min="87" max="88" width="19.7109375" style="66" bestFit="1" customWidth="1"/>
    <col min="89" max="89" width="15.5703125" style="66" customWidth="1"/>
    <col min="90" max="90" width="11.28515625" style="66" customWidth="1"/>
    <col min="91" max="91" width="17.85546875" style="66" bestFit="1" customWidth="1"/>
    <col min="92" max="92" width="14.42578125" style="66" customWidth="1"/>
    <col min="93" max="93" width="14.28515625" style="66" bestFit="1" customWidth="1"/>
    <col min="94" max="95" width="19.7109375" style="66" bestFit="1" customWidth="1"/>
    <col min="96" max="96" width="16.5703125" style="66" bestFit="1" customWidth="1"/>
    <col min="97" max="97" width="22" style="66" bestFit="1" customWidth="1"/>
    <col min="98" max="98" width="12" bestFit="1" customWidth="1"/>
    <col min="99" max="99" width="11.5703125" bestFit="1" customWidth="1"/>
    <col min="100" max="100" width="12" bestFit="1" customWidth="1"/>
    <col min="101" max="101" width="15.28515625" bestFit="1" customWidth="1"/>
  </cols>
  <sheetData>
    <row r="1" spans="1:101" ht="28.5" x14ac:dyDescent="0.45">
      <c r="A1" s="1"/>
      <c r="B1" s="1"/>
      <c r="C1" s="1"/>
      <c r="D1" s="2"/>
      <c r="E1" s="3"/>
      <c r="F1" s="3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5"/>
      <c r="AN1" s="5"/>
      <c r="AO1" s="5"/>
      <c r="AP1" s="5"/>
      <c r="AQ1" s="5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6"/>
      <c r="BM1" s="4"/>
      <c r="BN1" s="4"/>
      <c r="BO1" s="4"/>
      <c r="BP1" s="4"/>
      <c r="BQ1" s="4"/>
      <c r="BR1" s="7"/>
      <c r="BS1" s="7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8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spans="1:101" ht="15" customHeight="1" x14ac:dyDescent="0.25">
      <c r="D2" s="11" t="s">
        <v>0</v>
      </c>
      <c r="E2" s="11" t="s">
        <v>1</v>
      </c>
      <c r="F2" s="11" t="s">
        <v>2</v>
      </c>
      <c r="G2" s="12" t="s">
        <v>3</v>
      </c>
      <c r="H2" s="12" t="s">
        <v>4</v>
      </c>
      <c r="I2" s="13" t="s">
        <v>5</v>
      </c>
      <c r="J2" s="12" t="s">
        <v>6</v>
      </c>
      <c r="K2" s="12" t="s">
        <v>0</v>
      </c>
      <c r="L2" s="12" t="s">
        <v>1</v>
      </c>
      <c r="M2" s="12" t="s">
        <v>2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12" t="s">
        <v>12</v>
      </c>
      <c r="T2" s="16" t="s">
        <v>7</v>
      </c>
      <c r="U2" s="16" t="s">
        <v>8</v>
      </c>
      <c r="V2" s="16" t="s">
        <v>134</v>
      </c>
      <c r="W2" s="16" t="s">
        <v>135</v>
      </c>
      <c r="X2" s="16" t="s">
        <v>11</v>
      </c>
      <c r="Y2" s="16" t="s">
        <v>12</v>
      </c>
      <c r="Z2" s="12" t="s">
        <v>7</v>
      </c>
      <c r="AA2" s="12" t="s">
        <v>8</v>
      </c>
      <c r="AB2" s="12" t="s">
        <v>9</v>
      </c>
      <c r="AC2" s="12" t="s">
        <v>10</v>
      </c>
      <c r="AD2" s="12" t="s">
        <v>11</v>
      </c>
      <c r="AE2" s="12" t="s">
        <v>12</v>
      </c>
      <c r="AF2" s="12" t="s">
        <v>13</v>
      </c>
      <c r="AG2" s="12" t="s">
        <v>14</v>
      </c>
      <c r="AH2" s="12" t="s">
        <v>15</v>
      </c>
      <c r="AI2" s="12" t="s">
        <v>16</v>
      </c>
      <c r="AJ2" s="12" t="s">
        <v>17</v>
      </c>
      <c r="AK2" s="12" t="s">
        <v>18</v>
      </c>
      <c r="AL2" s="14" t="s">
        <v>19</v>
      </c>
      <c r="AM2" s="14" t="s">
        <v>20</v>
      </c>
      <c r="AN2" s="15" t="s">
        <v>21</v>
      </c>
      <c r="AO2" s="15" t="s">
        <v>22</v>
      </c>
      <c r="AP2" s="89" t="s">
        <v>23</v>
      </c>
      <c r="AQ2" s="83"/>
      <c r="AR2" s="16" t="s">
        <v>0</v>
      </c>
      <c r="AS2" s="16" t="s">
        <v>24</v>
      </c>
      <c r="AT2" s="12" t="s">
        <v>5</v>
      </c>
      <c r="AU2" s="12" t="s">
        <v>2</v>
      </c>
      <c r="AV2" s="12" t="s">
        <v>19</v>
      </c>
      <c r="AW2" s="12" t="s">
        <v>0</v>
      </c>
      <c r="AX2" s="12" t="s">
        <v>24</v>
      </c>
      <c r="AY2" s="12" t="s">
        <v>2</v>
      </c>
      <c r="AZ2" s="12" t="s">
        <v>19</v>
      </c>
      <c r="BA2" s="12" t="s">
        <v>0</v>
      </c>
      <c r="BB2" s="12" t="s">
        <v>24</v>
      </c>
      <c r="BC2" s="12" t="s">
        <v>5</v>
      </c>
      <c r="BD2" s="12" t="s">
        <v>2</v>
      </c>
      <c r="BE2" s="12" t="s">
        <v>0</v>
      </c>
      <c r="BF2" s="12" t="s">
        <v>24</v>
      </c>
      <c r="BG2" s="17" t="s">
        <v>2</v>
      </c>
      <c r="BH2" s="17" t="s">
        <v>0</v>
      </c>
      <c r="BI2" s="17" t="s">
        <v>24</v>
      </c>
      <c r="BJ2" s="17" t="s">
        <v>2</v>
      </c>
      <c r="BK2" s="17" t="s">
        <v>19</v>
      </c>
      <c r="BL2" s="18" t="s">
        <v>3</v>
      </c>
      <c r="BM2" s="18" t="s">
        <v>4</v>
      </c>
      <c r="BN2" s="18" t="s">
        <v>6</v>
      </c>
      <c r="BO2" s="18" t="s">
        <v>25</v>
      </c>
      <c r="BP2" s="18" t="s">
        <v>26</v>
      </c>
      <c r="BQ2" s="18" t="s">
        <v>27</v>
      </c>
      <c r="BR2" s="14" t="s">
        <v>28</v>
      </c>
      <c r="BS2" s="14" t="s">
        <v>10</v>
      </c>
      <c r="BT2" s="14" t="s">
        <v>29</v>
      </c>
      <c r="BU2" s="14" t="s">
        <v>12</v>
      </c>
      <c r="BV2" s="14" t="s">
        <v>0</v>
      </c>
      <c r="BW2" s="14" t="s">
        <v>1</v>
      </c>
      <c r="BX2" s="14" t="s">
        <v>2</v>
      </c>
      <c r="BY2" s="14" t="s">
        <v>0</v>
      </c>
      <c r="BZ2" s="14" t="s">
        <v>1</v>
      </c>
      <c r="CA2" s="14" t="s">
        <v>2</v>
      </c>
      <c r="CB2" s="14" t="s">
        <v>0</v>
      </c>
      <c r="CC2" s="14" t="s">
        <v>1</v>
      </c>
      <c r="CD2" s="14" t="s">
        <v>2</v>
      </c>
      <c r="CE2" s="14" t="s">
        <v>0</v>
      </c>
      <c r="CF2" s="14" t="s">
        <v>1</v>
      </c>
      <c r="CG2" s="14" t="s">
        <v>2</v>
      </c>
      <c r="CH2" s="14" t="s">
        <v>2</v>
      </c>
      <c r="CI2" s="14" t="s">
        <v>1</v>
      </c>
      <c r="CJ2" s="14" t="s">
        <v>2</v>
      </c>
      <c r="CK2" s="14" t="s">
        <v>1</v>
      </c>
      <c r="CL2" s="14" t="s">
        <v>1</v>
      </c>
      <c r="CM2" s="14" t="s">
        <v>1</v>
      </c>
      <c r="CN2" s="14" t="s">
        <v>1</v>
      </c>
      <c r="CO2" s="14" t="s">
        <v>1</v>
      </c>
      <c r="CP2" s="14" t="s">
        <v>1</v>
      </c>
      <c r="CQ2" s="14" t="s">
        <v>1</v>
      </c>
      <c r="CR2" s="19" t="s">
        <v>30</v>
      </c>
      <c r="CS2" s="85" t="s">
        <v>136</v>
      </c>
      <c r="CT2" s="85" t="s">
        <v>135</v>
      </c>
      <c r="CU2" s="85" t="s">
        <v>29</v>
      </c>
      <c r="CV2" s="85" t="s">
        <v>12</v>
      </c>
      <c r="CW2" s="20" t="s">
        <v>31</v>
      </c>
    </row>
    <row r="3" spans="1:101" ht="60" x14ac:dyDescent="0.25">
      <c r="D3" s="21" t="s">
        <v>32</v>
      </c>
      <c r="E3" s="21" t="s">
        <v>32</v>
      </c>
      <c r="F3" s="21" t="s">
        <v>32</v>
      </c>
      <c r="G3" s="22" t="s">
        <v>32</v>
      </c>
      <c r="H3" s="22" t="s">
        <v>32</v>
      </c>
      <c r="I3" s="23" t="s">
        <v>32</v>
      </c>
      <c r="J3" s="22" t="s">
        <v>32</v>
      </c>
      <c r="K3" s="22" t="s">
        <v>33</v>
      </c>
      <c r="L3" s="22" t="s">
        <v>33</v>
      </c>
      <c r="M3" s="22" t="s">
        <v>33</v>
      </c>
      <c r="N3" s="22" t="s">
        <v>34</v>
      </c>
      <c r="O3" s="22" t="s">
        <v>34</v>
      </c>
      <c r="P3" s="22" t="s">
        <v>34</v>
      </c>
      <c r="Q3" s="22" t="s">
        <v>34</v>
      </c>
      <c r="R3" s="22" t="s">
        <v>34</v>
      </c>
      <c r="S3" s="22" t="s">
        <v>34</v>
      </c>
      <c r="T3" s="24" t="s">
        <v>137</v>
      </c>
      <c r="U3" s="24" t="s">
        <v>137</v>
      </c>
      <c r="V3" s="24" t="s">
        <v>137</v>
      </c>
      <c r="W3" s="24" t="s">
        <v>137</v>
      </c>
      <c r="X3" s="24" t="s">
        <v>137</v>
      </c>
      <c r="Y3" s="24" t="s">
        <v>137</v>
      </c>
      <c r="Z3" s="22" t="s">
        <v>35</v>
      </c>
      <c r="AA3" s="22" t="s">
        <v>35</v>
      </c>
      <c r="AB3" s="22" t="s">
        <v>35</v>
      </c>
      <c r="AC3" s="22" t="s">
        <v>35</v>
      </c>
      <c r="AD3" s="22" t="s">
        <v>35</v>
      </c>
      <c r="AE3" s="22" t="s">
        <v>35</v>
      </c>
      <c r="AF3" s="22" t="s">
        <v>35</v>
      </c>
      <c r="AG3" s="22" t="s">
        <v>35</v>
      </c>
      <c r="AH3" s="22" t="s">
        <v>35</v>
      </c>
      <c r="AI3" s="22" t="s">
        <v>35</v>
      </c>
      <c r="AJ3" s="22" t="s">
        <v>35</v>
      </c>
      <c r="AK3" s="22" t="s">
        <v>35</v>
      </c>
      <c r="AL3" s="23" t="s">
        <v>36</v>
      </c>
      <c r="AM3" s="23" t="s">
        <v>36</v>
      </c>
      <c r="AN3" s="23"/>
      <c r="AO3" s="23"/>
      <c r="AP3" s="90"/>
      <c r="AQ3" s="84" t="s">
        <v>37</v>
      </c>
      <c r="AR3" s="24" t="s">
        <v>38</v>
      </c>
      <c r="AS3" s="24" t="s">
        <v>38</v>
      </c>
      <c r="AT3" s="22" t="s">
        <v>38</v>
      </c>
      <c r="AU3" s="22" t="s">
        <v>38</v>
      </c>
      <c r="AV3" s="22" t="s">
        <v>38</v>
      </c>
      <c r="AW3" s="22" t="s">
        <v>39</v>
      </c>
      <c r="AX3" s="22" t="s">
        <v>39</v>
      </c>
      <c r="AY3" s="22" t="s">
        <v>39</v>
      </c>
      <c r="AZ3" s="22" t="s">
        <v>39</v>
      </c>
      <c r="BA3" s="22" t="s">
        <v>40</v>
      </c>
      <c r="BB3" s="22" t="s">
        <v>40</v>
      </c>
      <c r="BC3" s="22" t="s">
        <v>40</v>
      </c>
      <c r="BD3" s="22" t="s">
        <v>40</v>
      </c>
      <c r="BE3" s="22" t="s">
        <v>41</v>
      </c>
      <c r="BF3" s="22" t="s">
        <v>41</v>
      </c>
      <c r="BG3" s="22" t="s">
        <v>41</v>
      </c>
      <c r="BH3" s="22" t="s">
        <v>42</v>
      </c>
      <c r="BI3" s="22" t="s">
        <v>42</v>
      </c>
      <c r="BJ3" s="22" t="s">
        <v>42</v>
      </c>
      <c r="BK3" s="22" t="s">
        <v>42</v>
      </c>
      <c r="BL3" s="24" t="s">
        <v>32</v>
      </c>
      <c r="BM3" s="24" t="s">
        <v>32</v>
      </c>
      <c r="BN3" s="24" t="s">
        <v>32</v>
      </c>
      <c r="BO3" s="25" t="s">
        <v>4</v>
      </c>
      <c r="BP3" s="25" t="s">
        <v>4</v>
      </c>
      <c r="BQ3" s="25" t="s">
        <v>4</v>
      </c>
      <c r="BR3" s="84" t="s">
        <v>43</v>
      </c>
      <c r="BS3" s="84" t="s">
        <v>43</v>
      </c>
      <c r="BT3" s="84" t="s">
        <v>43</v>
      </c>
      <c r="BU3" s="84" t="s">
        <v>43</v>
      </c>
      <c r="BV3" s="84" t="s">
        <v>38</v>
      </c>
      <c r="BW3" s="84" t="s">
        <v>38</v>
      </c>
      <c r="BX3" s="84" t="s">
        <v>38</v>
      </c>
      <c r="BY3" s="84" t="s">
        <v>42</v>
      </c>
      <c r="BZ3" s="84" t="s">
        <v>42</v>
      </c>
      <c r="CA3" s="84" t="s">
        <v>42</v>
      </c>
      <c r="CB3" s="84" t="s">
        <v>44</v>
      </c>
      <c r="CC3" s="84" t="s">
        <v>44</v>
      </c>
      <c r="CD3" s="84" t="s">
        <v>44</v>
      </c>
      <c r="CE3" s="84" t="s">
        <v>45</v>
      </c>
      <c r="CF3" s="84" t="s">
        <v>45</v>
      </c>
      <c r="CG3" s="84" t="s">
        <v>45</v>
      </c>
      <c r="CH3" s="84" t="s">
        <v>41</v>
      </c>
      <c r="CI3" s="84" t="s">
        <v>46</v>
      </c>
      <c r="CJ3" s="84" t="s">
        <v>46</v>
      </c>
      <c r="CK3" s="26" t="s">
        <v>47</v>
      </c>
      <c r="CL3" s="26" t="s">
        <v>47</v>
      </c>
      <c r="CM3" s="26" t="s">
        <v>32</v>
      </c>
      <c r="CN3" s="26" t="s">
        <v>42</v>
      </c>
      <c r="CO3" s="26" t="s">
        <v>48</v>
      </c>
      <c r="CP3" s="26" t="s">
        <v>46</v>
      </c>
      <c r="CQ3" s="26" t="s">
        <v>46</v>
      </c>
      <c r="CR3" s="86" t="s">
        <v>49</v>
      </c>
      <c r="CS3" s="87" t="s">
        <v>138</v>
      </c>
      <c r="CT3" s="87" t="s">
        <v>138</v>
      </c>
      <c r="CU3" s="87" t="s">
        <v>138</v>
      </c>
      <c r="CV3" s="87" t="s">
        <v>138</v>
      </c>
      <c r="CW3" s="27"/>
    </row>
    <row r="4" spans="1:101" x14ac:dyDescent="0.25">
      <c r="A4" s="28"/>
      <c r="B4" s="29" t="s">
        <v>50</v>
      </c>
      <c r="C4" s="30" t="s">
        <v>51</v>
      </c>
      <c r="D4" s="31" t="s">
        <v>52</v>
      </c>
      <c r="E4" s="31" t="s">
        <v>53</v>
      </c>
      <c r="F4" s="31" t="s">
        <v>54</v>
      </c>
      <c r="G4" s="32">
        <v>482800001265</v>
      </c>
      <c r="H4" s="32">
        <v>482800001273</v>
      </c>
      <c r="I4" s="32">
        <v>482800002024</v>
      </c>
      <c r="J4" s="32">
        <v>482800001257</v>
      </c>
      <c r="K4" s="32" t="s">
        <v>55</v>
      </c>
      <c r="L4" s="32" t="s">
        <v>56</v>
      </c>
      <c r="M4" s="32" t="s">
        <v>57</v>
      </c>
      <c r="N4" s="32">
        <v>36203301</v>
      </c>
      <c r="O4" s="32">
        <v>36203301</v>
      </c>
      <c r="P4" s="32">
        <v>36203328</v>
      </c>
      <c r="Q4" s="32">
        <v>36203328</v>
      </c>
      <c r="R4" s="32">
        <v>36025015</v>
      </c>
      <c r="S4" s="32">
        <v>36025015</v>
      </c>
      <c r="T4" s="32"/>
      <c r="U4" s="32"/>
      <c r="V4" s="32"/>
      <c r="W4" s="32"/>
      <c r="X4" s="32"/>
      <c r="Y4" s="32"/>
      <c r="Z4" s="32">
        <v>865784010</v>
      </c>
      <c r="AA4" s="32">
        <v>865784010</v>
      </c>
      <c r="AB4" s="32">
        <v>865804010</v>
      </c>
      <c r="AC4" s="32">
        <v>865804010</v>
      </c>
      <c r="AD4" s="32">
        <v>865794010</v>
      </c>
      <c r="AE4" s="32">
        <v>865794010</v>
      </c>
      <c r="AF4" s="32" t="s">
        <v>58</v>
      </c>
      <c r="AG4" s="32" t="s">
        <v>58</v>
      </c>
      <c r="AH4" s="32" t="s">
        <v>59</v>
      </c>
      <c r="AI4" s="32" t="s">
        <v>59</v>
      </c>
      <c r="AJ4" s="32" t="s">
        <v>60</v>
      </c>
      <c r="AK4" s="32" t="s">
        <v>60</v>
      </c>
      <c r="AL4" s="33"/>
      <c r="AM4" s="33"/>
      <c r="AN4" s="33"/>
      <c r="AO4" s="33"/>
      <c r="AP4" s="33"/>
      <c r="AQ4" s="33">
        <v>3642</v>
      </c>
      <c r="AR4" s="33" t="s">
        <v>61</v>
      </c>
      <c r="AS4" s="33" t="s">
        <v>62</v>
      </c>
      <c r="AT4" s="33" t="s">
        <v>63</v>
      </c>
      <c r="AU4" s="33" t="s">
        <v>64</v>
      </c>
      <c r="AV4" s="33" t="s">
        <v>65</v>
      </c>
      <c r="AW4" s="33" t="s">
        <v>66</v>
      </c>
      <c r="AX4" s="33" t="s">
        <v>67</v>
      </c>
      <c r="AY4" s="33" t="s">
        <v>68</v>
      </c>
      <c r="AZ4" s="33" t="s">
        <v>69</v>
      </c>
      <c r="BA4" s="33" t="s">
        <v>70</v>
      </c>
      <c r="BB4" s="33" t="s">
        <v>71</v>
      </c>
      <c r="BC4" s="33" t="s">
        <v>72</v>
      </c>
      <c r="BD4" s="33" t="s">
        <v>73</v>
      </c>
      <c r="BE4" s="33" t="s">
        <v>74</v>
      </c>
      <c r="BF4" s="33" t="s">
        <v>75</v>
      </c>
      <c r="BG4" s="33" t="s">
        <v>76</v>
      </c>
      <c r="BH4" s="33" t="s">
        <v>77</v>
      </c>
      <c r="BI4" s="33" t="s">
        <v>78</v>
      </c>
      <c r="BJ4" s="33" t="s">
        <v>79</v>
      </c>
      <c r="BK4" s="33" t="s">
        <v>80</v>
      </c>
      <c r="BL4" s="34">
        <v>482800007882</v>
      </c>
      <c r="BM4" s="34">
        <v>482800007908</v>
      </c>
      <c r="BN4" s="34">
        <v>482800007890</v>
      </c>
      <c r="BO4" s="34">
        <v>482800010001</v>
      </c>
      <c r="BP4" s="34">
        <v>482800010019</v>
      </c>
      <c r="BQ4" s="34">
        <v>482800010027</v>
      </c>
      <c r="BR4" s="33">
        <v>36024995</v>
      </c>
      <c r="BS4" s="33">
        <v>36024995</v>
      </c>
      <c r="BT4" s="33">
        <v>36903922</v>
      </c>
      <c r="BU4" s="33">
        <v>36903922</v>
      </c>
      <c r="BV4" s="33">
        <v>36294346</v>
      </c>
      <c r="BW4" s="33" t="s">
        <v>81</v>
      </c>
      <c r="BX4" s="33">
        <v>36294353</v>
      </c>
      <c r="BY4" s="33" t="s">
        <v>82</v>
      </c>
      <c r="BZ4" s="33" t="s">
        <v>83</v>
      </c>
      <c r="CA4" s="33" t="s">
        <v>84</v>
      </c>
      <c r="CB4" s="33" t="s">
        <v>85</v>
      </c>
      <c r="CC4" s="33" t="s">
        <v>86</v>
      </c>
      <c r="CD4" s="33" t="s">
        <v>87</v>
      </c>
      <c r="CE4" s="33" t="s">
        <v>88</v>
      </c>
      <c r="CF4" s="33" t="s">
        <v>89</v>
      </c>
      <c r="CG4" s="33" t="s">
        <v>90</v>
      </c>
      <c r="CH4" s="33" t="s">
        <v>91</v>
      </c>
      <c r="CI4" s="33">
        <v>221816614</v>
      </c>
      <c r="CJ4" s="33">
        <v>221816598</v>
      </c>
      <c r="CK4" s="33">
        <v>60193029</v>
      </c>
      <c r="CL4" s="33">
        <v>60193401</v>
      </c>
      <c r="CM4" s="33">
        <v>1011143807</v>
      </c>
      <c r="CN4" s="33">
        <v>4801736642</v>
      </c>
      <c r="CO4" s="33">
        <v>65005340</v>
      </c>
      <c r="CP4" s="33">
        <v>288086051</v>
      </c>
      <c r="CQ4" s="33">
        <v>288049109</v>
      </c>
      <c r="CR4" s="33">
        <v>411166042</v>
      </c>
      <c r="CS4" s="33">
        <v>865804015</v>
      </c>
      <c r="CT4" s="33">
        <v>865804015</v>
      </c>
      <c r="CU4" s="33">
        <v>865794015</v>
      </c>
      <c r="CV4" s="33">
        <v>865794015</v>
      </c>
      <c r="CW4" s="35"/>
    </row>
    <row r="5" spans="1:101" x14ac:dyDescent="0.25">
      <c r="B5" s="36"/>
      <c r="C5" s="37" t="s">
        <v>92</v>
      </c>
      <c r="D5" s="38"/>
      <c r="E5" s="38" t="s">
        <v>93</v>
      </c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9"/>
      <c r="AI5" s="39"/>
      <c r="AJ5" s="39"/>
      <c r="AK5" s="39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>
        <v>4.2438000000000002</v>
      </c>
      <c r="BT5" s="37"/>
      <c r="BU5" s="37">
        <f>+BS5</f>
        <v>4.2438000000000002</v>
      </c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40"/>
    </row>
    <row r="6" spans="1:101" x14ac:dyDescent="0.25">
      <c r="B6" s="36"/>
      <c r="C6" s="37" t="s">
        <v>94</v>
      </c>
      <c r="D6" s="37">
        <f>+D7-D8</f>
        <v>-17855.683600000339</v>
      </c>
      <c r="E6" s="37">
        <f>+E7-E8</f>
        <v>486652.93309543282</v>
      </c>
      <c r="F6" s="37">
        <f>+F7-F8</f>
        <v>36192.003028490581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9"/>
      <c r="AI6" s="39"/>
      <c r="AJ6" s="39"/>
      <c r="AK6" s="39"/>
      <c r="AL6" s="37">
        <f t="shared" ref="AL6:BQ6" si="0">+AL7-AL8</f>
        <v>13577.680569924414</v>
      </c>
      <c r="AM6" s="37">
        <f t="shared" si="0"/>
        <v>38287.266396462917</v>
      </c>
      <c r="AN6" s="37">
        <f t="shared" si="0"/>
        <v>-1783.8947400003672</v>
      </c>
      <c r="AO6" s="37">
        <f t="shared" si="0"/>
        <v>-57054.283391439705</v>
      </c>
      <c r="AP6" s="37">
        <f t="shared" si="0"/>
        <v>-532698.11735375412</v>
      </c>
      <c r="AQ6" s="37">
        <f t="shared" si="0"/>
        <v>-158666.58283216087</v>
      </c>
      <c r="AR6" s="37">
        <f t="shared" si="0"/>
        <v>0</v>
      </c>
      <c r="AS6" s="37">
        <f t="shared" si="0"/>
        <v>0</v>
      </c>
      <c r="AT6" s="37">
        <f t="shared" si="0"/>
        <v>0</v>
      </c>
      <c r="AU6" s="37">
        <f t="shared" si="0"/>
        <v>0</v>
      </c>
      <c r="AV6" s="37">
        <f t="shared" si="0"/>
        <v>0</v>
      </c>
      <c r="AW6" s="37">
        <f t="shared" si="0"/>
        <v>0</v>
      </c>
      <c r="AX6" s="37">
        <f t="shared" si="0"/>
        <v>0</v>
      </c>
      <c r="AY6" s="37">
        <f t="shared" si="0"/>
        <v>0</v>
      </c>
      <c r="AZ6" s="37">
        <f t="shared" si="0"/>
        <v>0</v>
      </c>
      <c r="BA6" s="37">
        <f t="shared" si="0"/>
        <v>0</v>
      </c>
      <c r="BB6" s="37">
        <f t="shared" si="0"/>
        <v>0</v>
      </c>
      <c r="BC6" s="37">
        <f t="shared" si="0"/>
        <v>0</v>
      </c>
      <c r="BD6" s="37">
        <f t="shared" si="0"/>
        <v>0</v>
      </c>
      <c r="BE6" s="37">
        <f t="shared" si="0"/>
        <v>0</v>
      </c>
      <c r="BF6" s="37">
        <f t="shared" si="0"/>
        <v>0</v>
      </c>
      <c r="BG6" s="37">
        <f t="shared" si="0"/>
        <v>0</v>
      </c>
      <c r="BH6" s="37">
        <f t="shared" si="0"/>
        <v>0</v>
      </c>
      <c r="BI6" s="37">
        <f t="shared" si="0"/>
        <v>0</v>
      </c>
      <c r="BJ6" s="37">
        <f t="shared" si="0"/>
        <v>0</v>
      </c>
      <c r="BK6" s="37">
        <f t="shared" si="0"/>
        <v>0</v>
      </c>
      <c r="BL6" s="37">
        <f t="shared" si="0"/>
        <v>0</v>
      </c>
      <c r="BM6" s="37">
        <f t="shared" si="0"/>
        <v>0</v>
      </c>
      <c r="BN6" s="37">
        <f t="shared" si="0"/>
        <v>0</v>
      </c>
      <c r="BO6" s="37">
        <f t="shared" si="0"/>
        <v>0</v>
      </c>
      <c r="BP6" s="37">
        <f t="shared" si="0"/>
        <v>0</v>
      </c>
      <c r="BQ6" s="37">
        <f t="shared" si="0"/>
        <v>0</v>
      </c>
      <c r="BR6" s="37"/>
      <c r="BS6" s="37"/>
      <c r="BT6" s="37"/>
      <c r="BU6" s="37"/>
      <c r="BV6" s="37">
        <f>+BV7-BV8-422.17</f>
        <v>-422.17</v>
      </c>
      <c r="BW6" s="37">
        <f t="shared" ref="BW6:CR6" si="1">+BW7-BW8</f>
        <v>0</v>
      </c>
      <c r="BX6" s="37">
        <f t="shared" si="1"/>
        <v>0</v>
      </c>
      <c r="BY6" s="37">
        <f t="shared" si="1"/>
        <v>26493.319999999949</v>
      </c>
      <c r="BZ6" s="37">
        <f t="shared" si="1"/>
        <v>692305.91800000053</v>
      </c>
      <c r="CA6" s="37">
        <f t="shared" si="1"/>
        <v>313623.06399999931</v>
      </c>
      <c r="CB6" s="37">
        <f t="shared" si="1"/>
        <v>-2.4000000121304765E-4</v>
      </c>
      <c r="CC6" s="37">
        <f t="shared" si="1"/>
        <v>-4.1799996979534626E-3</v>
      </c>
      <c r="CD6" s="37">
        <f>+[1]Otrosbancos!$C$29</f>
        <v>0</v>
      </c>
      <c r="CE6" s="37">
        <f t="shared" si="1"/>
        <v>4156.8700000000026</v>
      </c>
      <c r="CF6" s="37">
        <f t="shared" si="1"/>
        <v>193259.11</v>
      </c>
      <c r="CG6" s="37">
        <f t="shared" si="1"/>
        <v>0</v>
      </c>
      <c r="CH6" s="37">
        <f t="shared" si="1"/>
        <v>0</v>
      </c>
      <c r="CI6" s="37">
        <f t="shared" si="1"/>
        <v>72327.647999999928</v>
      </c>
      <c r="CJ6" s="37">
        <f t="shared" si="1"/>
        <v>-105919.28700000001</v>
      </c>
      <c r="CK6" s="37">
        <f t="shared" si="1"/>
        <v>0</v>
      </c>
      <c r="CL6" s="37">
        <f t="shared" si="1"/>
        <v>0</v>
      </c>
      <c r="CM6" s="37">
        <f t="shared" si="1"/>
        <v>-1.4999999257270247E-4</v>
      </c>
      <c r="CN6" s="37">
        <f t="shared" si="1"/>
        <v>-100.00289000000339</v>
      </c>
      <c r="CO6" s="37">
        <f t="shared" si="1"/>
        <v>4.6400002902373672E-3</v>
      </c>
      <c r="CP6" s="37">
        <f t="shared" si="1"/>
        <v>-2.7600005269050598E-3</v>
      </c>
      <c r="CQ6" s="37">
        <f t="shared" si="1"/>
        <v>216.65003000001889</v>
      </c>
      <c r="CR6" s="37">
        <f t="shared" si="1"/>
        <v>0</v>
      </c>
      <c r="CS6" s="37">
        <f>+CS7-CS8</f>
        <v>-5000</v>
      </c>
      <c r="CT6" s="37">
        <f>+CT7-CT8</f>
        <v>-20468.599999999999</v>
      </c>
      <c r="CU6" s="37">
        <f>+CU7-CU8</f>
        <v>-5000</v>
      </c>
      <c r="CV6" s="37">
        <f>+CV7-CV8</f>
        <v>-20468.599999999999</v>
      </c>
      <c r="CW6" s="37"/>
    </row>
    <row r="7" spans="1:101" x14ac:dyDescent="0.25">
      <c r="A7" s="41"/>
      <c r="B7" s="42"/>
      <c r="C7" s="43" t="s">
        <v>95</v>
      </c>
      <c r="D7" s="43">
        <f>+'[1]Cap,Bol,Cls'!$C$4</f>
        <v>545259.45382000005</v>
      </c>
      <c r="E7" s="43">
        <f>+'[1]Cap,Bol,Cls'!$C$13</f>
        <v>20405446.99653</v>
      </c>
      <c r="F7" s="43">
        <f>+'[1]Cap,Bol,Cls'!$C$30</f>
        <v>7960108.0370399999</v>
      </c>
      <c r="G7" s="43">
        <f>+G8</f>
        <v>0</v>
      </c>
      <c r="H7" s="43">
        <f>+H8</f>
        <v>0</v>
      </c>
      <c r="I7" s="43">
        <f>+'[1]Cap,Bol,Cls'!$C$24</f>
        <v>112668.57866</v>
      </c>
      <c r="J7" s="43">
        <f>+J8</f>
        <v>0</v>
      </c>
      <c r="K7" s="43">
        <f>+K8</f>
        <v>110884.05504614307</v>
      </c>
      <c r="L7" s="43">
        <f>+L8</f>
        <v>203777.42046328308</v>
      </c>
      <c r="M7" s="43">
        <f>+M8</f>
        <v>143260.4441928663</v>
      </c>
      <c r="N7" s="43">
        <f>+N8</f>
        <v>177310.5199999999</v>
      </c>
      <c r="O7" s="43">
        <f t="shared" ref="O7:AK7" si="2">+O8</f>
        <v>743248.15264999995</v>
      </c>
      <c r="P7" s="43">
        <f t="shared" si="2"/>
        <v>39988375.460000008</v>
      </c>
      <c r="Q7" s="43">
        <f t="shared" si="2"/>
        <v>170446948.21815479</v>
      </c>
      <c r="R7" s="43">
        <f t="shared" si="2"/>
        <v>815038.0199999999</v>
      </c>
      <c r="S7" s="43">
        <f t="shared" si="2"/>
        <v>3741546.4836387993</v>
      </c>
      <c r="T7" s="43"/>
      <c r="U7" s="43"/>
      <c r="V7" s="43"/>
      <c r="W7" s="43"/>
      <c r="X7" s="43"/>
      <c r="Y7" s="43"/>
      <c r="Z7" s="43">
        <f t="shared" si="2"/>
        <v>9662.5274983807467</v>
      </c>
      <c r="AA7" s="43">
        <f t="shared" si="2"/>
        <v>40503.29</v>
      </c>
      <c r="AB7" s="43">
        <f t="shared" si="2"/>
        <v>7542.7499999967404</v>
      </c>
      <c r="AC7" s="43">
        <f t="shared" si="2"/>
        <v>31617.62</v>
      </c>
      <c r="AD7" s="43">
        <f t="shared" si="2"/>
        <v>5155</v>
      </c>
      <c r="AE7" s="43">
        <f t="shared" si="2"/>
        <v>21608.68</v>
      </c>
      <c r="AF7" s="43">
        <f t="shared" si="2"/>
        <v>7956.8699999451637</v>
      </c>
      <c r="AG7" s="43">
        <f t="shared" si="2"/>
        <v>33353.53</v>
      </c>
      <c r="AH7" s="43">
        <f t="shared" si="2"/>
        <v>203175.47999999719</v>
      </c>
      <c r="AI7" s="43">
        <f t="shared" si="2"/>
        <v>851645.451214</v>
      </c>
      <c r="AJ7" s="43">
        <f t="shared" si="2"/>
        <v>673596.71999999823</v>
      </c>
      <c r="AK7" s="43">
        <f t="shared" si="2"/>
        <v>2823324.1679230896</v>
      </c>
      <c r="AL7" s="43">
        <f>+[1]Inversoras!$C$56</f>
        <v>45821810.04541</v>
      </c>
      <c r="AM7" s="43">
        <f>+[1]Inversoras!$C$57</f>
        <v>59195286.066210002</v>
      </c>
      <c r="AN7" s="43">
        <f>+[1]Inversoras!$C$58</f>
        <v>6398212.9252000004</v>
      </c>
      <c r="AO7" s="43">
        <f>+[1]Inversoras!$C$59</f>
        <v>752912.13074000005</v>
      </c>
      <c r="AP7" s="43">
        <f>+[1]Inversoras!$C$60</f>
        <v>11585734.242380003</v>
      </c>
      <c r="AQ7" s="43">
        <f>+[1]Inversoras!$C$61</f>
        <v>2008646.7412399999</v>
      </c>
      <c r="AR7" s="43">
        <f>+AR8</f>
        <v>33752.683643993005</v>
      </c>
      <c r="AS7" s="43">
        <f t="shared" ref="AS7:BQ7" si="3">+AS8</f>
        <v>6.2719079996137461</v>
      </c>
      <c r="AT7" s="43">
        <f t="shared" si="3"/>
        <v>11.210432002509913</v>
      </c>
      <c r="AU7" s="43">
        <f t="shared" si="3"/>
        <v>70709.869203997281</v>
      </c>
      <c r="AV7" s="43">
        <f t="shared" si="3"/>
        <v>523662.90839880263</v>
      </c>
      <c r="AW7" s="43">
        <f t="shared" si="3"/>
        <v>85667.9885699968</v>
      </c>
      <c r="AX7" s="43">
        <f t="shared" si="3"/>
        <v>1041.3974240010875</v>
      </c>
      <c r="AY7" s="43">
        <f t="shared" si="3"/>
        <v>1377450.753311998</v>
      </c>
      <c r="AZ7" s="43">
        <f t="shared" si="3"/>
        <v>23267.345377323236</v>
      </c>
      <c r="BA7" s="43">
        <f t="shared" si="3"/>
        <v>201819.94872400691</v>
      </c>
      <c r="BB7" s="43">
        <f t="shared" si="3"/>
        <v>69889.091219991155</v>
      </c>
      <c r="BC7" s="43">
        <f t="shared" si="3"/>
        <v>266603.90184799873</v>
      </c>
      <c r="BD7" s="43">
        <f t="shared" si="3"/>
        <v>17034.175599989838</v>
      </c>
      <c r="BE7" s="43">
        <f t="shared" si="3"/>
        <v>256586.81289368056</v>
      </c>
      <c r="BF7" s="43">
        <f t="shared" si="3"/>
        <v>321949.5492303599</v>
      </c>
      <c r="BG7" s="43">
        <f t="shared" si="3"/>
        <v>35109.232018882758</v>
      </c>
      <c r="BH7" s="43">
        <f t="shared" si="3"/>
        <v>27273.514880002102</v>
      </c>
      <c r="BI7" s="43">
        <f t="shared" si="3"/>
        <v>630661.83776839031</v>
      </c>
      <c r="BJ7" s="43">
        <f t="shared" si="3"/>
        <v>197783.28604456017</v>
      </c>
      <c r="BK7" s="43">
        <f t="shared" si="3"/>
        <v>2995393.833886012</v>
      </c>
      <c r="BL7" s="43">
        <f t="shared" si="3"/>
        <v>112624.53694244607</v>
      </c>
      <c r="BM7" s="43">
        <f t="shared" si="3"/>
        <v>1067722.364317151</v>
      </c>
      <c r="BN7" s="43">
        <f t="shared" si="3"/>
        <v>4093474.1887173811</v>
      </c>
      <c r="BO7" s="43">
        <f t="shared" si="3"/>
        <v>3.4691202304202307E-3</v>
      </c>
      <c r="BP7" s="43">
        <f t="shared" si="3"/>
        <v>254.92410932906549</v>
      </c>
      <c r="BQ7" s="43">
        <f t="shared" si="3"/>
        <v>4.0128798844989433E-3</v>
      </c>
      <c r="BR7" s="43">
        <f>+[1]Otrosbancos!$C$49</f>
        <v>2875399.57</v>
      </c>
      <c r="BS7" s="43">
        <f>+BS8</f>
        <v>12073313.981113592</v>
      </c>
      <c r="BT7" s="43">
        <f>+[1]Otrosbancos!$C$51</f>
        <v>728516.08</v>
      </c>
      <c r="BU7" s="43">
        <f>+BU8</f>
        <v>3058915.173014292</v>
      </c>
      <c r="BV7" s="43">
        <f>+BV8+BV5</f>
        <v>8423.5018600000003</v>
      </c>
      <c r="BW7" s="43">
        <f>+BW8+BW5</f>
        <v>1100112.5799900005</v>
      </c>
      <c r="BX7" s="43">
        <f>+BX8+BX5</f>
        <v>12663.664475599246</v>
      </c>
      <c r="BY7" s="43">
        <f>+[1]Otrosbancos!$C$5</f>
        <v>684544.22</v>
      </c>
      <c r="BZ7" s="43">
        <f>+[1]Otrosbancos!$C$10</f>
        <v>6195508.943</v>
      </c>
      <c r="CA7" s="43">
        <f>+[1]Otrosbancos!$C$15</f>
        <v>5302418.1169999996</v>
      </c>
      <c r="CB7" s="43">
        <f>+[1]Otrosbancos!$C$23</f>
        <v>18618.565999999999</v>
      </c>
      <c r="CC7" s="43">
        <f>+[1]Otrosbancos!$C$26</f>
        <v>879494.85400000005</v>
      </c>
      <c r="CD7" s="43">
        <f>+[1]Otrosbancos!$C$29</f>
        <v>0</v>
      </c>
      <c r="CE7" s="43">
        <f>+[1]Otrosbancos!$C$33</f>
        <v>21654.544000000002</v>
      </c>
      <c r="CF7" s="43">
        <f>+[1]Otrosbancos!$C$37</f>
        <v>1136921.9855899999</v>
      </c>
      <c r="CG7" s="43">
        <f>+[1]Otrosbancos!$C$41</f>
        <v>162748.57699999999</v>
      </c>
      <c r="CH7" s="43">
        <f>+[1]Otrosbancos!$C$46</f>
        <v>2.9318200000000001</v>
      </c>
      <c r="CI7" s="43">
        <f>+[1]Otrosbancos!$C$54</f>
        <v>891031.01899999997</v>
      </c>
      <c r="CJ7" s="43">
        <f>+[1]Otrosbancos!$C$56</f>
        <v>34243.196000000004</v>
      </c>
      <c r="CK7" s="43">
        <f>+[1]Liberty!$C$3</f>
        <v>0</v>
      </c>
      <c r="CL7" s="43">
        <f>+[1]Liberty!$C$4</f>
        <v>0</v>
      </c>
      <c r="CM7" s="43">
        <f>+[1]Liberty!$C$6</f>
        <v>79545.214000000007</v>
      </c>
      <c r="CN7" s="43">
        <f>+[1]Liberty!$C$8</f>
        <v>662631.23607999994</v>
      </c>
      <c r="CO7" s="43">
        <f>+[1]Liberty!$C$10</f>
        <v>736440.24595999997</v>
      </c>
      <c r="CP7" s="43">
        <f>+[1]Liberty!$C$12</f>
        <v>9152723.6699999999</v>
      </c>
      <c r="CQ7" s="43">
        <f>+[1]Liberty!$C$13</f>
        <v>378135.14942999999</v>
      </c>
      <c r="CR7" s="43">
        <f>+[1]Otrosbancos!$C$58</f>
        <v>2701872.3746799999</v>
      </c>
      <c r="CS7" s="43">
        <v>0</v>
      </c>
      <c r="CT7" s="43">
        <v>0</v>
      </c>
      <c r="CU7" s="43">
        <v>0</v>
      </c>
      <c r="CV7" s="43">
        <v>0</v>
      </c>
      <c r="CW7" s="43">
        <f>SUM(D7:CV7)</f>
        <v>437171247.105977</v>
      </c>
    </row>
    <row r="8" spans="1:101" x14ac:dyDescent="0.25">
      <c r="A8" s="41"/>
      <c r="B8" s="44" t="s">
        <v>96</v>
      </c>
      <c r="C8" s="45" t="s">
        <v>97</v>
      </c>
      <c r="D8" s="45">
        <f>+'May, 02'!D40</f>
        <v>563115.13742000039</v>
      </c>
      <c r="E8" s="45">
        <f>+'May, 02'!E40</f>
        <v>19918794.063434567</v>
      </c>
      <c r="F8" s="45">
        <f>+'May, 02'!F40</f>
        <v>7923916.0340115093</v>
      </c>
      <c r="G8" s="45">
        <f>+'May, 02'!G40</f>
        <v>0</v>
      </c>
      <c r="H8" s="45">
        <f>+'May, 02'!H40</f>
        <v>0</v>
      </c>
      <c r="I8" s="45">
        <f>+'May, 02'!I40</f>
        <v>112630.54591999426</v>
      </c>
      <c r="J8" s="45">
        <f>+'May, 02'!J40</f>
        <v>0</v>
      </c>
      <c r="K8" s="45">
        <f>+'May, 02'!K40</f>
        <v>110884.05504614307</v>
      </c>
      <c r="L8" s="45">
        <f>+'May, 02'!L40</f>
        <v>203777.42046328308</v>
      </c>
      <c r="M8" s="45">
        <f>+'May, 02'!M40</f>
        <v>143260.4441928663</v>
      </c>
      <c r="N8" s="45">
        <f>+'May, 02'!N40</f>
        <v>177310.5199999999</v>
      </c>
      <c r="O8" s="45">
        <f>+'May, 02'!O40</f>
        <v>743248.15264999995</v>
      </c>
      <c r="P8" s="45">
        <f>+'May, 02'!P40</f>
        <v>39988375.460000008</v>
      </c>
      <c r="Q8" s="45">
        <f>+'May, 02'!Q40</f>
        <v>170446948.21815479</v>
      </c>
      <c r="R8" s="45">
        <f>+'May, 02'!R40</f>
        <v>815038.0199999999</v>
      </c>
      <c r="S8" s="45">
        <f>+'May, 02'!S40</f>
        <v>3741546.4836387993</v>
      </c>
      <c r="T8" s="45">
        <f>+'May, 02'!T40</f>
        <v>0</v>
      </c>
      <c r="U8" s="45">
        <f>+'May, 02'!U40</f>
        <v>0</v>
      </c>
      <c r="V8" s="45">
        <f>+'May, 02'!V40</f>
        <v>0</v>
      </c>
      <c r="W8" s="45">
        <f>+'May, 02'!W40</f>
        <v>0</v>
      </c>
      <c r="X8" s="45">
        <f>+'May, 02'!X40</f>
        <v>0</v>
      </c>
      <c r="Y8" s="45">
        <f>+'May, 02'!Y40</f>
        <v>0</v>
      </c>
      <c r="Z8" s="45">
        <f>+'May, 02'!Z40</f>
        <v>9662.5274983807467</v>
      </c>
      <c r="AA8" s="45">
        <f>+'May, 02'!AA40</f>
        <v>40503.29</v>
      </c>
      <c r="AB8" s="45">
        <f>+'May, 02'!AB40</f>
        <v>7542.7499999967404</v>
      </c>
      <c r="AC8" s="45">
        <f>+'May, 02'!AC40</f>
        <v>31617.62</v>
      </c>
      <c r="AD8" s="45">
        <f>+'May, 02'!AD40</f>
        <v>5155</v>
      </c>
      <c r="AE8" s="45">
        <f>+'May, 02'!AE40</f>
        <v>21608.68</v>
      </c>
      <c r="AF8" s="45">
        <f>+'May, 02'!AF40</f>
        <v>7956.8699999451637</v>
      </c>
      <c r="AG8" s="45">
        <f>+'May, 02'!AG40</f>
        <v>33353.53</v>
      </c>
      <c r="AH8" s="45">
        <f>+'May, 02'!AH40</f>
        <v>203175.47999999719</v>
      </c>
      <c r="AI8" s="45">
        <f>+'May, 02'!AI40</f>
        <v>851645.451214</v>
      </c>
      <c r="AJ8" s="45">
        <f>+'May, 02'!AJ40</f>
        <v>673596.71999999823</v>
      </c>
      <c r="AK8" s="45">
        <f>+'May, 02'!AK40</f>
        <v>2823324.1679230896</v>
      </c>
      <c r="AL8" s="45">
        <f>+'May, 02'!AL40</f>
        <v>45808232.364840075</v>
      </c>
      <c r="AM8" s="45">
        <f>+'May, 02'!AM40</f>
        <v>59156998.799813539</v>
      </c>
      <c r="AN8" s="45">
        <f>+'May, 02'!AN40</f>
        <v>6399996.8199400008</v>
      </c>
      <c r="AO8" s="45">
        <f>+'May, 02'!AO40</f>
        <v>809966.41413143976</v>
      </c>
      <c r="AP8" s="45">
        <f>+'May, 02'!AP40</f>
        <v>12118432.359733757</v>
      </c>
      <c r="AQ8" s="45">
        <f>+'May, 02'!AQ40</f>
        <v>2167313.3240721608</v>
      </c>
      <c r="AR8" s="45">
        <f>+'May, 02'!AR40</f>
        <v>33752.683643993005</v>
      </c>
      <c r="AS8" s="45">
        <f>+'May, 02'!AS40</f>
        <v>6.2719079996137461</v>
      </c>
      <c r="AT8" s="45">
        <f>+'May, 02'!AT40</f>
        <v>11.210432002509913</v>
      </c>
      <c r="AU8" s="45">
        <f>+'May, 02'!AU40</f>
        <v>70709.869203997281</v>
      </c>
      <c r="AV8" s="45">
        <f>+'May, 02'!AV40</f>
        <v>523662.90839880263</v>
      </c>
      <c r="AW8" s="45">
        <f>+'May, 02'!AW40</f>
        <v>85667.9885699968</v>
      </c>
      <c r="AX8" s="45">
        <f>+'May, 02'!AX40</f>
        <v>1041.3974240010875</v>
      </c>
      <c r="AY8" s="45">
        <f>+'May, 02'!AY40</f>
        <v>1377450.753311998</v>
      </c>
      <c r="AZ8" s="45">
        <f>+'May, 02'!AZ40</f>
        <v>23267.345377323236</v>
      </c>
      <c r="BA8" s="45">
        <f>+'May, 02'!BA40</f>
        <v>201819.94872400691</v>
      </c>
      <c r="BB8" s="45">
        <f>+'May, 02'!BB40</f>
        <v>69889.091219991155</v>
      </c>
      <c r="BC8" s="45">
        <f>+'May, 02'!BC40</f>
        <v>266603.90184799873</v>
      </c>
      <c r="BD8" s="45">
        <f>+'May, 02'!BD40</f>
        <v>17034.175599989838</v>
      </c>
      <c r="BE8" s="45">
        <f>+'May, 02'!BE40</f>
        <v>256586.81289368056</v>
      </c>
      <c r="BF8" s="45">
        <f>+'May, 02'!BF40</f>
        <v>321949.5492303599</v>
      </c>
      <c r="BG8" s="45">
        <f>+'May, 02'!BG40</f>
        <v>35109.232018882758</v>
      </c>
      <c r="BH8" s="45">
        <f>+'May, 02'!BH40</f>
        <v>27273.514880002102</v>
      </c>
      <c r="BI8" s="45">
        <f>+'May, 02'!BI40</f>
        <v>630661.83776839031</v>
      </c>
      <c r="BJ8" s="45">
        <f>+'May, 02'!BJ40</f>
        <v>197783.28604456017</v>
      </c>
      <c r="BK8" s="45">
        <f>+'May, 02'!BK40</f>
        <v>2995393.833886012</v>
      </c>
      <c r="BL8" s="45">
        <f>+'May, 02'!BL40</f>
        <v>112624.53694244607</v>
      </c>
      <c r="BM8" s="45">
        <f>+'May, 02'!BM40</f>
        <v>1067722.364317151</v>
      </c>
      <c r="BN8" s="45">
        <f>+'May, 02'!BN40</f>
        <v>4093474.1887173811</v>
      </c>
      <c r="BO8" s="45">
        <f>+'May, 02'!BO40</f>
        <v>3.4691202304202307E-3</v>
      </c>
      <c r="BP8" s="45">
        <f>+'May, 02'!BP40</f>
        <v>254.92410932906549</v>
      </c>
      <c r="BQ8" s="45">
        <f>+'May, 02'!BQ40</f>
        <v>4.0128798844989433E-3</v>
      </c>
      <c r="BR8" s="45">
        <f>+'May, 02'!BR40</f>
        <v>2875399.5660000034</v>
      </c>
      <c r="BS8" s="45">
        <f>+'May, 02'!BS40</f>
        <v>12073313.981113592</v>
      </c>
      <c r="BT8" s="45">
        <f>+'May, 02'!BT40</f>
        <v>728516.08493201912</v>
      </c>
      <c r="BU8" s="45">
        <f>+'May, 02'!BU40</f>
        <v>3058915.173014292</v>
      </c>
      <c r="BV8" s="45">
        <f>+'May, 02'!BV40</f>
        <v>8423.5018600000003</v>
      </c>
      <c r="BW8" s="45">
        <f>+'May, 02'!BW40</f>
        <v>1100112.5799900005</v>
      </c>
      <c r="BX8" s="45">
        <f>+'May, 02'!BX40</f>
        <v>12663.664475599246</v>
      </c>
      <c r="BY8" s="45">
        <f>+'May, 02'!BY40</f>
        <v>658050.9</v>
      </c>
      <c r="BZ8" s="45">
        <f>+'May, 02'!BZ40</f>
        <v>5503203.0249999994</v>
      </c>
      <c r="CA8" s="45">
        <f>+'May, 02'!CA40</f>
        <v>4988795.0530000003</v>
      </c>
      <c r="CB8" s="45">
        <f>+'May, 02'!CB40</f>
        <v>18618.56624</v>
      </c>
      <c r="CC8" s="45">
        <f>+'May, 02'!CC40</f>
        <v>879494.85817999975</v>
      </c>
      <c r="CD8" s="45">
        <f>+'May, 02'!CD40</f>
        <v>0</v>
      </c>
      <c r="CE8" s="45">
        <f>+'May, 02'!CE40</f>
        <v>17497.673999999999</v>
      </c>
      <c r="CF8" s="45">
        <f>+'May, 02'!CF40</f>
        <v>943662.87558999995</v>
      </c>
      <c r="CG8" s="45">
        <f>+'May, 02'!CG40</f>
        <v>162748.57699999999</v>
      </c>
      <c r="CH8" s="45">
        <f>+'May, 02'!CH40</f>
        <v>2.9318200000000001</v>
      </c>
      <c r="CI8" s="45">
        <f>+'May, 02'!CI40</f>
        <v>818703.37100000004</v>
      </c>
      <c r="CJ8" s="45">
        <f>+'May, 02'!CJ40</f>
        <v>140162.48300000001</v>
      </c>
      <c r="CK8" s="45">
        <f>+'May, 02'!CK40</f>
        <v>0</v>
      </c>
      <c r="CL8" s="45">
        <f>+'May, 02'!CL40</f>
        <v>0</v>
      </c>
      <c r="CM8" s="45">
        <f>+'May, 02'!CM40</f>
        <v>79545.21415</v>
      </c>
      <c r="CN8" s="45">
        <f>+'May, 02'!CN40</f>
        <v>662731.23896999995</v>
      </c>
      <c r="CO8" s="45">
        <f>+'May, 02'!CO40</f>
        <v>736440.24131999968</v>
      </c>
      <c r="CP8" s="45">
        <f>+'May, 02'!CP40</f>
        <v>9152723.6727600005</v>
      </c>
      <c r="CQ8" s="45">
        <f>+'May, 02'!CQ40</f>
        <v>377918.49939999997</v>
      </c>
      <c r="CR8" s="45">
        <f>+'May, 02'!CR40</f>
        <v>2701872.374679999</v>
      </c>
      <c r="CS8" s="45">
        <f>+'May, 02'!CS40</f>
        <v>5000</v>
      </c>
      <c r="CT8" s="45">
        <f>+'May, 02'!CT40</f>
        <v>20468.599999999999</v>
      </c>
      <c r="CU8" s="45">
        <f>+'May, 02'!CU40</f>
        <v>5000</v>
      </c>
      <c r="CV8" s="45">
        <f>+'May, 02'!CV40</f>
        <v>20468.599999999999</v>
      </c>
      <c r="CW8" s="43">
        <f t="shared" ref="CW8:CW40" si="4">SUM(D8:CV8)</f>
        <v>436219131.66554618</v>
      </c>
    </row>
    <row r="9" spans="1:101" x14ac:dyDescent="0.25">
      <c r="B9" s="46" t="s">
        <v>96</v>
      </c>
      <c r="C9" s="47" t="s">
        <v>98</v>
      </c>
      <c r="D9" s="47">
        <v>16014</v>
      </c>
      <c r="E9" s="48">
        <v>11325118.569979999</v>
      </c>
      <c r="F9" s="48">
        <v>5352940.9589600004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>
        <v>38569.495999999999</v>
      </c>
      <c r="BX9" s="47"/>
      <c r="BY9" s="47">
        <f>IF(BY6&gt;0,BY6,0)</f>
        <v>26493.319999999949</v>
      </c>
      <c r="BZ9" s="47">
        <f>IF(BZ6&gt;0,BZ6,0)</f>
        <v>692305.91800000053</v>
      </c>
      <c r="CA9" s="47">
        <f>IF(CA6&gt;0,CA6,0)</f>
        <v>313623.06399999931</v>
      </c>
      <c r="CB9" s="47"/>
      <c r="CC9" s="47"/>
      <c r="CD9" s="47"/>
      <c r="CE9" s="47">
        <f>IF(CE6&gt;0,CE6,0)</f>
        <v>4156.8700000000026</v>
      </c>
      <c r="CF9" s="47">
        <f>IF(CF6&gt;0,CF6,0)</f>
        <v>193259.11</v>
      </c>
      <c r="CG9" s="47">
        <f>IF(CG6&gt;0,CG6,0)</f>
        <v>0</v>
      </c>
      <c r="CH9" s="47"/>
      <c r="CI9" s="47">
        <f>IF(CI6&gt;0,CI6,0)</f>
        <v>72327.647999999928</v>
      </c>
      <c r="CJ9" s="47">
        <f>IF(CJ6&gt;0,CJ6,0)</f>
        <v>0</v>
      </c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3">
        <f t="shared" si="4"/>
        <v>18034808.954939999</v>
      </c>
    </row>
    <row r="10" spans="1:101" x14ac:dyDescent="0.25">
      <c r="B10" s="46" t="s">
        <v>99</v>
      </c>
      <c r="C10" s="47" t="s">
        <v>100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>
        <v>-10.736000000000001</v>
      </c>
      <c r="BW10" s="47">
        <v>-32.33</v>
      </c>
      <c r="BX10" s="47"/>
      <c r="BY10" s="47">
        <f>IF(BY6&lt;0,BY6,0)</f>
        <v>0</v>
      </c>
      <c r="BZ10" s="47">
        <f>IF(BZ6&lt;0,BZ6,0)</f>
        <v>0</v>
      </c>
      <c r="CA10" s="47">
        <f>IF(CA6&lt;0,CA6,0)</f>
        <v>0</v>
      </c>
      <c r="CB10" s="47"/>
      <c r="CC10" s="47"/>
      <c r="CD10" s="47"/>
      <c r="CE10" s="47">
        <f>IF(CE6&lt;0,CE6,0)</f>
        <v>0</v>
      </c>
      <c r="CF10" s="47">
        <f>IF(CF6&lt;0,CF6,0)</f>
        <v>0</v>
      </c>
      <c r="CG10" s="47">
        <f>IF(CG6&lt;0,CG6,0)</f>
        <v>0</v>
      </c>
      <c r="CH10" s="47"/>
      <c r="CI10" s="47">
        <f>IF(CI6&lt;0,CI6,0)</f>
        <v>0</v>
      </c>
      <c r="CJ10" s="47">
        <f>IF(CJ6&lt;0,CJ6,0)</f>
        <v>-105919.28700000001</v>
      </c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3">
        <f t="shared" si="4"/>
        <v>-105962.35300000002</v>
      </c>
    </row>
    <row r="11" spans="1:101" x14ac:dyDescent="0.25">
      <c r="A11" s="41"/>
      <c r="B11" s="49" t="s">
        <v>99</v>
      </c>
      <c r="C11" s="50" t="s">
        <v>101</v>
      </c>
      <c r="D11" s="50">
        <v>-5.4215999999977598</v>
      </c>
      <c r="E11" s="50">
        <v>-31071.8612700005</v>
      </c>
      <c r="F11" s="50">
        <v>-5670.2536500005699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>
        <f>+[1]Otrosbancos!$C$6+[1]Otrosbancos!$C$7</f>
        <v>-15861.724</v>
      </c>
      <c r="BZ11" s="50">
        <f>+[1]Otrosbancos!$C$11+[1]Otrosbancos!$C$12</f>
        <v>-3858821.3140000002</v>
      </c>
      <c r="CA11" s="50">
        <f>+[1]Otrosbancos!$C$16+[1]Otrosbancos!$C$17</f>
        <v>-2026564.405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43">
        <f t="shared" si="4"/>
        <v>-5937994.9795200014</v>
      </c>
    </row>
    <row r="12" spans="1:101" x14ac:dyDescent="0.25">
      <c r="B12" s="46" t="s">
        <v>96</v>
      </c>
      <c r="C12" s="47" t="s">
        <v>102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1"/>
      <c r="AS12" s="51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3">
        <f t="shared" si="4"/>
        <v>0</v>
      </c>
    </row>
    <row r="13" spans="1:101" x14ac:dyDescent="0.25">
      <c r="B13" s="46" t="s">
        <v>96</v>
      </c>
      <c r="C13" s="47" t="s">
        <v>103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51"/>
      <c r="AS13" s="51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3">
        <f t="shared" si="4"/>
        <v>0</v>
      </c>
    </row>
    <row r="14" spans="1:101" x14ac:dyDescent="0.25">
      <c r="B14" s="46" t="s">
        <v>96</v>
      </c>
      <c r="C14" s="47" t="s">
        <v>104</v>
      </c>
      <c r="D14" s="47"/>
      <c r="E14" s="47"/>
      <c r="F14" s="47">
        <v>237241.05100000001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51"/>
      <c r="AS14" s="51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3">
        <f t="shared" si="4"/>
        <v>237241.05100000001</v>
      </c>
    </row>
    <row r="15" spans="1:101" x14ac:dyDescent="0.25">
      <c r="B15" s="46" t="s">
        <v>96</v>
      </c>
      <c r="C15" s="47" t="s">
        <v>105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51"/>
      <c r="AS15" s="51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3">
        <f t="shared" si="4"/>
        <v>0</v>
      </c>
    </row>
    <row r="16" spans="1:101" x14ac:dyDescent="0.25">
      <c r="B16" s="46" t="s">
        <v>96</v>
      </c>
      <c r="C16" s="47" t="s">
        <v>106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51"/>
      <c r="AS16" s="51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3">
        <f t="shared" si="4"/>
        <v>0</v>
      </c>
    </row>
    <row r="17" spans="1:101" x14ac:dyDescent="0.25">
      <c r="B17" s="46" t="s">
        <v>99</v>
      </c>
      <c r="C17" s="47" t="s">
        <v>107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51"/>
      <c r="AS17" s="51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>
        <v>-152298.92000000001</v>
      </c>
      <c r="BS17" s="47">
        <f>+BR17*BS5</f>
        <v>-646326.15669600014</v>
      </c>
      <c r="BT17" s="47">
        <v>-860904.29000000015</v>
      </c>
      <c r="BU17" s="47">
        <f>+BT17*BU5</f>
        <v>-3653505.6259020008</v>
      </c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3">
        <f t="shared" si="4"/>
        <v>-5313034.9925980009</v>
      </c>
    </row>
    <row r="18" spans="1:101" x14ac:dyDescent="0.25">
      <c r="B18" s="46" t="s">
        <v>96</v>
      </c>
      <c r="C18" s="47" t="s">
        <v>108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1"/>
      <c r="AS18" s="51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3">
        <f t="shared" si="4"/>
        <v>0</v>
      </c>
    </row>
    <row r="19" spans="1:101" x14ac:dyDescent="0.25">
      <c r="B19" s="46" t="s">
        <v>99</v>
      </c>
      <c r="C19" s="47" t="s">
        <v>109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51"/>
      <c r="AS19" s="51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3">
        <f t="shared" si="4"/>
        <v>0</v>
      </c>
    </row>
    <row r="20" spans="1:101" x14ac:dyDescent="0.25">
      <c r="B20" s="46" t="s">
        <v>99</v>
      </c>
      <c r="C20" s="47" t="s">
        <v>110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51"/>
      <c r="AS20" s="51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3">
        <f t="shared" si="4"/>
        <v>0</v>
      </c>
    </row>
    <row r="21" spans="1:101" x14ac:dyDescent="0.25">
      <c r="B21" s="46" t="s">
        <v>96</v>
      </c>
      <c r="C21" s="47" t="s">
        <v>111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51"/>
      <c r="AS21" s="51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3">
        <f t="shared" si="4"/>
        <v>0</v>
      </c>
    </row>
    <row r="22" spans="1:101" x14ac:dyDescent="0.25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51"/>
      <c r="AS22" s="51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3">
        <f t="shared" si="4"/>
        <v>0</v>
      </c>
    </row>
    <row r="23" spans="1:101" x14ac:dyDescent="0.25">
      <c r="B23" s="46" t="s">
        <v>99</v>
      </c>
      <c r="C23" s="47" t="s">
        <v>112</v>
      </c>
      <c r="D23" s="47"/>
      <c r="E23" s="47">
        <v>-3911.424</v>
      </c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51"/>
      <c r="AS23" s="51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3">
        <f t="shared" si="4"/>
        <v>-3911.424</v>
      </c>
    </row>
    <row r="24" spans="1:101" x14ac:dyDescent="0.25">
      <c r="B24" s="46" t="s">
        <v>99</v>
      </c>
      <c r="C24" s="47" t="s">
        <v>113</v>
      </c>
      <c r="D24" s="47"/>
      <c r="E24" s="47">
        <f>-4.817-22202.46-52136.244-76992.5-7117.5-7117.5-8481.21</f>
        <v>-174052.231</v>
      </c>
      <c r="F24" s="47">
        <f>-15712.044-63.17337</f>
        <v>-15775.21737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51"/>
      <c r="AS24" s="51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3">
        <f t="shared" si="4"/>
        <v>-189827.44837</v>
      </c>
    </row>
    <row r="25" spans="1:101" x14ac:dyDescent="0.25">
      <c r="A25" s="41"/>
      <c r="B25" s="52" t="s">
        <v>99</v>
      </c>
      <c r="C25" s="53" t="s">
        <v>114</v>
      </c>
      <c r="D25" s="53">
        <v>-25208.05689</v>
      </c>
      <c r="E25" s="53">
        <v>-3772089.8109200001</v>
      </c>
      <c r="F25" s="53">
        <v>-2553399.3839099999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43">
        <f t="shared" si="4"/>
        <v>-6350697.2517200001</v>
      </c>
    </row>
    <row r="26" spans="1:101" x14ac:dyDescent="0.25">
      <c r="B26" s="46"/>
      <c r="C26" s="47" t="s">
        <v>115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51"/>
      <c r="AS26" s="51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3">
        <f t="shared" si="4"/>
        <v>0</v>
      </c>
    </row>
    <row r="27" spans="1:101" x14ac:dyDescent="0.25">
      <c r="B27" s="46" t="s">
        <v>99</v>
      </c>
      <c r="C27" s="47" t="s">
        <v>116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51"/>
      <c r="AS27" s="51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3">
        <f t="shared" si="4"/>
        <v>0</v>
      </c>
    </row>
    <row r="28" spans="1:101" x14ac:dyDescent="0.25">
      <c r="B28" s="47" t="s">
        <v>99</v>
      </c>
      <c r="C28" s="47" t="s">
        <v>117</v>
      </c>
      <c r="D28" s="48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51"/>
      <c r="AS28" s="51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3">
        <f t="shared" si="4"/>
        <v>0</v>
      </c>
    </row>
    <row r="29" spans="1:101" x14ac:dyDescent="0.25">
      <c r="B29" s="47"/>
      <c r="C29" s="47" t="s">
        <v>118</v>
      </c>
      <c r="D29" s="48"/>
      <c r="E29" s="47">
        <v>72.203999999999994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51"/>
      <c r="AS29" s="51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3">
        <f t="shared" si="4"/>
        <v>72.203999999999994</v>
      </c>
    </row>
    <row r="30" spans="1:101" x14ac:dyDescent="0.25">
      <c r="B30" s="47"/>
      <c r="C30" s="47" t="s">
        <v>119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51"/>
      <c r="AS30" s="51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3">
        <f t="shared" si="4"/>
        <v>0</v>
      </c>
    </row>
    <row r="31" spans="1:101" x14ac:dyDescent="0.25">
      <c r="B31" s="47" t="s">
        <v>99</v>
      </c>
      <c r="C31" s="47" t="s">
        <v>120</v>
      </c>
      <c r="D31" s="47"/>
      <c r="E31" s="47">
        <f>-1686288.2-251224.7-13078.5</f>
        <v>-1950591.4</v>
      </c>
      <c r="F31" s="47">
        <v>-81.3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51"/>
      <c r="AS31" s="51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3">
        <f t="shared" si="4"/>
        <v>-1950672.7</v>
      </c>
    </row>
    <row r="32" spans="1:101" x14ac:dyDescent="0.25">
      <c r="B32" s="47" t="s">
        <v>99</v>
      </c>
      <c r="C32" s="47" t="s">
        <v>121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51"/>
      <c r="AS32" s="51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3">
        <f t="shared" si="4"/>
        <v>0</v>
      </c>
    </row>
    <row r="33" spans="2:101" x14ac:dyDescent="0.25">
      <c r="B33" s="47" t="s">
        <v>99</v>
      </c>
      <c r="C33" s="47" t="s">
        <v>122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51"/>
      <c r="AS33" s="51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3">
        <f t="shared" si="4"/>
        <v>0</v>
      </c>
    </row>
    <row r="34" spans="2:101" x14ac:dyDescent="0.25">
      <c r="B34" s="54" t="s">
        <v>99</v>
      </c>
      <c r="C34" s="55" t="s">
        <v>123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43">
        <f t="shared" si="4"/>
        <v>0</v>
      </c>
    </row>
    <row r="35" spans="2:101" x14ac:dyDescent="0.25">
      <c r="B35" s="54" t="s">
        <v>99</v>
      </c>
      <c r="C35" s="55" t="s">
        <v>124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43">
        <f t="shared" si="4"/>
        <v>0</v>
      </c>
    </row>
    <row r="36" spans="2:101" ht="15.75" thickBot="1" x14ac:dyDescent="0.3">
      <c r="B36" s="56"/>
      <c r="C36" s="57" t="s">
        <v>125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43">
        <f t="shared" si="4"/>
        <v>0</v>
      </c>
    </row>
    <row r="37" spans="2:101" x14ac:dyDescent="0.25">
      <c r="B37" s="58"/>
      <c r="C37" s="59" t="s">
        <v>126</v>
      </c>
      <c r="D37" s="59">
        <f>SUM(D9:D36)</f>
        <v>-9199.4784899999977</v>
      </c>
      <c r="E37" s="59">
        <f>SUM(E9:E36)</f>
        <v>5393474.0467899963</v>
      </c>
      <c r="F37" s="59">
        <f>SUM(F9:F35)</f>
        <v>3015255.8550300007</v>
      </c>
      <c r="G37" s="59">
        <f t="shared" ref="G37:BR37" si="5">SUM(G9:G36)</f>
        <v>0</v>
      </c>
      <c r="H37" s="59">
        <f t="shared" si="5"/>
        <v>0</v>
      </c>
      <c r="I37" s="59">
        <f t="shared" si="5"/>
        <v>0</v>
      </c>
      <c r="J37" s="59">
        <f t="shared" si="5"/>
        <v>0</v>
      </c>
      <c r="K37" s="59">
        <f t="shared" si="5"/>
        <v>0</v>
      </c>
      <c r="L37" s="59">
        <f t="shared" si="5"/>
        <v>0</v>
      </c>
      <c r="M37" s="59">
        <f t="shared" si="5"/>
        <v>0</v>
      </c>
      <c r="N37" s="59">
        <f t="shared" si="5"/>
        <v>0</v>
      </c>
      <c r="O37" s="59">
        <f t="shared" si="5"/>
        <v>0</v>
      </c>
      <c r="P37" s="59">
        <f t="shared" si="5"/>
        <v>0</v>
      </c>
      <c r="Q37" s="59">
        <f t="shared" si="5"/>
        <v>0</v>
      </c>
      <c r="R37" s="59">
        <f t="shared" si="5"/>
        <v>0</v>
      </c>
      <c r="S37" s="59">
        <f t="shared" si="5"/>
        <v>0</v>
      </c>
      <c r="T37" s="59">
        <f t="shared" si="5"/>
        <v>0</v>
      </c>
      <c r="U37" s="59">
        <f t="shared" si="5"/>
        <v>0</v>
      </c>
      <c r="V37" s="59">
        <f t="shared" si="5"/>
        <v>0</v>
      </c>
      <c r="W37" s="59">
        <f t="shared" si="5"/>
        <v>0</v>
      </c>
      <c r="X37" s="59">
        <f t="shared" si="5"/>
        <v>0</v>
      </c>
      <c r="Y37" s="59">
        <f t="shared" si="5"/>
        <v>0</v>
      </c>
      <c r="Z37" s="59">
        <f t="shared" si="5"/>
        <v>0</v>
      </c>
      <c r="AA37" s="59">
        <f t="shared" si="5"/>
        <v>0</v>
      </c>
      <c r="AB37" s="59">
        <f t="shared" si="5"/>
        <v>0</v>
      </c>
      <c r="AC37" s="59">
        <f t="shared" si="5"/>
        <v>0</v>
      </c>
      <c r="AD37" s="59">
        <f t="shared" si="5"/>
        <v>0</v>
      </c>
      <c r="AE37" s="59">
        <f t="shared" si="5"/>
        <v>0</v>
      </c>
      <c r="AF37" s="59">
        <f t="shared" si="5"/>
        <v>0</v>
      </c>
      <c r="AG37" s="59">
        <f t="shared" si="5"/>
        <v>0</v>
      </c>
      <c r="AH37" s="59">
        <f t="shared" si="5"/>
        <v>0</v>
      </c>
      <c r="AI37" s="59">
        <f t="shared" si="5"/>
        <v>0</v>
      </c>
      <c r="AJ37" s="59">
        <f t="shared" si="5"/>
        <v>0</v>
      </c>
      <c r="AK37" s="59">
        <f t="shared" si="5"/>
        <v>0</v>
      </c>
      <c r="AL37" s="59">
        <f t="shared" si="5"/>
        <v>0</v>
      </c>
      <c r="AM37" s="59">
        <f t="shared" si="5"/>
        <v>0</v>
      </c>
      <c r="AN37" s="59">
        <f t="shared" si="5"/>
        <v>0</v>
      </c>
      <c r="AO37" s="59">
        <f t="shared" si="5"/>
        <v>0</v>
      </c>
      <c r="AP37" s="59">
        <f t="shared" si="5"/>
        <v>0</v>
      </c>
      <c r="AQ37" s="59">
        <f t="shared" si="5"/>
        <v>0</v>
      </c>
      <c r="AR37" s="59">
        <f t="shared" si="5"/>
        <v>0</v>
      </c>
      <c r="AS37" s="59">
        <f t="shared" si="5"/>
        <v>0</v>
      </c>
      <c r="AT37" s="59">
        <f t="shared" si="5"/>
        <v>0</v>
      </c>
      <c r="AU37" s="59">
        <f t="shared" si="5"/>
        <v>0</v>
      </c>
      <c r="AV37" s="59">
        <f t="shared" si="5"/>
        <v>0</v>
      </c>
      <c r="AW37" s="59">
        <f t="shared" si="5"/>
        <v>0</v>
      </c>
      <c r="AX37" s="59">
        <f t="shared" si="5"/>
        <v>0</v>
      </c>
      <c r="AY37" s="59">
        <f t="shared" si="5"/>
        <v>0</v>
      </c>
      <c r="AZ37" s="59">
        <f t="shared" si="5"/>
        <v>0</v>
      </c>
      <c r="BA37" s="59">
        <f t="shared" si="5"/>
        <v>0</v>
      </c>
      <c r="BB37" s="59">
        <f t="shared" si="5"/>
        <v>0</v>
      </c>
      <c r="BC37" s="59">
        <f t="shared" si="5"/>
        <v>0</v>
      </c>
      <c r="BD37" s="59">
        <f t="shared" si="5"/>
        <v>0</v>
      </c>
      <c r="BE37" s="59">
        <f t="shared" si="5"/>
        <v>0</v>
      </c>
      <c r="BF37" s="59">
        <f t="shared" si="5"/>
        <v>0</v>
      </c>
      <c r="BG37" s="59">
        <f t="shared" si="5"/>
        <v>0</v>
      </c>
      <c r="BH37" s="59">
        <f t="shared" si="5"/>
        <v>0</v>
      </c>
      <c r="BI37" s="59">
        <f t="shared" si="5"/>
        <v>0</v>
      </c>
      <c r="BJ37" s="59">
        <f t="shared" si="5"/>
        <v>0</v>
      </c>
      <c r="BK37" s="59">
        <f t="shared" si="5"/>
        <v>0</v>
      </c>
      <c r="BL37" s="59">
        <f t="shared" si="5"/>
        <v>0</v>
      </c>
      <c r="BM37" s="59">
        <f t="shared" si="5"/>
        <v>0</v>
      </c>
      <c r="BN37" s="59">
        <f t="shared" si="5"/>
        <v>0</v>
      </c>
      <c r="BO37" s="59">
        <f t="shared" si="5"/>
        <v>0</v>
      </c>
      <c r="BP37" s="59">
        <f t="shared" si="5"/>
        <v>0</v>
      </c>
      <c r="BQ37" s="59">
        <f t="shared" si="5"/>
        <v>0</v>
      </c>
      <c r="BR37" s="59">
        <f t="shared" si="5"/>
        <v>-152298.92000000001</v>
      </c>
      <c r="BS37" s="59">
        <f t="shared" ref="BS37:CV37" si="6">SUM(BS9:BS36)</f>
        <v>-646326.15669600014</v>
      </c>
      <c r="BT37" s="59">
        <f t="shared" si="6"/>
        <v>-860904.29000000015</v>
      </c>
      <c r="BU37" s="59">
        <f t="shared" si="6"/>
        <v>-3653505.6259020008</v>
      </c>
      <c r="BV37" s="59">
        <f t="shared" si="6"/>
        <v>-10.736000000000001</v>
      </c>
      <c r="BW37" s="59">
        <f t="shared" si="6"/>
        <v>38537.165999999997</v>
      </c>
      <c r="BX37" s="59">
        <f t="shared" si="6"/>
        <v>0</v>
      </c>
      <c r="BY37" s="59">
        <f t="shared" si="6"/>
        <v>10631.595999999949</v>
      </c>
      <c r="BZ37" s="59">
        <f t="shared" si="6"/>
        <v>-3166515.3959999997</v>
      </c>
      <c r="CA37" s="59">
        <f t="shared" si="6"/>
        <v>-1712941.3410000007</v>
      </c>
      <c r="CB37" s="59">
        <f t="shared" si="6"/>
        <v>0</v>
      </c>
      <c r="CC37" s="59">
        <f t="shared" si="6"/>
        <v>0</v>
      </c>
      <c r="CD37" s="59">
        <f t="shared" si="6"/>
        <v>0</v>
      </c>
      <c r="CE37" s="59">
        <f t="shared" si="6"/>
        <v>4156.8700000000026</v>
      </c>
      <c r="CF37" s="59">
        <f t="shared" si="6"/>
        <v>193259.11</v>
      </c>
      <c r="CG37" s="59">
        <f t="shared" si="6"/>
        <v>0</v>
      </c>
      <c r="CH37" s="59">
        <f t="shared" si="6"/>
        <v>0</v>
      </c>
      <c r="CI37" s="59">
        <f t="shared" si="6"/>
        <v>72327.647999999928</v>
      </c>
      <c r="CJ37" s="59">
        <f t="shared" si="6"/>
        <v>-105919.28700000001</v>
      </c>
      <c r="CK37" s="59">
        <f t="shared" si="6"/>
        <v>0</v>
      </c>
      <c r="CL37" s="59">
        <f t="shared" si="6"/>
        <v>0</v>
      </c>
      <c r="CM37" s="59">
        <f t="shared" si="6"/>
        <v>0</v>
      </c>
      <c r="CN37" s="59">
        <f t="shared" si="6"/>
        <v>0</v>
      </c>
      <c r="CO37" s="59">
        <f t="shared" si="6"/>
        <v>0</v>
      </c>
      <c r="CP37" s="59">
        <f t="shared" si="6"/>
        <v>0</v>
      </c>
      <c r="CQ37" s="59">
        <f t="shared" si="6"/>
        <v>0</v>
      </c>
      <c r="CR37" s="59">
        <f t="shared" si="6"/>
        <v>0</v>
      </c>
      <c r="CS37" s="59">
        <f t="shared" si="6"/>
        <v>0</v>
      </c>
      <c r="CT37" s="59">
        <f t="shared" si="6"/>
        <v>0</v>
      </c>
      <c r="CU37" s="59">
        <f t="shared" si="6"/>
        <v>0</v>
      </c>
      <c r="CV37" s="59">
        <f t="shared" si="6"/>
        <v>0</v>
      </c>
      <c r="CW37" s="43">
        <f t="shared" si="4"/>
        <v>-1579978.9392680032</v>
      </c>
    </row>
    <row r="38" spans="2:101" x14ac:dyDescent="0.25">
      <c r="B38" s="60"/>
      <c r="C38" s="61" t="s">
        <v>127</v>
      </c>
      <c r="D38" s="61">
        <f>+D37+D8</f>
        <v>553915.65893000038</v>
      </c>
      <c r="E38" s="61">
        <f>+E37+E8</f>
        <v>25312268.110224564</v>
      </c>
      <c r="F38" s="61">
        <f>+F37+F8</f>
        <v>10939171.889041509</v>
      </c>
      <c r="G38" s="61">
        <f t="shared" ref="G38:BR38" si="7">+G37+G8</f>
        <v>0</v>
      </c>
      <c r="H38" s="61">
        <f t="shared" si="7"/>
        <v>0</v>
      </c>
      <c r="I38" s="61">
        <f t="shared" si="7"/>
        <v>112630.54591999426</v>
      </c>
      <c r="J38" s="61">
        <f t="shared" si="7"/>
        <v>0</v>
      </c>
      <c r="K38" s="61">
        <f t="shared" si="7"/>
        <v>110884.05504614307</v>
      </c>
      <c r="L38" s="61">
        <f t="shared" si="7"/>
        <v>203777.42046328308</v>
      </c>
      <c r="M38" s="61">
        <f t="shared" si="7"/>
        <v>143260.4441928663</v>
      </c>
      <c r="N38" s="61">
        <f t="shared" si="7"/>
        <v>177310.5199999999</v>
      </c>
      <c r="O38" s="61">
        <f t="shared" si="7"/>
        <v>743248.15264999995</v>
      </c>
      <c r="P38" s="61">
        <f t="shared" si="7"/>
        <v>39988375.460000008</v>
      </c>
      <c r="Q38" s="61">
        <f t="shared" si="7"/>
        <v>170446948.21815479</v>
      </c>
      <c r="R38" s="61">
        <f t="shared" si="7"/>
        <v>815038.0199999999</v>
      </c>
      <c r="S38" s="61">
        <f t="shared" si="7"/>
        <v>3741546.4836387993</v>
      </c>
      <c r="T38" s="61">
        <f t="shared" si="7"/>
        <v>0</v>
      </c>
      <c r="U38" s="61">
        <f t="shared" si="7"/>
        <v>0</v>
      </c>
      <c r="V38" s="61">
        <f t="shared" si="7"/>
        <v>0</v>
      </c>
      <c r="W38" s="61">
        <f t="shared" si="7"/>
        <v>0</v>
      </c>
      <c r="X38" s="61">
        <f t="shared" si="7"/>
        <v>0</v>
      </c>
      <c r="Y38" s="61">
        <f t="shared" si="7"/>
        <v>0</v>
      </c>
      <c r="Z38" s="61">
        <f t="shared" si="7"/>
        <v>9662.5274983807467</v>
      </c>
      <c r="AA38" s="61">
        <f t="shared" si="7"/>
        <v>40503.29</v>
      </c>
      <c r="AB38" s="61">
        <f t="shared" si="7"/>
        <v>7542.7499999967404</v>
      </c>
      <c r="AC38" s="61">
        <f t="shared" si="7"/>
        <v>31617.62</v>
      </c>
      <c r="AD38" s="61">
        <f t="shared" si="7"/>
        <v>5155</v>
      </c>
      <c r="AE38" s="61">
        <f t="shared" si="7"/>
        <v>21608.68</v>
      </c>
      <c r="AF38" s="61">
        <f t="shared" si="7"/>
        <v>7956.8699999451637</v>
      </c>
      <c r="AG38" s="61">
        <f t="shared" si="7"/>
        <v>33353.53</v>
      </c>
      <c r="AH38" s="61">
        <f t="shared" si="7"/>
        <v>203175.47999999719</v>
      </c>
      <c r="AI38" s="61">
        <f t="shared" si="7"/>
        <v>851645.451214</v>
      </c>
      <c r="AJ38" s="61">
        <f t="shared" si="7"/>
        <v>673596.71999999823</v>
      </c>
      <c r="AK38" s="61">
        <f t="shared" si="7"/>
        <v>2823324.1679230896</v>
      </c>
      <c r="AL38" s="61">
        <f t="shared" si="7"/>
        <v>45808232.364840075</v>
      </c>
      <c r="AM38" s="61">
        <f t="shared" si="7"/>
        <v>59156998.799813539</v>
      </c>
      <c r="AN38" s="61">
        <f t="shared" si="7"/>
        <v>6399996.8199400008</v>
      </c>
      <c r="AO38" s="61">
        <f t="shared" si="7"/>
        <v>809966.41413143976</v>
      </c>
      <c r="AP38" s="61">
        <f t="shared" si="7"/>
        <v>12118432.359733757</v>
      </c>
      <c r="AQ38" s="61">
        <f t="shared" si="7"/>
        <v>2167313.3240721608</v>
      </c>
      <c r="AR38" s="61">
        <f t="shared" si="7"/>
        <v>33752.683643993005</v>
      </c>
      <c r="AS38" s="61">
        <f t="shared" si="7"/>
        <v>6.2719079996137461</v>
      </c>
      <c r="AT38" s="61">
        <f t="shared" si="7"/>
        <v>11.210432002509913</v>
      </c>
      <c r="AU38" s="61">
        <f t="shared" si="7"/>
        <v>70709.869203997281</v>
      </c>
      <c r="AV38" s="61">
        <f t="shared" si="7"/>
        <v>523662.90839880263</v>
      </c>
      <c r="AW38" s="61">
        <f t="shared" si="7"/>
        <v>85667.9885699968</v>
      </c>
      <c r="AX38" s="61">
        <f t="shared" si="7"/>
        <v>1041.3974240010875</v>
      </c>
      <c r="AY38" s="61">
        <f t="shared" si="7"/>
        <v>1377450.753311998</v>
      </c>
      <c r="AZ38" s="61">
        <f t="shared" si="7"/>
        <v>23267.345377323236</v>
      </c>
      <c r="BA38" s="61">
        <f t="shared" si="7"/>
        <v>201819.94872400691</v>
      </c>
      <c r="BB38" s="61">
        <f t="shared" si="7"/>
        <v>69889.091219991155</v>
      </c>
      <c r="BC38" s="61">
        <f t="shared" si="7"/>
        <v>266603.90184799873</v>
      </c>
      <c r="BD38" s="61">
        <f t="shared" si="7"/>
        <v>17034.175599989838</v>
      </c>
      <c r="BE38" s="61">
        <f t="shared" si="7"/>
        <v>256586.81289368056</v>
      </c>
      <c r="BF38" s="61">
        <f t="shared" si="7"/>
        <v>321949.5492303599</v>
      </c>
      <c r="BG38" s="61">
        <f t="shared" si="7"/>
        <v>35109.232018882758</v>
      </c>
      <c r="BH38" s="61">
        <f t="shared" si="7"/>
        <v>27273.514880002102</v>
      </c>
      <c r="BI38" s="61">
        <f t="shared" si="7"/>
        <v>630661.83776839031</v>
      </c>
      <c r="BJ38" s="61">
        <f t="shared" si="7"/>
        <v>197783.28604456017</v>
      </c>
      <c r="BK38" s="61">
        <f t="shared" si="7"/>
        <v>2995393.833886012</v>
      </c>
      <c r="BL38" s="61">
        <f t="shared" si="7"/>
        <v>112624.53694244607</v>
      </c>
      <c r="BM38" s="61">
        <f t="shared" si="7"/>
        <v>1067722.364317151</v>
      </c>
      <c r="BN38" s="61">
        <f t="shared" si="7"/>
        <v>4093474.1887173811</v>
      </c>
      <c r="BO38" s="61">
        <f t="shared" si="7"/>
        <v>3.4691202304202307E-3</v>
      </c>
      <c r="BP38" s="61">
        <f t="shared" si="7"/>
        <v>254.92410932906549</v>
      </c>
      <c r="BQ38" s="61">
        <f t="shared" si="7"/>
        <v>4.0128798844989433E-3</v>
      </c>
      <c r="BR38" s="61">
        <f t="shared" si="7"/>
        <v>2723100.6460000034</v>
      </c>
      <c r="BS38" s="61">
        <f t="shared" ref="BS38:CV38" si="8">+BS37+BS8</f>
        <v>11426987.824417591</v>
      </c>
      <c r="BT38" s="61">
        <f t="shared" si="8"/>
        <v>-132388.20506798103</v>
      </c>
      <c r="BU38" s="61">
        <f t="shared" si="8"/>
        <v>-594590.45288770879</v>
      </c>
      <c r="BV38" s="61">
        <f t="shared" si="8"/>
        <v>8412.7658599999995</v>
      </c>
      <c r="BW38" s="61">
        <f t="shared" si="8"/>
        <v>1138649.7459900004</v>
      </c>
      <c r="BX38" s="61">
        <f t="shared" si="8"/>
        <v>12663.664475599246</v>
      </c>
      <c r="BY38" s="61">
        <f t="shared" si="8"/>
        <v>668682.49599999993</v>
      </c>
      <c r="BZ38" s="61">
        <f t="shared" si="8"/>
        <v>2336687.6289999997</v>
      </c>
      <c r="CA38" s="61">
        <f t="shared" si="8"/>
        <v>3275853.7119999994</v>
      </c>
      <c r="CB38" s="61">
        <f t="shared" si="8"/>
        <v>18618.56624</v>
      </c>
      <c r="CC38" s="61">
        <f t="shared" si="8"/>
        <v>879494.85817999975</v>
      </c>
      <c r="CD38" s="61">
        <f t="shared" si="8"/>
        <v>0</v>
      </c>
      <c r="CE38" s="61">
        <f t="shared" si="8"/>
        <v>21654.544000000002</v>
      </c>
      <c r="CF38" s="61">
        <f t="shared" si="8"/>
        <v>1136921.9855899999</v>
      </c>
      <c r="CG38" s="61">
        <f t="shared" si="8"/>
        <v>162748.57699999999</v>
      </c>
      <c r="CH38" s="61">
        <f t="shared" si="8"/>
        <v>2.9318200000000001</v>
      </c>
      <c r="CI38" s="61">
        <f t="shared" si="8"/>
        <v>891031.01899999997</v>
      </c>
      <c r="CJ38" s="61">
        <f t="shared" si="8"/>
        <v>34243.195999999996</v>
      </c>
      <c r="CK38" s="61">
        <f t="shared" si="8"/>
        <v>0</v>
      </c>
      <c r="CL38" s="61">
        <f t="shared" si="8"/>
        <v>0</v>
      </c>
      <c r="CM38" s="61">
        <f t="shared" si="8"/>
        <v>79545.21415</v>
      </c>
      <c r="CN38" s="61">
        <f t="shared" si="8"/>
        <v>662731.23896999995</v>
      </c>
      <c r="CO38" s="61">
        <f t="shared" si="8"/>
        <v>736440.24131999968</v>
      </c>
      <c r="CP38" s="61">
        <f t="shared" si="8"/>
        <v>9152723.6727600005</v>
      </c>
      <c r="CQ38" s="61">
        <f t="shared" si="8"/>
        <v>377918.49939999997</v>
      </c>
      <c r="CR38" s="61">
        <f t="shared" si="8"/>
        <v>2701872.374679999</v>
      </c>
      <c r="CS38" s="61">
        <f t="shared" si="8"/>
        <v>5000</v>
      </c>
      <c r="CT38" s="61">
        <f t="shared" si="8"/>
        <v>20468.599999999999</v>
      </c>
      <c r="CU38" s="61">
        <f t="shared" si="8"/>
        <v>5000</v>
      </c>
      <c r="CV38" s="61">
        <f t="shared" si="8"/>
        <v>20468.599999999999</v>
      </c>
      <c r="CW38" s="43">
        <f t="shared" si="4"/>
        <v>434639152.72627813</v>
      </c>
    </row>
    <row r="39" spans="2:101" x14ac:dyDescent="0.25">
      <c r="B39" s="62"/>
      <c r="C39" s="63" t="s">
        <v>128</v>
      </c>
      <c r="D39" s="63">
        <v>2000</v>
      </c>
      <c r="E39" s="63">
        <v>-14940194.00612</v>
      </c>
      <c r="F39" s="63">
        <v>-5695000</v>
      </c>
      <c r="G39" s="63">
        <v>0</v>
      </c>
      <c r="H39" s="63">
        <v>0</v>
      </c>
      <c r="I39" s="63">
        <v>58.133540000000004</v>
      </c>
      <c r="J39" s="63">
        <v>0</v>
      </c>
      <c r="K39" s="63">
        <v>-931.66380800000002</v>
      </c>
      <c r="L39" s="63">
        <v>22166.573022002984</v>
      </c>
      <c r="M39" s="63">
        <v>276418.24615199998</v>
      </c>
      <c r="N39" s="63">
        <v>0</v>
      </c>
      <c r="O39" s="63">
        <v>0</v>
      </c>
      <c r="P39" s="63">
        <v>-4376035.72</v>
      </c>
      <c r="Q39" s="63">
        <v>-18571020.388536002</v>
      </c>
      <c r="R39" s="63">
        <v>-539813.93999999994</v>
      </c>
      <c r="S39" s="63">
        <v>-2290862.3985720002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-1360000</v>
      </c>
      <c r="AZ39" s="63">
        <v>0</v>
      </c>
      <c r="BA39" s="63">
        <v>99.341000000000008</v>
      </c>
      <c r="BB39" s="63">
        <v>34.4</v>
      </c>
      <c r="BC39" s="63">
        <v>131.233</v>
      </c>
      <c r="BD39" s="63">
        <v>8.3859999999999992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58.131189999999997</v>
      </c>
      <c r="BM39" s="63">
        <v>551.10108000000002</v>
      </c>
      <c r="BN39" s="63">
        <v>2112.8335399999996</v>
      </c>
      <c r="BO39" s="63">
        <v>0</v>
      </c>
      <c r="BP39" s="63">
        <v>0.14147999999999999</v>
      </c>
      <c r="BQ39" s="63">
        <v>0</v>
      </c>
      <c r="BR39" s="63">
        <v>0</v>
      </c>
      <c r="BS39" s="63">
        <v>0</v>
      </c>
      <c r="BT39" s="63">
        <v>540000</v>
      </c>
      <c r="BU39" s="63">
        <v>2291652</v>
      </c>
      <c r="BV39" s="63">
        <v>0</v>
      </c>
      <c r="BW39" s="63">
        <v>0</v>
      </c>
      <c r="BX39" s="63">
        <v>0</v>
      </c>
      <c r="BY39" s="63">
        <v>0</v>
      </c>
      <c r="BZ39" s="63">
        <v>700000</v>
      </c>
      <c r="CA39" s="63">
        <v>3760000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43">
        <f t="shared" si="4"/>
        <v>-40178567.597031988</v>
      </c>
    </row>
    <row r="40" spans="2:101" ht="15.75" thickBot="1" x14ac:dyDescent="0.3">
      <c r="B40" s="64"/>
      <c r="C40" s="65" t="s">
        <v>129</v>
      </c>
      <c r="D40" s="65">
        <f>+D39+D38</f>
        <v>555915.65893000038</v>
      </c>
      <c r="E40" s="65">
        <f>+E39+E38</f>
        <v>10372074.104104564</v>
      </c>
      <c r="F40" s="65">
        <f>+F39+F38</f>
        <v>5244171.8890415095</v>
      </c>
      <c r="G40" s="65">
        <f t="shared" ref="G40:BR40" si="9">+G39+G38</f>
        <v>0</v>
      </c>
      <c r="H40" s="65">
        <f t="shared" si="9"/>
        <v>0</v>
      </c>
      <c r="I40" s="65">
        <f t="shared" si="9"/>
        <v>112688.67945999425</v>
      </c>
      <c r="J40" s="65">
        <f t="shared" si="9"/>
        <v>0</v>
      </c>
      <c r="K40" s="65">
        <f t="shared" si="9"/>
        <v>109952.39123814307</v>
      </c>
      <c r="L40" s="65">
        <f t="shared" si="9"/>
        <v>225943.99348528608</v>
      </c>
      <c r="M40" s="65">
        <f t="shared" si="9"/>
        <v>419678.69034486625</v>
      </c>
      <c r="N40" s="65">
        <f t="shared" si="9"/>
        <v>177310.5199999999</v>
      </c>
      <c r="O40" s="65">
        <f t="shared" si="9"/>
        <v>743248.15264999995</v>
      </c>
      <c r="P40" s="65">
        <f t="shared" si="9"/>
        <v>35612339.74000001</v>
      </c>
      <c r="Q40" s="65">
        <f t="shared" si="9"/>
        <v>151875927.82961878</v>
      </c>
      <c r="R40" s="65">
        <f t="shared" si="9"/>
        <v>275224.07999999996</v>
      </c>
      <c r="S40" s="65">
        <f t="shared" si="9"/>
        <v>1450684.0850667991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9662.5274983807467</v>
      </c>
      <c r="AA40" s="65">
        <f t="shared" si="9"/>
        <v>40503.29</v>
      </c>
      <c r="AB40" s="65">
        <f t="shared" si="9"/>
        <v>7542.7499999967404</v>
      </c>
      <c r="AC40" s="65">
        <f t="shared" si="9"/>
        <v>31617.62</v>
      </c>
      <c r="AD40" s="65">
        <f t="shared" si="9"/>
        <v>5155</v>
      </c>
      <c r="AE40" s="65">
        <f t="shared" si="9"/>
        <v>21608.68</v>
      </c>
      <c r="AF40" s="65">
        <f t="shared" si="9"/>
        <v>7956.8699999451637</v>
      </c>
      <c r="AG40" s="65">
        <f t="shared" si="9"/>
        <v>33353.53</v>
      </c>
      <c r="AH40" s="65">
        <f t="shared" si="9"/>
        <v>203175.47999999719</v>
      </c>
      <c r="AI40" s="65">
        <f t="shared" si="9"/>
        <v>851645.451214</v>
      </c>
      <c r="AJ40" s="65">
        <f t="shared" si="9"/>
        <v>673596.71999999823</v>
      </c>
      <c r="AK40" s="65">
        <f t="shared" si="9"/>
        <v>2823324.1679230896</v>
      </c>
      <c r="AL40" s="65">
        <f t="shared" si="9"/>
        <v>45808232.364840075</v>
      </c>
      <c r="AM40" s="65">
        <f t="shared" si="9"/>
        <v>59156998.799813539</v>
      </c>
      <c r="AN40" s="65">
        <f t="shared" si="9"/>
        <v>6399996.8199400008</v>
      </c>
      <c r="AO40" s="65">
        <f t="shared" si="9"/>
        <v>809966.41413143976</v>
      </c>
      <c r="AP40" s="65">
        <f t="shared" si="9"/>
        <v>12118432.359733757</v>
      </c>
      <c r="AQ40" s="65">
        <f t="shared" si="9"/>
        <v>2167313.3240721608</v>
      </c>
      <c r="AR40" s="65">
        <f t="shared" si="9"/>
        <v>33752.683643993005</v>
      </c>
      <c r="AS40" s="65">
        <f t="shared" si="9"/>
        <v>6.2719079996137461</v>
      </c>
      <c r="AT40" s="65">
        <f t="shared" si="9"/>
        <v>11.210432002509913</v>
      </c>
      <c r="AU40" s="65">
        <f t="shared" si="9"/>
        <v>70709.869203997281</v>
      </c>
      <c r="AV40" s="65">
        <f t="shared" si="9"/>
        <v>523662.90839880263</v>
      </c>
      <c r="AW40" s="65">
        <f t="shared" si="9"/>
        <v>85667.9885699968</v>
      </c>
      <c r="AX40" s="65">
        <f t="shared" si="9"/>
        <v>1041.3974240010875</v>
      </c>
      <c r="AY40" s="65">
        <f t="shared" si="9"/>
        <v>17450.753311997978</v>
      </c>
      <c r="AZ40" s="65">
        <f t="shared" si="9"/>
        <v>23267.345377323236</v>
      </c>
      <c r="BA40" s="65">
        <f t="shared" si="9"/>
        <v>201919.2897240069</v>
      </c>
      <c r="BB40" s="65">
        <f t="shared" si="9"/>
        <v>69923.491219991149</v>
      </c>
      <c r="BC40" s="65">
        <f t="shared" si="9"/>
        <v>266735.13484799874</v>
      </c>
      <c r="BD40" s="65">
        <f t="shared" si="9"/>
        <v>17042.561599989836</v>
      </c>
      <c r="BE40" s="65">
        <f t="shared" si="9"/>
        <v>256586.81289368056</v>
      </c>
      <c r="BF40" s="65">
        <f t="shared" si="9"/>
        <v>321949.5492303599</v>
      </c>
      <c r="BG40" s="65">
        <f t="shared" si="9"/>
        <v>35109.232018882758</v>
      </c>
      <c r="BH40" s="65">
        <f t="shared" si="9"/>
        <v>27273.514880002102</v>
      </c>
      <c r="BI40" s="65">
        <f t="shared" si="9"/>
        <v>630661.83776839031</v>
      </c>
      <c r="BJ40" s="65">
        <f t="shared" si="9"/>
        <v>197783.28604456017</v>
      </c>
      <c r="BK40" s="65">
        <f t="shared" si="9"/>
        <v>2995393.833886012</v>
      </c>
      <c r="BL40" s="65">
        <f t="shared" si="9"/>
        <v>112682.66813244607</v>
      </c>
      <c r="BM40" s="65">
        <f t="shared" si="9"/>
        <v>1068273.465397151</v>
      </c>
      <c r="BN40" s="65">
        <f t="shared" si="9"/>
        <v>4095587.0222573811</v>
      </c>
      <c r="BO40" s="65">
        <f t="shared" si="9"/>
        <v>3.4691202304202307E-3</v>
      </c>
      <c r="BP40" s="65">
        <f t="shared" si="9"/>
        <v>255.06558932906549</v>
      </c>
      <c r="BQ40" s="65">
        <f t="shared" si="9"/>
        <v>4.0128798844989433E-3</v>
      </c>
      <c r="BR40" s="65">
        <f t="shared" si="9"/>
        <v>2723100.6460000034</v>
      </c>
      <c r="BS40" s="65">
        <f t="shared" ref="BS40:CV40" si="10">+BS39+BS38</f>
        <v>11426987.824417591</v>
      </c>
      <c r="BT40" s="65">
        <f t="shared" si="10"/>
        <v>407611.79493201897</v>
      </c>
      <c r="BU40" s="65">
        <f t="shared" si="10"/>
        <v>1697061.5471122912</v>
      </c>
      <c r="BV40" s="65">
        <f t="shared" si="10"/>
        <v>8412.7658599999995</v>
      </c>
      <c r="BW40" s="65">
        <f t="shared" si="10"/>
        <v>1138649.7459900004</v>
      </c>
      <c r="BX40" s="65">
        <f t="shared" si="10"/>
        <v>12663.664475599246</v>
      </c>
      <c r="BY40" s="65">
        <f t="shared" si="10"/>
        <v>668682.49599999993</v>
      </c>
      <c r="BZ40" s="65">
        <f t="shared" si="10"/>
        <v>3036687.6289999997</v>
      </c>
      <c r="CA40" s="65">
        <f t="shared" si="10"/>
        <v>7035853.7119999994</v>
      </c>
      <c r="CB40" s="65">
        <f t="shared" si="10"/>
        <v>18618.56624</v>
      </c>
      <c r="CC40" s="65">
        <f t="shared" si="10"/>
        <v>879494.85817999975</v>
      </c>
      <c r="CD40" s="65">
        <f t="shared" si="10"/>
        <v>0</v>
      </c>
      <c r="CE40" s="65">
        <f t="shared" si="10"/>
        <v>21654.544000000002</v>
      </c>
      <c r="CF40" s="65">
        <f t="shared" si="10"/>
        <v>1136921.9855899999</v>
      </c>
      <c r="CG40" s="65">
        <f t="shared" si="10"/>
        <v>162748.57699999999</v>
      </c>
      <c r="CH40" s="65">
        <f>+CH39+CH38</f>
        <v>2.9318200000000001</v>
      </c>
      <c r="CI40" s="65">
        <f t="shared" si="10"/>
        <v>891031.01899999997</v>
      </c>
      <c r="CJ40" s="65">
        <f t="shared" si="10"/>
        <v>34243.195999999996</v>
      </c>
      <c r="CK40" s="65">
        <f t="shared" si="10"/>
        <v>0</v>
      </c>
      <c r="CL40" s="65">
        <f t="shared" si="10"/>
        <v>0</v>
      </c>
      <c r="CM40" s="65">
        <f t="shared" si="10"/>
        <v>79545.21415</v>
      </c>
      <c r="CN40" s="65">
        <f t="shared" si="10"/>
        <v>662731.23896999995</v>
      </c>
      <c r="CO40" s="65">
        <f t="shared" si="10"/>
        <v>736440.24131999968</v>
      </c>
      <c r="CP40" s="65">
        <f t="shared" si="10"/>
        <v>9152723.6727600005</v>
      </c>
      <c r="CQ40" s="65">
        <f t="shared" si="10"/>
        <v>377918.49939999997</v>
      </c>
      <c r="CR40" s="65">
        <f t="shared" si="10"/>
        <v>2701872.374679999</v>
      </c>
      <c r="CS40" s="65">
        <f t="shared" si="10"/>
        <v>5000</v>
      </c>
      <c r="CT40" s="65">
        <f t="shared" si="10"/>
        <v>20468.599999999999</v>
      </c>
      <c r="CU40" s="65">
        <f t="shared" si="10"/>
        <v>5000</v>
      </c>
      <c r="CV40" s="65">
        <f t="shared" si="10"/>
        <v>20468.599999999999</v>
      </c>
      <c r="CW40" s="43">
        <f t="shared" si="4"/>
        <v>394460585.12924606</v>
      </c>
    </row>
    <row r="41" spans="2:101" ht="15.75" thickBot="1" x14ac:dyDescent="0.3"/>
    <row r="42" spans="2:101" x14ac:dyDescent="0.25">
      <c r="C42" s="67" t="s">
        <v>130</v>
      </c>
      <c r="D42" s="68">
        <f>+D37+D39</f>
        <v>-7199.4784899999977</v>
      </c>
      <c r="E42" s="68">
        <f>+E37+E39</f>
        <v>-9546719.9593300037</v>
      </c>
      <c r="F42" s="69">
        <f>+F37+F39</f>
        <v>-2679744.1449699993</v>
      </c>
      <c r="G42" s="88">
        <v>20375.599999999999</v>
      </c>
      <c r="H42" s="88">
        <v>20376.599999999999</v>
      </c>
      <c r="I42" s="88">
        <v>20377.599999999999</v>
      </c>
      <c r="J42" s="88">
        <v>20378.599999999999</v>
      </c>
      <c r="K42" s="88">
        <v>20379.599999999999</v>
      </c>
      <c r="L42" s="88">
        <v>20380.599999999999</v>
      </c>
      <c r="M42" s="88">
        <v>20381.599999999999</v>
      </c>
      <c r="N42" s="88">
        <v>20382.599999999999</v>
      </c>
      <c r="O42" s="88">
        <v>20383.599999999999</v>
      </c>
      <c r="P42" s="88">
        <v>20384.599999999999</v>
      </c>
      <c r="Q42" s="88">
        <v>20385.599999999999</v>
      </c>
      <c r="R42" s="88">
        <v>20386.599999999999</v>
      </c>
      <c r="S42" s="88">
        <v>20387.599999999999</v>
      </c>
      <c r="T42" s="88">
        <v>20388.599999999999</v>
      </c>
      <c r="U42" s="88">
        <v>20389.599999999999</v>
      </c>
      <c r="V42" s="88">
        <v>20390.599999999999</v>
      </c>
      <c r="W42" s="88">
        <v>20391.599999999999</v>
      </c>
      <c r="X42" s="88">
        <v>20392.599999999999</v>
      </c>
      <c r="Y42" s="88">
        <v>20393.599999999999</v>
      </c>
      <c r="Z42" s="88">
        <v>20394.599999999999</v>
      </c>
      <c r="AA42" s="88">
        <v>20395.599999999999</v>
      </c>
      <c r="AB42" s="88">
        <v>20396.599999999999</v>
      </c>
      <c r="AC42" s="88">
        <v>20397.599999999999</v>
      </c>
      <c r="AD42" s="88">
        <v>20398.599999999999</v>
      </c>
      <c r="AE42" s="88">
        <v>20399.599999999999</v>
      </c>
      <c r="AF42" s="88">
        <v>20400.599999999999</v>
      </c>
      <c r="AG42" s="88">
        <v>20401.599999999999</v>
      </c>
      <c r="AH42" s="88">
        <v>20402.599999999999</v>
      </c>
      <c r="AI42" s="88">
        <v>20403.599999999999</v>
      </c>
      <c r="AJ42" s="88">
        <v>20404.599999999999</v>
      </c>
      <c r="AK42" s="88">
        <v>20405.599999999999</v>
      </c>
      <c r="AL42" s="88">
        <v>20406.599999999999</v>
      </c>
      <c r="AM42" s="88">
        <v>20407.599999999999</v>
      </c>
      <c r="AN42" s="88">
        <v>20408.599999999999</v>
      </c>
      <c r="AO42" s="88">
        <v>20409.599999999999</v>
      </c>
      <c r="AP42" s="88">
        <v>20410.599999999999</v>
      </c>
      <c r="AQ42" s="88">
        <v>20411.599999999999</v>
      </c>
      <c r="AR42" s="88">
        <v>20412.599999999999</v>
      </c>
      <c r="AS42" s="88">
        <v>20413.599999999999</v>
      </c>
      <c r="AT42" s="88">
        <v>20414.599999999999</v>
      </c>
      <c r="AU42" s="88">
        <v>20415.599999999999</v>
      </c>
      <c r="AV42" s="88">
        <v>20416.599999999999</v>
      </c>
      <c r="AW42" s="88">
        <v>20417.599999999999</v>
      </c>
      <c r="AX42" s="88">
        <v>20418.599999999999</v>
      </c>
      <c r="AY42" s="88">
        <v>20419.599999999999</v>
      </c>
      <c r="AZ42" s="88">
        <v>20420.599999999999</v>
      </c>
      <c r="BA42" s="88">
        <v>20421.599999999999</v>
      </c>
      <c r="BB42" s="88">
        <v>20422.599999999999</v>
      </c>
      <c r="BC42" s="88">
        <v>20423.599999999999</v>
      </c>
      <c r="BD42" s="88">
        <v>20424.599999999999</v>
      </c>
      <c r="BE42" s="88">
        <v>20425.599999999999</v>
      </c>
      <c r="BF42" s="88">
        <v>20426.599999999999</v>
      </c>
      <c r="BG42" s="88">
        <v>20427.599999999999</v>
      </c>
      <c r="BH42" s="88">
        <v>20428.599999999999</v>
      </c>
      <c r="BI42" s="88">
        <v>20429.599999999999</v>
      </c>
      <c r="BJ42" s="88">
        <v>20430.599999999999</v>
      </c>
      <c r="BK42" s="88">
        <v>20431.599999999999</v>
      </c>
      <c r="BL42" s="88">
        <v>20432.599999999999</v>
      </c>
      <c r="BM42" s="88">
        <v>20433.599999999999</v>
      </c>
      <c r="BN42" s="88">
        <v>20434.599999999999</v>
      </c>
      <c r="BO42" s="88">
        <v>20435.599999999999</v>
      </c>
      <c r="BP42" s="88">
        <v>20436.599999999999</v>
      </c>
      <c r="BQ42" s="88">
        <v>20437.599999999999</v>
      </c>
      <c r="BR42" s="88">
        <v>20438.599999999999</v>
      </c>
      <c r="BS42" s="88">
        <v>20439.599999999999</v>
      </c>
      <c r="BT42" s="88">
        <v>20440.599999999999</v>
      </c>
      <c r="BU42" s="88">
        <v>20441.599999999999</v>
      </c>
      <c r="BV42" s="88">
        <v>20442.599999999999</v>
      </c>
      <c r="BW42" s="88">
        <v>20443.599999999999</v>
      </c>
      <c r="BX42" s="88">
        <v>20444.599999999999</v>
      </c>
      <c r="BY42" s="88">
        <v>20445.599999999999</v>
      </c>
      <c r="BZ42" s="88">
        <v>20446.599999999999</v>
      </c>
      <c r="CA42" s="88">
        <v>20447.599999999999</v>
      </c>
      <c r="CB42" s="88">
        <v>20448.599999999999</v>
      </c>
      <c r="CC42" s="88">
        <v>20449.599999999999</v>
      </c>
      <c r="CD42" s="88">
        <v>20450.599999999999</v>
      </c>
      <c r="CE42" s="88">
        <v>20451.599999999999</v>
      </c>
      <c r="CF42" s="88">
        <v>20452.599999999999</v>
      </c>
      <c r="CG42" s="88">
        <v>20453.599999999999</v>
      </c>
      <c r="CH42" s="88">
        <v>20454.599999999999</v>
      </c>
      <c r="CI42" s="88">
        <v>20455.599999999999</v>
      </c>
      <c r="CJ42" s="88">
        <v>20456.599999999999</v>
      </c>
      <c r="CK42" s="88">
        <v>20457.599999999999</v>
      </c>
      <c r="CL42" s="88">
        <v>20458.599999999999</v>
      </c>
      <c r="CM42" s="88">
        <v>20459.599999999999</v>
      </c>
      <c r="CN42" s="88">
        <v>20460.599999999999</v>
      </c>
      <c r="CO42" s="88">
        <v>20461.599999999999</v>
      </c>
      <c r="CP42" s="88">
        <v>20462.599999999999</v>
      </c>
      <c r="CQ42" s="88">
        <v>20463.599999999999</v>
      </c>
      <c r="CR42" s="88">
        <v>20464.599999999999</v>
      </c>
      <c r="CS42" s="88">
        <v>20465.599999999999</v>
      </c>
      <c r="CT42" s="88">
        <v>20466.599999999999</v>
      </c>
      <c r="CU42" s="88">
        <v>20467.599999999999</v>
      </c>
      <c r="CV42" s="88">
        <v>20468.599999999999</v>
      </c>
    </row>
    <row r="43" spans="2:101" x14ac:dyDescent="0.25">
      <c r="C43" s="70" t="s">
        <v>131</v>
      </c>
      <c r="D43" s="71">
        <v>-7199.4784900000004</v>
      </c>
      <c r="E43" s="71">
        <v>-9546719.9633499999</v>
      </c>
      <c r="F43" s="71">
        <v>-2679744.1449699998</v>
      </c>
      <c r="G43" s="66"/>
      <c r="H43" s="66"/>
      <c r="CT43" s="66"/>
      <c r="CU43" s="66"/>
      <c r="CV43" s="66"/>
    </row>
    <row r="44" spans="2:101" ht="15.75" thickBot="1" x14ac:dyDescent="0.3">
      <c r="C44" s="73" t="s">
        <v>132</v>
      </c>
      <c r="D44" s="74">
        <f>+D42-D43</f>
        <v>0</v>
      </c>
      <c r="E44" s="74">
        <f>+E42-E43</f>
        <v>4.0199961513280869E-3</v>
      </c>
      <c r="F44" s="75">
        <f>+F42-F43</f>
        <v>0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</row>
    <row r="45" spans="2:101" x14ac:dyDescent="0.25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</row>
    <row r="46" spans="2:101" x14ac:dyDescent="0.25">
      <c r="D46" s="10">
        <v>9610</v>
      </c>
      <c r="E46" s="10">
        <v>8203873610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2:101" x14ac:dyDescent="0.25">
      <c r="D47" s="10">
        <v>8236</v>
      </c>
      <c r="E47" s="10">
        <v>1158122532</v>
      </c>
      <c r="I47" s="66" t="s">
        <v>133</v>
      </c>
      <c r="AL47" s="76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</row>
    <row r="48" spans="2:101" x14ac:dyDescent="0.25">
      <c r="D48" s="10">
        <v>9594</v>
      </c>
      <c r="E48" s="77">
        <v>1963122427.98</v>
      </c>
      <c r="AL48" s="76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</row>
    <row r="49" spans="2:97" x14ac:dyDescent="0.25">
      <c r="C49" s="78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</row>
    <row r="50" spans="2:97" x14ac:dyDescent="0.25"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/>
    </row>
    <row r="51" spans="2:97" x14ac:dyDescent="0.25">
      <c r="CS51"/>
    </row>
    <row r="52" spans="2:97" x14ac:dyDescent="0.25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/>
    </row>
    <row r="53" spans="2:97" x14ac:dyDescent="0.25">
      <c r="CS53"/>
    </row>
    <row r="54" spans="2:97" x14ac:dyDescent="0.25">
      <c r="CS54"/>
    </row>
    <row r="55" spans="2:97" x14ac:dyDescent="0.25">
      <c r="CS55"/>
    </row>
    <row r="58" spans="2:97" x14ac:dyDescent="0.25">
      <c r="B58" s="66"/>
      <c r="C58" s="66"/>
      <c r="D58" s="66"/>
      <c r="E58" s="66"/>
      <c r="F58" s="66"/>
      <c r="G58" s="66"/>
      <c r="H58" s="66"/>
      <c r="CM58"/>
      <c r="CN58"/>
      <c r="CO58"/>
      <c r="CP58"/>
      <c r="CQ58"/>
      <c r="CR58"/>
    </row>
    <row r="59" spans="2:97" x14ac:dyDescent="0.25">
      <c r="B59" s="66"/>
      <c r="C59" s="66"/>
      <c r="D59" s="66"/>
      <c r="E59" s="66"/>
      <c r="F59" s="66"/>
      <c r="G59" s="66"/>
      <c r="H59" s="66"/>
      <c r="CM59"/>
      <c r="CN59"/>
      <c r="CO59"/>
      <c r="CP59"/>
      <c r="CQ59"/>
      <c r="CR59"/>
    </row>
    <row r="60" spans="2:97" x14ac:dyDescent="0.25">
      <c r="B60" s="66"/>
      <c r="C60" s="66"/>
      <c r="D60" s="66"/>
      <c r="E60" s="66"/>
      <c r="F60" s="66"/>
      <c r="G60" s="66"/>
      <c r="H60" s="66"/>
      <c r="CM60"/>
      <c r="CN60"/>
      <c r="CO60"/>
      <c r="CP60"/>
      <c r="CQ60"/>
      <c r="CR60"/>
    </row>
    <row r="61" spans="2:97" x14ac:dyDescent="0.25">
      <c r="B61" s="66"/>
      <c r="C61" s="66"/>
      <c r="D61" s="66"/>
      <c r="E61" s="66"/>
      <c r="F61" s="66"/>
      <c r="G61" s="66"/>
      <c r="H61" s="66"/>
      <c r="CM61"/>
      <c r="CN61"/>
      <c r="CO61"/>
      <c r="CP61"/>
      <c r="CQ61"/>
      <c r="CR61"/>
    </row>
    <row r="62" spans="2:97" x14ac:dyDescent="0.25">
      <c r="B62" s="66"/>
      <c r="C62" s="66"/>
      <c r="D62" s="66"/>
      <c r="E62" s="66"/>
      <c r="F62" s="66"/>
      <c r="G62" s="66"/>
      <c r="H62" s="66"/>
      <c r="CM62"/>
      <c r="CN62"/>
      <c r="CO62"/>
      <c r="CP62"/>
      <c r="CQ62"/>
      <c r="CR62"/>
    </row>
    <row r="63" spans="2:97" x14ac:dyDescent="0.25">
      <c r="B63" s="66"/>
      <c r="C63" s="66"/>
      <c r="D63" s="66"/>
      <c r="E63" s="66"/>
      <c r="F63" s="66"/>
      <c r="G63" s="66"/>
      <c r="H63" s="66"/>
      <c r="CM63"/>
      <c r="CN63"/>
      <c r="CO63"/>
      <c r="CP63"/>
      <c r="CQ63"/>
      <c r="CR63"/>
    </row>
  </sheetData>
  <mergeCells count="1">
    <mergeCell ref="AP2:AP3"/>
  </mergeCells>
  <pageMargins left="0.7" right="0.7" top="0.75" bottom="0.75" header="0.3" footer="0.3"/>
  <pageSetup orientation="portrait" r:id="rId1"/>
  <customProperties>
    <customPr name="QAA_DRILLPATH_NODE_ID" r:id="rId2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3"/>
  <sheetViews>
    <sheetView zoomScale="112" zoomScaleNormal="112" workbookViewId="0">
      <selection activeCell="BU18" sqref="BU18"/>
    </sheetView>
  </sheetViews>
  <sheetFormatPr baseColWidth="10" defaultRowHeight="15" outlineLevelCol="2" x14ac:dyDescent="0.25"/>
  <cols>
    <col min="1" max="1" width="8.5703125" style="10" customWidth="1"/>
    <col min="2" max="2" width="10" style="10" bestFit="1" customWidth="1"/>
    <col min="3" max="3" width="43" style="10" bestFit="1" customWidth="1"/>
    <col min="4" max="5" width="19.42578125" style="10" bestFit="1" customWidth="1"/>
    <col min="6" max="6" width="21.85546875" style="10" bestFit="1" customWidth="1"/>
    <col min="7" max="7" width="19.5703125" style="10" customWidth="1" outlineLevel="1"/>
    <col min="8" max="8" width="17.85546875" style="10" customWidth="1" outlineLevel="1"/>
    <col min="9" max="9" width="17.85546875" style="66" bestFit="1" customWidth="1"/>
    <col min="10" max="10" width="17.85546875" style="66" customWidth="1" outlineLevel="2"/>
    <col min="11" max="13" width="16.42578125" style="66" customWidth="1" outlineLevel="2"/>
    <col min="14" max="14" width="18.85546875" style="66" customWidth="1" outlineLevel="2"/>
    <col min="15" max="15" width="21" style="66" customWidth="1" outlineLevel="2"/>
    <col min="16" max="17" width="14.140625" style="66" customWidth="1" outlineLevel="2"/>
    <col min="18" max="18" width="16.42578125" style="66" customWidth="1" outlineLevel="2"/>
    <col min="19" max="25" width="18.42578125" style="66" customWidth="1" outlineLevel="2"/>
    <col min="26" max="26" width="18.85546875" style="66" customWidth="1" outlineLevel="2"/>
    <col min="27" max="27" width="21" style="66" customWidth="1" outlineLevel="2"/>
    <col min="28" max="29" width="14.5703125" style="66" customWidth="1" outlineLevel="2"/>
    <col min="30" max="30" width="16.42578125" style="66" customWidth="1" outlineLevel="2"/>
    <col min="31" max="31" width="18.42578125" style="66" customWidth="1" outlineLevel="2"/>
    <col min="32" max="32" width="18.140625" style="66" customWidth="1" outlineLevel="2"/>
    <col min="33" max="33" width="20.140625" style="66" customWidth="1" outlineLevel="2"/>
    <col min="34" max="37" width="14.5703125" style="66" customWidth="1" outlineLevel="2"/>
    <col min="38" max="38" width="14.42578125" style="66" bestFit="1" customWidth="1"/>
    <col min="39" max="40" width="13.42578125" style="66" bestFit="1" customWidth="1"/>
    <col min="41" max="41" width="12.42578125" style="66" bestFit="1" customWidth="1"/>
    <col min="42" max="42" width="17.140625" style="66" bestFit="1" customWidth="1"/>
    <col min="43" max="43" width="17.140625" style="66" customWidth="1"/>
    <col min="44" max="48" width="17.42578125" style="66" customWidth="1" outlineLevel="1"/>
    <col min="49" max="49" width="15.140625" style="66" customWidth="1" outlineLevel="1"/>
    <col min="50" max="50" width="9.85546875" style="66" customWidth="1" outlineLevel="1"/>
    <col min="51" max="51" width="12.5703125" style="66" customWidth="1" outlineLevel="1"/>
    <col min="52" max="52" width="14.42578125" style="66" customWidth="1" outlineLevel="1"/>
    <col min="53" max="53" width="15.140625" style="66" customWidth="1" outlineLevel="1"/>
    <col min="54" max="55" width="11.85546875" style="66" customWidth="1" outlineLevel="1"/>
    <col min="56" max="56" width="12.5703125" style="66" customWidth="1" outlineLevel="1"/>
    <col min="57" max="59" width="16.5703125" style="66" customWidth="1" outlineLevel="1"/>
    <col min="60" max="60" width="15.140625" style="66" customWidth="1" outlineLevel="1"/>
    <col min="61" max="62" width="13.5703125" style="66" customWidth="1" outlineLevel="1"/>
    <col min="63" max="63" width="14.42578125" style="66" customWidth="1" outlineLevel="1"/>
    <col min="64" max="64" width="19.5703125" style="66" customWidth="1" outlineLevel="1"/>
    <col min="65" max="66" width="17.85546875" style="66" customWidth="1" outlineLevel="1"/>
    <col min="67" max="67" width="12.85546875" style="66" customWidth="1" outlineLevel="1"/>
    <col min="68" max="68" width="13.5703125" style="66" customWidth="1" outlineLevel="1"/>
    <col min="69" max="69" width="18.85546875" style="66" customWidth="1" outlineLevel="1"/>
    <col min="70" max="70" width="20.140625" style="66" customWidth="1" outlineLevel="1"/>
    <col min="71" max="73" width="20.140625" style="66" bestFit="1" customWidth="1"/>
    <col min="74" max="76" width="17.42578125" style="66" bestFit="1" customWidth="1"/>
    <col min="77" max="77" width="15.140625" style="66" bestFit="1" customWidth="1"/>
    <col min="78" max="79" width="14.42578125" style="66" bestFit="1" customWidth="1"/>
    <col min="80" max="80" width="15.140625" style="66" bestFit="1" customWidth="1"/>
    <col min="81" max="82" width="15" style="66" bestFit="1" customWidth="1"/>
    <col min="83" max="83" width="15.140625" style="66" bestFit="1" customWidth="1"/>
    <col min="84" max="84" width="10.42578125" style="66" bestFit="1" customWidth="1"/>
    <col min="85" max="85" width="12.5703125" style="66" bestFit="1" customWidth="1"/>
    <col min="86" max="86" width="16.5703125" style="66" bestFit="1" customWidth="1"/>
    <col min="87" max="88" width="19.7109375" style="66" bestFit="1" customWidth="1"/>
    <col min="89" max="89" width="15.5703125" style="66" customWidth="1"/>
    <col min="90" max="90" width="11.28515625" style="66" customWidth="1"/>
    <col min="91" max="91" width="17.85546875" style="66" bestFit="1" customWidth="1"/>
    <col min="92" max="92" width="14.42578125" style="66" customWidth="1"/>
    <col min="93" max="93" width="14.28515625" style="66" bestFit="1" customWidth="1"/>
    <col min="94" max="95" width="19.7109375" style="66" bestFit="1" customWidth="1"/>
    <col min="96" max="96" width="16.5703125" style="66" bestFit="1" customWidth="1"/>
    <col min="97" max="97" width="22" style="66" bestFit="1" customWidth="1"/>
    <col min="98" max="98" width="12" bestFit="1" customWidth="1"/>
    <col min="99" max="99" width="11.5703125" bestFit="1" customWidth="1"/>
    <col min="100" max="100" width="12" bestFit="1" customWidth="1"/>
    <col min="101" max="101" width="15.28515625" bestFit="1" customWidth="1"/>
  </cols>
  <sheetData>
    <row r="1" spans="1:101" ht="28.5" x14ac:dyDescent="0.45">
      <c r="A1" s="1"/>
      <c r="B1" s="1"/>
      <c r="C1" s="1"/>
      <c r="D1" s="2"/>
      <c r="E1" s="3"/>
      <c r="F1" s="3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5"/>
      <c r="AN1" s="5"/>
      <c r="AO1" s="5"/>
      <c r="AP1" s="5"/>
      <c r="AQ1" s="5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6"/>
      <c r="BM1" s="4"/>
      <c r="BN1" s="4"/>
      <c r="BO1" s="4"/>
      <c r="BP1" s="4"/>
      <c r="BQ1" s="4"/>
      <c r="BR1" s="7"/>
      <c r="BS1" s="7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8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spans="1:101" ht="15" customHeight="1" x14ac:dyDescent="0.25">
      <c r="D2" s="11" t="s">
        <v>0</v>
      </c>
      <c r="E2" s="11" t="s">
        <v>1</v>
      </c>
      <c r="F2" s="11" t="s">
        <v>2</v>
      </c>
      <c r="G2" s="12" t="s">
        <v>3</v>
      </c>
      <c r="H2" s="12" t="s">
        <v>4</v>
      </c>
      <c r="I2" s="13" t="s">
        <v>5</v>
      </c>
      <c r="J2" s="12" t="s">
        <v>6</v>
      </c>
      <c r="K2" s="12" t="s">
        <v>0</v>
      </c>
      <c r="L2" s="12" t="s">
        <v>1</v>
      </c>
      <c r="M2" s="12" t="s">
        <v>2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12" t="s">
        <v>12</v>
      </c>
      <c r="T2" s="16" t="s">
        <v>7</v>
      </c>
      <c r="U2" s="16" t="s">
        <v>8</v>
      </c>
      <c r="V2" s="16" t="s">
        <v>134</v>
      </c>
      <c r="W2" s="16" t="s">
        <v>135</v>
      </c>
      <c r="X2" s="16" t="s">
        <v>11</v>
      </c>
      <c r="Y2" s="16" t="s">
        <v>12</v>
      </c>
      <c r="Z2" s="12" t="s">
        <v>7</v>
      </c>
      <c r="AA2" s="12" t="s">
        <v>8</v>
      </c>
      <c r="AB2" s="12" t="s">
        <v>9</v>
      </c>
      <c r="AC2" s="12" t="s">
        <v>10</v>
      </c>
      <c r="AD2" s="12" t="s">
        <v>11</v>
      </c>
      <c r="AE2" s="12" t="s">
        <v>12</v>
      </c>
      <c r="AF2" s="12" t="s">
        <v>13</v>
      </c>
      <c r="AG2" s="12" t="s">
        <v>14</v>
      </c>
      <c r="AH2" s="12" t="s">
        <v>15</v>
      </c>
      <c r="AI2" s="12" t="s">
        <v>16</v>
      </c>
      <c r="AJ2" s="12" t="s">
        <v>17</v>
      </c>
      <c r="AK2" s="12" t="s">
        <v>18</v>
      </c>
      <c r="AL2" s="14" t="s">
        <v>19</v>
      </c>
      <c r="AM2" s="14" t="s">
        <v>20</v>
      </c>
      <c r="AN2" s="15" t="s">
        <v>21</v>
      </c>
      <c r="AO2" s="15" t="s">
        <v>22</v>
      </c>
      <c r="AP2" s="89" t="s">
        <v>23</v>
      </c>
      <c r="AQ2" s="83"/>
      <c r="AR2" s="16" t="s">
        <v>0</v>
      </c>
      <c r="AS2" s="16" t="s">
        <v>24</v>
      </c>
      <c r="AT2" s="12" t="s">
        <v>5</v>
      </c>
      <c r="AU2" s="12" t="s">
        <v>2</v>
      </c>
      <c r="AV2" s="12" t="s">
        <v>19</v>
      </c>
      <c r="AW2" s="12" t="s">
        <v>0</v>
      </c>
      <c r="AX2" s="12" t="s">
        <v>24</v>
      </c>
      <c r="AY2" s="12" t="s">
        <v>2</v>
      </c>
      <c r="AZ2" s="12" t="s">
        <v>19</v>
      </c>
      <c r="BA2" s="12" t="s">
        <v>0</v>
      </c>
      <c r="BB2" s="12" t="s">
        <v>24</v>
      </c>
      <c r="BC2" s="12" t="s">
        <v>5</v>
      </c>
      <c r="BD2" s="12" t="s">
        <v>2</v>
      </c>
      <c r="BE2" s="12" t="s">
        <v>0</v>
      </c>
      <c r="BF2" s="12" t="s">
        <v>24</v>
      </c>
      <c r="BG2" s="17" t="s">
        <v>2</v>
      </c>
      <c r="BH2" s="17" t="s">
        <v>0</v>
      </c>
      <c r="BI2" s="17" t="s">
        <v>24</v>
      </c>
      <c r="BJ2" s="17" t="s">
        <v>2</v>
      </c>
      <c r="BK2" s="17" t="s">
        <v>19</v>
      </c>
      <c r="BL2" s="18" t="s">
        <v>3</v>
      </c>
      <c r="BM2" s="18" t="s">
        <v>4</v>
      </c>
      <c r="BN2" s="18" t="s">
        <v>6</v>
      </c>
      <c r="BO2" s="18" t="s">
        <v>25</v>
      </c>
      <c r="BP2" s="18" t="s">
        <v>26</v>
      </c>
      <c r="BQ2" s="18" t="s">
        <v>27</v>
      </c>
      <c r="BR2" s="14" t="s">
        <v>28</v>
      </c>
      <c r="BS2" s="14" t="s">
        <v>10</v>
      </c>
      <c r="BT2" s="14" t="s">
        <v>29</v>
      </c>
      <c r="BU2" s="14" t="s">
        <v>12</v>
      </c>
      <c r="BV2" s="14" t="s">
        <v>0</v>
      </c>
      <c r="BW2" s="14" t="s">
        <v>1</v>
      </c>
      <c r="BX2" s="14" t="s">
        <v>2</v>
      </c>
      <c r="BY2" s="14" t="s">
        <v>0</v>
      </c>
      <c r="BZ2" s="14" t="s">
        <v>1</v>
      </c>
      <c r="CA2" s="14" t="s">
        <v>2</v>
      </c>
      <c r="CB2" s="14" t="s">
        <v>0</v>
      </c>
      <c r="CC2" s="14" t="s">
        <v>1</v>
      </c>
      <c r="CD2" s="14" t="s">
        <v>2</v>
      </c>
      <c r="CE2" s="14" t="s">
        <v>0</v>
      </c>
      <c r="CF2" s="14" t="s">
        <v>1</v>
      </c>
      <c r="CG2" s="14" t="s">
        <v>2</v>
      </c>
      <c r="CH2" s="14" t="s">
        <v>2</v>
      </c>
      <c r="CI2" s="14" t="s">
        <v>1</v>
      </c>
      <c r="CJ2" s="14" t="s">
        <v>2</v>
      </c>
      <c r="CK2" s="14" t="s">
        <v>1</v>
      </c>
      <c r="CL2" s="14" t="s">
        <v>1</v>
      </c>
      <c r="CM2" s="14" t="s">
        <v>1</v>
      </c>
      <c r="CN2" s="14" t="s">
        <v>1</v>
      </c>
      <c r="CO2" s="14" t="s">
        <v>1</v>
      </c>
      <c r="CP2" s="14" t="s">
        <v>1</v>
      </c>
      <c r="CQ2" s="14" t="s">
        <v>1</v>
      </c>
      <c r="CR2" s="19" t="s">
        <v>30</v>
      </c>
      <c r="CS2" s="85" t="s">
        <v>136</v>
      </c>
      <c r="CT2" s="85" t="s">
        <v>135</v>
      </c>
      <c r="CU2" s="85" t="s">
        <v>29</v>
      </c>
      <c r="CV2" s="85" t="s">
        <v>12</v>
      </c>
      <c r="CW2" s="20" t="s">
        <v>31</v>
      </c>
    </row>
    <row r="3" spans="1:101" ht="60" x14ac:dyDescent="0.25">
      <c r="D3" s="21" t="s">
        <v>32</v>
      </c>
      <c r="E3" s="21" t="s">
        <v>32</v>
      </c>
      <c r="F3" s="21" t="s">
        <v>32</v>
      </c>
      <c r="G3" s="22" t="s">
        <v>32</v>
      </c>
      <c r="H3" s="22" t="s">
        <v>32</v>
      </c>
      <c r="I3" s="23" t="s">
        <v>32</v>
      </c>
      <c r="J3" s="22" t="s">
        <v>32</v>
      </c>
      <c r="K3" s="22" t="s">
        <v>33</v>
      </c>
      <c r="L3" s="22" t="s">
        <v>33</v>
      </c>
      <c r="M3" s="22" t="s">
        <v>33</v>
      </c>
      <c r="N3" s="22" t="s">
        <v>34</v>
      </c>
      <c r="O3" s="22" t="s">
        <v>34</v>
      </c>
      <c r="P3" s="22" t="s">
        <v>34</v>
      </c>
      <c r="Q3" s="22" t="s">
        <v>34</v>
      </c>
      <c r="R3" s="22" t="s">
        <v>34</v>
      </c>
      <c r="S3" s="22" t="s">
        <v>34</v>
      </c>
      <c r="T3" s="24" t="s">
        <v>137</v>
      </c>
      <c r="U3" s="24" t="s">
        <v>137</v>
      </c>
      <c r="V3" s="24" t="s">
        <v>137</v>
      </c>
      <c r="W3" s="24" t="s">
        <v>137</v>
      </c>
      <c r="X3" s="24" t="s">
        <v>137</v>
      </c>
      <c r="Y3" s="24" t="s">
        <v>137</v>
      </c>
      <c r="Z3" s="22" t="s">
        <v>35</v>
      </c>
      <c r="AA3" s="22" t="s">
        <v>35</v>
      </c>
      <c r="AB3" s="22" t="s">
        <v>35</v>
      </c>
      <c r="AC3" s="22" t="s">
        <v>35</v>
      </c>
      <c r="AD3" s="22" t="s">
        <v>35</v>
      </c>
      <c r="AE3" s="22" t="s">
        <v>35</v>
      </c>
      <c r="AF3" s="22" t="s">
        <v>35</v>
      </c>
      <c r="AG3" s="22" t="s">
        <v>35</v>
      </c>
      <c r="AH3" s="22" t="s">
        <v>35</v>
      </c>
      <c r="AI3" s="22" t="s">
        <v>35</v>
      </c>
      <c r="AJ3" s="22" t="s">
        <v>35</v>
      </c>
      <c r="AK3" s="22" t="s">
        <v>35</v>
      </c>
      <c r="AL3" s="23" t="s">
        <v>36</v>
      </c>
      <c r="AM3" s="23" t="s">
        <v>36</v>
      </c>
      <c r="AN3" s="23"/>
      <c r="AO3" s="23"/>
      <c r="AP3" s="90"/>
      <c r="AQ3" s="84" t="s">
        <v>37</v>
      </c>
      <c r="AR3" s="24" t="s">
        <v>38</v>
      </c>
      <c r="AS3" s="24" t="s">
        <v>38</v>
      </c>
      <c r="AT3" s="22" t="s">
        <v>38</v>
      </c>
      <c r="AU3" s="22" t="s">
        <v>38</v>
      </c>
      <c r="AV3" s="22" t="s">
        <v>38</v>
      </c>
      <c r="AW3" s="22" t="s">
        <v>39</v>
      </c>
      <c r="AX3" s="22" t="s">
        <v>39</v>
      </c>
      <c r="AY3" s="22" t="s">
        <v>39</v>
      </c>
      <c r="AZ3" s="22" t="s">
        <v>39</v>
      </c>
      <c r="BA3" s="22" t="s">
        <v>40</v>
      </c>
      <c r="BB3" s="22" t="s">
        <v>40</v>
      </c>
      <c r="BC3" s="22" t="s">
        <v>40</v>
      </c>
      <c r="BD3" s="22" t="s">
        <v>40</v>
      </c>
      <c r="BE3" s="22" t="s">
        <v>41</v>
      </c>
      <c r="BF3" s="22" t="s">
        <v>41</v>
      </c>
      <c r="BG3" s="22" t="s">
        <v>41</v>
      </c>
      <c r="BH3" s="22" t="s">
        <v>42</v>
      </c>
      <c r="BI3" s="22" t="s">
        <v>42</v>
      </c>
      <c r="BJ3" s="22" t="s">
        <v>42</v>
      </c>
      <c r="BK3" s="22" t="s">
        <v>42</v>
      </c>
      <c r="BL3" s="24" t="s">
        <v>32</v>
      </c>
      <c r="BM3" s="24" t="s">
        <v>32</v>
      </c>
      <c r="BN3" s="24" t="s">
        <v>32</v>
      </c>
      <c r="BO3" s="25" t="s">
        <v>4</v>
      </c>
      <c r="BP3" s="25" t="s">
        <v>4</v>
      </c>
      <c r="BQ3" s="25" t="s">
        <v>4</v>
      </c>
      <c r="BR3" s="84" t="s">
        <v>43</v>
      </c>
      <c r="BS3" s="84" t="s">
        <v>43</v>
      </c>
      <c r="BT3" s="84" t="s">
        <v>43</v>
      </c>
      <c r="BU3" s="84" t="s">
        <v>43</v>
      </c>
      <c r="BV3" s="84" t="s">
        <v>38</v>
      </c>
      <c r="BW3" s="84" t="s">
        <v>38</v>
      </c>
      <c r="BX3" s="84" t="s">
        <v>38</v>
      </c>
      <c r="BY3" s="84" t="s">
        <v>42</v>
      </c>
      <c r="BZ3" s="84" t="s">
        <v>42</v>
      </c>
      <c r="CA3" s="84" t="s">
        <v>42</v>
      </c>
      <c r="CB3" s="84" t="s">
        <v>44</v>
      </c>
      <c r="CC3" s="84" t="s">
        <v>44</v>
      </c>
      <c r="CD3" s="84" t="s">
        <v>44</v>
      </c>
      <c r="CE3" s="84" t="s">
        <v>45</v>
      </c>
      <c r="CF3" s="84" t="s">
        <v>45</v>
      </c>
      <c r="CG3" s="84" t="s">
        <v>45</v>
      </c>
      <c r="CH3" s="84" t="s">
        <v>41</v>
      </c>
      <c r="CI3" s="84" t="s">
        <v>46</v>
      </c>
      <c r="CJ3" s="84" t="s">
        <v>46</v>
      </c>
      <c r="CK3" s="26" t="s">
        <v>47</v>
      </c>
      <c r="CL3" s="26" t="s">
        <v>47</v>
      </c>
      <c r="CM3" s="26" t="s">
        <v>32</v>
      </c>
      <c r="CN3" s="26" t="s">
        <v>42</v>
      </c>
      <c r="CO3" s="26" t="s">
        <v>48</v>
      </c>
      <c r="CP3" s="26" t="s">
        <v>46</v>
      </c>
      <c r="CQ3" s="26" t="s">
        <v>46</v>
      </c>
      <c r="CR3" s="86" t="s">
        <v>49</v>
      </c>
      <c r="CS3" s="87" t="s">
        <v>138</v>
      </c>
      <c r="CT3" s="87" t="s">
        <v>138</v>
      </c>
      <c r="CU3" s="87" t="s">
        <v>138</v>
      </c>
      <c r="CV3" s="87" t="s">
        <v>138</v>
      </c>
      <c r="CW3" s="27"/>
    </row>
    <row r="4" spans="1:101" x14ac:dyDescent="0.25">
      <c r="A4" s="28"/>
      <c r="B4" s="29" t="s">
        <v>50</v>
      </c>
      <c r="C4" s="30" t="s">
        <v>51</v>
      </c>
      <c r="D4" s="31" t="s">
        <v>52</v>
      </c>
      <c r="E4" s="31" t="s">
        <v>53</v>
      </c>
      <c r="F4" s="31" t="s">
        <v>54</v>
      </c>
      <c r="G4" s="32">
        <v>482800001265</v>
      </c>
      <c r="H4" s="32">
        <v>482800001273</v>
      </c>
      <c r="I4" s="32">
        <v>482800002024</v>
      </c>
      <c r="J4" s="32">
        <v>482800001257</v>
      </c>
      <c r="K4" s="32" t="s">
        <v>55</v>
      </c>
      <c r="L4" s="32" t="s">
        <v>56</v>
      </c>
      <c r="M4" s="32" t="s">
        <v>57</v>
      </c>
      <c r="N4" s="32">
        <v>36203301</v>
      </c>
      <c r="O4" s="32">
        <v>36203301</v>
      </c>
      <c r="P4" s="32">
        <v>36203328</v>
      </c>
      <c r="Q4" s="32">
        <v>36203328</v>
      </c>
      <c r="R4" s="32">
        <v>36025015</v>
      </c>
      <c r="S4" s="32">
        <v>36025015</v>
      </c>
      <c r="T4" s="32"/>
      <c r="U4" s="32"/>
      <c r="V4" s="32"/>
      <c r="W4" s="32"/>
      <c r="X4" s="32"/>
      <c r="Y4" s="32"/>
      <c r="Z4" s="32">
        <v>865784010</v>
      </c>
      <c r="AA4" s="32">
        <v>865784010</v>
      </c>
      <c r="AB4" s="32">
        <v>865804010</v>
      </c>
      <c r="AC4" s="32">
        <v>865804010</v>
      </c>
      <c r="AD4" s="32">
        <v>865794010</v>
      </c>
      <c r="AE4" s="32">
        <v>865794010</v>
      </c>
      <c r="AF4" s="32" t="s">
        <v>58</v>
      </c>
      <c r="AG4" s="32" t="s">
        <v>58</v>
      </c>
      <c r="AH4" s="32" t="s">
        <v>59</v>
      </c>
      <c r="AI4" s="32" t="s">
        <v>59</v>
      </c>
      <c r="AJ4" s="32" t="s">
        <v>60</v>
      </c>
      <c r="AK4" s="32" t="s">
        <v>60</v>
      </c>
      <c r="AL4" s="33"/>
      <c r="AM4" s="33"/>
      <c r="AN4" s="33"/>
      <c r="AO4" s="33"/>
      <c r="AP4" s="33"/>
      <c r="AQ4" s="33">
        <v>3642</v>
      </c>
      <c r="AR4" s="33" t="s">
        <v>61</v>
      </c>
      <c r="AS4" s="33" t="s">
        <v>62</v>
      </c>
      <c r="AT4" s="33" t="s">
        <v>63</v>
      </c>
      <c r="AU4" s="33" t="s">
        <v>64</v>
      </c>
      <c r="AV4" s="33" t="s">
        <v>65</v>
      </c>
      <c r="AW4" s="33" t="s">
        <v>66</v>
      </c>
      <c r="AX4" s="33" t="s">
        <v>67</v>
      </c>
      <c r="AY4" s="33" t="s">
        <v>68</v>
      </c>
      <c r="AZ4" s="33" t="s">
        <v>69</v>
      </c>
      <c r="BA4" s="33" t="s">
        <v>70</v>
      </c>
      <c r="BB4" s="33" t="s">
        <v>71</v>
      </c>
      <c r="BC4" s="33" t="s">
        <v>72</v>
      </c>
      <c r="BD4" s="33" t="s">
        <v>73</v>
      </c>
      <c r="BE4" s="33" t="s">
        <v>74</v>
      </c>
      <c r="BF4" s="33" t="s">
        <v>75</v>
      </c>
      <c r="BG4" s="33" t="s">
        <v>76</v>
      </c>
      <c r="BH4" s="33" t="s">
        <v>77</v>
      </c>
      <c r="BI4" s="33" t="s">
        <v>78</v>
      </c>
      <c r="BJ4" s="33" t="s">
        <v>79</v>
      </c>
      <c r="BK4" s="33" t="s">
        <v>80</v>
      </c>
      <c r="BL4" s="34">
        <v>482800007882</v>
      </c>
      <c r="BM4" s="34">
        <v>482800007908</v>
      </c>
      <c r="BN4" s="34">
        <v>482800007890</v>
      </c>
      <c r="BO4" s="34">
        <v>482800010001</v>
      </c>
      <c r="BP4" s="34">
        <v>482800010019</v>
      </c>
      <c r="BQ4" s="34">
        <v>482800010027</v>
      </c>
      <c r="BR4" s="33">
        <v>36024995</v>
      </c>
      <c r="BS4" s="33">
        <v>36024995</v>
      </c>
      <c r="BT4" s="33">
        <v>36903922</v>
      </c>
      <c r="BU4" s="33">
        <v>36903922</v>
      </c>
      <c r="BV4" s="33">
        <v>36294346</v>
      </c>
      <c r="BW4" s="33" t="s">
        <v>81</v>
      </c>
      <c r="BX4" s="33">
        <v>36294353</v>
      </c>
      <c r="BY4" s="33" t="s">
        <v>82</v>
      </c>
      <c r="BZ4" s="33" t="s">
        <v>83</v>
      </c>
      <c r="CA4" s="33" t="s">
        <v>84</v>
      </c>
      <c r="CB4" s="33" t="s">
        <v>85</v>
      </c>
      <c r="CC4" s="33" t="s">
        <v>86</v>
      </c>
      <c r="CD4" s="33" t="s">
        <v>87</v>
      </c>
      <c r="CE4" s="33" t="s">
        <v>88</v>
      </c>
      <c r="CF4" s="33" t="s">
        <v>89</v>
      </c>
      <c r="CG4" s="33" t="s">
        <v>90</v>
      </c>
      <c r="CH4" s="33" t="s">
        <v>91</v>
      </c>
      <c r="CI4" s="33">
        <v>221816614</v>
      </c>
      <c r="CJ4" s="33">
        <v>221816598</v>
      </c>
      <c r="CK4" s="33">
        <v>60193029</v>
      </c>
      <c r="CL4" s="33">
        <v>60193401</v>
      </c>
      <c r="CM4" s="33">
        <v>1011143807</v>
      </c>
      <c r="CN4" s="33">
        <v>4801736642</v>
      </c>
      <c r="CO4" s="33">
        <v>65005340</v>
      </c>
      <c r="CP4" s="33">
        <v>288086051</v>
      </c>
      <c r="CQ4" s="33">
        <v>288049109</v>
      </c>
      <c r="CR4" s="33">
        <v>411166042</v>
      </c>
      <c r="CS4" s="33">
        <v>865804015</v>
      </c>
      <c r="CT4" s="33">
        <v>865804015</v>
      </c>
      <c r="CU4" s="33">
        <v>865794015</v>
      </c>
      <c r="CV4" s="33">
        <v>865794015</v>
      </c>
      <c r="CW4" s="35"/>
    </row>
    <row r="5" spans="1:101" x14ac:dyDescent="0.25">
      <c r="B5" s="36"/>
      <c r="C5" s="37" t="s">
        <v>92</v>
      </c>
      <c r="D5" s="38"/>
      <c r="E5" s="38" t="s">
        <v>93</v>
      </c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9"/>
      <c r="AI5" s="39"/>
      <c r="AJ5" s="39"/>
      <c r="AK5" s="39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>
        <v>4.1264399999999997</v>
      </c>
      <c r="BT5" s="37"/>
      <c r="BU5" s="37">
        <f>+BS5</f>
        <v>4.1264399999999997</v>
      </c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40"/>
    </row>
    <row r="6" spans="1:101" x14ac:dyDescent="0.25">
      <c r="B6" s="36"/>
      <c r="C6" s="37" t="s">
        <v>94</v>
      </c>
      <c r="D6" s="37">
        <f>+D7-D8</f>
        <v>-17779.430400000478</v>
      </c>
      <c r="E6" s="37">
        <f>+E7-E8</f>
        <v>875706.0429154709</v>
      </c>
      <c r="F6" s="37">
        <f>+F7-F8</f>
        <v>410027.62807848677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9"/>
      <c r="AI6" s="39"/>
      <c r="AJ6" s="39"/>
      <c r="AK6" s="39"/>
      <c r="AL6" s="37">
        <f t="shared" ref="AL6:BQ6" si="0">+AL7-AL8</f>
        <v>-196365.41563007981</v>
      </c>
      <c r="AM6" s="37">
        <f t="shared" si="0"/>
        <v>-138189.6814135313</v>
      </c>
      <c r="AN6" s="37">
        <f t="shared" si="0"/>
        <v>-268627.38016000111</v>
      </c>
      <c r="AO6" s="37">
        <f t="shared" si="0"/>
        <v>54992.373848560266</v>
      </c>
      <c r="AP6" s="37">
        <f t="shared" si="0"/>
        <v>540969.53205400519</v>
      </c>
      <c r="AQ6" s="37">
        <f t="shared" si="0"/>
        <v>650362.79848783952</v>
      </c>
      <c r="AR6" s="37">
        <f t="shared" si="0"/>
        <v>0</v>
      </c>
      <c r="AS6" s="37">
        <f t="shared" si="0"/>
        <v>0</v>
      </c>
      <c r="AT6" s="37">
        <f t="shared" si="0"/>
        <v>0</v>
      </c>
      <c r="AU6" s="37">
        <f t="shared" si="0"/>
        <v>0</v>
      </c>
      <c r="AV6" s="37">
        <f t="shared" si="0"/>
        <v>0</v>
      </c>
      <c r="AW6" s="37">
        <f t="shared" si="0"/>
        <v>0</v>
      </c>
      <c r="AX6" s="37">
        <f t="shared" si="0"/>
        <v>0</v>
      </c>
      <c r="AY6" s="37">
        <f t="shared" si="0"/>
        <v>0</v>
      </c>
      <c r="AZ6" s="37">
        <f t="shared" si="0"/>
        <v>0</v>
      </c>
      <c r="BA6" s="37">
        <f t="shared" si="0"/>
        <v>0</v>
      </c>
      <c r="BB6" s="37">
        <f t="shared" si="0"/>
        <v>0</v>
      </c>
      <c r="BC6" s="37">
        <f t="shared" si="0"/>
        <v>0</v>
      </c>
      <c r="BD6" s="37">
        <f t="shared" si="0"/>
        <v>0</v>
      </c>
      <c r="BE6" s="37">
        <f t="shared" si="0"/>
        <v>0</v>
      </c>
      <c r="BF6" s="37">
        <f t="shared" si="0"/>
        <v>0</v>
      </c>
      <c r="BG6" s="37">
        <f t="shared" si="0"/>
        <v>0</v>
      </c>
      <c r="BH6" s="37">
        <f t="shared" si="0"/>
        <v>0</v>
      </c>
      <c r="BI6" s="37">
        <f t="shared" si="0"/>
        <v>0</v>
      </c>
      <c r="BJ6" s="37">
        <f t="shared" si="0"/>
        <v>0</v>
      </c>
      <c r="BK6" s="37">
        <f t="shared" si="0"/>
        <v>0</v>
      </c>
      <c r="BL6" s="37">
        <f t="shared" si="0"/>
        <v>0</v>
      </c>
      <c r="BM6" s="37">
        <f t="shared" si="0"/>
        <v>0</v>
      </c>
      <c r="BN6" s="37">
        <f t="shared" si="0"/>
        <v>0</v>
      </c>
      <c r="BO6" s="37">
        <f t="shared" si="0"/>
        <v>0</v>
      </c>
      <c r="BP6" s="37">
        <f t="shared" si="0"/>
        <v>0</v>
      </c>
      <c r="BQ6" s="37">
        <f t="shared" si="0"/>
        <v>0</v>
      </c>
      <c r="BR6" s="37"/>
      <c r="BS6" s="37"/>
      <c r="BT6" s="37"/>
      <c r="BU6" s="37"/>
      <c r="BV6" s="37">
        <f>+BV7-BV8-422.17</f>
        <v>-422.17</v>
      </c>
      <c r="BW6" s="37">
        <f t="shared" ref="BW6:CR6" si="1">+BW7-BW8</f>
        <v>0</v>
      </c>
      <c r="BX6" s="37">
        <f t="shared" si="1"/>
        <v>0</v>
      </c>
      <c r="BY6" s="37">
        <f t="shared" si="1"/>
        <v>216.57699999993201</v>
      </c>
      <c r="BZ6" s="37">
        <f t="shared" si="1"/>
        <v>184902.91424000077</v>
      </c>
      <c r="CA6" s="37">
        <f t="shared" si="1"/>
        <v>554489.41755000036</v>
      </c>
      <c r="CB6" s="37">
        <f t="shared" si="1"/>
        <v>-2.4000000121304765E-4</v>
      </c>
      <c r="CC6" s="37">
        <f t="shared" si="1"/>
        <v>-4.1799999307841063E-3</v>
      </c>
      <c r="CD6" s="37">
        <f>+[1]Otrosbancos!$U$29</f>
        <v>0</v>
      </c>
      <c r="CE6" s="37">
        <f t="shared" si="1"/>
        <v>0</v>
      </c>
      <c r="CF6" s="37">
        <f t="shared" si="1"/>
        <v>93088.701999999932</v>
      </c>
      <c r="CG6" s="37">
        <f t="shared" si="1"/>
        <v>0</v>
      </c>
      <c r="CH6" s="37">
        <f t="shared" si="1"/>
        <v>0</v>
      </c>
      <c r="CI6" s="37">
        <f t="shared" si="1"/>
        <v>914.81400000001304</v>
      </c>
      <c r="CJ6" s="37">
        <f t="shared" si="1"/>
        <v>35226.139999999985</v>
      </c>
      <c r="CK6" s="37">
        <f t="shared" si="1"/>
        <v>0</v>
      </c>
      <c r="CL6" s="37">
        <f t="shared" si="1"/>
        <v>0</v>
      </c>
      <c r="CM6" s="37">
        <f t="shared" si="1"/>
        <v>-1.4999999257270247E-4</v>
      </c>
      <c r="CN6" s="37">
        <f t="shared" si="1"/>
        <v>-2.9699999140575528E-3</v>
      </c>
      <c r="CO6" s="37">
        <f t="shared" si="1"/>
        <v>4.6400002902373672E-3</v>
      </c>
      <c r="CP6" s="37">
        <f t="shared" si="1"/>
        <v>-2.7600005269050598E-3</v>
      </c>
      <c r="CQ6" s="37">
        <f t="shared" si="1"/>
        <v>216.65003000001889</v>
      </c>
      <c r="CR6" s="37">
        <f t="shared" si="1"/>
        <v>-6.7999896054971032E-4</v>
      </c>
      <c r="CS6" s="37">
        <f>+CS7-CS8</f>
        <v>-5000</v>
      </c>
      <c r="CT6" s="37">
        <f>+CT7-CT8</f>
        <v>-20468.599999999999</v>
      </c>
      <c r="CU6" s="37">
        <f>+CU7-CU8</f>
        <v>-5000</v>
      </c>
      <c r="CV6" s="37">
        <f>+CV7-CV8</f>
        <v>-20468.599999999999</v>
      </c>
      <c r="CW6" s="37"/>
    </row>
    <row r="7" spans="1:101" x14ac:dyDescent="0.25">
      <c r="A7" s="41"/>
      <c r="B7" s="42"/>
      <c r="C7" s="43" t="s">
        <v>95</v>
      </c>
      <c r="D7" s="43">
        <f>+'[1]Cap,Bol,Cls'!$U$4</f>
        <v>427531.20205000002</v>
      </c>
      <c r="E7" s="43">
        <f>+'[1]Cap,Bol,Cls'!$U$13</f>
        <v>19497718.93022</v>
      </c>
      <c r="F7" s="43">
        <f>+'[1]Cap,Bol,Cls'!$U$30</f>
        <v>28490851.634950001</v>
      </c>
      <c r="G7" s="43">
        <f>+G8</f>
        <v>0</v>
      </c>
      <c r="H7" s="43">
        <f>+H8</f>
        <v>0</v>
      </c>
      <c r="I7" s="43">
        <f>+'[1]Cap,Bol,Cls'!$U$24</f>
        <v>113134.73005</v>
      </c>
      <c r="J7" s="43">
        <f>+J8</f>
        <v>0</v>
      </c>
      <c r="K7" s="43">
        <f>+K8</f>
        <v>215532.65850014306</v>
      </c>
      <c r="L7" s="43">
        <f>+L8</f>
        <v>876975.09972101368</v>
      </c>
      <c r="M7" s="43">
        <f>+M8</f>
        <v>6826432.7261848673</v>
      </c>
      <c r="N7" s="43">
        <f>+N8</f>
        <v>177310.5199999999</v>
      </c>
      <c r="O7" s="43">
        <f t="shared" ref="O7:AK7" si="2">+O8</f>
        <v>743248.15264999995</v>
      </c>
      <c r="P7" s="43">
        <f t="shared" si="2"/>
        <v>18425260.210000008</v>
      </c>
      <c r="Q7" s="43">
        <f t="shared" si="2"/>
        <v>110060285.27120999</v>
      </c>
      <c r="R7" s="43">
        <f t="shared" si="2"/>
        <v>1016891.0100000001</v>
      </c>
      <c r="S7" s="43">
        <f t="shared" si="2"/>
        <v>4579677.5747987982</v>
      </c>
      <c r="T7" s="43"/>
      <c r="U7" s="43"/>
      <c r="V7" s="43"/>
      <c r="W7" s="43"/>
      <c r="X7" s="43"/>
      <c r="Y7" s="43"/>
      <c r="Z7" s="43">
        <f t="shared" si="2"/>
        <v>9662.5274983807467</v>
      </c>
      <c r="AA7" s="43">
        <f t="shared" si="2"/>
        <v>40503.29</v>
      </c>
      <c r="AB7" s="43">
        <f t="shared" si="2"/>
        <v>7542.7499999967404</v>
      </c>
      <c r="AC7" s="43">
        <f t="shared" si="2"/>
        <v>31617.62</v>
      </c>
      <c r="AD7" s="43">
        <f t="shared" si="2"/>
        <v>5155</v>
      </c>
      <c r="AE7" s="43">
        <f t="shared" si="2"/>
        <v>21608.68</v>
      </c>
      <c r="AF7" s="43">
        <f t="shared" si="2"/>
        <v>7956.8699999451637</v>
      </c>
      <c r="AG7" s="43">
        <f t="shared" si="2"/>
        <v>33353.53</v>
      </c>
      <c r="AH7" s="43">
        <f t="shared" si="2"/>
        <v>195459.03999999719</v>
      </c>
      <c r="AI7" s="43">
        <f t="shared" si="2"/>
        <v>819134.7964617</v>
      </c>
      <c r="AJ7" s="43">
        <f t="shared" si="2"/>
        <v>673596.71999999823</v>
      </c>
      <c r="AK7" s="43">
        <f t="shared" si="2"/>
        <v>2823324.1679230896</v>
      </c>
      <c r="AL7" s="43">
        <f>+[1]Inversoras!$U$56</f>
        <v>21605866.10977</v>
      </c>
      <c r="AM7" s="43">
        <f>+[1]Inversoras!$U$57</f>
        <v>59522220.593100004</v>
      </c>
      <c r="AN7" s="43">
        <f>+[1]Inversoras!$U$58</f>
        <v>6211479.1519999998</v>
      </c>
      <c r="AO7" s="43">
        <f>+[1]Inversoras!$U$59</f>
        <v>1012435.35</v>
      </c>
      <c r="AP7" s="43">
        <f>+[1]Inversoras!$U$60</f>
        <v>8994325.8303900026</v>
      </c>
      <c r="AQ7" s="43">
        <f>+[1]Inversoras!$U$61</f>
        <v>2385213.9278199999</v>
      </c>
      <c r="AR7" s="43">
        <f>+AR8</f>
        <v>33752.683643993005</v>
      </c>
      <c r="AS7" s="43">
        <f t="shared" ref="AS7:BQ7" si="3">+AS8</f>
        <v>6.2719079996137461</v>
      </c>
      <c r="AT7" s="43">
        <f t="shared" si="3"/>
        <v>11.210432002509913</v>
      </c>
      <c r="AU7" s="43">
        <f t="shared" si="3"/>
        <v>70709.869203997281</v>
      </c>
      <c r="AV7" s="43">
        <f t="shared" si="3"/>
        <v>523662.90839880263</v>
      </c>
      <c r="AW7" s="43">
        <f t="shared" si="3"/>
        <v>85667.9885699968</v>
      </c>
      <c r="AX7" s="43">
        <f t="shared" si="3"/>
        <v>1041.3974240010875</v>
      </c>
      <c r="AY7" s="43">
        <f t="shared" si="3"/>
        <v>163079.64131199798</v>
      </c>
      <c r="AZ7" s="43">
        <f t="shared" si="3"/>
        <v>23267.345377323236</v>
      </c>
      <c r="BA7" s="43">
        <f t="shared" si="3"/>
        <v>202682.57172400694</v>
      </c>
      <c r="BB7" s="43">
        <f t="shared" si="3"/>
        <v>70187.807219991155</v>
      </c>
      <c r="BC7" s="43">
        <f t="shared" si="3"/>
        <v>267743.4258479987</v>
      </c>
      <c r="BD7" s="43">
        <f t="shared" si="3"/>
        <v>17106.989599989829</v>
      </c>
      <c r="BE7" s="43">
        <f t="shared" si="3"/>
        <v>256586.81289368056</v>
      </c>
      <c r="BF7" s="43">
        <f t="shared" si="3"/>
        <v>321949.5492303599</v>
      </c>
      <c r="BG7" s="43">
        <f t="shared" si="3"/>
        <v>35109.232018882758</v>
      </c>
      <c r="BH7" s="43">
        <f t="shared" si="3"/>
        <v>27273.514880002102</v>
      </c>
      <c r="BI7" s="43">
        <f t="shared" si="3"/>
        <v>630661.83776839031</v>
      </c>
      <c r="BJ7" s="43">
        <f t="shared" si="3"/>
        <v>197783.28604456017</v>
      </c>
      <c r="BK7" s="43">
        <f t="shared" si="3"/>
        <v>3408870.6208220124</v>
      </c>
      <c r="BL7" s="43">
        <f t="shared" si="3"/>
        <v>113109.23694244608</v>
      </c>
      <c r="BM7" s="43">
        <f t="shared" si="3"/>
        <v>1072317.4864471511</v>
      </c>
      <c r="BN7" s="43">
        <f t="shared" si="3"/>
        <v>1221754.8887473794</v>
      </c>
      <c r="BO7" s="43">
        <f t="shared" si="3"/>
        <v>3.4691202304202307E-3</v>
      </c>
      <c r="BP7" s="43">
        <f t="shared" si="3"/>
        <v>256.11285932906549</v>
      </c>
      <c r="BQ7" s="43">
        <f t="shared" si="3"/>
        <v>4.0128798844989433E-3</v>
      </c>
      <c r="BR7" s="43">
        <f>+[1]Otrosbancos!$U$49</f>
        <v>645776.53</v>
      </c>
      <c r="BS7" s="43">
        <f>+BS8</f>
        <v>2663580.1691406886</v>
      </c>
      <c r="BT7" s="43">
        <f>+[1]Otrosbancos!$U$51</f>
        <v>693481.18</v>
      </c>
      <c r="BU7" s="43">
        <f>+BU8</f>
        <v>2871705.1992285913</v>
      </c>
      <c r="BV7" s="43">
        <f>+BV8+BV5</f>
        <v>8079.5888600000008</v>
      </c>
      <c r="BW7" s="43">
        <f>+BW8+BW5</f>
        <v>390076.17299000081</v>
      </c>
      <c r="BX7" s="43">
        <f>+BX8+BX5</f>
        <v>12663.664475599246</v>
      </c>
      <c r="BY7" s="43">
        <f>+[1]Otrosbancos!$U$5</f>
        <v>737878.9</v>
      </c>
      <c r="BZ7" s="43">
        <f>+[1]Otrosbancos!$U$10</f>
        <v>5991406.3619999997</v>
      </c>
      <c r="CA7" s="43">
        <f>+[1]Otrosbancos!$U$15</f>
        <v>5564159.4740000004</v>
      </c>
      <c r="CB7" s="43">
        <f>+[1]Otrosbancos!$U$23</f>
        <v>18918.565999999999</v>
      </c>
      <c r="CC7" s="43">
        <f>+[1]Otrosbancos!$U$26</f>
        <v>903876.72199999995</v>
      </c>
      <c r="CD7" s="43">
        <f>+[1]Otrosbancos!$U$29</f>
        <v>0</v>
      </c>
      <c r="CE7" s="43">
        <f>+[1]Otrosbancos!$U$33</f>
        <v>28204.722000000002</v>
      </c>
      <c r="CF7" s="43">
        <f>+[1]Otrosbancos!$U$37</f>
        <v>696346.19658999995</v>
      </c>
      <c r="CG7" s="43">
        <f>+[1]Otrosbancos!$U$41</f>
        <v>193901.16</v>
      </c>
      <c r="CH7" s="43">
        <f>+[1]Otrosbancos!$U$46</f>
        <v>2.9318200000000001</v>
      </c>
      <c r="CI7" s="43">
        <f>+[1]Otrosbancos!$U$54</f>
        <v>810114.94200000004</v>
      </c>
      <c r="CJ7" s="43">
        <f>+[1]Otrosbancos!$U$56</f>
        <v>86164.433999999994</v>
      </c>
      <c r="CK7" s="43">
        <f>+[1]Liberty!$U$3</f>
        <v>0</v>
      </c>
      <c r="CL7" s="43">
        <f>+[1]Liberty!$U$4</f>
        <v>0</v>
      </c>
      <c r="CM7" s="43">
        <f>+[1]Liberty!$U$6</f>
        <v>79545.214000000007</v>
      </c>
      <c r="CN7" s="43">
        <f>+[1]Liberty!$U$8</f>
        <v>662749.23600000003</v>
      </c>
      <c r="CO7" s="43">
        <f>+[1]Liberty!$U$10</f>
        <v>736440.24595999997</v>
      </c>
      <c r="CP7" s="43">
        <f>+[1]Liberty!$U$12</f>
        <v>9152723.6699999999</v>
      </c>
      <c r="CQ7" s="43">
        <f>+[1]Liberty!$U$13</f>
        <v>378135.14942999999</v>
      </c>
      <c r="CR7" s="43">
        <f>+[1]Otrosbancos!$U$58</f>
        <v>20872.374</v>
      </c>
      <c r="CS7" s="43">
        <v>0</v>
      </c>
      <c r="CT7" s="43">
        <v>0</v>
      </c>
      <c r="CU7" s="43">
        <v>0</v>
      </c>
      <c r="CV7" s="43">
        <v>0</v>
      </c>
      <c r="CW7" s="43">
        <f>SUM(D7:CV7)</f>
        <v>337942701.17659098</v>
      </c>
    </row>
    <row r="8" spans="1:101" x14ac:dyDescent="0.25">
      <c r="A8" s="41"/>
      <c r="B8" s="44" t="s">
        <v>96</v>
      </c>
      <c r="C8" s="45" t="s">
        <v>97</v>
      </c>
      <c r="D8" s="45">
        <f>+'May, 28'!D40</f>
        <v>445310.6324500005</v>
      </c>
      <c r="E8" s="45">
        <f>+'May, 28'!E40</f>
        <v>18622012.88730453</v>
      </c>
      <c r="F8" s="45">
        <f>+'May, 28'!F40</f>
        <v>28080824.006871514</v>
      </c>
      <c r="G8" s="45">
        <f>+'May, 28'!G40</f>
        <v>0</v>
      </c>
      <c r="H8" s="45">
        <f>+'May, 28'!H40</f>
        <v>0</v>
      </c>
      <c r="I8" s="45">
        <f>+'May, 28'!I40</f>
        <v>113115.26593999425</v>
      </c>
      <c r="J8" s="45">
        <f>+'May, 28'!J40</f>
        <v>0</v>
      </c>
      <c r="K8" s="45">
        <f>+'May, 28'!K40</f>
        <v>215532.65850014306</v>
      </c>
      <c r="L8" s="45">
        <f>+'May, 28'!L40</f>
        <v>876975.09972101368</v>
      </c>
      <c r="M8" s="45">
        <f>+'May, 28'!M40</f>
        <v>6826432.7261848673</v>
      </c>
      <c r="N8" s="45">
        <f>+'May, 28'!N40</f>
        <v>177310.5199999999</v>
      </c>
      <c r="O8" s="45">
        <f>+'May, 28'!O40</f>
        <v>743248.15264999995</v>
      </c>
      <c r="P8" s="45">
        <f>+'May, 28'!P40</f>
        <v>18425260.210000008</v>
      </c>
      <c r="Q8" s="45">
        <f>+'May, 28'!Q40</f>
        <v>110060285.27120999</v>
      </c>
      <c r="R8" s="45">
        <f>+'May, 28'!R40</f>
        <v>1016891.0100000001</v>
      </c>
      <c r="S8" s="45">
        <f>+'May, 28'!S40</f>
        <v>4579677.5747987982</v>
      </c>
      <c r="T8" s="45">
        <f>+'May, 28'!T40</f>
        <v>0</v>
      </c>
      <c r="U8" s="45">
        <f>+'May, 28'!U40</f>
        <v>0</v>
      </c>
      <c r="V8" s="45">
        <f>+'May, 28'!V40</f>
        <v>0</v>
      </c>
      <c r="W8" s="45">
        <f>+'May, 28'!W40</f>
        <v>0</v>
      </c>
      <c r="X8" s="45">
        <f>+'May, 28'!X40</f>
        <v>0</v>
      </c>
      <c r="Y8" s="45">
        <f>+'May, 28'!Y40</f>
        <v>0</v>
      </c>
      <c r="Z8" s="45">
        <f>+'May, 28'!Z40</f>
        <v>9662.5274983807467</v>
      </c>
      <c r="AA8" s="45">
        <f>+'May, 28'!AA40</f>
        <v>40503.29</v>
      </c>
      <c r="AB8" s="45">
        <f>+'May, 28'!AB40</f>
        <v>7542.7499999967404</v>
      </c>
      <c r="AC8" s="45">
        <f>+'May, 28'!AC40</f>
        <v>31617.62</v>
      </c>
      <c r="AD8" s="45">
        <f>+'May, 28'!AD40</f>
        <v>5155</v>
      </c>
      <c r="AE8" s="45">
        <f>+'May, 28'!AE40</f>
        <v>21608.68</v>
      </c>
      <c r="AF8" s="45">
        <f>+'May, 28'!AF40</f>
        <v>7956.8699999451637</v>
      </c>
      <c r="AG8" s="45">
        <f>+'May, 28'!AG40</f>
        <v>33353.53</v>
      </c>
      <c r="AH8" s="45">
        <f>+'May, 28'!AH40</f>
        <v>195459.03999999719</v>
      </c>
      <c r="AI8" s="45">
        <f>+'May, 28'!AI40</f>
        <v>819134.7964617</v>
      </c>
      <c r="AJ8" s="45">
        <f>+'May, 28'!AJ40</f>
        <v>673596.71999999823</v>
      </c>
      <c r="AK8" s="45">
        <f>+'May, 28'!AK40</f>
        <v>2823324.1679230896</v>
      </c>
      <c r="AL8" s="45">
        <f>+'May, 28'!AL40</f>
        <v>21802231.52540008</v>
      </c>
      <c r="AM8" s="45">
        <f>+'May, 28'!AM40</f>
        <v>59660410.274513535</v>
      </c>
      <c r="AN8" s="45">
        <f>+'May, 28'!AN40</f>
        <v>6480106.5321600009</v>
      </c>
      <c r="AO8" s="45">
        <f>+'May, 28'!AO40</f>
        <v>957442.97615143971</v>
      </c>
      <c r="AP8" s="45">
        <f>+'May, 28'!AP40</f>
        <v>8453356.2983359974</v>
      </c>
      <c r="AQ8" s="45">
        <f>+'May, 28'!AQ40</f>
        <v>1734851.1293321603</v>
      </c>
      <c r="AR8" s="45">
        <f>+'May, 28'!AR40</f>
        <v>33752.683643993005</v>
      </c>
      <c r="AS8" s="45">
        <f>+'May, 28'!AS40</f>
        <v>6.2719079996137461</v>
      </c>
      <c r="AT8" s="45">
        <f>+'May, 28'!AT40</f>
        <v>11.210432002509913</v>
      </c>
      <c r="AU8" s="45">
        <f>+'May, 28'!AU40</f>
        <v>70709.869203997281</v>
      </c>
      <c r="AV8" s="45">
        <f>+'May, 28'!AV40</f>
        <v>523662.90839880263</v>
      </c>
      <c r="AW8" s="45">
        <f>+'May, 28'!AW40</f>
        <v>85667.9885699968</v>
      </c>
      <c r="AX8" s="45">
        <f>+'May, 28'!AX40</f>
        <v>1041.3974240010875</v>
      </c>
      <c r="AY8" s="45">
        <f>+'May, 28'!AY40</f>
        <v>163079.64131199798</v>
      </c>
      <c r="AZ8" s="45">
        <f>+'May, 28'!AZ40</f>
        <v>23267.345377323236</v>
      </c>
      <c r="BA8" s="45">
        <f>+'May, 28'!BA40</f>
        <v>202682.57172400694</v>
      </c>
      <c r="BB8" s="45">
        <f>+'May, 28'!BB40</f>
        <v>70187.807219991155</v>
      </c>
      <c r="BC8" s="45">
        <f>+'May, 28'!BC40</f>
        <v>267743.4258479987</v>
      </c>
      <c r="BD8" s="45">
        <f>+'May, 28'!BD40</f>
        <v>17106.989599989829</v>
      </c>
      <c r="BE8" s="45">
        <f>+'May, 28'!BE40</f>
        <v>256586.81289368056</v>
      </c>
      <c r="BF8" s="45">
        <f>+'May, 28'!BF40</f>
        <v>321949.5492303599</v>
      </c>
      <c r="BG8" s="45">
        <f>+'May, 28'!BG40</f>
        <v>35109.232018882758</v>
      </c>
      <c r="BH8" s="45">
        <f>+'May, 28'!BH40</f>
        <v>27273.514880002102</v>
      </c>
      <c r="BI8" s="45">
        <f>+'May, 28'!BI40</f>
        <v>630661.83776839031</v>
      </c>
      <c r="BJ8" s="45">
        <f>+'May, 28'!BJ40</f>
        <v>197783.28604456017</v>
      </c>
      <c r="BK8" s="45">
        <f>+'May, 28'!BK40</f>
        <v>3408870.6208220124</v>
      </c>
      <c r="BL8" s="45">
        <f>+'May, 28'!BL40</f>
        <v>113109.23694244608</v>
      </c>
      <c r="BM8" s="45">
        <f>+'May, 28'!BM40</f>
        <v>1072317.4864471511</v>
      </c>
      <c r="BN8" s="45">
        <f>+'May, 28'!BN40</f>
        <v>1221754.8887473794</v>
      </c>
      <c r="BO8" s="45">
        <f>+'May, 28'!BO40</f>
        <v>3.4691202304202307E-3</v>
      </c>
      <c r="BP8" s="45">
        <f>+'May, 28'!BP40</f>
        <v>256.11285932906549</v>
      </c>
      <c r="BQ8" s="45">
        <f>+'May, 28'!BQ40</f>
        <v>4.0128798844989433E-3</v>
      </c>
      <c r="BR8" s="45">
        <f>+'May, 28'!BR40</f>
        <v>645776.5260000031</v>
      </c>
      <c r="BS8" s="45">
        <f>+'May, 28'!BS40</f>
        <v>2663580.1691406886</v>
      </c>
      <c r="BT8" s="45">
        <f>+'May, 28'!BT40</f>
        <v>693481.18493201921</v>
      </c>
      <c r="BU8" s="45">
        <f>+'May, 28'!BU40</f>
        <v>2871705.1992285913</v>
      </c>
      <c r="BV8" s="45">
        <f>+'May, 28'!BV40</f>
        <v>8079.5888600000008</v>
      </c>
      <c r="BW8" s="45">
        <f>+'May, 28'!BW40</f>
        <v>390076.17299000081</v>
      </c>
      <c r="BX8" s="45">
        <f>+'May, 28'!BX40</f>
        <v>12663.664475599246</v>
      </c>
      <c r="BY8" s="45">
        <f>+'May, 28'!BY40</f>
        <v>737662.32300000009</v>
      </c>
      <c r="BZ8" s="45">
        <f>+'May, 28'!BZ40</f>
        <v>5806503.447759999</v>
      </c>
      <c r="CA8" s="45">
        <f>+'May, 28'!CA40</f>
        <v>5009670.05645</v>
      </c>
      <c r="CB8" s="45">
        <f>+'May, 28'!CB40</f>
        <v>18918.56624</v>
      </c>
      <c r="CC8" s="45">
        <f>+'May, 28'!CC40</f>
        <v>903876.72617999988</v>
      </c>
      <c r="CD8" s="45">
        <f>+'May, 28'!CD40</f>
        <v>0</v>
      </c>
      <c r="CE8" s="45">
        <f>+'May, 28'!CE40</f>
        <v>28204.722000000002</v>
      </c>
      <c r="CF8" s="45">
        <f>+'May, 28'!CF40</f>
        <v>603257.49459000002</v>
      </c>
      <c r="CG8" s="45">
        <f>+'May, 28'!CG40</f>
        <v>193901.16</v>
      </c>
      <c r="CH8" s="45">
        <f>+'May, 28'!CH40</f>
        <v>2.9318200000000001</v>
      </c>
      <c r="CI8" s="45">
        <f>+'May, 28'!CI40</f>
        <v>809200.12800000003</v>
      </c>
      <c r="CJ8" s="45">
        <f>+'May, 28'!CJ40</f>
        <v>50938.294000000009</v>
      </c>
      <c r="CK8" s="45">
        <f>+'May, 28'!CK40</f>
        <v>0</v>
      </c>
      <c r="CL8" s="45">
        <f>+'May, 28'!CL40</f>
        <v>0</v>
      </c>
      <c r="CM8" s="45">
        <f>+'May, 28'!CM40</f>
        <v>79545.21415</v>
      </c>
      <c r="CN8" s="45">
        <f>+'May, 28'!CN40</f>
        <v>662749.23896999995</v>
      </c>
      <c r="CO8" s="45">
        <f>+'May, 28'!CO40</f>
        <v>736440.24131999968</v>
      </c>
      <c r="CP8" s="45">
        <f>+'May, 28'!CP40</f>
        <v>9152723.6727600005</v>
      </c>
      <c r="CQ8" s="45">
        <f>+'May, 28'!CQ40</f>
        <v>377918.49939999997</v>
      </c>
      <c r="CR8" s="45">
        <f>+'May, 28'!CR40</f>
        <v>20872.37467999896</v>
      </c>
      <c r="CS8" s="45">
        <f>+'May, 28'!CS40</f>
        <v>5000</v>
      </c>
      <c r="CT8" s="45">
        <f>+'May, 28'!CT40</f>
        <v>20468.599999999999</v>
      </c>
      <c r="CU8" s="45">
        <f>+'May, 28'!CU40</f>
        <v>5000</v>
      </c>
      <c r="CV8" s="45">
        <f>+'May, 28'!CV40</f>
        <v>20468.599999999999</v>
      </c>
      <c r="CW8" s="43">
        <f t="shared" ref="CW8:CW40" si="4">SUM(D8:CV8)</f>
        <v>335213467.23715246</v>
      </c>
    </row>
    <row r="9" spans="1:101" x14ac:dyDescent="0.25">
      <c r="B9" s="46" t="s">
        <v>96</v>
      </c>
      <c r="C9" s="47" t="s">
        <v>98</v>
      </c>
      <c r="D9" s="47">
        <v>4400</v>
      </c>
      <c r="E9" s="48">
        <v>4033900.18279</v>
      </c>
      <c r="F9" s="48">
        <v>11583346.184289999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>
        <v>1848.1679999999999</v>
      </c>
      <c r="BX9" s="47"/>
      <c r="BY9" s="47">
        <f>IF(BY6&gt;0,BY6,0)</f>
        <v>216.57699999993201</v>
      </c>
      <c r="BZ9" s="47">
        <f>IF(BZ6&gt;0,BZ6,0)</f>
        <v>184902.91424000077</v>
      </c>
      <c r="CA9" s="47">
        <f>IF(CA6&gt;0,CA6,0)</f>
        <v>554489.41755000036</v>
      </c>
      <c r="CB9" s="47"/>
      <c r="CC9" s="47">
        <v>1690.3240000000001</v>
      </c>
      <c r="CD9" s="47"/>
      <c r="CE9" s="47">
        <f>IF(CE6&gt;0,CE6,0)</f>
        <v>0</v>
      </c>
      <c r="CF9" s="47">
        <f>IF(CF6&gt;0,CF6,0)</f>
        <v>93088.701999999932</v>
      </c>
      <c r="CG9" s="47">
        <f>IF(CG6&gt;0,CG6,0)</f>
        <v>0</v>
      </c>
      <c r="CH9" s="47"/>
      <c r="CI9" s="47">
        <f>IF(CI6&gt;0,CI6,0)</f>
        <v>914.81400000001304</v>
      </c>
      <c r="CJ9" s="47">
        <f>IF(CJ6&gt;0,CJ6,0)</f>
        <v>35226.139999999985</v>
      </c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3">
        <f t="shared" si="4"/>
        <v>16494023.423869999</v>
      </c>
    </row>
    <row r="10" spans="1:101" x14ac:dyDescent="0.25">
      <c r="B10" s="46" t="s">
        <v>99</v>
      </c>
      <c r="C10" s="47" t="s">
        <v>100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>
        <v>-10.776999999999999</v>
      </c>
      <c r="BX10" s="47"/>
      <c r="BY10" s="47">
        <f>IF(BY6&lt;0,BY6,0)</f>
        <v>0</v>
      </c>
      <c r="BZ10" s="47">
        <f>IF(BZ6&lt;0,BZ6,0)</f>
        <v>0</v>
      </c>
      <c r="CA10" s="47">
        <f>IF(CA6&lt;0,CA6,0)</f>
        <v>0</v>
      </c>
      <c r="CB10" s="47"/>
      <c r="CC10" s="47"/>
      <c r="CD10" s="47"/>
      <c r="CE10" s="47">
        <f>IF(CE6&lt;0,CE6,0)</f>
        <v>0</v>
      </c>
      <c r="CF10" s="47">
        <f>IF(CF6&lt;0,CF6,0)</f>
        <v>0</v>
      </c>
      <c r="CG10" s="47">
        <f>IF(CG6&lt;0,CG6,0)</f>
        <v>0</v>
      </c>
      <c r="CH10" s="47"/>
      <c r="CI10" s="47">
        <f>IF(CI6&lt;0,CI6,0)</f>
        <v>0</v>
      </c>
      <c r="CJ10" s="47">
        <f>IF(CJ6&lt;0,CJ6,0)</f>
        <v>0</v>
      </c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3">
        <f t="shared" si="4"/>
        <v>-10.776999999999999</v>
      </c>
    </row>
    <row r="11" spans="1:101" x14ac:dyDescent="0.25">
      <c r="A11" s="41"/>
      <c r="B11" s="49" t="s">
        <v>99</v>
      </c>
      <c r="C11" s="50" t="s">
        <v>101</v>
      </c>
      <c r="D11" s="50">
        <v>0</v>
      </c>
      <c r="E11" s="50">
        <v>-39309.381440002398</v>
      </c>
      <c r="F11" s="50">
        <v>-6510.7815800056496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>
        <f>+[1]Otrosbancos!$U$6+[1]Otrosbancos!$U$7</f>
        <v>-7372.9179999999997</v>
      </c>
      <c r="BZ11" s="50">
        <f>+[1]Otrosbancos!$U$11+[1]Otrosbancos!$U$12</f>
        <v>-2706033.7720000003</v>
      </c>
      <c r="CA11" s="50">
        <f>+[1]Otrosbancos!$U$16+[1]Otrosbancos!$U$17</f>
        <v>-1523921.5860000001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43">
        <f t="shared" si="4"/>
        <v>-4283148.4390200078</v>
      </c>
    </row>
    <row r="12" spans="1:101" x14ac:dyDescent="0.25">
      <c r="B12" s="46" t="s">
        <v>96</v>
      </c>
      <c r="C12" s="47" t="s">
        <v>102</v>
      </c>
      <c r="D12" s="47"/>
      <c r="E12" s="47">
        <v>339408.35800000001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1"/>
      <c r="AS12" s="51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3">
        <f t="shared" si="4"/>
        <v>339408.35800000001</v>
      </c>
    </row>
    <row r="13" spans="1:101" x14ac:dyDescent="0.25">
      <c r="B13" s="46" t="s">
        <v>96</v>
      </c>
      <c r="C13" s="47" t="s">
        <v>103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51"/>
      <c r="AS13" s="51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3">
        <f t="shared" si="4"/>
        <v>0</v>
      </c>
    </row>
    <row r="14" spans="1:101" x14ac:dyDescent="0.25">
      <c r="B14" s="46" t="s">
        <v>96</v>
      </c>
      <c r="C14" s="47" t="s">
        <v>104</v>
      </c>
      <c r="D14" s="47"/>
      <c r="E14" s="47"/>
      <c r="F14" s="47">
        <v>284924.95199999999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51"/>
      <c r="AS14" s="51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3">
        <f t="shared" si="4"/>
        <v>284924.95199999999</v>
      </c>
    </row>
    <row r="15" spans="1:101" x14ac:dyDescent="0.25">
      <c r="B15" s="46" t="s">
        <v>96</v>
      </c>
      <c r="C15" s="47" t="s">
        <v>105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51"/>
      <c r="AS15" s="51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3">
        <f t="shared" si="4"/>
        <v>0</v>
      </c>
    </row>
    <row r="16" spans="1:101" x14ac:dyDescent="0.25">
      <c r="B16" s="46" t="s">
        <v>96</v>
      </c>
      <c r="C16" s="47" t="s">
        <v>106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51"/>
      <c r="AS16" s="51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3">
        <f t="shared" si="4"/>
        <v>0</v>
      </c>
    </row>
    <row r="17" spans="1:101" x14ac:dyDescent="0.25">
      <c r="B17" s="46" t="s">
        <v>99</v>
      </c>
      <c r="C17" s="47" t="s">
        <v>107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51"/>
      <c r="AS17" s="51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>
        <v>-292</v>
      </c>
      <c r="BS17" s="47">
        <f>+BR17*BS5</f>
        <v>-1204.92048</v>
      </c>
      <c r="BT17" s="47">
        <v>-278003.5</v>
      </c>
      <c r="BU17" s="47">
        <f>+BT17*BU5</f>
        <v>-1147164.7625399998</v>
      </c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3">
        <f t="shared" si="4"/>
        <v>-1426665.1830199999</v>
      </c>
    </row>
    <row r="18" spans="1:101" x14ac:dyDescent="0.25">
      <c r="B18" s="46" t="s">
        <v>96</v>
      </c>
      <c r="C18" s="47" t="s">
        <v>108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1"/>
      <c r="AS18" s="51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3">
        <f t="shared" si="4"/>
        <v>0</v>
      </c>
    </row>
    <row r="19" spans="1:101" x14ac:dyDescent="0.25">
      <c r="B19" s="46" t="s">
        <v>99</v>
      </c>
      <c r="C19" s="47" t="s">
        <v>109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51"/>
      <c r="AS19" s="51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3">
        <f t="shared" si="4"/>
        <v>0</v>
      </c>
    </row>
    <row r="20" spans="1:101" x14ac:dyDescent="0.25">
      <c r="B20" s="46" t="s">
        <v>99</v>
      </c>
      <c r="C20" s="47" t="s">
        <v>110</v>
      </c>
      <c r="D20" s="47" t="s">
        <v>93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51"/>
      <c r="AS20" s="51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3">
        <f t="shared" si="4"/>
        <v>0</v>
      </c>
    </row>
    <row r="21" spans="1:101" x14ac:dyDescent="0.25">
      <c r="B21" s="46" t="s">
        <v>96</v>
      </c>
      <c r="C21" s="47" t="s">
        <v>111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51"/>
      <c r="AS21" s="51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3">
        <f t="shared" si="4"/>
        <v>0</v>
      </c>
    </row>
    <row r="22" spans="1:101" x14ac:dyDescent="0.25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51"/>
      <c r="AS22" s="51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3">
        <f t="shared" si="4"/>
        <v>0</v>
      </c>
    </row>
    <row r="23" spans="1:101" x14ac:dyDescent="0.25">
      <c r="B23" s="46" t="s">
        <v>99</v>
      </c>
      <c r="C23" s="47" t="s">
        <v>112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51"/>
      <c r="AS23" s="51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3">
        <f t="shared" si="4"/>
        <v>0</v>
      </c>
    </row>
    <row r="24" spans="1:101" x14ac:dyDescent="0.25">
      <c r="B24" s="46" t="s">
        <v>99</v>
      </c>
      <c r="C24" s="47" t="s">
        <v>113</v>
      </c>
      <c r="D24" s="47"/>
      <c r="E24" s="47">
        <f>-8800-5300-278678.738-10462.725-4484.025-4.817-556.146-23.97-1385.245-0.92</f>
        <v>-309696.58599999995</v>
      </c>
      <c r="F24" s="47">
        <f>-138270.948-9850-4590-3010-1200-68948.655-904.65</f>
        <v>-226774.253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51"/>
      <c r="AS24" s="51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3">
        <f t="shared" si="4"/>
        <v>-536470.83899999992</v>
      </c>
    </row>
    <row r="25" spans="1:101" x14ac:dyDescent="0.25">
      <c r="A25" s="41"/>
      <c r="B25" s="52" t="s">
        <v>99</v>
      </c>
      <c r="C25" s="53" t="s">
        <v>114</v>
      </c>
      <c r="D25" s="53">
        <v>-40477.454369999999</v>
      </c>
      <c r="E25" s="53">
        <v>-15912134.767519999</v>
      </c>
      <c r="F25" s="53">
        <v>-4383315.9549399996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43">
        <f t="shared" si="4"/>
        <v>-20335928.176829997</v>
      </c>
    </row>
    <row r="26" spans="1:101" x14ac:dyDescent="0.25">
      <c r="B26" s="46"/>
      <c r="C26" s="47" t="s">
        <v>115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51"/>
      <c r="AS26" s="51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3">
        <f t="shared" si="4"/>
        <v>0</v>
      </c>
    </row>
    <row r="27" spans="1:101" x14ac:dyDescent="0.25">
      <c r="B27" s="46" t="s">
        <v>99</v>
      </c>
      <c r="C27" s="47" t="s">
        <v>116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51"/>
      <c r="AS27" s="51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3">
        <f t="shared" si="4"/>
        <v>0</v>
      </c>
    </row>
    <row r="28" spans="1:101" x14ac:dyDescent="0.25">
      <c r="B28" s="47" t="s">
        <v>99</v>
      </c>
      <c r="C28" s="47" t="s">
        <v>117</v>
      </c>
      <c r="D28" s="48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51"/>
      <c r="AS28" s="51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3">
        <f t="shared" si="4"/>
        <v>0</v>
      </c>
    </row>
    <row r="29" spans="1:101" x14ac:dyDescent="0.25">
      <c r="B29" s="47"/>
      <c r="C29" s="47" t="s">
        <v>118</v>
      </c>
      <c r="D29" s="48">
        <v>-525.47352000000001</v>
      </c>
      <c r="E29" s="47">
        <v>-108979.0768</v>
      </c>
      <c r="F29" s="47">
        <v>-45429.335370000001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51"/>
      <c r="AS29" s="51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3">
        <f t="shared" si="4"/>
        <v>-154933.88569</v>
      </c>
    </row>
    <row r="30" spans="1:101" x14ac:dyDescent="0.25">
      <c r="B30" s="47"/>
      <c r="C30" s="47" t="s">
        <v>119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51"/>
      <c r="AS30" s="51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3">
        <f t="shared" si="4"/>
        <v>0</v>
      </c>
    </row>
    <row r="31" spans="1:101" x14ac:dyDescent="0.25">
      <c r="B31" s="47" t="s">
        <v>99</v>
      </c>
      <c r="C31" s="47" t="s">
        <v>120</v>
      </c>
      <c r="D31" s="47"/>
      <c r="E31" s="47">
        <f>-17740-5400-11860-3000</f>
        <v>-38000</v>
      </c>
      <c r="F31" s="47">
        <f>-98.8-194.1</f>
        <v>-292.89999999999998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51"/>
      <c r="AS31" s="51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3">
        <f t="shared" si="4"/>
        <v>-38292.9</v>
      </c>
    </row>
    <row r="32" spans="1:101" x14ac:dyDescent="0.25">
      <c r="B32" s="47" t="s">
        <v>99</v>
      </c>
      <c r="C32" s="47" t="s">
        <v>121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51"/>
      <c r="AS32" s="51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3">
        <f t="shared" si="4"/>
        <v>0</v>
      </c>
    </row>
    <row r="33" spans="2:101" x14ac:dyDescent="0.25">
      <c r="B33" s="47" t="s">
        <v>99</v>
      </c>
      <c r="C33" s="47" t="s">
        <v>122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51"/>
      <c r="AS33" s="51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3">
        <f t="shared" si="4"/>
        <v>0</v>
      </c>
    </row>
    <row r="34" spans="2:101" x14ac:dyDescent="0.25">
      <c r="B34" s="54" t="s">
        <v>99</v>
      </c>
      <c r="C34" s="55" t="s">
        <v>123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43">
        <f t="shared" si="4"/>
        <v>0</v>
      </c>
    </row>
    <row r="35" spans="2:101" x14ac:dyDescent="0.25">
      <c r="B35" s="54" t="s">
        <v>99</v>
      </c>
      <c r="C35" s="55" t="s">
        <v>124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43">
        <f t="shared" si="4"/>
        <v>0</v>
      </c>
    </row>
    <row r="36" spans="2:101" ht="15.75" thickBot="1" x14ac:dyDescent="0.3">
      <c r="B36" s="56"/>
      <c r="C36" s="57" t="s">
        <v>125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43">
        <f t="shared" si="4"/>
        <v>0</v>
      </c>
    </row>
    <row r="37" spans="2:101" x14ac:dyDescent="0.25">
      <c r="B37" s="58"/>
      <c r="C37" s="59" t="s">
        <v>126</v>
      </c>
      <c r="D37" s="59">
        <f>SUM(D9:D36)</f>
        <v>-36602.927889999999</v>
      </c>
      <c r="E37" s="59">
        <f>SUM(E9:E36)</f>
        <v>-12034811.270970002</v>
      </c>
      <c r="F37" s="59">
        <f>SUM(F9:F35)</f>
        <v>7205947.9113999931</v>
      </c>
      <c r="G37" s="59">
        <f t="shared" ref="G37:BR37" si="5">SUM(G9:G36)</f>
        <v>0</v>
      </c>
      <c r="H37" s="59">
        <f t="shared" si="5"/>
        <v>0</v>
      </c>
      <c r="I37" s="59">
        <f t="shared" si="5"/>
        <v>0</v>
      </c>
      <c r="J37" s="59">
        <f t="shared" si="5"/>
        <v>0</v>
      </c>
      <c r="K37" s="59">
        <f t="shared" si="5"/>
        <v>0</v>
      </c>
      <c r="L37" s="59">
        <f t="shared" si="5"/>
        <v>0</v>
      </c>
      <c r="M37" s="59">
        <f t="shared" si="5"/>
        <v>0</v>
      </c>
      <c r="N37" s="59">
        <f t="shared" si="5"/>
        <v>0</v>
      </c>
      <c r="O37" s="59">
        <f t="shared" si="5"/>
        <v>0</v>
      </c>
      <c r="P37" s="59">
        <f t="shared" si="5"/>
        <v>0</v>
      </c>
      <c r="Q37" s="59">
        <f t="shared" si="5"/>
        <v>0</v>
      </c>
      <c r="R37" s="59">
        <f t="shared" si="5"/>
        <v>0</v>
      </c>
      <c r="S37" s="59">
        <f t="shared" si="5"/>
        <v>0</v>
      </c>
      <c r="T37" s="59">
        <f t="shared" si="5"/>
        <v>0</v>
      </c>
      <c r="U37" s="59">
        <f t="shared" si="5"/>
        <v>0</v>
      </c>
      <c r="V37" s="59">
        <f t="shared" si="5"/>
        <v>0</v>
      </c>
      <c r="W37" s="59">
        <f t="shared" si="5"/>
        <v>0</v>
      </c>
      <c r="X37" s="59">
        <f t="shared" si="5"/>
        <v>0</v>
      </c>
      <c r="Y37" s="59">
        <f t="shared" si="5"/>
        <v>0</v>
      </c>
      <c r="Z37" s="59">
        <f t="shared" si="5"/>
        <v>0</v>
      </c>
      <c r="AA37" s="59">
        <f t="shared" si="5"/>
        <v>0</v>
      </c>
      <c r="AB37" s="59">
        <f t="shared" si="5"/>
        <v>0</v>
      </c>
      <c r="AC37" s="59">
        <f t="shared" si="5"/>
        <v>0</v>
      </c>
      <c r="AD37" s="59">
        <f t="shared" si="5"/>
        <v>0</v>
      </c>
      <c r="AE37" s="59">
        <f t="shared" si="5"/>
        <v>0</v>
      </c>
      <c r="AF37" s="59">
        <f t="shared" si="5"/>
        <v>0</v>
      </c>
      <c r="AG37" s="59">
        <f t="shared" si="5"/>
        <v>0</v>
      </c>
      <c r="AH37" s="59">
        <f t="shared" si="5"/>
        <v>0</v>
      </c>
      <c r="AI37" s="59">
        <f t="shared" si="5"/>
        <v>0</v>
      </c>
      <c r="AJ37" s="59">
        <f t="shared" si="5"/>
        <v>0</v>
      </c>
      <c r="AK37" s="59">
        <f t="shared" si="5"/>
        <v>0</v>
      </c>
      <c r="AL37" s="59">
        <f t="shared" si="5"/>
        <v>0</v>
      </c>
      <c r="AM37" s="59">
        <f t="shared" si="5"/>
        <v>0</v>
      </c>
      <c r="AN37" s="59">
        <f t="shared" si="5"/>
        <v>0</v>
      </c>
      <c r="AO37" s="59">
        <f t="shared" si="5"/>
        <v>0</v>
      </c>
      <c r="AP37" s="59">
        <f t="shared" si="5"/>
        <v>0</v>
      </c>
      <c r="AQ37" s="59">
        <f t="shared" si="5"/>
        <v>0</v>
      </c>
      <c r="AR37" s="59">
        <f t="shared" si="5"/>
        <v>0</v>
      </c>
      <c r="AS37" s="59">
        <f t="shared" si="5"/>
        <v>0</v>
      </c>
      <c r="AT37" s="59">
        <f t="shared" si="5"/>
        <v>0</v>
      </c>
      <c r="AU37" s="59">
        <f t="shared" si="5"/>
        <v>0</v>
      </c>
      <c r="AV37" s="59">
        <f t="shared" si="5"/>
        <v>0</v>
      </c>
      <c r="AW37" s="59">
        <f t="shared" si="5"/>
        <v>0</v>
      </c>
      <c r="AX37" s="59">
        <f t="shared" si="5"/>
        <v>0</v>
      </c>
      <c r="AY37" s="59">
        <f t="shared" si="5"/>
        <v>0</v>
      </c>
      <c r="AZ37" s="59">
        <f t="shared" si="5"/>
        <v>0</v>
      </c>
      <c r="BA37" s="59">
        <f t="shared" si="5"/>
        <v>0</v>
      </c>
      <c r="BB37" s="59">
        <f t="shared" si="5"/>
        <v>0</v>
      </c>
      <c r="BC37" s="59">
        <f t="shared" si="5"/>
        <v>0</v>
      </c>
      <c r="BD37" s="59">
        <f t="shared" si="5"/>
        <v>0</v>
      </c>
      <c r="BE37" s="59">
        <f t="shared" si="5"/>
        <v>0</v>
      </c>
      <c r="BF37" s="59">
        <f t="shared" si="5"/>
        <v>0</v>
      </c>
      <c r="BG37" s="59">
        <f t="shared" si="5"/>
        <v>0</v>
      </c>
      <c r="BH37" s="59">
        <f t="shared" si="5"/>
        <v>0</v>
      </c>
      <c r="BI37" s="59">
        <f t="shared" si="5"/>
        <v>0</v>
      </c>
      <c r="BJ37" s="59">
        <f t="shared" si="5"/>
        <v>0</v>
      </c>
      <c r="BK37" s="59">
        <f t="shared" si="5"/>
        <v>0</v>
      </c>
      <c r="BL37" s="59">
        <f t="shared" si="5"/>
        <v>0</v>
      </c>
      <c r="BM37" s="59">
        <f t="shared" si="5"/>
        <v>0</v>
      </c>
      <c r="BN37" s="59">
        <f t="shared" si="5"/>
        <v>0</v>
      </c>
      <c r="BO37" s="59">
        <f t="shared" si="5"/>
        <v>0</v>
      </c>
      <c r="BP37" s="59">
        <f t="shared" si="5"/>
        <v>0</v>
      </c>
      <c r="BQ37" s="59">
        <f t="shared" si="5"/>
        <v>0</v>
      </c>
      <c r="BR37" s="59">
        <f t="shared" si="5"/>
        <v>-292</v>
      </c>
      <c r="BS37" s="59">
        <f t="shared" ref="BS37:CV37" si="6">SUM(BS9:BS36)</f>
        <v>-1204.92048</v>
      </c>
      <c r="BT37" s="59">
        <f t="shared" si="6"/>
        <v>-278003.5</v>
      </c>
      <c r="BU37" s="59">
        <f t="shared" si="6"/>
        <v>-1147164.7625399998</v>
      </c>
      <c r="BV37" s="59">
        <f t="shared" si="6"/>
        <v>0</v>
      </c>
      <c r="BW37" s="59">
        <f t="shared" si="6"/>
        <v>1837.3909999999998</v>
      </c>
      <c r="BX37" s="59">
        <f t="shared" si="6"/>
        <v>0</v>
      </c>
      <c r="BY37" s="59">
        <f t="shared" si="6"/>
        <v>-7156.3410000000677</v>
      </c>
      <c r="BZ37" s="59">
        <f t="shared" si="6"/>
        <v>-2521130.8577599996</v>
      </c>
      <c r="CA37" s="59">
        <f t="shared" si="6"/>
        <v>-969432.16844999976</v>
      </c>
      <c r="CB37" s="59">
        <f t="shared" si="6"/>
        <v>0</v>
      </c>
      <c r="CC37" s="59">
        <f t="shared" si="6"/>
        <v>1690.3240000000001</v>
      </c>
      <c r="CD37" s="59">
        <f t="shared" si="6"/>
        <v>0</v>
      </c>
      <c r="CE37" s="59">
        <f t="shared" si="6"/>
        <v>0</v>
      </c>
      <c r="CF37" s="59">
        <f t="shared" si="6"/>
        <v>93088.701999999932</v>
      </c>
      <c r="CG37" s="59">
        <f t="shared" si="6"/>
        <v>0</v>
      </c>
      <c r="CH37" s="59">
        <f t="shared" si="6"/>
        <v>0</v>
      </c>
      <c r="CI37" s="59">
        <f t="shared" si="6"/>
        <v>914.81400000001304</v>
      </c>
      <c r="CJ37" s="59">
        <f t="shared" si="6"/>
        <v>35226.139999999985</v>
      </c>
      <c r="CK37" s="59">
        <f t="shared" si="6"/>
        <v>0</v>
      </c>
      <c r="CL37" s="59">
        <f t="shared" si="6"/>
        <v>0</v>
      </c>
      <c r="CM37" s="59">
        <f t="shared" si="6"/>
        <v>0</v>
      </c>
      <c r="CN37" s="59">
        <f t="shared" si="6"/>
        <v>0</v>
      </c>
      <c r="CO37" s="59">
        <f t="shared" si="6"/>
        <v>0</v>
      </c>
      <c r="CP37" s="59">
        <f t="shared" si="6"/>
        <v>0</v>
      </c>
      <c r="CQ37" s="59">
        <f t="shared" si="6"/>
        <v>0</v>
      </c>
      <c r="CR37" s="59">
        <f t="shared" si="6"/>
        <v>0</v>
      </c>
      <c r="CS37" s="59">
        <f t="shared" si="6"/>
        <v>0</v>
      </c>
      <c r="CT37" s="59">
        <f t="shared" si="6"/>
        <v>0</v>
      </c>
      <c r="CU37" s="59">
        <f t="shared" si="6"/>
        <v>0</v>
      </c>
      <c r="CV37" s="59">
        <f t="shared" si="6"/>
        <v>0</v>
      </c>
      <c r="CW37" s="43">
        <f t="shared" si="4"/>
        <v>-9657093.4666900095</v>
      </c>
    </row>
    <row r="38" spans="2:101" x14ac:dyDescent="0.25">
      <c r="B38" s="60"/>
      <c r="C38" s="61" t="s">
        <v>127</v>
      </c>
      <c r="D38" s="61">
        <f>+D37+D8</f>
        <v>408707.70456000051</v>
      </c>
      <c r="E38" s="61">
        <f>+E37+E8</f>
        <v>6587201.6163345277</v>
      </c>
      <c r="F38" s="61">
        <f>+F37+F8</f>
        <v>35286771.918271504</v>
      </c>
      <c r="G38" s="61">
        <f t="shared" ref="G38:BR38" si="7">+G37+G8</f>
        <v>0</v>
      </c>
      <c r="H38" s="61">
        <f t="shared" si="7"/>
        <v>0</v>
      </c>
      <c r="I38" s="61">
        <f t="shared" si="7"/>
        <v>113115.26593999425</v>
      </c>
      <c r="J38" s="61">
        <f t="shared" si="7"/>
        <v>0</v>
      </c>
      <c r="K38" s="61">
        <f t="shared" si="7"/>
        <v>215532.65850014306</v>
      </c>
      <c r="L38" s="61">
        <f t="shared" si="7"/>
        <v>876975.09972101368</v>
      </c>
      <c r="M38" s="61">
        <f t="shared" si="7"/>
        <v>6826432.7261848673</v>
      </c>
      <c r="N38" s="61">
        <f t="shared" si="7"/>
        <v>177310.5199999999</v>
      </c>
      <c r="O38" s="61">
        <f t="shared" si="7"/>
        <v>743248.15264999995</v>
      </c>
      <c r="P38" s="61">
        <f t="shared" si="7"/>
        <v>18425260.210000008</v>
      </c>
      <c r="Q38" s="61">
        <f t="shared" si="7"/>
        <v>110060285.27120999</v>
      </c>
      <c r="R38" s="61">
        <f t="shared" si="7"/>
        <v>1016891.0100000001</v>
      </c>
      <c r="S38" s="61">
        <f t="shared" si="7"/>
        <v>4579677.5747987982</v>
      </c>
      <c r="T38" s="61">
        <f t="shared" si="7"/>
        <v>0</v>
      </c>
      <c r="U38" s="61">
        <f t="shared" si="7"/>
        <v>0</v>
      </c>
      <c r="V38" s="61">
        <f t="shared" si="7"/>
        <v>0</v>
      </c>
      <c r="W38" s="61">
        <f t="shared" si="7"/>
        <v>0</v>
      </c>
      <c r="X38" s="61">
        <f t="shared" si="7"/>
        <v>0</v>
      </c>
      <c r="Y38" s="61">
        <f t="shared" si="7"/>
        <v>0</v>
      </c>
      <c r="Z38" s="61">
        <f t="shared" si="7"/>
        <v>9662.5274983807467</v>
      </c>
      <c r="AA38" s="61">
        <f t="shared" si="7"/>
        <v>40503.29</v>
      </c>
      <c r="AB38" s="61">
        <f t="shared" si="7"/>
        <v>7542.7499999967404</v>
      </c>
      <c r="AC38" s="61">
        <f t="shared" si="7"/>
        <v>31617.62</v>
      </c>
      <c r="AD38" s="61">
        <f t="shared" si="7"/>
        <v>5155</v>
      </c>
      <c r="AE38" s="61">
        <f t="shared" si="7"/>
        <v>21608.68</v>
      </c>
      <c r="AF38" s="61">
        <f t="shared" si="7"/>
        <v>7956.8699999451637</v>
      </c>
      <c r="AG38" s="61">
        <f t="shared" si="7"/>
        <v>33353.53</v>
      </c>
      <c r="AH38" s="61">
        <f t="shared" si="7"/>
        <v>195459.03999999719</v>
      </c>
      <c r="AI38" s="61">
        <f t="shared" si="7"/>
        <v>819134.7964617</v>
      </c>
      <c r="AJ38" s="61">
        <f t="shared" si="7"/>
        <v>673596.71999999823</v>
      </c>
      <c r="AK38" s="61">
        <f t="shared" si="7"/>
        <v>2823324.1679230896</v>
      </c>
      <c r="AL38" s="61">
        <f t="shared" si="7"/>
        <v>21802231.52540008</v>
      </c>
      <c r="AM38" s="61">
        <f t="shared" si="7"/>
        <v>59660410.274513535</v>
      </c>
      <c r="AN38" s="61">
        <f t="shared" si="7"/>
        <v>6480106.5321600009</v>
      </c>
      <c r="AO38" s="61">
        <f t="shared" si="7"/>
        <v>957442.97615143971</v>
      </c>
      <c r="AP38" s="61">
        <f t="shared" si="7"/>
        <v>8453356.2983359974</v>
      </c>
      <c r="AQ38" s="61">
        <f t="shared" si="7"/>
        <v>1734851.1293321603</v>
      </c>
      <c r="AR38" s="61">
        <f t="shared" si="7"/>
        <v>33752.683643993005</v>
      </c>
      <c r="AS38" s="61">
        <f t="shared" si="7"/>
        <v>6.2719079996137461</v>
      </c>
      <c r="AT38" s="61">
        <f t="shared" si="7"/>
        <v>11.210432002509913</v>
      </c>
      <c r="AU38" s="61">
        <f t="shared" si="7"/>
        <v>70709.869203997281</v>
      </c>
      <c r="AV38" s="61">
        <f t="shared" si="7"/>
        <v>523662.90839880263</v>
      </c>
      <c r="AW38" s="61">
        <f t="shared" si="7"/>
        <v>85667.9885699968</v>
      </c>
      <c r="AX38" s="61">
        <f t="shared" si="7"/>
        <v>1041.3974240010875</v>
      </c>
      <c r="AY38" s="61">
        <f t="shared" si="7"/>
        <v>163079.64131199798</v>
      </c>
      <c r="AZ38" s="61">
        <f t="shared" si="7"/>
        <v>23267.345377323236</v>
      </c>
      <c r="BA38" s="61">
        <f t="shared" si="7"/>
        <v>202682.57172400694</v>
      </c>
      <c r="BB38" s="61">
        <f t="shared" si="7"/>
        <v>70187.807219991155</v>
      </c>
      <c r="BC38" s="61">
        <f t="shared" si="7"/>
        <v>267743.4258479987</v>
      </c>
      <c r="BD38" s="61">
        <f t="shared" si="7"/>
        <v>17106.989599989829</v>
      </c>
      <c r="BE38" s="61">
        <f t="shared" si="7"/>
        <v>256586.81289368056</v>
      </c>
      <c r="BF38" s="61">
        <f t="shared" si="7"/>
        <v>321949.5492303599</v>
      </c>
      <c r="BG38" s="61">
        <f t="shared" si="7"/>
        <v>35109.232018882758</v>
      </c>
      <c r="BH38" s="61">
        <f t="shared" si="7"/>
        <v>27273.514880002102</v>
      </c>
      <c r="BI38" s="61">
        <f t="shared" si="7"/>
        <v>630661.83776839031</v>
      </c>
      <c r="BJ38" s="61">
        <f t="shared" si="7"/>
        <v>197783.28604456017</v>
      </c>
      <c r="BK38" s="61">
        <f t="shared" si="7"/>
        <v>3408870.6208220124</v>
      </c>
      <c r="BL38" s="61">
        <f t="shared" si="7"/>
        <v>113109.23694244608</v>
      </c>
      <c r="BM38" s="61">
        <f t="shared" si="7"/>
        <v>1072317.4864471511</v>
      </c>
      <c r="BN38" s="61">
        <f t="shared" si="7"/>
        <v>1221754.8887473794</v>
      </c>
      <c r="BO38" s="61">
        <f t="shared" si="7"/>
        <v>3.4691202304202307E-3</v>
      </c>
      <c r="BP38" s="61">
        <f t="shared" si="7"/>
        <v>256.11285932906549</v>
      </c>
      <c r="BQ38" s="61">
        <f t="shared" si="7"/>
        <v>4.0128798844989433E-3</v>
      </c>
      <c r="BR38" s="61">
        <f t="shared" si="7"/>
        <v>645484.5260000031</v>
      </c>
      <c r="BS38" s="61">
        <f t="shared" ref="BS38:CV38" si="8">+BS37+BS8</f>
        <v>2662375.2486606888</v>
      </c>
      <c r="BT38" s="61">
        <f t="shared" si="8"/>
        <v>415477.68493201921</v>
      </c>
      <c r="BU38" s="61">
        <f t="shared" si="8"/>
        <v>1724540.4366885915</v>
      </c>
      <c r="BV38" s="61">
        <f t="shared" si="8"/>
        <v>8079.5888600000008</v>
      </c>
      <c r="BW38" s="61">
        <f t="shared" si="8"/>
        <v>391913.56399000081</v>
      </c>
      <c r="BX38" s="61">
        <f t="shared" si="8"/>
        <v>12663.664475599246</v>
      </c>
      <c r="BY38" s="61">
        <f t="shared" si="8"/>
        <v>730505.98200000008</v>
      </c>
      <c r="BZ38" s="61">
        <f t="shared" si="8"/>
        <v>3285372.5899999994</v>
      </c>
      <c r="CA38" s="61">
        <f t="shared" si="8"/>
        <v>4040237.8880000003</v>
      </c>
      <c r="CB38" s="61">
        <f t="shared" si="8"/>
        <v>18918.56624</v>
      </c>
      <c r="CC38" s="61">
        <f t="shared" si="8"/>
        <v>905567.0501799999</v>
      </c>
      <c r="CD38" s="61">
        <f t="shared" si="8"/>
        <v>0</v>
      </c>
      <c r="CE38" s="61">
        <f t="shared" si="8"/>
        <v>28204.722000000002</v>
      </c>
      <c r="CF38" s="61">
        <f t="shared" si="8"/>
        <v>696346.19658999995</v>
      </c>
      <c r="CG38" s="61">
        <f t="shared" si="8"/>
        <v>193901.16</v>
      </c>
      <c r="CH38" s="61">
        <f t="shared" si="8"/>
        <v>2.9318200000000001</v>
      </c>
      <c r="CI38" s="61">
        <f t="shared" si="8"/>
        <v>810114.94200000004</v>
      </c>
      <c r="CJ38" s="61">
        <f t="shared" si="8"/>
        <v>86164.433999999994</v>
      </c>
      <c r="CK38" s="61">
        <f t="shared" si="8"/>
        <v>0</v>
      </c>
      <c r="CL38" s="61">
        <f t="shared" si="8"/>
        <v>0</v>
      </c>
      <c r="CM38" s="61">
        <f t="shared" si="8"/>
        <v>79545.21415</v>
      </c>
      <c r="CN38" s="61">
        <f t="shared" si="8"/>
        <v>662749.23896999995</v>
      </c>
      <c r="CO38" s="61">
        <f t="shared" si="8"/>
        <v>736440.24131999968</v>
      </c>
      <c r="CP38" s="61">
        <f t="shared" si="8"/>
        <v>9152723.6727600005</v>
      </c>
      <c r="CQ38" s="61">
        <f t="shared" si="8"/>
        <v>377918.49939999997</v>
      </c>
      <c r="CR38" s="61">
        <f t="shared" si="8"/>
        <v>20872.37467999896</v>
      </c>
      <c r="CS38" s="61">
        <f t="shared" si="8"/>
        <v>5000</v>
      </c>
      <c r="CT38" s="61">
        <f t="shared" si="8"/>
        <v>20468.599999999999</v>
      </c>
      <c r="CU38" s="61">
        <f t="shared" si="8"/>
        <v>5000</v>
      </c>
      <c r="CV38" s="61">
        <f t="shared" si="8"/>
        <v>20468.599999999999</v>
      </c>
      <c r="CW38" s="43">
        <f t="shared" si="4"/>
        <v>325556373.77046233</v>
      </c>
    </row>
    <row r="39" spans="2:101" x14ac:dyDescent="0.25">
      <c r="B39" s="62"/>
      <c r="C39" s="63" t="s">
        <v>128</v>
      </c>
      <c r="D39" s="63">
        <v>40000</v>
      </c>
      <c r="E39" s="63">
        <v>3561278.3308700002</v>
      </c>
      <c r="F39" s="63">
        <v>-17186248.228569999</v>
      </c>
      <c r="G39" s="63">
        <v>0</v>
      </c>
      <c r="H39" s="63">
        <v>0</v>
      </c>
      <c r="I39" s="63">
        <v>19.461320000000001</v>
      </c>
      <c r="J39" s="63">
        <v>0</v>
      </c>
      <c r="K39" s="63">
        <v>0</v>
      </c>
      <c r="L39" s="63">
        <v>8168581.0330759874</v>
      </c>
      <c r="M39" s="63">
        <v>-6216688.8170960033</v>
      </c>
      <c r="N39" s="63">
        <v>-45</v>
      </c>
      <c r="O39" s="63">
        <v>-185.68979999999999</v>
      </c>
      <c r="P39" s="63">
        <v>1673040</v>
      </c>
      <c r="Q39" s="63">
        <v>6903699.1776000019</v>
      </c>
      <c r="R39" s="63">
        <v>-206.62</v>
      </c>
      <c r="S39" s="63">
        <v>-852.6050328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-90799.828303999995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33.260999999999996</v>
      </c>
      <c r="BB39" s="63">
        <v>11.515000000000001</v>
      </c>
      <c r="BC39" s="63">
        <v>43.935000000000002</v>
      </c>
      <c r="BD39" s="63">
        <v>2.7969999999999997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19.4602</v>
      </c>
      <c r="BM39" s="63">
        <v>184.50172999999998</v>
      </c>
      <c r="BN39" s="63">
        <v>210.20265000000001</v>
      </c>
      <c r="BO39" s="63">
        <v>0</v>
      </c>
      <c r="BP39" s="63">
        <v>4.7380000000000005E-2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0</v>
      </c>
      <c r="BX39" s="63">
        <v>0</v>
      </c>
      <c r="BY39" s="63">
        <v>0</v>
      </c>
      <c r="BZ39" s="63">
        <v>3000000</v>
      </c>
      <c r="CA39" s="63">
        <v>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43">
        <f t="shared" si="4"/>
        <v>-147903.06597681344</v>
      </c>
    </row>
    <row r="40" spans="2:101" ht="15.75" thickBot="1" x14ac:dyDescent="0.3">
      <c r="B40" s="64"/>
      <c r="C40" s="65" t="s">
        <v>129</v>
      </c>
      <c r="D40" s="65">
        <f>+D39+D38</f>
        <v>448707.70456000051</v>
      </c>
      <c r="E40" s="65">
        <f>+E39+E38</f>
        <v>10148479.947204528</v>
      </c>
      <c r="F40" s="65">
        <f>+F39+F38</f>
        <v>18100523.689701505</v>
      </c>
      <c r="G40" s="65">
        <f t="shared" ref="G40:BR40" si="9">+G39+G38</f>
        <v>0</v>
      </c>
      <c r="H40" s="65">
        <f t="shared" si="9"/>
        <v>0</v>
      </c>
      <c r="I40" s="65">
        <f t="shared" si="9"/>
        <v>113134.72725999425</v>
      </c>
      <c r="J40" s="65">
        <f t="shared" si="9"/>
        <v>0</v>
      </c>
      <c r="K40" s="65">
        <f t="shared" si="9"/>
        <v>215532.65850014306</v>
      </c>
      <c r="L40" s="65">
        <f t="shared" si="9"/>
        <v>9045556.1327970009</v>
      </c>
      <c r="M40" s="65">
        <f t="shared" si="9"/>
        <v>609743.90908886399</v>
      </c>
      <c r="N40" s="65">
        <f t="shared" si="9"/>
        <v>177265.5199999999</v>
      </c>
      <c r="O40" s="65">
        <f t="shared" si="9"/>
        <v>743062.46284999989</v>
      </c>
      <c r="P40" s="65">
        <f t="shared" si="9"/>
        <v>20098300.210000008</v>
      </c>
      <c r="Q40" s="65">
        <f t="shared" si="9"/>
        <v>116963984.44880998</v>
      </c>
      <c r="R40" s="65">
        <f t="shared" si="9"/>
        <v>1016684.3900000001</v>
      </c>
      <c r="S40" s="65">
        <f t="shared" si="9"/>
        <v>4578824.9697659984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9662.5274983807467</v>
      </c>
      <c r="AA40" s="65">
        <f t="shared" si="9"/>
        <v>40503.29</v>
      </c>
      <c r="AB40" s="65">
        <f t="shared" si="9"/>
        <v>7542.7499999967404</v>
      </c>
      <c r="AC40" s="65">
        <f t="shared" si="9"/>
        <v>31617.62</v>
      </c>
      <c r="AD40" s="65">
        <f t="shared" si="9"/>
        <v>5155</v>
      </c>
      <c r="AE40" s="65">
        <f t="shared" si="9"/>
        <v>21608.68</v>
      </c>
      <c r="AF40" s="65">
        <f t="shared" si="9"/>
        <v>7956.8699999451637</v>
      </c>
      <c r="AG40" s="65">
        <f t="shared" si="9"/>
        <v>33353.53</v>
      </c>
      <c r="AH40" s="65">
        <f t="shared" si="9"/>
        <v>195459.03999999719</v>
      </c>
      <c r="AI40" s="65">
        <f t="shared" si="9"/>
        <v>819134.7964617</v>
      </c>
      <c r="AJ40" s="65">
        <f t="shared" si="9"/>
        <v>673596.71999999823</v>
      </c>
      <c r="AK40" s="65">
        <f t="shared" si="9"/>
        <v>2823324.1679230896</v>
      </c>
      <c r="AL40" s="65">
        <f t="shared" si="9"/>
        <v>21802231.52540008</v>
      </c>
      <c r="AM40" s="65">
        <f t="shared" si="9"/>
        <v>59660410.274513535</v>
      </c>
      <c r="AN40" s="65">
        <f t="shared" si="9"/>
        <v>6480106.5321600009</v>
      </c>
      <c r="AO40" s="65">
        <f t="shared" si="9"/>
        <v>957442.97615143971</v>
      </c>
      <c r="AP40" s="65">
        <f t="shared" si="9"/>
        <v>8362556.4700319972</v>
      </c>
      <c r="AQ40" s="65">
        <f t="shared" si="9"/>
        <v>1734851.1293321603</v>
      </c>
      <c r="AR40" s="65">
        <f t="shared" si="9"/>
        <v>33752.683643993005</v>
      </c>
      <c r="AS40" s="65">
        <f t="shared" si="9"/>
        <v>6.2719079996137461</v>
      </c>
      <c r="AT40" s="65">
        <f t="shared" si="9"/>
        <v>11.210432002509913</v>
      </c>
      <c r="AU40" s="65">
        <f t="shared" si="9"/>
        <v>70709.869203997281</v>
      </c>
      <c r="AV40" s="65">
        <f t="shared" si="9"/>
        <v>523662.90839880263</v>
      </c>
      <c r="AW40" s="65">
        <f t="shared" si="9"/>
        <v>85667.9885699968</v>
      </c>
      <c r="AX40" s="65">
        <f t="shared" si="9"/>
        <v>1041.3974240010875</v>
      </c>
      <c r="AY40" s="65">
        <f t="shared" si="9"/>
        <v>163079.64131199798</v>
      </c>
      <c r="AZ40" s="65">
        <f t="shared" si="9"/>
        <v>23267.345377323236</v>
      </c>
      <c r="BA40" s="65">
        <f t="shared" si="9"/>
        <v>202715.83272400693</v>
      </c>
      <c r="BB40" s="65">
        <f t="shared" si="9"/>
        <v>70199.322219991154</v>
      </c>
      <c r="BC40" s="65">
        <f t="shared" si="9"/>
        <v>267787.3608479987</v>
      </c>
      <c r="BD40" s="65">
        <f t="shared" si="9"/>
        <v>17109.786599989828</v>
      </c>
      <c r="BE40" s="65">
        <f t="shared" si="9"/>
        <v>256586.81289368056</v>
      </c>
      <c r="BF40" s="65">
        <f t="shared" si="9"/>
        <v>321949.5492303599</v>
      </c>
      <c r="BG40" s="65">
        <f t="shared" si="9"/>
        <v>35109.232018882758</v>
      </c>
      <c r="BH40" s="65">
        <f t="shared" si="9"/>
        <v>27273.514880002102</v>
      </c>
      <c r="BI40" s="65">
        <f t="shared" si="9"/>
        <v>630661.83776839031</v>
      </c>
      <c r="BJ40" s="65">
        <f t="shared" si="9"/>
        <v>197783.28604456017</v>
      </c>
      <c r="BK40" s="65">
        <f t="shared" si="9"/>
        <v>3408870.6208220124</v>
      </c>
      <c r="BL40" s="65">
        <f t="shared" si="9"/>
        <v>113128.69714244608</v>
      </c>
      <c r="BM40" s="65">
        <f t="shared" si="9"/>
        <v>1072501.988177151</v>
      </c>
      <c r="BN40" s="65">
        <f t="shared" si="9"/>
        <v>1221965.0913973795</v>
      </c>
      <c r="BO40" s="65">
        <f t="shared" si="9"/>
        <v>3.4691202304202307E-3</v>
      </c>
      <c r="BP40" s="65">
        <f t="shared" si="9"/>
        <v>256.16023932906546</v>
      </c>
      <c r="BQ40" s="65">
        <f t="shared" si="9"/>
        <v>4.0128798844989433E-3</v>
      </c>
      <c r="BR40" s="65">
        <f t="shared" si="9"/>
        <v>645484.5260000031</v>
      </c>
      <c r="BS40" s="65">
        <f t="shared" ref="BS40:CV40" si="10">+BS39+BS38</f>
        <v>2662375.2486606888</v>
      </c>
      <c r="BT40" s="65">
        <f t="shared" si="10"/>
        <v>415477.68493201921</v>
      </c>
      <c r="BU40" s="65">
        <f t="shared" si="10"/>
        <v>1724540.4366885915</v>
      </c>
      <c r="BV40" s="65">
        <f t="shared" si="10"/>
        <v>8079.5888600000008</v>
      </c>
      <c r="BW40" s="65">
        <f t="shared" si="10"/>
        <v>391913.56399000081</v>
      </c>
      <c r="BX40" s="65">
        <f t="shared" si="10"/>
        <v>12663.664475599246</v>
      </c>
      <c r="BY40" s="65">
        <f t="shared" si="10"/>
        <v>730505.98200000008</v>
      </c>
      <c r="BZ40" s="65">
        <f t="shared" si="10"/>
        <v>6285372.5899999999</v>
      </c>
      <c r="CA40" s="65">
        <f t="shared" si="10"/>
        <v>4040237.8880000003</v>
      </c>
      <c r="CB40" s="65">
        <f t="shared" si="10"/>
        <v>18918.56624</v>
      </c>
      <c r="CC40" s="65">
        <f t="shared" si="10"/>
        <v>905567.0501799999</v>
      </c>
      <c r="CD40" s="65">
        <f t="shared" si="10"/>
        <v>0</v>
      </c>
      <c r="CE40" s="65">
        <f t="shared" si="10"/>
        <v>28204.722000000002</v>
      </c>
      <c r="CF40" s="65">
        <f t="shared" si="10"/>
        <v>696346.19658999995</v>
      </c>
      <c r="CG40" s="65">
        <f t="shared" si="10"/>
        <v>193901.16</v>
      </c>
      <c r="CH40" s="65">
        <f>+CH39+CH38</f>
        <v>2.9318200000000001</v>
      </c>
      <c r="CI40" s="65">
        <f t="shared" si="10"/>
        <v>810114.94200000004</v>
      </c>
      <c r="CJ40" s="65">
        <f t="shared" si="10"/>
        <v>86164.433999999994</v>
      </c>
      <c r="CK40" s="65">
        <f t="shared" si="10"/>
        <v>0</v>
      </c>
      <c r="CL40" s="65">
        <f t="shared" si="10"/>
        <v>0</v>
      </c>
      <c r="CM40" s="65">
        <f t="shared" si="10"/>
        <v>79545.21415</v>
      </c>
      <c r="CN40" s="65">
        <f t="shared" si="10"/>
        <v>662749.23896999995</v>
      </c>
      <c r="CO40" s="65">
        <f t="shared" si="10"/>
        <v>736440.24131999968</v>
      </c>
      <c r="CP40" s="65">
        <f t="shared" si="10"/>
        <v>9152723.6727600005</v>
      </c>
      <c r="CQ40" s="65">
        <f t="shared" si="10"/>
        <v>377918.49939999997</v>
      </c>
      <c r="CR40" s="65">
        <f t="shared" si="10"/>
        <v>20872.37467999896</v>
      </c>
      <c r="CS40" s="65">
        <f t="shared" si="10"/>
        <v>5000</v>
      </c>
      <c r="CT40" s="65">
        <f t="shared" si="10"/>
        <v>20468.599999999999</v>
      </c>
      <c r="CU40" s="65">
        <f t="shared" si="10"/>
        <v>5000</v>
      </c>
      <c r="CV40" s="65">
        <f t="shared" si="10"/>
        <v>20468.599999999999</v>
      </c>
      <c r="CW40" s="43">
        <f t="shared" si="4"/>
        <v>325408470.7044856</v>
      </c>
    </row>
    <row r="41" spans="2:101" ht="15.75" thickBot="1" x14ac:dyDescent="0.3"/>
    <row r="42" spans="2:101" x14ac:dyDescent="0.25">
      <c r="C42" s="67" t="s">
        <v>130</v>
      </c>
      <c r="D42" s="68">
        <f>+D37+D39</f>
        <v>3397.072110000001</v>
      </c>
      <c r="E42" s="68">
        <f>+E37+E39</f>
        <v>-8473532.9401000012</v>
      </c>
      <c r="F42" s="69">
        <f>+F37+F39</f>
        <v>-9980300.3171700053</v>
      </c>
      <c r="G42" s="88">
        <v>20375.599999999999</v>
      </c>
      <c r="H42" s="88">
        <v>20376.599999999999</v>
      </c>
      <c r="I42" s="88">
        <v>20377.599999999999</v>
      </c>
      <c r="J42" s="88">
        <v>20378.599999999999</v>
      </c>
      <c r="K42" s="88">
        <v>20379.599999999999</v>
      </c>
      <c r="L42" s="88">
        <v>20380.599999999999</v>
      </c>
      <c r="M42" s="88">
        <v>20381.599999999999</v>
      </c>
      <c r="N42" s="88">
        <v>20382.599999999999</v>
      </c>
      <c r="O42" s="88">
        <v>20383.599999999999</v>
      </c>
      <c r="P42" s="88">
        <v>20384.599999999999</v>
      </c>
      <c r="Q42" s="88">
        <v>20385.599999999999</v>
      </c>
      <c r="R42" s="88">
        <v>20386.599999999999</v>
      </c>
      <c r="S42" s="88">
        <v>20387.599999999999</v>
      </c>
      <c r="T42" s="88">
        <v>20388.599999999999</v>
      </c>
      <c r="U42" s="88">
        <v>20389.599999999999</v>
      </c>
      <c r="V42" s="88">
        <v>20390.599999999999</v>
      </c>
      <c r="W42" s="88">
        <v>20391.599999999999</v>
      </c>
      <c r="X42" s="88">
        <v>20392.599999999999</v>
      </c>
      <c r="Y42" s="88">
        <v>20393.599999999999</v>
      </c>
      <c r="Z42" s="88">
        <v>20394.599999999999</v>
      </c>
      <c r="AA42" s="88">
        <v>20395.599999999999</v>
      </c>
      <c r="AB42" s="88">
        <v>20396.599999999999</v>
      </c>
      <c r="AC42" s="88">
        <v>20397.599999999999</v>
      </c>
      <c r="AD42" s="88">
        <v>20398.599999999999</v>
      </c>
      <c r="AE42" s="88">
        <v>20399.599999999999</v>
      </c>
      <c r="AF42" s="88">
        <v>20400.599999999999</v>
      </c>
      <c r="AG42" s="88">
        <v>20401.599999999999</v>
      </c>
      <c r="AH42" s="88">
        <v>20402.599999999999</v>
      </c>
      <c r="AI42" s="88">
        <v>20403.599999999999</v>
      </c>
      <c r="AJ42" s="88">
        <v>20404.599999999999</v>
      </c>
      <c r="AK42" s="88">
        <v>20405.599999999999</v>
      </c>
      <c r="AL42" s="88">
        <v>20406.599999999999</v>
      </c>
      <c r="AM42" s="88">
        <v>20407.599999999999</v>
      </c>
      <c r="AN42" s="88">
        <v>20408.599999999999</v>
      </c>
      <c r="AO42" s="88">
        <v>20409.599999999999</v>
      </c>
      <c r="AP42" s="88">
        <v>20410.599999999999</v>
      </c>
      <c r="AQ42" s="88">
        <v>20411.599999999999</v>
      </c>
      <c r="AR42" s="88">
        <v>20412.599999999999</v>
      </c>
      <c r="AS42" s="88">
        <v>20413.599999999999</v>
      </c>
      <c r="AT42" s="88">
        <v>20414.599999999999</v>
      </c>
      <c r="AU42" s="88">
        <v>20415.599999999999</v>
      </c>
      <c r="AV42" s="88">
        <v>20416.599999999999</v>
      </c>
      <c r="AW42" s="88">
        <v>20417.599999999999</v>
      </c>
      <c r="AX42" s="88">
        <v>20418.599999999999</v>
      </c>
      <c r="AY42" s="88">
        <v>20419.599999999999</v>
      </c>
      <c r="AZ42" s="88">
        <v>20420.599999999999</v>
      </c>
      <c r="BA42" s="88">
        <v>20421.599999999999</v>
      </c>
      <c r="BB42" s="88">
        <v>20422.599999999999</v>
      </c>
      <c r="BC42" s="88">
        <v>20423.599999999999</v>
      </c>
      <c r="BD42" s="88">
        <v>20424.599999999999</v>
      </c>
      <c r="BE42" s="88">
        <v>20425.599999999999</v>
      </c>
      <c r="BF42" s="88">
        <v>20426.599999999999</v>
      </c>
      <c r="BG42" s="88">
        <v>20427.599999999999</v>
      </c>
      <c r="BH42" s="88">
        <v>20428.599999999999</v>
      </c>
      <c r="BI42" s="88">
        <v>20429.599999999999</v>
      </c>
      <c r="BJ42" s="88">
        <v>20430.599999999999</v>
      </c>
      <c r="BK42" s="88">
        <v>20431.599999999999</v>
      </c>
      <c r="BL42" s="88">
        <v>20432.599999999999</v>
      </c>
      <c r="BM42" s="88">
        <v>20433.599999999999</v>
      </c>
      <c r="BN42" s="88">
        <v>20434.599999999999</v>
      </c>
      <c r="BO42" s="88">
        <v>20435.599999999999</v>
      </c>
      <c r="BP42" s="88">
        <v>20436.599999999999</v>
      </c>
      <c r="BQ42" s="88">
        <v>20437.599999999999</v>
      </c>
      <c r="BR42" s="88">
        <v>20438.599999999999</v>
      </c>
      <c r="BS42" s="88">
        <v>20439.599999999999</v>
      </c>
      <c r="BT42" s="88">
        <v>20440.599999999999</v>
      </c>
      <c r="BU42" s="88">
        <v>20441.599999999999</v>
      </c>
      <c r="BV42" s="88">
        <v>20442.599999999999</v>
      </c>
      <c r="BW42" s="88">
        <v>20443.599999999999</v>
      </c>
      <c r="BX42" s="88">
        <v>20444.599999999999</v>
      </c>
      <c r="BY42" s="88">
        <v>20445.599999999999</v>
      </c>
      <c r="BZ42" s="88">
        <v>20446.599999999999</v>
      </c>
      <c r="CA42" s="88">
        <v>20447.599999999999</v>
      </c>
      <c r="CB42" s="88">
        <v>20448.599999999999</v>
      </c>
      <c r="CC42" s="88">
        <v>20449.599999999999</v>
      </c>
      <c r="CD42" s="88">
        <v>20450.599999999999</v>
      </c>
      <c r="CE42" s="88">
        <v>20451.599999999999</v>
      </c>
      <c r="CF42" s="88">
        <v>20452.599999999999</v>
      </c>
      <c r="CG42" s="88">
        <v>20453.599999999999</v>
      </c>
      <c r="CH42" s="88">
        <v>20454.599999999999</v>
      </c>
      <c r="CI42" s="88">
        <v>20455.599999999999</v>
      </c>
      <c r="CJ42" s="88">
        <v>20456.599999999999</v>
      </c>
      <c r="CK42" s="88">
        <v>20457.599999999999</v>
      </c>
      <c r="CL42" s="88">
        <v>20458.599999999999</v>
      </c>
      <c r="CM42" s="88">
        <v>20459.599999999999</v>
      </c>
      <c r="CN42" s="88">
        <v>20460.599999999999</v>
      </c>
      <c r="CO42" s="88">
        <v>20461.599999999999</v>
      </c>
      <c r="CP42" s="88">
        <v>20462.599999999999</v>
      </c>
      <c r="CQ42" s="88">
        <v>20463.599999999999</v>
      </c>
      <c r="CR42" s="88">
        <v>20464.599999999999</v>
      </c>
      <c r="CS42" s="88">
        <v>20465.599999999999</v>
      </c>
      <c r="CT42" s="88">
        <v>20466.599999999999</v>
      </c>
      <c r="CU42" s="88">
        <v>20467.599999999999</v>
      </c>
      <c r="CV42" s="88">
        <v>20468.599999999999</v>
      </c>
    </row>
    <row r="43" spans="2:101" x14ac:dyDescent="0.25">
      <c r="C43" s="70" t="s">
        <v>131</v>
      </c>
      <c r="D43" s="71">
        <v>3397.0721100000001</v>
      </c>
      <c r="E43" s="71">
        <v>-8473532.9354299996</v>
      </c>
      <c r="F43" s="71">
        <v>-9980300.3171800002</v>
      </c>
      <c r="G43" s="66"/>
      <c r="H43" s="66"/>
      <c r="CT43" s="66"/>
      <c r="CU43" s="66"/>
      <c r="CV43" s="66"/>
    </row>
    <row r="44" spans="2:101" ht="15.75" thickBot="1" x14ac:dyDescent="0.3">
      <c r="C44" s="73" t="s">
        <v>132</v>
      </c>
      <c r="D44" s="74">
        <f>+D42-D43</f>
        <v>0</v>
      </c>
      <c r="E44" s="74">
        <f>+E42-E43</f>
        <v>-4.6700015664100647E-3</v>
      </c>
      <c r="F44" s="75">
        <f>+F42-F43</f>
        <v>9.9949538707733154E-6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</row>
    <row r="45" spans="2:101" x14ac:dyDescent="0.25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</row>
    <row r="46" spans="2:101" x14ac:dyDescent="0.25">
      <c r="D46" s="10">
        <v>9610</v>
      </c>
      <c r="E46" s="10">
        <v>703817079.78999996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2:101" x14ac:dyDescent="0.25">
      <c r="D47" s="10">
        <v>8236</v>
      </c>
      <c r="E47" s="10">
        <v>419040406</v>
      </c>
      <c r="I47" s="66" t="s">
        <v>133</v>
      </c>
      <c r="AL47" s="76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</row>
    <row r="48" spans="2:101" x14ac:dyDescent="0.25">
      <c r="D48" s="10">
        <v>9594</v>
      </c>
      <c r="E48" s="77">
        <v>2911042697</v>
      </c>
      <c r="AL48" s="76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</row>
    <row r="49" spans="2:97" x14ac:dyDescent="0.25">
      <c r="C49" s="78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</row>
    <row r="50" spans="2:97" x14ac:dyDescent="0.25"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/>
    </row>
    <row r="51" spans="2:97" x14ac:dyDescent="0.25">
      <c r="CS51"/>
    </row>
    <row r="52" spans="2:97" x14ac:dyDescent="0.25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/>
    </row>
    <row r="53" spans="2:97" x14ac:dyDescent="0.25">
      <c r="CS53"/>
    </row>
    <row r="54" spans="2:97" x14ac:dyDescent="0.25">
      <c r="CS54"/>
    </row>
    <row r="55" spans="2:97" x14ac:dyDescent="0.25">
      <c r="CS55"/>
    </row>
    <row r="58" spans="2:97" x14ac:dyDescent="0.25">
      <c r="B58" s="66"/>
      <c r="C58" s="66"/>
      <c r="D58" s="66"/>
      <c r="E58" s="66"/>
      <c r="F58" s="66"/>
      <c r="G58" s="66"/>
      <c r="H58" s="66"/>
      <c r="CM58"/>
      <c r="CN58"/>
      <c r="CO58"/>
      <c r="CP58"/>
      <c r="CQ58"/>
      <c r="CR58"/>
    </row>
    <row r="59" spans="2:97" x14ac:dyDescent="0.25">
      <c r="B59" s="66"/>
      <c r="C59" s="66"/>
      <c r="D59" s="66"/>
      <c r="E59" s="66"/>
      <c r="F59" s="66"/>
      <c r="G59" s="66"/>
      <c r="H59" s="66"/>
      <c r="CM59"/>
      <c r="CN59"/>
      <c r="CO59"/>
      <c r="CP59"/>
      <c r="CQ59"/>
      <c r="CR59"/>
    </row>
    <row r="60" spans="2:97" x14ac:dyDescent="0.25">
      <c r="B60" s="66"/>
      <c r="C60" s="66"/>
      <c r="D60" s="66"/>
      <c r="E60" s="66"/>
      <c r="F60" s="66"/>
      <c r="G60" s="66"/>
      <c r="H60" s="66"/>
      <c r="CM60"/>
      <c r="CN60"/>
      <c r="CO60"/>
      <c r="CP60"/>
      <c r="CQ60"/>
      <c r="CR60"/>
    </row>
    <row r="61" spans="2:97" x14ac:dyDescent="0.25">
      <c r="B61" s="66"/>
      <c r="C61" s="66"/>
      <c r="D61" s="66"/>
      <c r="E61" s="66"/>
      <c r="F61" s="66"/>
      <c r="G61" s="66"/>
      <c r="H61" s="66"/>
      <c r="CM61"/>
      <c r="CN61"/>
      <c r="CO61"/>
      <c r="CP61"/>
      <c r="CQ61"/>
      <c r="CR61"/>
    </row>
    <row r="62" spans="2:97" x14ac:dyDescent="0.25">
      <c r="B62" s="66"/>
      <c r="C62" s="66"/>
      <c r="D62" s="66"/>
      <c r="E62" s="66"/>
      <c r="F62" s="66"/>
      <c r="G62" s="66"/>
      <c r="H62" s="66"/>
      <c r="CM62"/>
      <c r="CN62"/>
      <c r="CO62"/>
      <c r="CP62"/>
      <c r="CQ62"/>
      <c r="CR62"/>
    </row>
    <row r="63" spans="2:97" x14ac:dyDescent="0.25">
      <c r="B63" s="66"/>
      <c r="C63" s="66"/>
      <c r="D63" s="66"/>
      <c r="E63" s="66"/>
      <c r="F63" s="66"/>
      <c r="G63" s="66"/>
      <c r="H63" s="66"/>
      <c r="CM63"/>
      <c r="CN63"/>
      <c r="CO63"/>
      <c r="CP63"/>
      <c r="CQ63"/>
      <c r="CR63"/>
    </row>
  </sheetData>
  <mergeCells count="1">
    <mergeCell ref="AP2:AP3"/>
  </mergeCells>
  <pageMargins left="0.7" right="0.7" top="0.75" bottom="0.75" header="0.3" footer="0.3"/>
  <pageSetup orientation="portrait" r:id="rId1"/>
  <customProperties>
    <customPr name="QAA_DRILLPATH_NODE_ID" r:id="rId2"/>
  </customPropertie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CW63"/>
  <sheetViews>
    <sheetView tabSelected="1" zoomScale="112" zoomScaleNormal="112" workbookViewId="0">
      <pane ySplit="4" topLeftCell="A5" activePane="bottomLeft" state="frozen"/>
      <selection activeCell="CM1" sqref="CM1"/>
      <selection pane="bottomLeft" activeCell="AN44" sqref="AN44"/>
    </sheetView>
  </sheetViews>
  <sheetFormatPr baseColWidth="10" defaultRowHeight="15" outlineLevelCol="2" x14ac:dyDescent="0.25"/>
  <cols>
    <col min="1" max="1" width="8.5703125" style="10" customWidth="1"/>
    <col min="2" max="2" width="10" style="10" bestFit="1" customWidth="1"/>
    <col min="3" max="3" width="43" style="10" bestFit="1" customWidth="1"/>
    <col min="4" max="5" width="19.42578125" style="10" bestFit="1" customWidth="1"/>
    <col min="6" max="6" width="21.85546875" style="10" bestFit="1" customWidth="1"/>
    <col min="7" max="7" width="19.5703125" style="10" customWidth="1" outlineLevel="1"/>
    <col min="8" max="8" width="17.85546875" style="10" customWidth="1" outlineLevel="1"/>
    <col min="9" max="9" width="17.85546875" style="66" bestFit="1" customWidth="1"/>
    <col min="10" max="10" width="17.85546875" style="66" customWidth="1" outlineLevel="2"/>
    <col min="11" max="13" width="16.42578125" style="66" customWidth="1" outlineLevel="2"/>
    <col min="14" max="14" width="18.85546875" style="66" customWidth="1" outlineLevel="2"/>
    <col min="15" max="15" width="21" style="66" customWidth="1" outlineLevel="2"/>
    <col min="16" max="17" width="14.140625" style="66" customWidth="1" outlineLevel="2"/>
    <col min="18" max="18" width="16.42578125" style="66" customWidth="1" outlineLevel="2"/>
    <col min="19" max="25" width="18.42578125" style="66" customWidth="1" outlineLevel="2"/>
    <col min="26" max="26" width="18.85546875" style="66" customWidth="1" outlineLevel="2"/>
    <col min="27" max="27" width="21" style="66" customWidth="1" outlineLevel="2"/>
    <col min="28" max="29" width="14.5703125" style="66" customWidth="1" outlineLevel="2"/>
    <col min="30" max="30" width="16.42578125" style="66" customWidth="1" outlineLevel="2"/>
    <col min="31" max="31" width="18.42578125" style="66" customWidth="1" outlineLevel="2"/>
    <col min="32" max="32" width="18.140625" style="66" customWidth="1" outlineLevel="2"/>
    <col min="33" max="33" width="20.140625" style="66" customWidth="1" outlineLevel="2"/>
    <col min="34" max="37" width="14.5703125" style="66" customWidth="1" outlineLevel="2"/>
    <col min="38" max="38" width="15.7109375" style="66" bestFit="1" customWidth="1"/>
    <col min="39" max="41" width="15.5703125" style="66" bestFit="1" customWidth="1"/>
    <col min="42" max="42" width="18.42578125" style="66" bestFit="1" customWidth="1"/>
    <col min="43" max="43" width="15.5703125" style="66" bestFit="1" customWidth="1"/>
    <col min="44" max="48" width="17.42578125" style="66" customWidth="1" outlineLevel="1"/>
    <col min="49" max="49" width="15.140625" style="66" customWidth="1" outlineLevel="1"/>
    <col min="50" max="50" width="9.85546875" style="66" customWidth="1" outlineLevel="1"/>
    <col min="51" max="51" width="12.5703125" style="66" customWidth="1" outlineLevel="1"/>
    <col min="52" max="52" width="14.42578125" style="66" customWidth="1" outlineLevel="1"/>
    <col min="53" max="53" width="15.140625" style="66" customWidth="1" outlineLevel="1"/>
    <col min="54" max="55" width="11.85546875" style="66" customWidth="1" outlineLevel="1"/>
    <col min="56" max="56" width="12.5703125" style="66" customWidth="1" outlineLevel="1"/>
    <col min="57" max="59" width="16.5703125" style="66" customWidth="1" outlineLevel="1"/>
    <col min="60" max="60" width="15.140625" style="66" customWidth="1" outlineLevel="1"/>
    <col min="61" max="62" width="13.5703125" style="66" customWidth="1" outlineLevel="1"/>
    <col min="63" max="63" width="14.42578125" style="66" customWidth="1" outlineLevel="1"/>
    <col min="64" max="64" width="19.5703125" style="66" customWidth="1" outlineLevel="1"/>
    <col min="65" max="66" width="17.85546875" style="66" customWidth="1" outlineLevel="1"/>
    <col min="67" max="67" width="12.85546875" style="66" customWidth="1" outlineLevel="1"/>
    <col min="68" max="68" width="13.5703125" style="66" customWidth="1" outlineLevel="1"/>
    <col min="69" max="69" width="18.85546875" style="66" customWidth="1" outlineLevel="1"/>
    <col min="70" max="70" width="20.140625" style="66" customWidth="1" outlineLevel="1"/>
    <col min="71" max="73" width="20.140625" style="66" bestFit="1" customWidth="1"/>
    <col min="74" max="76" width="17.42578125" style="66" bestFit="1" customWidth="1"/>
    <col min="77" max="77" width="15.140625" style="66" bestFit="1" customWidth="1"/>
    <col min="78" max="79" width="14.42578125" style="66" bestFit="1" customWidth="1"/>
    <col min="80" max="80" width="15.140625" style="66" bestFit="1" customWidth="1"/>
    <col min="81" max="82" width="15" style="66" bestFit="1" customWidth="1"/>
    <col min="83" max="83" width="15.140625" style="66" bestFit="1" customWidth="1"/>
    <col min="84" max="85" width="13" style="66" bestFit="1" customWidth="1"/>
    <col min="86" max="86" width="16.5703125" style="66" bestFit="1" customWidth="1"/>
    <col min="87" max="88" width="19.7109375" style="66" bestFit="1" customWidth="1"/>
    <col min="89" max="89" width="15.5703125" style="66" customWidth="1"/>
    <col min="90" max="90" width="11.28515625" style="66" customWidth="1"/>
    <col min="91" max="91" width="17.85546875" style="66" bestFit="1" customWidth="1"/>
    <col min="92" max="92" width="14.42578125" style="66" customWidth="1"/>
    <col min="93" max="93" width="14.28515625" style="66" bestFit="1" customWidth="1"/>
    <col min="94" max="95" width="19.7109375" style="66" bestFit="1" customWidth="1"/>
    <col min="96" max="96" width="16.5703125" style="66" bestFit="1" customWidth="1"/>
    <col min="97" max="97" width="22" style="66" bestFit="1" customWidth="1"/>
    <col min="98" max="98" width="12" bestFit="1" customWidth="1"/>
    <col min="99" max="99" width="11.5703125" bestFit="1" customWidth="1"/>
    <col min="100" max="100" width="12" bestFit="1" customWidth="1"/>
    <col min="101" max="101" width="15.28515625" bestFit="1" customWidth="1"/>
  </cols>
  <sheetData>
    <row r="1" spans="1:101" ht="28.5" x14ac:dyDescent="0.45">
      <c r="A1" s="1"/>
      <c r="B1" s="1"/>
      <c r="C1" s="1"/>
      <c r="D1" s="2"/>
      <c r="E1" s="3"/>
      <c r="F1" s="3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5"/>
      <c r="AN1" s="5"/>
      <c r="AO1" s="5"/>
      <c r="AP1" s="5"/>
      <c r="AQ1" s="5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6"/>
      <c r="BM1" s="4"/>
      <c r="BN1" s="4"/>
      <c r="BO1" s="4"/>
      <c r="BP1" s="4"/>
      <c r="BQ1" s="4"/>
      <c r="BR1" s="7"/>
      <c r="BS1" s="7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8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spans="1:101" ht="15" customHeight="1" x14ac:dyDescent="0.25">
      <c r="D2" s="11" t="s">
        <v>0</v>
      </c>
      <c r="E2" s="11" t="s">
        <v>1</v>
      </c>
      <c r="F2" s="11" t="s">
        <v>2</v>
      </c>
      <c r="G2" s="12" t="s">
        <v>3</v>
      </c>
      <c r="H2" s="12" t="s">
        <v>4</v>
      </c>
      <c r="I2" s="13" t="s">
        <v>5</v>
      </c>
      <c r="J2" s="12" t="s">
        <v>6</v>
      </c>
      <c r="K2" s="12" t="s">
        <v>0</v>
      </c>
      <c r="L2" s="12" t="s">
        <v>1</v>
      </c>
      <c r="M2" s="12" t="s">
        <v>2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12" t="s">
        <v>12</v>
      </c>
      <c r="T2" s="16" t="s">
        <v>7</v>
      </c>
      <c r="U2" s="16" t="s">
        <v>8</v>
      </c>
      <c r="V2" s="16" t="s">
        <v>134</v>
      </c>
      <c r="W2" s="16" t="s">
        <v>135</v>
      </c>
      <c r="X2" s="16" t="s">
        <v>11</v>
      </c>
      <c r="Y2" s="16" t="s">
        <v>12</v>
      </c>
      <c r="Z2" s="12" t="s">
        <v>7</v>
      </c>
      <c r="AA2" s="12" t="s">
        <v>8</v>
      </c>
      <c r="AB2" s="12" t="s">
        <v>9</v>
      </c>
      <c r="AC2" s="12" t="s">
        <v>10</v>
      </c>
      <c r="AD2" s="12" t="s">
        <v>11</v>
      </c>
      <c r="AE2" s="12" t="s">
        <v>12</v>
      </c>
      <c r="AF2" s="12" t="s">
        <v>13</v>
      </c>
      <c r="AG2" s="12" t="s">
        <v>14</v>
      </c>
      <c r="AH2" s="12" t="s">
        <v>15</v>
      </c>
      <c r="AI2" s="12" t="s">
        <v>16</v>
      </c>
      <c r="AJ2" s="12" t="s">
        <v>17</v>
      </c>
      <c r="AK2" s="12" t="s">
        <v>18</v>
      </c>
      <c r="AL2" s="14" t="s">
        <v>19</v>
      </c>
      <c r="AM2" s="14" t="s">
        <v>20</v>
      </c>
      <c r="AN2" s="15" t="s">
        <v>21</v>
      </c>
      <c r="AO2" s="15" t="s">
        <v>22</v>
      </c>
      <c r="AP2" s="89" t="s">
        <v>23</v>
      </c>
      <c r="AQ2" s="83"/>
      <c r="AR2" s="16" t="s">
        <v>0</v>
      </c>
      <c r="AS2" s="16" t="s">
        <v>24</v>
      </c>
      <c r="AT2" s="12" t="s">
        <v>5</v>
      </c>
      <c r="AU2" s="12" t="s">
        <v>2</v>
      </c>
      <c r="AV2" s="12" t="s">
        <v>19</v>
      </c>
      <c r="AW2" s="12" t="s">
        <v>0</v>
      </c>
      <c r="AX2" s="12" t="s">
        <v>24</v>
      </c>
      <c r="AY2" s="12" t="s">
        <v>2</v>
      </c>
      <c r="AZ2" s="12" t="s">
        <v>19</v>
      </c>
      <c r="BA2" s="12" t="s">
        <v>0</v>
      </c>
      <c r="BB2" s="12" t="s">
        <v>24</v>
      </c>
      <c r="BC2" s="12" t="s">
        <v>5</v>
      </c>
      <c r="BD2" s="12" t="s">
        <v>2</v>
      </c>
      <c r="BE2" s="12" t="s">
        <v>0</v>
      </c>
      <c r="BF2" s="12" t="s">
        <v>24</v>
      </c>
      <c r="BG2" s="17" t="s">
        <v>2</v>
      </c>
      <c r="BH2" s="17" t="s">
        <v>0</v>
      </c>
      <c r="BI2" s="17" t="s">
        <v>24</v>
      </c>
      <c r="BJ2" s="17" t="s">
        <v>2</v>
      </c>
      <c r="BK2" s="17" t="s">
        <v>19</v>
      </c>
      <c r="BL2" s="18" t="s">
        <v>3</v>
      </c>
      <c r="BM2" s="18" t="s">
        <v>4</v>
      </c>
      <c r="BN2" s="18" t="s">
        <v>6</v>
      </c>
      <c r="BO2" s="18" t="s">
        <v>25</v>
      </c>
      <c r="BP2" s="18" t="s">
        <v>26</v>
      </c>
      <c r="BQ2" s="18" t="s">
        <v>27</v>
      </c>
      <c r="BR2" s="14" t="s">
        <v>28</v>
      </c>
      <c r="BS2" s="14" t="s">
        <v>10</v>
      </c>
      <c r="BT2" s="14" t="s">
        <v>29</v>
      </c>
      <c r="BU2" s="14" t="s">
        <v>12</v>
      </c>
      <c r="BV2" s="14" t="s">
        <v>0</v>
      </c>
      <c r="BW2" s="14" t="s">
        <v>1</v>
      </c>
      <c r="BX2" s="14" t="s">
        <v>2</v>
      </c>
      <c r="BY2" s="14" t="s">
        <v>0</v>
      </c>
      <c r="BZ2" s="14" t="s">
        <v>1</v>
      </c>
      <c r="CA2" s="14" t="s">
        <v>2</v>
      </c>
      <c r="CB2" s="14" t="s">
        <v>0</v>
      </c>
      <c r="CC2" s="14" t="s">
        <v>1</v>
      </c>
      <c r="CD2" s="14" t="s">
        <v>2</v>
      </c>
      <c r="CE2" s="14" t="s">
        <v>0</v>
      </c>
      <c r="CF2" s="14" t="s">
        <v>1</v>
      </c>
      <c r="CG2" s="14" t="s">
        <v>2</v>
      </c>
      <c r="CH2" s="14" t="s">
        <v>2</v>
      </c>
      <c r="CI2" s="14" t="s">
        <v>1</v>
      </c>
      <c r="CJ2" s="14" t="s">
        <v>2</v>
      </c>
      <c r="CK2" s="14" t="s">
        <v>1</v>
      </c>
      <c r="CL2" s="14" t="s">
        <v>1</v>
      </c>
      <c r="CM2" s="14" t="s">
        <v>1</v>
      </c>
      <c r="CN2" s="14" t="s">
        <v>1</v>
      </c>
      <c r="CO2" s="14" t="s">
        <v>1</v>
      </c>
      <c r="CP2" s="14" t="s">
        <v>1</v>
      </c>
      <c r="CQ2" s="14" t="s">
        <v>1</v>
      </c>
      <c r="CR2" s="19" t="s">
        <v>30</v>
      </c>
      <c r="CS2" s="85" t="s">
        <v>136</v>
      </c>
      <c r="CT2" s="85" t="s">
        <v>135</v>
      </c>
      <c r="CU2" s="85" t="s">
        <v>29</v>
      </c>
      <c r="CV2" s="85" t="s">
        <v>12</v>
      </c>
      <c r="CW2" s="20" t="s">
        <v>31</v>
      </c>
    </row>
    <row r="3" spans="1:101" ht="60" x14ac:dyDescent="0.25">
      <c r="D3" s="21" t="s">
        <v>32</v>
      </c>
      <c r="E3" s="21" t="s">
        <v>32</v>
      </c>
      <c r="F3" s="21" t="s">
        <v>32</v>
      </c>
      <c r="G3" s="22" t="s">
        <v>32</v>
      </c>
      <c r="H3" s="22" t="s">
        <v>32</v>
      </c>
      <c r="I3" s="23" t="s">
        <v>32</v>
      </c>
      <c r="J3" s="22" t="s">
        <v>32</v>
      </c>
      <c r="K3" s="22" t="s">
        <v>33</v>
      </c>
      <c r="L3" s="22" t="s">
        <v>33</v>
      </c>
      <c r="M3" s="22" t="s">
        <v>33</v>
      </c>
      <c r="N3" s="22" t="s">
        <v>34</v>
      </c>
      <c r="O3" s="22" t="s">
        <v>34</v>
      </c>
      <c r="P3" s="22" t="s">
        <v>34</v>
      </c>
      <c r="Q3" s="22" t="s">
        <v>34</v>
      </c>
      <c r="R3" s="22" t="s">
        <v>34</v>
      </c>
      <c r="S3" s="22" t="s">
        <v>34</v>
      </c>
      <c r="T3" s="24" t="s">
        <v>137</v>
      </c>
      <c r="U3" s="24" t="s">
        <v>137</v>
      </c>
      <c r="V3" s="24" t="s">
        <v>137</v>
      </c>
      <c r="W3" s="24" t="s">
        <v>137</v>
      </c>
      <c r="X3" s="24" t="s">
        <v>137</v>
      </c>
      <c r="Y3" s="24" t="s">
        <v>137</v>
      </c>
      <c r="Z3" s="22" t="s">
        <v>35</v>
      </c>
      <c r="AA3" s="22" t="s">
        <v>35</v>
      </c>
      <c r="AB3" s="22" t="s">
        <v>35</v>
      </c>
      <c r="AC3" s="22" t="s">
        <v>35</v>
      </c>
      <c r="AD3" s="22" t="s">
        <v>35</v>
      </c>
      <c r="AE3" s="22" t="s">
        <v>35</v>
      </c>
      <c r="AF3" s="22" t="s">
        <v>35</v>
      </c>
      <c r="AG3" s="22" t="s">
        <v>35</v>
      </c>
      <c r="AH3" s="22" t="s">
        <v>35</v>
      </c>
      <c r="AI3" s="22" t="s">
        <v>35</v>
      </c>
      <c r="AJ3" s="22" t="s">
        <v>35</v>
      </c>
      <c r="AK3" s="22" t="s">
        <v>35</v>
      </c>
      <c r="AL3" s="23" t="s">
        <v>36</v>
      </c>
      <c r="AM3" s="23" t="s">
        <v>36</v>
      </c>
      <c r="AN3" s="23"/>
      <c r="AO3" s="23"/>
      <c r="AP3" s="90"/>
      <c r="AQ3" s="84" t="s">
        <v>37</v>
      </c>
      <c r="AR3" s="24" t="s">
        <v>38</v>
      </c>
      <c r="AS3" s="24" t="s">
        <v>38</v>
      </c>
      <c r="AT3" s="22" t="s">
        <v>38</v>
      </c>
      <c r="AU3" s="22" t="s">
        <v>38</v>
      </c>
      <c r="AV3" s="22" t="s">
        <v>38</v>
      </c>
      <c r="AW3" s="22" t="s">
        <v>39</v>
      </c>
      <c r="AX3" s="22" t="s">
        <v>39</v>
      </c>
      <c r="AY3" s="22" t="s">
        <v>39</v>
      </c>
      <c r="AZ3" s="22" t="s">
        <v>39</v>
      </c>
      <c r="BA3" s="22" t="s">
        <v>40</v>
      </c>
      <c r="BB3" s="22" t="s">
        <v>40</v>
      </c>
      <c r="BC3" s="22" t="s">
        <v>40</v>
      </c>
      <c r="BD3" s="22" t="s">
        <v>40</v>
      </c>
      <c r="BE3" s="22" t="s">
        <v>41</v>
      </c>
      <c r="BF3" s="22" t="s">
        <v>41</v>
      </c>
      <c r="BG3" s="22" t="s">
        <v>41</v>
      </c>
      <c r="BH3" s="22" t="s">
        <v>42</v>
      </c>
      <c r="BI3" s="22" t="s">
        <v>42</v>
      </c>
      <c r="BJ3" s="22" t="s">
        <v>42</v>
      </c>
      <c r="BK3" s="22" t="s">
        <v>42</v>
      </c>
      <c r="BL3" s="24" t="s">
        <v>32</v>
      </c>
      <c r="BM3" s="24" t="s">
        <v>32</v>
      </c>
      <c r="BN3" s="24" t="s">
        <v>32</v>
      </c>
      <c r="BO3" s="25" t="s">
        <v>4</v>
      </c>
      <c r="BP3" s="25" t="s">
        <v>4</v>
      </c>
      <c r="BQ3" s="25" t="s">
        <v>4</v>
      </c>
      <c r="BR3" s="84" t="s">
        <v>43</v>
      </c>
      <c r="BS3" s="84" t="s">
        <v>43</v>
      </c>
      <c r="BT3" s="84" t="s">
        <v>43</v>
      </c>
      <c r="BU3" s="84" t="s">
        <v>43</v>
      </c>
      <c r="BV3" s="84" t="s">
        <v>38</v>
      </c>
      <c r="BW3" s="84" t="s">
        <v>38</v>
      </c>
      <c r="BX3" s="84" t="s">
        <v>38</v>
      </c>
      <c r="BY3" s="84" t="s">
        <v>42</v>
      </c>
      <c r="BZ3" s="84" t="s">
        <v>42</v>
      </c>
      <c r="CA3" s="84" t="s">
        <v>42</v>
      </c>
      <c r="CB3" s="84" t="s">
        <v>44</v>
      </c>
      <c r="CC3" s="84" t="s">
        <v>44</v>
      </c>
      <c r="CD3" s="84" t="s">
        <v>44</v>
      </c>
      <c r="CE3" s="84" t="s">
        <v>45</v>
      </c>
      <c r="CF3" s="84" t="s">
        <v>45</v>
      </c>
      <c r="CG3" s="84" t="s">
        <v>45</v>
      </c>
      <c r="CH3" s="84" t="s">
        <v>41</v>
      </c>
      <c r="CI3" s="84" t="s">
        <v>46</v>
      </c>
      <c r="CJ3" s="84" t="s">
        <v>46</v>
      </c>
      <c r="CK3" s="26" t="s">
        <v>47</v>
      </c>
      <c r="CL3" s="26" t="s">
        <v>47</v>
      </c>
      <c r="CM3" s="26" t="s">
        <v>32</v>
      </c>
      <c r="CN3" s="26" t="s">
        <v>42</v>
      </c>
      <c r="CO3" s="26" t="s">
        <v>48</v>
      </c>
      <c r="CP3" s="26" t="s">
        <v>46</v>
      </c>
      <c r="CQ3" s="26" t="s">
        <v>46</v>
      </c>
      <c r="CR3" s="86" t="s">
        <v>49</v>
      </c>
      <c r="CS3" s="87" t="s">
        <v>138</v>
      </c>
      <c r="CT3" s="87" t="s">
        <v>138</v>
      </c>
      <c r="CU3" s="87" t="s">
        <v>138</v>
      </c>
      <c r="CV3" s="87" t="s">
        <v>138</v>
      </c>
      <c r="CW3" s="27"/>
    </row>
    <row r="4" spans="1:101" x14ac:dyDescent="0.25">
      <c r="A4" s="28"/>
      <c r="B4" s="29" t="s">
        <v>50</v>
      </c>
      <c r="C4" s="30" t="s">
        <v>51</v>
      </c>
      <c r="D4" s="31" t="s">
        <v>52</v>
      </c>
      <c r="E4" s="31" t="s">
        <v>53</v>
      </c>
      <c r="F4" s="31" t="s">
        <v>54</v>
      </c>
      <c r="G4" s="32">
        <v>482800001265</v>
      </c>
      <c r="H4" s="32">
        <v>482800001273</v>
      </c>
      <c r="I4" s="32">
        <v>482800002024</v>
      </c>
      <c r="J4" s="32">
        <v>482800001257</v>
      </c>
      <c r="K4" s="32" t="s">
        <v>55</v>
      </c>
      <c r="L4" s="32" t="s">
        <v>56</v>
      </c>
      <c r="M4" s="32" t="s">
        <v>57</v>
      </c>
      <c r="N4" s="32">
        <v>36203301</v>
      </c>
      <c r="O4" s="32">
        <v>36203301</v>
      </c>
      <c r="P4" s="32">
        <v>36203328</v>
      </c>
      <c r="Q4" s="32">
        <v>36203328</v>
      </c>
      <c r="R4" s="32">
        <v>36025015</v>
      </c>
      <c r="S4" s="32">
        <v>36025015</v>
      </c>
      <c r="T4" s="32"/>
      <c r="U4" s="32"/>
      <c r="V4" s="32"/>
      <c r="W4" s="32"/>
      <c r="X4" s="32"/>
      <c r="Y4" s="32"/>
      <c r="Z4" s="32">
        <v>865784010</v>
      </c>
      <c r="AA4" s="32">
        <v>865784010</v>
      </c>
      <c r="AB4" s="32">
        <v>865804010</v>
      </c>
      <c r="AC4" s="32">
        <v>865804010</v>
      </c>
      <c r="AD4" s="32">
        <v>865794010</v>
      </c>
      <c r="AE4" s="32">
        <v>865794010</v>
      </c>
      <c r="AF4" s="32" t="s">
        <v>58</v>
      </c>
      <c r="AG4" s="32" t="s">
        <v>58</v>
      </c>
      <c r="AH4" s="32" t="s">
        <v>59</v>
      </c>
      <c r="AI4" s="32" t="s">
        <v>59</v>
      </c>
      <c r="AJ4" s="32" t="s">
        <v>60</v>
      </c>
      <c r="AK4" s="32" t="s">
        <v>60</v>
      </c>
      <c r="AL4" s="33"/>
      <c r="AM4" s="33"/>
      <c r="AN4" s="33"/>
      <c r="AO4" s="33"/>
      <c r="AP4" s="33"/>
      <c r="AQ4" s="33">
        <v>3642</v>
      </c>
      <c r="AR4" s="33" t="s">
        <v>61</v>
      </c>
      <c r="AS4" s="33" t="s">
        <v>62</v>
      </c>
      <c r="AT4" s="33" t="s">
        <v>63</v>
      </c>
      <c r="AU4" s="33" t="s">
        <v>64</v>
      </c>
      <c r="AV4" s="33" t="s">
        <v>65</v>
      </c>
      <c r="AW4" s="33" t="s">
        <v>66</v>
      </c>
      <c r="AX4" s="33" t="s">
        <v>67</v>
      </c>
      <c r="AY4" s="33" t="s">
        <v>68</v>
      </c>
      <c r="AZ4" s="33" t="s">
        <v>69</v>
      </c>
      <c r="BA4" s="33" t="s">
        <v>70</v>
      </c>
      <c r="BB4" s="33" t="s">
        <v>71</v>
      </c>
      <c r="BC4" s="33" t="s">
        <v>72</v>
      </c>
      <c r="BD4" s="33" t="s">
        <v>73</v>
      </c>
      <c r="BE4" s="33" t="s">
        <v>74</v>
      </c>
      <c r="BF4" s="33" t="s">
        <v>75</v>
      </c>
      <c r="BG4" s="33" t="s">
        <v>76</v>
      </c>
      <c r="BH4" s="33" t="s">
        <v>77</v>
      </c>
      <c r="BI4" s="33" t="s">
        <v>78</v>
      </c>
      <c r="BJ4" s="33" t="s">
        <v>79</v>
      </c>
      <c r="BK4" s="33" t="s">
        <v>80</v>
      </c>
      <c r="BL4" s="34">
        <v>482800007882</v>
      </c>
      <c r="BM4" s="34">
        <v>482800007908</v>
      </c>
      <c r="BN4" s="34">
        <v>482800007890</v>
      </c>
      <c r="BO4" s="34">
        <v>482800010001</v>
      </c>
      <c r="BP4" s="34">
        <v>482800010019</v>
      </c>
      <c r="BQ4" s="34">
        <v>482800010027</v>
      </c>
      <c r="BR4" s="33">
        <v>36024995</v>
      </c>
      <c r="BS4" s="33">
        <v>36024995</v>
      </c>
      <c r="BT4" s="33">
        <v>36903922</v>
      </c>
      <c r="BU4" s="33">
        <v>36903922</v>
      </c>
      <c r="BV4" s="33">
        <v>36294346</v>
      </c>
      <c r="BW4" s="33" t="s">
        <v>81</v>
      </c>
      <c r="BX4" s="33">
        <v>36294353</v>
      </c>
      <c r="BY4" s="33" t="s">
        <v>82</v>
      </c>
      <c r="BZ4" s="33" t="s">
        <v>83</v>
      </c>
      <c r="CA4" s="33" t="s">
        <v>84</v>
      </c>
      <c r="CB4" s="33" t="s">
        <v>85</v>
      </c>
      <c r="CC4" s="33" t="s">
        <v>86</v>
      </c>
      <c r="CD4" s="33" t="s">
        <v>87</v>
      </c>
      <c r="CE4" s="33" t="s">
        <v>88</v>
      </c>
      <c r="CF4" s="33" t="s">
        <v>89</v>
      </c>
      <c r="CG4" s="33" t="s">
        <v>90</v>
      </c>
      <c r="CH4" s="33" t="s">
        <v>91</v>
      </c>
      <c r="CI4" s="33">
        <v>221816614</v>
      </c>
      <c r="CJ4" s="33">
        <v>221816598</v>
      </c>
      <c r="CK4" s="33">
        <v>60193029</v>
      </c>
      <c r="CL4" s="33">
        <v>60193401</v>
      </c>
      <c r="CM4" s="33">
        <v>1011143807</v>
      </c>
      <c r="CN4" s="33">
        <v>4801736642</v>
      </c>
      <c r="CO4" s="33">
        <v>65005340</v>
      </c>
      <c r="CP4" s="33">
        <v>288086051</v>
      </c>
      <c r="CQ4" s="33">
        <v>288049109</v>
      </c>
      <c r="CR4" s="33">
        <v>411166042</v>
      </c>
      <c r="CS4" s="33">
        <v>865804015</v>
      </c>
      <c r="CT4" s="33">
        <v>865804015</v>
      </c>
      <c r="CU4" s="33">
        <v>865794015</v>
      </c>
      <c r="CV4" s="33">
        <v>865794015</v>
      </c>
      <c r="CW4" s="35"/>
    </row>
    <row r="5" spans="1:101" x14ac:dyDescent="0.25">
      <c r="B5" s="36"/>
      <c r="C5" s="37" t="s">
        <v>92</v>
      </c>
      <c r="D5" s="38"/>
      <c r="E5" s="38" t="s">
        <v>93</v>
      </c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9"/>
      <c r="AI5" s="39"/>
      <c r="AJ5" s="39"/>
      <c r="AK5" s="39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>
        <v>4.1067900000000002</v>
      </c>
      <c r="BT5" s="37"/>
      <c r="BU5" s="37">
        <f>+BS5</f>
        <v>4.1067900000000002</v>
      </c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40"/>
    </row>
    <row r="6" spans="1:101" x14ac:dyDescent="0.25">
      <c r="B6" s="36"/>
      <c r="C6" s="37" t="s">
        <v>94</v>
      </c>
      <c r="D6" s="37">
        <f>+D7-D8</f>
        <v>-17592.418000000529</v>
      </c>
      <c r="E6" s="37">
        <f>+E7-E8</f>
        <v>1452567.3430354707</v>
      </c>
      <c r="F6" s="37">
        <f>+F7-F8</f>
        <v>405580.23852849379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9"/>
      <c r="AI6" s="39"/>
      <c r="AJ6" s="39"/>
      <c r="AK6" s="39"/>
      <c r="AL6" s="37">
        <f>+AL7-AL8</f>
        <v>-226079.0807200782</v>
      </c>
      <c r="AM6" s="37">
        <f t="shared" ref="AL6:BQ6" si="0">+AM7-AM8</f>
        <v>74150.748526468873</v>
      </c>
      <c r="AN6" s="37">
        <f t="shared" si="0"/>
        <v>-203598.84716000129</v>
      </c>
      <c r="AO6" s="37">
        <f t="shared" si="0"/>
        <v>133826.41684856021</v>
      </c>
      <c r="AP6" s="37">
        <f t="shared" si="0"/>
        <v>-3077289.1598919975</v>
      </c>
      <c r="AQ6" s="37">
        <f t="shared" si="0"/>
        <v>622893.08066783962</v>
      </c>
      <c r="AR6" s="37">
        <f t="shared" si="0"/>
        <v>0</v>
      </c>
      <c r="AS6" s="37">
        <f t="shared" si="0"/>
        <v>0</v>
      </c>
      <c r="AT6" s="37">
        <f t="shared" si="0"/>
        <v>0</v>
      </c>
      <c r="AU6" s="37">
        <f t="shared" si="0"/>
        <v>0</v>
      </c>
      <c r="AV6" s="37">
        <f t="shared" si="0"/>
        <v>0</v>
      </c>
      <c r="AW6" s="37">
        <f t="shared" si="0"/>
        <v>0</v>
      </c>
      <c r="AX6" s="37">
        <f t="shared" si="0"/>
        <v>0</v>
      </c>
      <c r="AY6" s="37">
        <f t="shared" si="0"/>
        <v>0</v>
      </c>
      <c r="AZ6" s="37">
        <f t="shared" si="0"/>
        <v>0</v>
      </c>
      <c r="BA6" s="37">
        <f t="shared" si="0"/>
        <v>0</v>
      </c>
      <c r="BB6" s="37">
        <f t="shared" si="0"/>
        <v>0</v>
      </c>
      <c r="BC6" s="37">
        <f t="shared" si="0"/>
        <v>0</v>
      </c>
      <c r="BD6" s="37">
        <f t="shared" si="0"/>
        <v>0</v>
      </c>
      <c r="BE6" s="37">
        <f t="shared" si="0"/>
        <v>0</v>
      </c>
      <c r="BF6" s="37">
        <f t="shared" si="0"/>
        <v>0</v>
      </c>
      <c r="BG6" s="37">
        <f t="shared" si="0"/>
        <v>0</v>
      </c>
      <c r="BH6" s="37">
        <f t="shared" si="0"/>
        <v>0</v>
      </c>
      <c r="BI6" s="37">
        <f t="shared" si="0"/>
        <v>0</v>
      </c>
      <c r="BJ6" s="37">
        <f t="shared" si="0"/>
        <v>0</v>
      </c>
      <c r="BK6" s="37">
        <f t="shared" si="0"/>
        <v>0</v>
      </c>
      <c r="BL6" s="37">
        <f t="shared" si="0"/>
        <v>0</v>
      </c>
      <c r="BM6" s="37">
        <f t="shared" si="0"/>
        <v>0</v>
      </c>
      <c r="BN6" s="37">
        <f t="shared" si="0"/>
        <v>0</v>
      </c>
      <c r="BO6" s="37">
        <f t="shared" si="0"/>
        <v>0</v>
      </c>
      <c r="BP6" s="37">
        <f t="shared" si="0"/>
        <v>0</v>
      </c>
      <c r="BQ6" s="37">
        <f t="shared" si="0"/>
        <v>0</v>
      </c>
      <c r="BR6" s="37"/>
      <c r="BS6" s="37"/>
      <c r="BT6" s="37"/>
      <c r="BU6" s="37"/>
      <c r="BV6" s="37">
        <f>+BV7-BV8-422.17</f>
        <v>-422.17</v>
      </c>
      <c r="BW6" s="37">
        <f t="shared" ref="BW6:CR6" si="1">+BW7-BW8</f>
        <v>0</v>
      </c>
      <c r="BX6" s="37">
        <f t="shared" si="1"/>
        <v>0</v>
      </c>
      <c r="BY6" s="37">
        <f>+BY7-BY8-354.67</f>
        <v>-15143.83100000008</v>
      </c>
      <c r="BZ6" s="37">
        <f>+BZ7-BZ8-58692.82</f>
        <v>248003.11500000051</v>
      </c>
      <c r="CA6" s="37">
        <f>+CA7-CA8+232817.09</f>
        <v>721256.40300000005</v>
      </c>
      <c r="CB6" s="37">
        <f t="shared" si="1"/>
        <v>-2.4000000121304765E-4</v>
      </c>
      <c r="CC6" s="37">
        <f t="shared" si="1"/>
        <v>-4.1799999307841063E-3</v>
      </c>
      <c r="CD6" s="37">
        <f>+[1]Otrosbancos!$V$29</f>
        <v>0</v>
      </c>
      <c r="CE6" s="37">
        <f t="shared" si="1"/>
        <v>247.72999999999956</v>
      </c>
      <c r="CF6" s="37">
        <f t="shared" si="1"/>
        <v>276.26300000003539</v>
      </c>
      <c r="CG6" s="37">
        <f t="shared" si="1"/>
        <v>119.42999999999302</v>
      </c>
      <c r="CH6" s="37">
        <f t="shared" si="1"/>
        <v>0</v>
      </c>
      <c r="CI6" s="37">
        <f t="shared" si="1"/>
        <v>3047.0189999999711</v>
      </c>
      <c r="CJ6" s="37">
        <f t="shared" si="1"/>
        <v>115774.41300000002</v>
      </c>
      <c r="CK6" s="37">
        <f t="shared" si="1"/>
        <v>0</v>
      </c>
      <c r="CL6" s="37">
        <f t="shared" si="1"/>
        <v>0</v>
      </c>
      <c r="CM6" s="37">
        <f t="shared" si="1"/>
        <v>-1.4999999257270247E-4</v>
      </c>
      <c r="CN6" s="37">
        <f t="shared" si="1"/>
        <v>-2.9699999140575528E-3</v>
      </c>
      <c r="CO6" s="37">
        <f t="shared" si="1"/>
        <v>6.1976800003321841</v>
      </c>
      <c r="CP6" s="37">
        <f t="shared" si="1"/>
        <v>-2.7600005269050598E-3</v>
      </c>
      <c r="CQ6" s="37">
        <f t="shared" si="1"/>
        <v>216.65003000001889</v>
      </c>
      <c r="CR6" s="37">
        <f t="shared" si="1"/>
        <v>856972.5873200011</v>
      </c>
      <c r="CS6" s="37">
        <f>+CS7-CS8</f>
        <v>-5000</v>
      </c>
      <c r="CT6" s="37">
        <f>+CT7-CT8</f>
        <v>-20468.599999999999</v>
      </c>
      <c r="CU6" s="37">
        <f>+CU7-CU8</f>
        <v>-5000</v>
      </c>
      <c r="CV6" s="37">
        <f>+CV7-CV8</f>
        <v>-20468.599999999999</v>
      </c>
      <c r="CW6" s="37"/>
    </row>
    <row r="7" spans="1:101" x14ac:dyDescent="0.25">
      <c r="A7" s="41"/>
      <c r="B7" s="42"/>
      <c r="C7" s="43" t="s">
        <v>95</v>
      </c>
      <c r="D7" s="43">
        <f>+'[1]Cap,Bol,Cls'!$V$4</f>
        <v>431115.28655999998</v>
      </c>
      <c r="E7" s="43">
        <f>+'[1]Cap,Bol,Cls'!$V$13</f>
        <v>11601047.290239999</v>
      </c>
      <c r="F7" s="43">
        <f>+'[1]Cap,Bol,Cls'!$V$30</f>
        <v>18506103.928229999</v>
      </c>
      <c r="G7" s="43">
        <f>+G8</f>
        <v>0</v>
      </c>
      <c r="H7" s="43">
        <f>+H8</f>
        <v>0</v>
      </c>
      <c r="I7" s="43">
        <f>+'[1]Cap,Bol,Cls'!$V$24</f>
        <v>113154.19497</v>
      </c>
      <c r="J7" s="43">
        <f>+J8</f>
        <v>0</v>
      </c>
      <c r="K7" s="43">
        <f>+K8</f>
        <v>215532.65850014306</v>
      </c>
      <c r="L7" s="43">
        <f>+L8</f>
        <v>9045556.1327970009</v>
      </c>
      <c r="M7" s="43">
        <f>+M8</f>
        <v>609743.90908886399</v>
      </c>
      <c r="N7" s="43">
        <f>+N8</f>
        <v>177265.5199999999</v>
      </c>
      <c r="O7" s="43">
        <f t="shared" ref="O7:AK7" si="2">+O8</f>
        <v>743062.46284999989</v>
      </c>
      <c r="P7" s="43">
        <f t="shared" si="2"/>
        <v>20098300.210000008</v>
      </c>
      <c r="Q7" s="43">
        <f t="shared" si="2"/>
        <v>116963984.44880998</v>
      </c>
      <c r="R7" s="43">
        <f t="shared" si="2"/>
        <v>1016684.3900000001</v>
      </c>
      <c r="S7" s="43">
        <f t="shared" si="2"/>
        <v>4578824.9697659984</v>
      </c>
      <c r="T7" s="43"/>
      <c r="U7" s="43"/>
      <c r="V7" s="43"/>
      <c r="W7" s="43"/>
      <c r="X7" s="43"/>
      <c r="Y7" s="43"/>
      <c r="Z7" s="43">
        <f t="shared" si="2"/>
        <v>9662.5274983807467</v>
      </c>
      <c r="AA7" s="43">
        <f t="shared" si="2"/>
        <v>40503.29</v>
      </c>
      <c r="AB7" s="43">
        <f t="shared" si="2"/>
        <v>7542.7499999967404</v>
      </c>
      <c r="AC7" s="43">
        <f t="shared" si="2"/>
        <v>31617.62</v>
      </c>
      <c r="AD7" s="43">
        <f t="shared" si="2"/>
        <v>5155</v>
      </c>
      <c r="AE7" s="43">
        <f t="shared" si="2"/>
        <v>21608.68</v>
      </c>
      <c r="AF7" s="43">
        <f t="shared" si="2"/>
        <v>7956.8699999451637</v>
      </c>
      <c r="AG7" s="43">
        <f t="shared" si="2"/>
        <v>33353.53</v>
      </c>
      <c r="AH7" s="43">
        <f t="shared" si="2"/>
        <v>195459.03999999719</v>
      </c>
      <c r="AI7" s="43">
        <f t="shared" si="2"/>
        <v>819134.7964617</v>
      </c>
      <c r="AJ7" s="43">
        <f t="shared" si="2"/>
        <v>673596.71999999823</v>
      </c>
      <c r="AK7" s="43">
        <f t="shared" si="2"/>
        <v>2823324.1679230896</v>
      </c>
      <c r="AL7" s="43">
        <f>+[1]Inversoras!$V$56</f>
        <v>21576152.444680002</v>
      </c>
      <c r="AM7" s="43">
        <f>+[1]Inversoras!$V$57</f>
        <v>59734561.023040004</v>
      </c>
      <c r="AN7" s="43">
        <f>+[1]Inversoras!$V$58</f>
        <v>6276507.6849999996</v>
      </c>
      <c r="AO7" s="43">
        <f>+[1]Inversoras!$V$59</f>
        <v>1091269.3929999999</v>
      </c>
      <c r="AP7" s="43">
        <f>+[1]Inversoras!$V$60</f>
        <v>5285267.3101399997</v>
      </c>
      <c r="AQ7" s="43">
        <f>+[1]Inversoras!$V$61</f>
        <v>2357744.21</v>
      </c>
      <c r="AR7" s="43">
        <f>+AR8</f>
        <v>33752.683643993005</v>
      </c>
      <c r="AS7" s="43">
        <f t="shared" ref="AS7:BQ7" si="3">+AS8</f>
        <v>6.2719079996137461</v>
      </c>
      <c r="AT7" s="43">
        <f t="shared" si="3"/>
        <v>11.210432002509913</v>
      </c>
      <c r="AU7" s="43">
        <f t="shared" si="3"/>
        <v>70709.869203997281</v>
      </c>
      <c r="AV7" s="43">
        <f t="shared" si="3"/>
        <v>523662.90839880263</v>
      </c>
      <c r="AW7" s="43">
        <f t="shared" si="3"/>
        <v>85667.9885699968</v>
      </c>
      <c r="AX7" s="43">
        <f t="shared" si="3"/>
        <v>1041.3974240010875</v>
      </c>
      <c r="AY7" s="43">
        <f t="shared" si="3"/>
        <v>163079.64131199798</v>
      </c>
      <c r="AZ7" s="43">
        <f t="shared" si="3"/>
        <v>23267.345377323236</v>
      </c>
      <c r="BA7" s="43">
        <f t="shared" si="3"/>
        <v>202715.83272400693</v>
      </c>
      <c r="BB7" s="43">
        <f t="shared" si="3"/>
        <v>70199.322219991154</v>
      </c>
      <c r="BC7" s="43">
        <f t="shared" si="3"/>
        <v>267787.3608479987</v>
      </c>
      <c r="BD7" s="43">
        <f t="shared" si="3"/>
        <v>17109.786599989828</v>
      </c>
      <c r="BE7" s="43">
        <f t="shared" si="3"/>
        <v>256586.81289368056</v>
      </c>
      <c r="BF7" s="43">
        <f t="shared" si="3"/>
        <v>321949.5492303599</v>
      </c>
      <c r="BG7" s="43">
        <f t="shared" si="3"/>
        <v>35109.232018882758</v>
      </c>
      <c r="BH7" s="43">
        <f t="shared" si="3"/>
        <v>27273.514880002102</v>
      </c>
      <c r="BI7" s="43">
        <f t="shared" si="3"/>
        <v>630661.83776839031</v>
      </c>
      <c r="BJ7" s="43">
        <f t="shared" si="3"/>
        <v>197783.28604456017</v>
      </c>
      <c r="BK7" s="43">
        <f t="shared" si="3"/>
        <v>3408870.6208220124</v>
      </c>
      <c r="BL7" s="43">
        <f t="shared" si="3"/>
        <v>113128.69714244608</v>
      </c>
      <c r="BM7" s="43">
        <f t="shared" si="3"/>
        <v>1072501.988177151</v>
      </c>
      <c r="BN7" s="43">
        <f t="shared" si="3"/>
        <v>1221965.0913973795</v>
      </c>
      <c r="BO7" s="43">
        <f t="shared" si="3"/>
        <v>3.4691202304202307E-3</v>
      </c>
      <c r="BP7" s="43">
        <f t="shared" si="3"/>
        <v>256.16023932906546</v>
      </c>
      <c r="BQ7" s="43">
        <f t="shared" si="3"/>
        <v>4.0128798844989433E-3</v>
      </c>
      <c r="BR7" s="43">
        <f>+[1]Otrosbancos!$V$49</f>
        <v>645484.53</v>
      </c>
      <c r="BS7" s="43">
        <f>+BS8</f>
        <v>2662375.2486606888</v>
      </c>
      <c r="BT7" s="43">
        <f>+[1]Otrosbancos!$V$51</f>
        <v>415477.68</v>
      </c>
      <c r="BU7" s="43">
        <f>+BU8</f>
        <v>1724540.4366885915</v>
      </c>
      <c r="BV7" s="43">
        <f>+BV8+BV5</f>
        <v>8079.5888600000008</v>
      </c>
      <c r="BW7" s="43">
        <f>+BW8+BW5</f>
        <v>391913.56399000081</v>
      </c>
      <c r="BX7" s="43">
        <f>+BX8+BX5</f>
        <v>12663.664475599246</v>
      </c>
      <c r="BY7" s="43">
        <f>+[1]Otrosbancos!$V$5</f>
        <v>715716.821</v>
      </c>
      <c r="BZ7" s="43">
        <f>+[1]Otrosbancos!$V$10</f>
        <v>6592068.5250000004</v>
      </c>
      <c r="CA7" s="43">
        <f>+[1]Otrosbancos!$V$15</f>
        <v>4528677.2010000004</v>
      </c>
      <c r="CB7" s="43">
        <f>+[1]Otrosbancos!$V$23</f>
        <v>18918.565999999999</v>
      </c>
      <c r="CC7" s="43">
        <f>+[1]Otrosbancos!$V$26</f>
        <v>905567.04599999997</v>
      </c>
      <c r="CD7" s="43">
        <f>+[1]Otrosbancos!$V$29</f>
        <v>0</v>
      </c>
      <c r="CE7" s="43">
        <f>+[1]Otrosbancos!$V$33</f>
        <v>28452.452000000001</v>
      </c>
      <c r="CF7" s="43">
        <f>+[1]Otrosbancos!$V$37</f>
        <v>696622.45958999998</v>
      </c>
      <c r="CG7" s="43">
        <f>+[1]Otrosbancos!$V$41</f>
        <v>194020.59</v>
      </c>
      <c r="CH7" s="43">
        <f>+[1]Otrosbancos!$V$46</f>
        <v>2.9318200000000001</v>
      </c>
      <c r="CI7" s="43">
        <f>+[1]Otrosbancos!$V$54</f>
        <v>813161.96100000001</v>
      </c>
      <c r="CJ7" s="43">
        <f>+[1]Otrosbancos!$V$56</f>
        <v>201938.84700000001</v>
      </c>
      <c r="CK7" s="43">
        <f>+[1]Liberty!$V$3</f>
        <v>0</v>
      </c>
      <c r="CL7" s="43">
        <f>+[1]Liberty!$V$4</f>
        <v>0</v>
      </c>
      <c r="CM7" s="43">
        <f>+[1]Liberty!$V$6</f>
        <v>79545.214000000007</v>
      </c>
      <c r="CN7" s="43">
        <f>+[1]Liberty!$V$8</f>
        <v>662749.23600000003</v>
      </c>
      <c r="CO7" s="43">
        <f>+[1]Liberty!$V$10</f>
        <v>736446.43900000001</v>
      </c>
      <c r="CP7" s="43">
        <f>+[1]Liberty!$V$12</f>
        <v>9152723.6699999999</v>
      </c>
      <c r="CQ7" s="43">
        <f>+[1]Liberty!$V$13</f>
        <v>378135.14942999999</v>
      </c>
      <c r="CR7" s="43">
        <f>+[1]Otrosbancos!$V$58</f>
        <v>877844.96200000006</v>
      </c>
      <c r="CS7" s="43">
        <v>0</v>
      </c>
      <c r="CT7" s="43">
        <v>0</v>
      </c>
      <c r="CU7" s="43">
        <v>0</v>
      </c>
      <c r="CV7" s="43">
        <v>0</v>
      </c>
      <c r="CW7" s="43">
        <f>SUM(D7:CV7)</f>
        <v>326279017.65982819</v>
      </c>
    </row>
    <row r="8" spans="1:101" x14ac:dyDescent="0.25">
      <c r="A8" s="41"/>
      <c r="B8" s="44" t="s">
        <v>96</v>
      </c>
      <c r="C8" s="45" t="s">
        <v>97</v>
      </c>
      <c r="D8" s="45">
        <f>+'May, 29'!D40</f>
        <v>448707.70456000051</v>
      </c>
      <c r="E8" s="45">
        <f>+'May, 29'!E40</f>
        <v>10148479.947204528</v>
      </c>
      <c r="F8" s="45">
        <f>+'May, 29'!F40</f>
        <v>18100523.689701505</v>
      </c>
      <c r="G8" s="45">
        <f>+'May, 29'!G40</f>
        <v>0</v>
      </c>
      <c r="H8" s="45">
        <f>+'May, 29'!H40</f>
        <v>0</v>
      </c>
      <c r="I8" s="45">
        <f>+'May, 29'!I40</f>
        <v>113134.72725999425</v>
      </c>
      <c r="J8" s="45">
        <f>+'May, 29'!J40</f>
        <v>0</v>
      </c>
      <c r="K8" s="45">
        <f>+'May, 29'!K40</f>
        <v>215532.65850014306</v>
      </c>
      <c r="L8" s="45">
        <f>+'May, 29'!L40</f>
        <v>9045556.1327970009</v>
      </c>
      <c r="M8" s="45">
        <f>+'May, 29'!M40</f>
        <v>609743.90908886399</v>
      </c>
      <c r="N8" s="45">
        <f>+'May, 29'!N40</f>
        <v>177265.5199999999</v>
      </c>
      <c r="O8" s="45">
        <f>+'May, 29'!O40</f>
        <v>743062.46284999989</v>
      </c>
      <c r="P8" s="45">
        <f>+'May, 29'!P40</f>
        <v>20098300.210000008</v>
      </c>
      <c r="Q8" s="45">
        <f>+'May, 29'!Q40</f>
        <v>116963984.44880998</v>
      </c>
      <c r="R8" s="45">
        <f>+'May, 29'!R40</f>
        <v>1016684.3900000001</v>
      </c>
      <c r="S8" s="45">
        <f>+'May, 29'!S40</f>
        <v>4578824.9697659984</v>
      </c>
      <c r="T8" s="45">
        <f>+'May, 29'!T40</f>
        <v>0</v>
      </c>
      <c r="U8" s="45">
        <f>+'May, 29'!U40</f>
        <v>0</v>
      </c>
      <c r="V8" s="45">
        <f>+'May, 29'!V40</f>
        <v>0</v>
      </c>
      <c r="W8" s="45">
        <f>+'May, 29'!W40</f>
        <v>0</v>
      </c>
      <c r="X8" s="45">
        <f>+'May, 29'!X40</f>
        <v>0</v>
      </c>
      <c r="Y8" s="45">
        <f>+'May, 29'!Y40</f>
        <v>0</v>
      </c>
      <c r="Z8" s="45">
        <f>+'May, 29'!Z40</f>
        <v>9662.5274983807467</v>
      </c>
      <c r="AA8" s="45">
        <f>+'May, 29'!AA40</f>
        <v>40503.29</v>
      </c>
      <c r="AB8" s="45">
        <f>+'May, 29'!AB40</f>
        <v>7542.7499999967404</v>
      </c>
      <c r="AC8" s="45">
        <f>+'May, 29'!AC40</f>
        <v>31617.62</v>
      </c>
      <c r="AD8" s="45">
        <f>+'May, 29'!AD40</f>
        <v>5155</v>
      </c>
      <c r="AE8" s="45">
        <f>+'May, 29'!AE40</f>
        <v>21608.68</v>
      </c>
      <c r="AF8" s="45">
        <f>+'May, 29'!AF40</f>
        <v>7956.8699999451637</v>
      </c>
      <c r="AG8" s="45">
        <f>+'May, 29'!AG40</f>
        <v>33353.53</v>
      </c>
      <c r="AH8" s="45">
        <f>+'May, 29'!AH40</f>
        <v>195459.03999999719</v>
      </c>
      <c r="AI8" s="45">
        <f>+'May, 29'!AI40</f>
        <v>819134.7964617</v>
      </c>
      <c r="AJ8" s="45">
        <f>+'May, 29'!AJ40</f>
        <v>673596.71999999823</v>
      </c>
      <c r="AK8" s="45">
        <f>+'May, 29'!AK40</f>
        <v>2823324.1679230896</v>
      </c>
      <c r="AL8" s="45">
        <f>+'May, 29'!AL40</f>
        <v>21802231.52540008</v>
      </c>
      <c r="AM8" s="45">
        <f>+'May, 29'!AM40</f>
        <v>59660410.274513535</v>
      </c>
      <c r="AN8" s="45">
        <f>+'May, 29'!AN40</f>
        <v>6480106.5321600009</v>
      </c>
      <c r="AO8" s="45">
        <f>+'May, 29'!AO40</f>
        <v>957442.97615143971</v>
      </c>
      <c r="AP8" s="45">
        <f>+'May, 29'!AP40</f>
        <v>8362556.4700319972</v>
      </c>
      <c r="AQ8" s="45">
        <f>+'May, 29'!AQ40</f>
        <v>1734851.1293321603</v>
      </c>
      <c r="AR8" s="45">
        <f>+'May, 29'!AR40</f>
        <v>33752.683643993005</v>
      </c>
      <c r="AS8" s="45">
        <f>+'May, 29'!AS40</f>
        <v>6.2719079996137461</v>
      </c>
      <c r="AT8" s="45">
        <f>+'May, 29'!AT40</f>
        <v>11.210432002509913</v>
      </c>
      <c r="AU8" s="45">
        <f>+'May, 29'!AU40</f>
        <v>70709.869203997281</v>
      </c>
      <c r="AV8" s="45">
        <f>+'May, 29'!AV40</f>
        <v>523662.90839880263</v>
      </c>
      <c r="AW8" s="45">
        <f>+'May, 29'!AW40</f>
        <v>85667.9885699968</v>
      </c>
      <c r="AX8" s="45">
        <f>+'May, 29'!AX40</f>
        <v>1041.3974240010875</v>
      </c>
      <c r="AY8" s="45">
        <f>+'May, 29'!AY40</f>
        <v>163079.64131199798</v>
      </c>
      <c r="AZ8" s="45">
        <f>+'May, 29'!AZ40</f>
        <v>23267.345377323236</v>
      </c>
      <c r="BA8" s="45">
        <f>+'May, 29'!BA40</f>
        <v>202715.83272400693</v>
      </c>
      <c r="BB8" s="45">
        <f>+'May, 29'!BB40</f>
        <v>70199.322219991154</v>
      </c>
      <c r="BC8" s="45">
        <f>+'May, 29'!BC40</f>
        <v>267787.3608479987</v>
      </c>
      <c r="BD8" s="45">
        <f>+'May, 29'!BD40</f>
        <v>17109.786599989828</v>
      </c>
      <c r="BE8" s="45">
        <f>+'May, 29'!BE40</f>
        <v>256586.81289368056</v>
      </c>
      <c r="BF8" s="45">
        <f>+'May, 29'!BF40</f>
        <v>321949.5492303599</v>
      </c>
      <c r="BG8" s="45">
        <f>+'May, 29'!BG40</f>
        <v>35109.232018882758</v>
      </c>
      <c r="BH8" s="45">
        <f>+'May, 29'!BH40</f>
        <v>27273.514880002102</v>
      </c>
      <c r="BI8" s="45">
        <f>+'May, 29'!BI40</f>
        <v>630661.83776839031</v>
      </c>
      <c r="BJ8" s="45">
        <f>+'May, 29'!BJ40</f>
        <v>197783.28604456017</v>
      </c>
      <c r="BK8" s="45">
        <f>+'May, 29'!BK40</f>
        <v>3408870.6208220124</v>
      </c>
      <c r="BL8" s="45">
        <f>+'May, 29'!BL40</f>
        <v>113128.69714244608</v>
      </c>
      <c r="BM8" s="45">
        <f>+'May, 29'!BM40</f>
        <v>1072501.988177151</v>
      </c>
      <c r="BN8" s="45">
        <f>+'May, 29'!BN40</f>
        <v>1221965.0913973795</v>
      </c>
      <c r="BO8" s="45">
        <f>+'May, 29'!BO40</f>
        <v>3.4691202304202307E-3</v>
      </c>
      <c r="BP8" s="45">
        <f>+'May, 29'!BP40</f>
        <v>256.16023932906546</v>
      </c>
      <c r="BQ8" s="45">
        <f>+'May, 29'!BQ40</f>
        <v>4.0128798844989433E-3</v>
      </c>
      <c r="BR8" s="45">
        <f>+'May, 29'!BR40</f>
        <v>645484.5260000031</v>
      </c>
      <c r="BS8" s="45">
        <f>+'May, 29'!BS40</f>
        <v>2662375.2486606888</v>
      </c>
      <c r="BT8" s="45">
        <f>+'May, 29'!BT40</f>
        <v>415477.68493201921</v>
      </c>
      <c r="BU8" s="45">
        <f>+'May, 29'!BU40</f>
        <v>1724540.4366885915</v>
      </c>
      <c r="BV8" s="45">
        <f>+'May, 29'!BV40</f>
        <v>8079.5888600000008</v>
      </c>
      <c r="BW8" s="45">
        <f>+'May, 29'!BW40</f>
        <v>391913.56399000081</v>
      </c>
      <c r="BX8" s="45">
        <f>+'May, 29'!BX40</f>
        <v>12663.664475599246</v>
      </c>
      <c r="BY8" s="45">
        <f>+'May, 29'!BY40</f>
        <v>730505.98200000008</v>
      </c>
      <c r="BZ8" s="45">
        <f>+'May, 29'!BZ40</f>
        <v>6285372.5899999999</v>
      </c>
      <c r="CA8" s="45">
        <f>+'May, 29'!CA40</f>
        <v>4040237.8880000003</v>
      </c>
      <c r="CB8" s="45">
        <f>+'May, 29'!CB40</f>
        <v>18918.56624</v>
      </c>
      <c r="CC8" s="45">
        <f>+'May, 29'!CC40</f>
        <v>905567.0501799999</v>
      </c>
      <c r="CD8" s="45">
        <f>+'May, 29'!CD40</f>
        <v>0</v>
      </c>
      <c r="CE8" s="45">
        <f>+'May, 29'!CE40</f>
        <v>28204.722000000002</v>
      </c>
      <c r="CF8" s="45">
        <f>+'May, 29'!CF40</f>
        <v>696346.19658999995</v>
      </c>
      <c r="CG8" s="45">
        <f>+'May, 29'!CG40</f>
        <v>193901.16</v>
      </c>
      <c r="CH8" s="45">
        <f>+'May, 29'!CH40</f>
        <v>2.9318200000000001</v>
      </c>
      <c r="CI8" s="45">
        <f>+'May, 29'!CI40</f>
        <v>810114.94200000004</v>
      </c>
      <c r="CJ8" s="45">
        <f>+'May, 29'!CJ40</f>
        <v>86164.433999999994</v>
      </c>
      <c r="CK8" s="45">
        <f>+'May, 29'!CK40</f>
        <v>0</v>
      </c>
      <c r="CL8" s="45">
        <f>+'May, 29'!CL40</f>
        <v>0</v>
      </c>
      <c r="CM8" s="45">
        <f>+'May, 29'!CM40</f>
        <v>79545.21415</v>
      </c>
      <c r="CN8" s="45">
        <f>+'May, 29'!CN40</f>
        <v>662749.23896999995</v>
      </c>
      <c r="CO8" s="45">
        <f>+'May, 29'!CO40</f>
        <v>736440.24131999968</v>
      </c>
      <c r="CP8" s="45">
        <f>+'May, 29'!CP40</f>
        <v>9152723.6727600005</v>
      </c>
      <c r="CQ8" s="45">
        <f>+'May, 29'!CQ40</f>
        <v>377918.49939999997</v>
      </c>
      <c r="CR8" s="45">
        <f>+'May, 29'!CR40</f>
        <v>20872.37467999896</v>
      </c>
      <c r="CS8" s="45">
        <f>+'May, 29'!CS40</f>
        <v>5000</v>
      </c>
      <c r="CT8" s="45">
        <f>+'May, 29'!CT40</f>
        <v>20468.599999999999</v>
      </c>
      <c r="CU8" s="45">
        <f>+'May, 29'!CU40</f>
        <v>5000</v>
      </c>
      <c r="CV8" s="45">
        <f>+'May, 29'!CV40</f>
        <v>20468.599999999999</v>
      </c>
      <c r="CW8" s="43">
        <f t="shared" ref="CW8:CW40" si="4">SUM(D8:CV8)</f>
        <v>325408470.7044856</v>
      </c>
    </row>
    <row r="9" spans="1:101" x14ac:dyDescent="0.25">
      <c r="B9" s="46" t="s">
        <v>96</v>
      </c>
      <c r="C9" s="47" t="s">
        <v>98</v>
      </c>
      <c r="D9" s="47">
        <v>6570</v>
      </c>
      <c r="E9" s="48">
        <v>7757805.5458899997</v>
      </c>
      <c r="F9" s="48">
        <v>13001826.00361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>
        <v>0</v>
      </c>
      <c r="AM9" s="47">
        <v>174192.96100000001</v>
      </c>
      <c r="AN9" s="47">
        <v>160713.99900000001</v>
      </c>
      <c r="AO9" s="47">
        <v>631147.74899999995</v>
      </c>
      <c r="AP9" s="47">
        <v>1899055.18943</v>
      </c>
      <c r="AQ9" s="47">
        <v>1072274.4806900001</v>
      </c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>
        <v>6034.8459999999995</v>
      </c>
      <c r="BX9" s="47"/>
      <c r="BY9" s="47">
        <f>IF(BY6&gt;0,BY6,0)</f>
        <v>0</v>
      </c>
      <c r="BZ9" s="47">
        <f>IF(BZ6&gt;0,BZ6,0)</f>
        <v>248003.11500000051</v>
      </c>
      <c r="CA9" s="47">
        <f>IF(CA6&gt;0,CA6,0)</f>
        <v>721256.40300000005</v>
      </c>
      <c r="CB9" s="47"/>
      <c r="CC9" s="47"/>
      <c r="CD9" s="47"/>
      <c r="CE9" s="47">
        <f>IF(CE6&gt;0,CE6,0)</f>
        <v>247.72999999999956</v>
      </c>
      <c r="CF9" s="47">
        <f>IF(CF6&gt;0,CF6,0)</f>
        <v>276.26300000003539</v>
      </c>
      <c r="CG9" s="47">
        <f>IF(CG6&gt;0,CG6,0)</f>
        <v>119.42999999999302</v>
      </c>
      <c r="CH9" s="47"/>
      <c r="CI9" s="47">
        <f>IF(CI6&gt;0,CI6,0)</f>
        <v>3047.0189999999711</v>
      </c>
      <c r="CJ9" s="47">
        <f>IF(CJ6&gt;0,CJ6,0)</f>
        <v>115774.41300000002</v>
      </c>
      <c r="CK9" s="47"/>
      <c r="CL9" s="47"/>
      <c r="CM9" s="47"/>
      <c r="CN9" s="47"/>
      <c r="CO9" s="47">
        <v>6.1929999999999996</v>
      </c>
      <c r="CP9" s="47"/>
      <c r="CQ9" s="47"/>
      <c r="CR9" s="47">
        <v>856972.58799999999</v>
      </c>
      <c r="CS9" s="47"/>
      <c r="CT9" s="47"/>
      <c r="CU9" s="47"/>
      <c r="CV9" s="47"/>
      <c r="CW9" s="43">
        <f t="shared" si="4"/>
        <v>26655323.928620003</v>
      </c>
    </row>
    <row r="10" spans="1:101" x14ac:dyDescent="0.25">
      <c r="B10" s="46" t="s">
        <v>99</v>
      </c>
      <c r="C10" s="47" t="s">
        <v>100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>
        <v>0</v>
      </c>
      <c r="AM10" s="47">
        <v>0</v>
      </c>
      <c r="AN10" s="47">
        <v>0</v>
      </c>
      <c r="AO10" s="47">
        <v>0</v>
      </c>
      <c r="AP10" s="47">
        <v>0</v>
      </c>
      <c r="AQ10" s="47">
        <v>0</v>
      </c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>
        <v>-54.14</v>
      </c>
      <c r="BW10" s="47">
        <v>-64.917000000000002</v>
      </c>
      <c r="BX10" s="47"/>
      <c r="BY10" s="47">
        <f>IF(BY6&lt;0,BY6,0)</f>
        <v>-15143.83100000008</v>
      </c>
      <c r="BZ10" s="47">
        <f>IF(BZ6&lt;0,BZ6,0)</f>
        <v>0</v>
      </c>
      <c r="CA10" s="47">
        <f>IF(CA6&lt;0,CA6,0)</f>
        <v>0</v>
      </c>
      <c r="CB10" s="47"/>
      <c r="CC10" s="47"/>
      <c r="CD10" s="47"/>
      <c r="CE10" s="47">
        <f>IF(CE6&lt;0,CE6,0)</f>
        <v>0</v>
      </c>
      <c r="CF10" s="47">
        <f>IF(CF6&lt;0,CF6,0)</f>
        <v>0</v>
      </c>
      <c r="CG10" s="47">
        <f>IF(CG6&lt;0,CG6,0)</f>
        <v>0</v>
      </c>
      <c r="CH10" s="47"/>
      <c r="CI10" s="47">
        <f>IF(CI6&lt;0,CI6,0)</f>
        <v>0</v>
      </c>
      <c r="CJ10" s="47">
        <f>IF(CJ6&lt;0,CJ6,0)</f>
        <v>0</v>
      </c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3">
        <f t="shared" si="4"/>
        <v>-15262.888000000081</v>
      </c>
    </row>
    <row r="11" spans="1:101" x14ac:dyDescent="0.25">
      <c r="A11" s="41"/>
      <c r="B11" s="49" t="s">
        <v>99</v>
      </c>
      <c r="C11" s="50" t="s">
        <v>101</v>
      </c>
      <c r="D11" s="50">
        <v>-13.052</v>
      </c>
      <c r="E11" s="50">
        <v>-227959.06169000201</v>
      </c>
      <c r="F11" s="50">
        <v>-13330.7816800003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>
        <f>+[1]Otrosbancos!$V$6+[1]Otrosbancos!$V$7</f>
        <v>-88667.025999999998</v>
      </c>
      <c r="BZ11" s="50">
        <f>+[1]Otrosbancos!$V$11+[1]Otrosbancos!$V$12</f>
        <v>-4190470.9460000005</v>
      </c>
      <c r="CA11" s="50">
        <f>+[1]Otrosbancos!$V$16+[1]Otrosbancos!$V$17</f>
        <v>-1047881.7170000001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43">
        <f t="shared" si="4"/>
        <v>-5568322.5843700031</v>
      </c>
    </row>
    <row r="12" spans="1:101" x14ac:dyDescent="0.25">
      <c r="B12" s="46" t="s">
        <v>96</v>
      </c>
      <c r="C12" s="47" t="s">
        <v>102</v>
      </c>
      <c r="D12" s="47"/>
      <c r="E12" s="47">
        <v>5032.6540000000005</v>
      </c>
      <c r="F12" s="47">
        <v>1879.1869999999999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1"/>
      <c r="AS12" s="51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3">
        <f t="shared" si="4"/>
        <v>6911.8410000000003</v>
      </c>
    </row>
    <row r="13" spans="1:101" x14ac:dyDescent="0.25">
      <c r="B13" s="46" t="s">
        <v>96</v>
      </c>
      <c r="C13" s="47" t="s">
        <v>103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51"/>
      <c r="AS13" s="51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3">
        <f t="shared" si="4"/>
        <v>0</v>
      </c>
    </row>
    <row r="14" spans="1:101" x14ac:dyDescent="0.25">
      <c r="B14" s="46" t="s">
        <v>96</v>
      </c>
      <c r="C14" s="47" t="s">
        <v>104</v>
      </c>
      <c r="D14" s="47"/>
      <c r="E14" s="47"/>
      <c r="F14" s="47">
        <v>406871.49599999998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51"/>
      <c r="AS14" s="51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3">
        <f t="shared" si="4"/>
        <v>406871.49599999998</v>
      </c>
    </row>
    <row r="15" spans="1:101" x14ac:dyDescent="0.25">
      <c r="B15" s="46" t="s">
        <v>96</v>
      </c>
      <c r="C15" s="47" t="s">
        <v>105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>
        <v>17906.827489995863</v>
      </c>
      <c r="AM15" s="47">
        <v>57043.656730005052</v>
      </c>
      <c r="AN15" s="47">
        <v>6390.9272699985477</v>
      </c>
      <c r="AO15" s="47">
        <v>1076.1643400001251</v>
      </c>
      <c r="AP15" s="47">
        <v>6636.0382200027771</v>
      </c>
      <c r="AQ15" s="47">
        <v>2253.7955900001202</v>
      </c>
      <c r="AR15" s="51"/>
      <c r="AS15" s="51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3">
        <f t="shared" si="4"/>
        <v>91307.409640002486</v>
      </c>
    </row>
    <row r="16" spans="1:101" x14ac:dyDescent="0.25">
      <c r="B16" s="46" t="s">
        <v>96</v>
      </c>
      <c r="C16" s="47" t="s">
        <v>106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51"/>
      <c r="AS16" s="51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3">
        <f t="shared" si="4"/>
        <v>0</v>
      </c>
    </row>
    <row r="17" spans="1:101" x14ac:dyDescent="0.25">
      <c r="B17" s="46" t="s">
        <v>99</v>
      </c>
      <c r="C17" s="47" t="s">
        <v>107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51"/>
      <c r="AS17" s="51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>
        <v>-557075.56000000006</v>
      </c>
      <c r="BU17" s="47">
        <f>+BT17*BU5</f>
        <v>-2287792.3390524006</v>
      </c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3">
        <f t="shared" si="4"/>
        <v>-2844867.8990524006</v>
      </c>
    </row>
    <row r="18" spans="1:101" x14ac:dyDescent="0.25">
      <c r="B18" s="46" t="s">
        <v>96</v>
      </c>
      <c r="C18" s="47" t="s">
        <v>108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1"/>
      <c r="AS18" s="51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3">
        <f t="shared" si="4"/>
        <v>0</v>
      </c>
    </row>
    <row r="19" spans="1:101" x14ac:dyDescent="0.25">
      <c r="B19" s="46" t="s">
        <v>99</v>
      </c>
      <c r="C19" s="47" t="s">
        <v>109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51"/>
      <c r="AS19" s="51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3">
        <f t="shared" si="4"/>
        <v>0</v>
      </c>
    </row>
    <row r="20" spans="1:101" x14ac:dyDescent="0.25">
      <c r="B20" s="46" t="s">
        <v>99</v>
      </c>
      <c r="C20" s="47" t="s">
        <v>110</v>
      </c>
      <c r="D20" s="47" t="s">
        <v>93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>
        <v>0</v>
      </c>
      <c r="AM20" s="47">
        <v>0</v>
      </c>
      <c r="AN20" s="47">
        <v>0</v>
      </c>
      <c r="AO20" s="47">
        <v>0</v>
      </c>
      <c r="AP20" s="47">
        <v>-1570000</v>
      </c>
      <c r="AQ20" s="47">
        <v>0</v>
      </c>
      <c r="AR20" s="51"/>
      <c r="AS20" s="51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3">
        <f t="shared" si="4"/>
        <v>-1570000</v>
      </c>
    </row>
    <row r="21" spans="1:101" x14ac:dyDescent="0.25">
      <c r="B21" s="46" t="s">
        <v>96</v>
      </c>
      <c r="C21" s="47" t="s">
        <v>111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>
        <v>0</v>
      </c>
      <c r="AM21" s="47">
        <v>0</v>
      </c>
      <c r="AN21" s="47">
        <v>0</v>
      </c>
      <c r="AO21" s="47">
        <v>0</v>
      </c>
      <c r="AP21" s="47">
        <v>1570000</v>
      </c>
      <c r="AQ21" s="47">
        <v>0</v>
      </c>
      <c r="AR21" s="51"/>
      <c r="AS21" s="51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3">
        <f t="shared" si="4"/>
        <v>1570000</v>
      </c>
    </row>
    <row r="22" spans="1:101" x14ac:dyDescent="0.25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>
        <v>0</v>
      </c>
      <c r="AM22" s="47">
        <v>0</v>
      </c>
      <c r="AN22" s="47">
        <v>0</v>
      </c>
      <c r="AO22" s="47">
        <v>0</v>
      </c>
      <c r="AP22" s="47">
        <v>0</v>
      </c>
      <c r="AQ22" s="47">
        <v>0</v>
      </c>
      <c r="AR22" s="51"/>
      <c r="AS22" s="51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3">
        <f t="shared" si="4"/>
        <v>0</v>
      </c>
    </row>
    <row r="23" spans="1:101" x14ac:dyDescent="0.25">
      <c r="B23" s="46" t="s">
        <v>99</v>
      </c>
      <c r="C23" s="47" t="s">
        <v>112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>
        <v>0</v>
      </c>
      <c r="AM23" s="47">
        <v>0</v>
      </c>
      <c r="AN23" s="47">
        <v>0</v>
      </c>
      <c r="AO23" s="47">
        <v>0</v>
      </c>
      <c r="AP23" s="47">
        <v>0</v>
      </c>
      <c r="AQ23" s="47">
        <v>0</v>
      </c>
      <c r="AR23" s="51"/>
      <c r="AS23" s="51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3">
        <f t="shared" si="4"/>
        <v>0</v>
      </c>
    </row>
    <row r="24" spans="1:101" x14ac:dyDescent="0.25">
      <c r="B24" s="46" t="s">
        <v>99</v>
      </c>
      <c r="C24" s="47" t="s">
        <v>113</v>
      </c>
      <c r="D24" s="47">
        <v>-75.647999999999996</v>
      </c>
      <c r="E24" s="47">
        <f>-4503.81-98.73-261.46-70.554-52.87-202.03-1600-6810-1397.862-46.33-4.817-63753.159-2847-7117.5-1423.5-26608.965-0.65</f>
        <v>-116799.23699999999</v>
      </c>
      <c r="F24" s="47">
        <f>-2005-196.209-243.6-26.4-1.878-1294892.3-1423.5-2847-123.5-2847-2847-4575-864.735-5.37</f>
        <v>-1312898.4920000003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>
        <v>-37073.506999999998</v>
      </c>
      <c r="AM24" s="47">
        <v>-26.686999999999998</v>
      </c>
      <c r="AN24" s="47">
        <v>-10055.21128</v>
      </c>
      <c r="AO24" s="47">
        <v>-8218.7868600000002</v>
      </c>
      <c r="AP24" s="47">
        <v>-51668.058839999998</v>
      </c>
      <c r="AQ24" s="47">
        <v>-2888.0585099999998</v>
      </c>
      <c r="AR24" s="51"/>
      <c r="AS24" s="51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3">
        <f t="shared" si="4"/>
        <v>-1539703.6864900002</v>
      </c>
    </row>
    <row r="25" spans="1:101" x14ac:dyDescent="0.25">
      <c r="A25" s="41"/>
      <c r="B25" s="52" t="s">
        <v>99</v>
      </c>
      <c r="C25" s="53" t="s">
        <v>114</v>
      </c>
      <c r="D25" s="53">
        <v>-70164.93939</v>
      </c>
      <c r="E25" s="53">
        <v>-6391132.7213599999</v>
      </c>
      <c r="F25" s="53">
        <v>-8777516.9201800004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>
        <v>-127276.639</v>
      </c>
      <c r="AM25" s="53">
        <v>-199794.90119999999</v>
      </c>
      <c r="AN25" s="53">
        <v>-297041.15700000001</v>
      </c>
      <c r="AO25" s="53">
        <v>-444835.75799999997</v>
      </c>
      <c r="AP25" s="53">
        <v>-4534724.6150000002</v>
      </c>
      <c r="AQ25" s="53">
        <v>-329514.79399999999</v>
      </c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43">
        <f t="shared" si="4"/>
        <v>-21172002.445129998</v>
      </c>
    </row>
    <row r="26" spans="1:101" x14ac:dyDescent="0.25">
      <c r="B26" s="46"/>
      <c r="C26" s="47" t="s">
        <v>115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>
        <v>0</v>
      </c>
      <c r="AM26" s="47">
        <v>0</v>
      </c>
      <c r="AN26" s="47">
        <v>0</v>
      </c>
      <c r="AO26" s="47">
        <v>0</v>
      </c>
      <c r="AP26" s="47">
        <v>0</v>
      </c>
      <c r="AQ26" s="47">
        <v>0</v>
      </c>
      <c r="AR26" s="51"/>
      <c r="AS26" s="51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3">
        <f t="shared" si="4"/>
        <v>0</v>
      </c>
    </row>
    <row r="27" spans="1:101" x14ac:dyDescent="0.25">
      <c r="B27" s="46" t="s">
        <v>99</v>
      </c>
      <c r="C27" s="47" t="s">
        <v>116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51"/>
      <c r="AS27" s="51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3">
        <f t="shared" si="4"/>
        <v>0</v>
      </c>
    </row>
    <row r="28" spans="1:101" x14ac:dyDescent="0.25">
      <c r="B28" s="47" t="s">
        <v>99</v>
      </c>
      <c r="C28" s="47" t="s">
        <v>117</v>
      </c>
      <c r="D28" s="48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51"/>
      <c r="AS28" s="51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3">
        <f t="shared" si="4"/>
        <v>0</v>
      </c>
    </row>
    <row r="29" spans="1:101" x14ac:dyDescent="0.25">
      <c r="B29" s="47"/>
      <c r="C29" s="47" t="s">
        <v>118</v>
      </c>
      <c r="D29" s="48"/>
      <c r="E29" s="47">
        <v>1331.5827999999999</v>
      </c>
      <c r="F29" s="47">
        <v>3.2067800000000002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>
        <v>0</v>
      </c>
      <c r="AM29" s="47">
        <v>0</v>
      </c>
      <c r="AN29" s="47">
        <v>0</v>
      </c>
      <c r="AO29" s="47">
        <v>0</v>
      </c>
      <c r="AP29" s="47">
        <v>0</v>
      </c>
      <c r="AQ29" s="47">
        <v>0</v>
      </c>
      <c r="AR29" s="51"/>
      <c r="AS29" s="51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3">
        <f t="shared" si="4"/>
        <v>1334.7895799999999</v>
      </c>
    </row>
    <row r="30" spans="1:101" x14ac:dyDescent="0.25">
      <c r="B30" s="47"/>
      <c r="C30" s="47" t="s">
        <v>119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51"/>
      <c r="AS30" s="51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3">
        <f t="shared" si="4"/>
        <v>0</v>
      </c>
    </row>
    <row r="31" spans="1:101" x14ac:dyDescent="0.25">
      <c r="B31" s="47" t="s">
        <v>99</v>
      </c>
      <c r="C31" s="47" t="s">
        <v>120</v>
      </c>
      <c r="D31" s="47">
        <v>-18912.2</v>
      </c>
      <c r="E31" s="47">
        <f>-320884.8-6241098.6</f>
        <v>-6561983.3999999994</v>
      </c>
      <c r="F31" s="47">
        <v>-199042.3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>
        <v>-78663.7</v>
      </c>
      <c r="AM31" s="47">
        <v>0</v>
      </c>
      <c r="AN31" s="47">
        <v>-63607.4</v>
      </c>
      <c r="AO31" s="47">
        <v>-43357.3</v>
      </c>
      <c r="AP31" s="47">
        <v>-373236.2</v>
      </c>
      <c r="AQ31" s="47">
        <v>-117433</v>
      </c>
      <c r="AR31" s="51"/>
      <c r="AS31" s="51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3">
        <f t="shared" si="4"/>
        <v>-7456235.5</v>
      </c>
    </row>
    <row r="32" spans="1:101" x14ac:dyDescent="0.25">
      <c r="B32" s="47" t="s">
        <v>99</v>
      </c>
      <c r="C32" s="47" t="s">
        <v>121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51"/>
      <c r="AS32" s="51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3">
        <f t="shared" si="4"/>
        <v>0</v>
      </c>
    </row>
    <row r="33" spans="2:101" x14ac:dyDescent="0.25">
      <c r="B33" s="47" t="s">
        <v>99</v>
      </c>
      <c r="C33" s="47" t="s">
        <v>122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>
        <v>0</v>
      </c>
      <c r="AM33" s="47">
        <v>0</v>
      </c>
      <c r="AN33" s="47">
        <v>0</v>
      </c>
      <c r="AO33" s="47">
        <v>0</v>
      </c>
      <c r="AP33" s="47">
        <v>-3499</v>
      </c>
      <c r="AQ33" s="47">
        <v>0</v>
      </c>
      <c r="AR33" s="51"/>
      <c r="AS33" s="51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3">
        <f t="shared" si="4"/>
        <v>-3499</v>
      </c>
    </row>
    <row r="34" spans="2:101" x14ac:dyDescent="0.25">
      <c r="B34" s="54" t="s">
        <v>99</v>
      </c>
      <c r="C34" s="55" t="s">
        <v>123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>
        <v>0</v>
      </c>
      <c r="AM34" s="55">
        <v>0</v>
      </c>
      <c r="AN34" s="55">
        <v>0</v>
      </c>
      <c r="AO34" s="55">
        <v>0</v>
      </c>
      <c r="AP34" s="55">
        <v>0</v>
      </c>
      <c r="AQ34" s="55">
        <v>0</v>
      </c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43">
        <f t="shared" si="4"/>
        <v>0</v>
      </c>
    </row>
    <row r="35" spans="2:101" x14ac:dyDescent="0.25">
      <c r="B35" s="54" t="s">
        <v>99</v>
      </c>
      <c r="C35" s="55" t="s">
        <v>124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>
        <v>-972.05534999999998</v>
      </c>
      <c r="AM35" s="55">
        <v>-805.24090999999999</v>
      </c>
      <c r="AN35" s="55">
        <v>0</v>
      </c>
      <c r="AO35" s="55">
        <v>-1985.6470400000001</v>
      </c>
      <c r="AP35" s="55">
        <v>-19852.51097824</v>
      </c>
      <c r="AQ35" s="55">
        <v>-1799.34328</v>
      </c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43">
        <f t="shared" si="4"/>
        <v>-25414.797558239999</v>
      </c>
    </row>
    <row r="36" spans="2:101" ht="15.75" thickBot="1" x14ac:dyDescent="0.3">
      <c r="B36" s="56"/>
      <c r="C36" s="57" t="s">
        <v>125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>
        <v>-11505.84</v>
      </c>
      <c r="BT36" s="57"/>
      <c r="BU36" s="57">
        <v>-18260.86</v>
      </c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43">
        <f t="shared" si="4"/>
        <v>-29766.7</v>
      </c>
    </row>
    <row r="37" spans="2:101" x14ac:dyDescent="0.25">
      <c r="B37" s="58"/>
      <c r="C37" s="59" t="s">
        <v>126</v>
      </c>
      <c r="D37" s="59">
        <f>SUM(D9:D36)</f>
        <v>-82595.839389999994</v>
      </c>
      <c r="E37" s="59">
        <f>SUM(E9:E36)</f>
        <v>-5533704.637360001</v>
      </c>
      <c r="F37" s="59">
        <f>SUM(F9:F35)</f>
        <v>3107791.3995299987</v>
      </c>
      <c r="G37" s="59">
        <f t="shared" ref="G37:BR37" si="5">SUM(G9:G36)</f>
        <v>0</v>
      </c>
      <c r="H37" s="59">
        <f t="shared" si="5"/>
        <v>0</v>
      </c>
      <c r="I37" s="59">
        <f t="shared" si="5"/>
        <v>0</v>
      </c>
      <c r="J37" s="59">
        <f t="shared" si="5"/>
        <v>0</v>
      </c>
      <c r="K37" s="59">
        <f t="shared" si="5"/>
        <v>0</v>
      </c>
      <c r="L37" s="59">
        <f t="shared" si="5"/>
        <v>0</v>
      </c>
      <c r="M37" s="59">
        <f t="shared" si="5"/>
        <v>0</v>
      </c>
      <c r="N37" s="59">
        <f t="shared" si="5"/>
        <v>0</v>
      </c>
      <c r="O37" s="59">
        <f t="shared" si="5"/>
        <v>0</v>
      </c>
      <c r="P37" s="59">
        <f t="shared" si="5"/>
        <v>0</v>
      </c>
      <c r="Q37" s="59">
        <f t="shared" si="5"/>
        <v>0</v>
      </c>
      <c r="R37" s="59">
        <f t="shared" si="5"/>
        <v>0</v>
      </c>
      <c r="S37" s="59">
        <f t="shared" si="5"/>
        <v>0</v>
      </c>
      <c r="T37" s="59">
        <f t="shared" si="5"/>
        <v>0</v>
      </c>
      <c r="U37" s="59">
        <f t="shared" si="5"/>
        <v>0</v>
      </c>
      <c r="V37" s="59">
        <f t="shared" si="5"/>
        <v>0</v>
      </c>
      <c r="W37" s="59">
        <f t="shared" si="5"/>
        <v>0</v>
      </c>
      <c r="X37" s="59">
        <f t="shared" si="5"/>
        <v>0</v>
      </c>
      <c r="Y37" s="59">
        <f t="shared" si="5"/>
        <v>0</v>
      </c>
      <c r="Z37" s="59">
        <f t="shared" si="5"/>
        <v>0</v>
      </c>
      <c r="AA37" s="59">
        <f t="shared" si="5"/>
        <v>0</v>
      </c>
      <c r="AB37" s="59">
        <f t="shared" si="5"/>
        <v>0</v>
      </c>
      <c r="AC37" s="59">
        <f t="shared" si="5"/>
        <v>0</v>
      </c>
      <c r="AD37" s="59">
        <f t="shared" si="5"/>
        <v>0</v>
      </c>
      <c r="AE37" s="59">
        <f t="shared" si="5"/>
        <v>0</v>
      </c>
      <c r="AF37" s="59">
        <f t="shared" si="5"/>
        <v>0</v>
      </c>
      <c r="AG37" s="59">
        <f t="shared" si="5"/>
        <v>0</v>
      </c>
      <c r="AH37" s="59">
        <f t="shared" si="5"/>
        <v>0</v>
      </c>
      <c r="AI37" s="59">
        <f t="shared" si="5"/>
        <v>0</v>
      </c>
      <c r="AJ37" s="59">
        <f t="shared" si="5"/>
        <v>0</v>
      </c>
      <c r="AK37" s="59">
        <f t="shared" si="5"/>
        <v>0</v>
      </c>
      <c r="AL37" s="59">
        <f>SUM(AL9:AL36)-0.01</f>
        <v>-226079.08386000418</v>
      </c>
      <c r="AM37" s="59">
        <f>SUM(AM9:AM36)-0.01</f>
        <v>30609.778620005065</v>
      </c>
      <c r="AN37" s="59">
        <f t="shared" si="5"/>
        <v>-203598.84201000142</v>
      </c>
      <c r="AO37" s="59">
        <f t="shared" si="5"/>
        <v>133826.42144000012</v>
      </c>
      <c r="AP37" s="59">
        <f t="shared" si="5"/>
        <v>-3077289.157168238</v>
      </c>
      <c r="AQ37" s="59">
        <f t="shared" si="5"/>
        <v>622893.08049000043</v>
      </c>
      <c r="AR37" s="59">
        <f t="shared" si="5"/>
        <v>0</v>
      </c>
      <c r="AS37" s="59">
        <f t="shared" si="5"/>
        <v>0</v>
      </c>
      <c r="AT37" s="59">
        <f t="shared" si="5"/>
        <v>0</v>
      </c>
      <c r="AU37" s="59">
        <f t="shared" si="5"/>
        <v>0</v>
      </c>
      <c r="AV37" s="59">
        <f t="shared" si="5"/>
        <v>0</v>
      </c>
      <c r="AW37" s="59">
        <f t="shared" si="5"/>
        <v>0</v>
      </c>
      <c r="AX37" s="59">
        <f t="shared" si="5"/>
        <v>0</v>
      </c>
      <c r="AY37" s="59">
        <f t="shared" si="5"/>
        <v>0</v>
      </c>
      <c r="AZ37" s="59">
        <f t="shared" si="5"/>
        <v>0</v>
      </c>
      <c r="BA37" s="59">
        <f t="shared" si="5"/>
        <v>0</v>
      </c>
      <c r="BB37" s="59">
        <f t="shared" si="5"/>
        <v>0</v>
      </c>
      <c r="BC37" s="59">
        <f t="shared" si="5"/>
        <v>0</v>
      </c>
      <c r="BD37" s="59">
        <f t="shared" si="5"/>
        <v>0</v>
      </c>
      <c r="BE37" s="59">
        <f t="shared" si="5"/>
        <v>0</v>
      </c>
      <c r="BF37" s="59">
        <f t="shared" si="5"/>
        <v>0</v>
      </c>
      <c r="BG37" s="59">
        <f t="shared" si="5"/>
        <v>0</v>
      </c>
      <c r="BH37" s="59">
        <f t="shared" si="5"/>
        <v>0</v>
      </c>
      <c r="BI37" s="59">
        <f t="shared" si="5"/>
        <v>0</v>
      </c>
      <c r="BJ37" s="59">
        <f t="shared" si="5"/>
        <v>0</v>
      </c>
      <c r="BK37" s="59">
        <f t="shared" si="5"/>
        <v>0</v>
      </c>
      <c r="BL37" s="59">
        <f t="shared" si="5"/>
        <v>0</v>
      </c>
      <c r="BM37" s="59">
        <f t="shared" si="5"/>
        <v>0</v>
      </c>
      <c r="BN37" s="59">
        <f t="shared" si="5"/>
        <v>0</v>
      </c>
      <c r="BO37" s="59">
        <f t="shared" si="5"/>
        <v>0</v>
      </c>
      <c r="BP37" s="59">
        <f t="shared" si="5"/>
        <v>0</v>
      </c>
      <c r="BQ37" s="59">
        <f t="shared" si="5"/>
        <v>0</v>
      </c>
      <c r="BR37" s="59">
        <f t="shared" si="5"/>
        <v>0</v>
      </c>
      <c r="BS37" s="59">
        <f t="shared" ref="BS37:CV37" si="6">SUM(BS9:BS36)</f>
        <v>-11505.84</v>
      </c>
      <c r="BT37" s="59">
        <f t="shared" si="6"/>
        <v>-557075.56000000006</v>
      </c>
      <c r="BU37" s="59">
        <f t="shared" si="6"/>
        <v>-2306053.1990524004</v>
      </c>
      <c r="BV37" s="59">
        <f t="shared" si="6"/>
        <v>-54.14</v>
      </c>
      <c r="BW37" s="59">
        <f t="shared" si="6"/>
        <v>5969.9289999999992</v>
      </c>
      <c r="BX37" s="59">
        <f t="shared" si="6"/>
        <v>0</v>
      </c>
      <c r="BY37" s="59">
        <f t="shared" si="6"/>
        <v>-103810.85700000008</v>
      </c>
      <c r="BZ37" s="59">
        <f t="shared" si="6"/>
        <v>-3942467.8309999998</v>
      </c>
      <c r="CA37" s="59">
        <f t="shared" si="6"/>
        <v>-326625.31400000001</v>
      </c>
      <c r="CB37" s="59">
        <f t="shared" si="6"/>
        <v>0</v>
      </c>
      <c r="CC37" s="59">
        <f t="shared" si="6"/>
        <v>0</v>
      </c>
      <c r="CD37" s="59">
        <f t="shared" si="6"/>
        <v>0</v>
      </c>
      <c r="CE37" s="59">
        <f t="shared" si="6"/>
        <v>247.72999999999956</v>
      </c>
      <c r="CF37" s="59">
        <f t="shared" si="6"/>
        <v>276.26300000003539</v>
      </c>
      <c r="CG37" s="59">
        <f t="shared" si="6"/>
        <v>119.42999999999302</v>
      </c>
      <c r="CH37" s="59">
        <f t="shared" si="6"/>
        <v>0</v>
      </c>
      <c r="CI37" s="59">
        <f t="shared" si="6"/>
        <v>3047.0189999999711</v>
      </c>
      <c r="CJ37" s="59">
        <f t="shared" si="6"/>
        <v>115774.41300000002</v>
      </c>
      <c r="CK37" s="59">
        <f t="shared" si="6"/>
        <v>0</v>
      </c>
      <c r="CL37" s="59">
        <f t="shared" si="6"/>
        <v>0</v>
      </c>
      <c r="CM37" s="59">
        <f t="shared" si="6"/>
        <v>0</v>
      </c>
      <c r="CN37" s="59">
        <f t="shared" si="6"/>
        <v>0</v>
      </c>
      <c r="CO37" s="59">
        <f t="shared" si="6"/>
        <v>6.1929999999999996</v>
      </c>
      <c r="CP37" s="59">
        <f t="shared" si="6"/>
        <v>0</v>
      </c>
      <c r="CQ37" s="59">
        <f t="shared" si="6"/>
        <v>0</v>
      </c>
      <c r="CR37" s="59">
        <f t="shared" si="6"/>
        <v>856972.58799999999</v>
      </c>
      <c r="CS37" s="59">
        <f t="shared" si="6"/>
        <v>0</v>
      </c>
      <c r="CT37" s="59">
        <f t="shared" si="6"/>
        <v>0</v>
      </c>
      <c r="CU37" s="59">
        <f t="shared" si="6"/>
        <v>0</v>
      </c>
      <c r="CV37" s="59">
        <f t="shared" si="6"/>
        <v>0</v>
      </c>
      <c r="CW37" s="43">
        <f t="shared" si="4"/>
        <v>-11493326.055760641</v>
      </c>
    </row>
    <row r="38" spans="2:101" x14ac:dyDescent="0.25">
      <c r="B38" s="60"/>
      <c r="C38" s="61" t="s">
        <v>127</v>
      </c>
      <c r="D38" s="61">
        <f>+D37+D8</f>
        <v>366111.86517000053</v>
      </c>
      <c r="E38" s="61">
        <f>+E37+E8</f>
        <v>4614775.3098445274</v>
      </c>
      <c r="F38" s="61">
        <f>+F37+F8</f>
        <v>21208315.089231502</v>
      </c>
      <c r="G38" s="61">
        <f t="shared" ref="G38:BR38" si="7">+G37+G8</f>
        <v>0</v>
      </c>
      <c r="H38" s="61">
        <f t="shared" si="7"/>
        <v>0</v>
      </c>
      <c r="I38" s="61">
        <f t="shared" si="7"/>
        <v>113134.72725999425</v>
      </c>
      <c r="J38" s="61">
        <f t="shared" si="7"/>
        <v>0</v>
      </c>
      <c r="K38" s="61">
        <f t="shared" si="7"/>
        <v>215532.65850014306</v>
      </c>
      <c r="L38" s="61">
        <f t="shared" si="7"/>
        <v>9045556.1327970009</v>
      </c>
      <c r="M38" s="61">
        <f t="shared" si="7"/>
        <v>609743.90908886399</v>
      </c>
      <c r="N38" s="61">
        <f t="shared" si="7"/>
        <v>177265.5199999999</v>
      </c>
      <c r="O38" s="61">
        <f t="shared" si="7"/>
        <v>743062.46284999989</v>
      </c>
      <c r="P38" s="61">
        <f t="shared" si="7"/>
        <v>20098300.210000008</v>
      </c>
      <c r="Q38" s="61">
        <f t="shared" si="7"/>
        <v>116963984.44880998</v>
      </c>
      <c r="R38" s="61">
        <f t="shared" si="7"/>
        <v>1016684.3900000001</v>
      </c>
      <c r="S38" s="61">
        <f t="shared" si="7"/>
        <v>4578824.9697659984</v>
      </c>
      <c r="T38" s="61">
        <f t="shared" si="7"/>
        <v>0</v>
      </c>
      <c r="U38" s="61">
        <f t="shared" si="7"/>
        <v>0</v>
      </c>
      <c r="V38" s="61">
        <f t="shared" si="7"/>
        <v>0</v>
      </c>
      <c r="W38" s="61">
        <f t="shared" si="7"/>
        <v>0</v>
      </c>
      <c r="X38" s="61">
        <f t="shared" si="7"/>
        <v>0</v>
      </c>
      <c r="Y38" s="61">
        <f t="shared" si="7"/>
        <v>0</v>
      </c>
      <c r="Z38" s="61">
        <f t="shared" si="7"/>
        <v>9662.5274983807467</v>
      </c>
      <c r="AA38" s="61">
        <f t="shared" si="7"/>
        <v>40503.29</v>
      </c>
      <c r="AB38" s="61">
        <f t="shared" si="7"/>
        <v>7542.7499999967404</v>
      </c>
      <c r="AC38" s="61">
        <f t="shared" si="7"/>
        <v>31617.62</v>
      </c>
      <c r="AD38" s="61">
        <f t="shared" si="7"/>
        <v>5155</v>
      </c>
      <c r="AE38" s="61">
        <f t="shared" si="7"/>
        <v>21608.68</v>
      </c>
      <c r="AF38" s="61">
        <f t="shared" si="7"/>
        <v>7956.8699999451637</v>
      </c>
      <c r="AG38" s="61">
        <f t="shared" si="7"/>
        <v>33353.53</v>
      </c>
      <c r="AH38" s="61">
        <f t="shared" si="7"/>
        <v>195459.03999999719</v>
      </c>
      <c r="AI38" s="61">
        <f t="shared" si="7"/>
        <v>819134.7964617</v>
      </c>
      <c r="AJ38" s="61">
        <f t="shared" si="7"/>
        <v>673596.71999999823</v>
      </c>
      <c r="AK38" s="61">
        <f t="shared" si="7"/>
        <v>2823324.1679230896</v>
      </c>
      <c r="AL38" s="61">
        <f t="shared" si="7"/>
        <v>21576152.441540077</v>
      </c>
      <c r="AM38" s="61">
        <f t="shared" si="7"/>
        <v>59691020.05313354</v>
      </c>
      <c r="AN38" s="61">
        <f t="shared" si="7"/>
        <v>6276507.6901499992</v>
      </c>
      <c r="AO38" s="61">
        <f t="shared" si="7"/>
        <v>1091269.3975914398</v>
      </c>
      <c r="AP38" s="61">
        <f t="shared" si="7"/>
        <v>5285267.3128637597</v>
      </c>
      <c r="AQ38" s="61">
        <f t="shared" si="7"/>
        <v>2357744.2098221607</v>
      </c>
      <c r="AR38" s="61">
        <f t="shared" si="7"/>
        <v>33752.683643993005</v>
      </c>
      <c r="AS38" s="61">
        <f t="shared" si="7"/>
        <v>6.2719079996137461</v>
      </c>
      <c r="AT38" s="61">
        <f t="shared" si="7"/>
        <v>11.210432002509913</v>
      </c>
      <c r="AU38" s="61">
        <f t="shared" si="7"/>
        <v>70709.869203997281</v>
      </c>
      <c r="AV38" s="61">
        <f t="shared" si="7"/>
        <v>523662.90839880263</v>
      </c>
      <c r="AW38" s="61">
        <f t="shared" si="7"/>
        <v>85667.9885699968</v>
      </c>
      <c r="AX38" s="61">
        <f t="shared" si="7"/>
        <v>1041.3974240010875</v>
      </c>
      <c r="AY38" s="61">
        <f t="shared" si="7"/>
        <v>163079.64131199798</v>
      </c>
      <c r="AZ38" s="61">
        <f t="shared" si="7"/>
        <v>23267.345377323236</v>
      </c>
      <c r="BA38" s="61">
        <f t="shared" si="7"/>
        <v>202715.83272400693</v>
      </c>
      <c r="BB38" s="61">
        <f t="shared" si="7"/>
        <v>70199.322219991154</v>
      </c>
      <c r="BC38" s="61">
        <f t="shared" si="7"/>
        <v>267787.3608479987</v>
      </c>
      <c r="BD38" s="61">
        <f t="shared" si="7"/>
        <v>17109.786599989828</v>
      </c>
      <c r="BE38" s="61">
        <f t="shared" si="7"/>
        <v>256586.81289368056</v>
      </c>
      <c r="BF38" s="61">
        <f t="shared" si="7"/>
        <v>321949.5492303599</v>
      </c>
      <c r="BG38" s="61">
        <f t="shared" si="7"/>
        <v>35109.232018882758</v>
      </c>
      <c r="BH38" s="61">
        <f t="shared" si="7"/>
        <v>27273.514880002102</v>
      </c>
      <c r="BI38" s="61">
        <f t="shared" si="7"/>
        <v>630661.83776839031</v>
      </c>
      <c r="BJ38" s="61">
        <f t="shared" si="7"/>
        <v>197783.28604456017</v>
      </c>
      <c r="BK38" s="61">
        <f t="shared" si="7"/>
        <v>3408870.6208220124</v>
      </c>
      <c r="BL38" s="61">
        <f t="shared" si="7"/>
        <v>113128.69714244608</v>
      </c>
      <c r="BM38" s="61">
        <f t="shared" si="7"/>
        <v>1072501.988177151</v>
      </c>
      <c r="BN38" s="61">
        <f t="shared" si="7"/>
        <v>1221965.0913973795</v>
      </c>
      <c r="BO38" s="61">
        <f t="shared" si="7"/>
        <v>3.4691202304202307E-3</v>
      </c>
      <c r="BP38" s="61">
        <f t="shared" si="7"/>
        <v>256.16023932906546</v>
      </c>
      <c r="BQ38" s="61">
        <f t="shared" si="7"/>
        <v>4.0128798844989433E-3</v>
      </c>
      <c r="BR38" s="61">
        <f t="shared" si="7"/>
        <v>645484.5260000031</v>
      </c>
      <c r="BS38" s="61">
        <f t="shared" ref="BS38:CV38" si="8">+BS37+BS8</f>
        <v>2650869.4086606889</v>
      </c>
      <c r="BT38" s="61">
        <f t="shared" si="8"/>
        <v>-141597.87506798084</v>
      </c>
      <c r="BU38" s="61">
        <f t="shared" si="8"/>
        <v>-581512.76236380893</v>
      </c>
      <c r="BV38" s="61">
        <f t="shared" si="8"/>
        <v>8025.4488600000004</v>
      </c>
      <c r="BW38" s="61">
        <f t="shared" si="8"/>
        <v>397883.49299000081</v>
      </c>
      <c r="BX38" s="61">
        <f t="shared" si="8"/>
        <v>12663.664475599246</v>
      </c>
      <c r="BY38" s="61">
        <f t="shared" si="8"/>
        <v>626695.125</v>
      </c>
      <c r="BZ38" s="61">
        <f t="shared" si="8"/>
        <v>2342904.7590000001</v>
      </c>
      <c r="CA38" s="61">
        <f t="shared" si="8"/>
        <v>3713612.574</v>
      </c>
      <c r="CB38" s="61">
        <f t="shared" si="8"/>
        <v>18918.56624</v>
      </c>
      <c r="CC38" s="61">
        <f t="shared" si="8"/>
        <v>905567.0501799999</v>
      </c>
      <c r="CD38" s="61">
        <f t="shared" si="8"/>
        <v>0</v>
      </c>
      <c r="CE38" s="61">
        <f t="shared" si="8"/>
        <v>28452.452000000001</v>
      </c>
      <c r="CF38" s="61">
        <f t="shared" si="8"/>
        <v>696622.45958999998</v>
      </c>
      <c r="CG38" s="61">
        <f t="shared" si="8"/>
        <v>194020.59</v>
      </c>
      <c r="CH38" s="61">
        <f t="shared" si="8"/>
        <v>2.9318200000000001</v>
      </c>
      <c r="CI38" s="61">
        <f t="shared" si="8"/>
        <v>813161.96100000001</v>
      </c>
      <c r="CJ38" s="61">
        <f t="shared" si="8"/>
        <v>201938.84700000001</v>
      </c>
      <c r="CK38" s="61">
        <f t="shared" si="8"/>
        <v>0</v>
      </c>
      <c r="CL38" s="61">
        <f t="shared" si="8"/>
        <v>0</v>
      </c>
      <c r="CM38" s="61">
        <f t="shared" si="8"/>
        <v>79545.21415</v>
      </c>
      <c r="CN38" s="61">
        <f t="shared" si="8"/>
        <v>662749.23896999995</v>
      </c>
      <c r="CO38" s="61">
        <f t="shared" si="8"/>
        <v>736446.43431999965</v>
      </c>
      <c r="CP38" s="61">
        <f t="shared" si="8"/>
        <v>9152723.6727600005</v>
      </c>
      <c r="CQ38" s="61">
        <f t="shared" si="8"/>
        <v>377918.49939999997</v>
      </c>
      <c r="CR38" s="61">
        <f t="shared" si="8"/>
        <v>877844.96267999895</v>
      </c>
      <c r="CS38" s="61">
        <f t="shared" si="8"/>
        <v>5000</v>
      </c>
      <c r="CT38" s="61">
        <f t="shared" si="8"/>
        <v>20468.599999999999</v>
      </c>
      <c r="CU38" s="61">
        <f t="shared" si="8"/>
        <v>5000</v>
      </c>
      <c r="CV38" s="61">
        <f t="shared" si="8"/>
        <v>20468.599999999999</v>
      </c>
      <c r="CW38" s="43">
        <f t="shared" si="4"/>
        <v>313915144.64872503</v>
      </c>
    </row>
    <row r="39" spans="2:101" x14ac:dyDescent="0.25">
      <c r="B39" s="62"/>
      <c r="C39" s="63" t="s">
        <v>128</v>
      </c>
      <c r="D39" s="63">
        <v>71000</v>
      </c>
      <c r="E39" s="63">
        <v>27883811.417350002</v>
      </c>
      <c r="F39" s="63">
        <v>-7224000</v>
      </c>
      <c r="G39" s="63">
        <v>0</v>
      </c>
      <c r="H39" s="63">
        <v>0</v>
      </c>
      <c r="I39" s="63">
        <v>20197.28684999996</v>
      </c>
      <c r="J39" s="63">
        <v>0</v>
      </c>
      <c r="K39" s="63">
        <v>0</v>
      </c>
      <c r="L39" s="63">
        <v>-3848493.6936880099</v>
      </c>
      <c r="M39" s="63">
        <v>-439590.003302</v>
      </c>
      <c r="N39" s="63">
        <v>0</v>
      </c>
      <c r="O39" s="63">
        <v>0</v>
      </c>
      <c r="P39" s="63">
        <v>-575311.97</v>
      </c>
      <c r="Q39" s="63">
        <v>-2362685.4452763014</v>
      </c>
      <c r="R39" s="63">
        <v>-400629.12999999989</v>
      </c>
      <c r="S39" s="63">
        <v>-1645299.7047927007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-77243.05</v>
      </c>
      <c r="AI39" s="63">
        <v>-317220.98530950001</v>
      </c>
      <c r="AJ39" s="63">
        <v>870.12</v>
      </c>
      <c r="AK39" s="63">
        <v>3573.4001148000002</v>
      </c>
      <c r="AL39" s="63">
        <v>0</v>
      </c>
      <c r="AM39" s="63">
        <v>43540.966999999997</v>
      </c>
      <c r="AN39" s="63">
        <v>0</v>
      </c>
      <c r="AO39" s="63">
        <v>0</v>
      </c>
      <c r="AP39" s="63">
        <v>0</v>
      </c>
      <c r="AQ39" s="63">
        <v>0</v>
      </c>
      <c r="AR39" s="63">
        <v>93.461807999999991</v>
      </c>
      <c r="AS39" s="63">
        <v>1.9E-2</v>
      </c>
      <c r="AT39" s="63">
        <v>3.4000000000000002E-2</v>
      </c>
      <c r="AU39" s="63">
        <v>35.936999999999998</v>
      </c>
      <c r="AV39" s="63">
        <v>1483.7781360000001</v>
      </c>
      <c r="AW39" s="63">
        <v>451.10341</v>
      </c>
      <c r="AX39" s="63">
        <v>5.8992500000000003</v>
      </c>
      <c r="AY39" s="63">
        <v>1219.7352999999998</v>
      </c>
      <c r="AZ39" s="63">
        <v>122.51980000000002</v>
      </c>
      <c r="BA39" s="63">
        <v>66.509</v>
      </c>
      <c r="BB39" s="63">
        <v>23.036000000000001</v>
      </c>
      <c r="BC39" s="63">
        <v>87.871999999999986</v>
      </c>
      <c r="BD39" s="63">
        <v>5.625</v>
      </c>
      <c r="BE39" s="63">
        <v>0</v>
      </c>
      <c r="BF39" s="63">
        <v>0</v>
      </c>
      <c r="BG39" s="63">
        <v>0.29713000000000001</v>
      </c>
      <c r="BH39" s="63">
        <v>-741.74655999999993</v>
      </c>
      <c r="BI39" s="63">
        <v>-104093.86861</v>
      </c>
      <c r="BJ39" s="63">
        <v>409.08501000000001</v>
      </c>
      <c r="BK39" s="63">
        <v>3864.7267000000002</v>
      </c>
      <c r="BL39" s="63">
        <v>58.401199999999996</v>
      </c>
      <c r="BM39" s="63">
        <v>553.65986000000009</v>
      </c>
      <c r="BN39" s="63">
        <v>630.82497000000001</v>
      </c>
      <c r="BO39" s="63">
        <v>0</v>
      </c>
      <c r="BP39" s="63">
        <v>0.13740000000000663</v>
      </c>
      <c r="BQ39" s="63">
        <v>0</v>
      </c>
      <c r="BR39" s="63">
        <v>0</v>
      </c>
      <c r="BS39" s="63">
        <v>0</v>
      </c>
      <c r="BT39" s="63">
        <v>400000</v>
      </c>
      <c r="BU39" s="63">
        <v>1642716</v>
      </c>
      <c r="BV39" s="63">
        <v>0</v>
      </c>
      <c r="BW39" s="63">
        <v>0</v>
      </c>
      <c r="BX39" s="63">
        <v>0</v>
      </c>
      <c r="BY39" s="63">
        <v>79000</v>
      </c>
      <c r="BZ39" s="63">
        <v>1900000</v>
      </c>
      <c r="CA39" s="63">
        <v>3600000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43">
        <f t="shared" si="4"/>
        <v>18658512.255750291</v>
      </c>
    </row>
    <row r="40" spans="2:101" ht="15.75" thickBot="1" x14ac:dyDescent="0.3">
      <c r="B40" s="64"/>
      <c r="C40" s="65" t="s">
        <v>129</v>
      </c>
      <c r="D40" s="65">
        <f>+D39+D38</f>
        <v>437111.86517000053</v>
      </c>
      <c r="E40" s="65">
        <f>+E39+E38</f>
        <v>32498586.727194529</v>
      </c>
      <c r="F40" s="65">
        <f>+F39+F38</f>
        <v>13984315.089231502</v>
      </c>
      <c r="G40" s="65">
        <f t="shared" ref="G40:BR40" si="9">+G39+G38</f>
        <v>0</v>
      </c>
      <c r="H40" s="65">
        <f t="shared" si="9"/>
        <v>0</v>
      </c>
      <c r="I40" s="65">
        <f t="shared" si="9"/>
        <v>133332.01410999423</v>
      </c>
      <c r="J40" s="65">
        <f t="shared" si="9"/>
        <v>0</v>
      </c>
      <c r="K40" s="65">
        <f t="shared" si="9"/>
        <v>215532.65850014306</v>
      </c>
      <c r="L40" s="65">
        <f t="shared" si="9"/>
        <v>5197062.4391089911</v>
      </c>
      <c r="M40" s="65">
        <f t="shared" si="9"/>
        <v>170153.90578686399</v>
      </c>
      <c r="N40" s="65">
        <f t="shared" si="9"/>
        <v>177265.5199999999</v>
      </c>
      <c r="O40" s="65">
        <f t="shared" si="9"/>
        <v>743062.46284999989</v>
      </c>
      <c r="P40" s="65">
        <f t="shared" si="9"/>
        <v>19522988.24000001</v>
      </c>
      <c r="Q40" s="65">
        <f t="shared" si="9"/>
        <v>114601299.00353368</v>
      </c>
      <c r="R40" s="65">
        <f t="shared" si="9"/>
        <v>616055.26000000024</v>
      </c>
      <c r="S40" s="65">
        <f t="shared" si="9"/>
        <v>2933525.2649732977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9662.5274983807467</v>
      </c>
      <c r="AA40" s="65">
        <f t="shared" si="9"/>
        <v>40503.29</v>
      </c>
      <c r="AB40" s="65">
        <f t="shared" si="9"/>
        <v>7542.7499999967404</v>
      </c>
      <c r="AC40" s="65">
        <f t="shared" si="9"/>
        <v>31617.62</v>
      </c>
      <c r="AD40" s="65">
        <f t="shared" si="9"/>
        <v>5155</v>
      </c>
      <c r="AE40" s="65">
        <f t="shared" si="9"/>
        <v>21608.68</v>
      </c>
      <c r="AF40" s="65">
        <f t="shared" si="9"/>
        <v>7956.8699999451637</v>
      </c>
      <c r="AG40" s="65">
        <f t="shared" si="9"/>
        <v>33353.53</v>
      </c>
      <c r="AH40" s="65">
        <f t="shared" si="9"/>
        <v>118215.98999999718</v>
      </c>
      <c r="AI40" s="65">
        <f t="shared" si="9"/>
        <v>501913.81115219998</v>
      </c>
      <c r="AJ40" s="65">
        <f t="shared" si="9"/>
        <v>674466.83999999822</v>
      </c>
      <c r="AK40" s="65">
        <f t="shared" si="9"/>
        <v>2826897.5680378894</v>
      </c>
      <c r="AL40" s="65">
        <f t="shared" si="9"/>
        <v>21576152.441540077</v>
      </c>
      <c r="AM40" s="65">
        <f t="shared" si="9"/>
        <v>59734561.02013354</v>
      </c>
      <c r="AN40" s="65">
        <f t="shared" si="9"/>
        <v>6276507.6901499992</v>
      </c>
      <c r="AO40" s="65">
        <f t="shared" si="9"/>
        <v>1091269.3975914398</v>
      </c>
      <c r="AP40" s="65">
        <f t="shared" si="9"/>
        <v>5285267.3128637597</v>
      </c>
      <c r="AQ40" s="65">
        <f t="shared" si="9"/>
        <v>2357744.2098221607</v>
      </c>
      <c r="AR40" s="65">
        <f t="shared" si="9"/>
        <v>33846.145451993005</v>
      </c>
      <c r="AS40" s="65">
        <f t="shared" si="9"/>
        <v>6.2909079996137462</v>
      </c>
      <c r="AT40" s="65">
        <f t="shared" si="9"/>
        <v>11.244432002509914</v>
      </c>
      <c r="AU40" s="65">
        <f t="shared" si="9"/>
        <v>70745.806203997287</v>
      </c>
      <c r="AV40" s="65">
        <f t="shared" si="9"/>
        <v>525146.68653480266</v>
      </c>
      <c r="AW40" s="65">
        <f t="shared" si="9"/>
        <v>86119.091979996796</v>
      </c>
      <c r="AX40" s="65">
        <f t="shared" si="9"/>
        <v>1047.2966740010875</v>
      </c>
      <c r="AY40" s="65">
        <f t="shared" si="9"/>
        <v>164299.37661199798</v>
      </c>
      <c r="AZ40" s="65">
        <f t="shared" si="9"/>
        <v>23389.865177323234</v>
      </c>
      <c r="BA40" s="65">
        <f t="shared" si="9"/>
        <v>202782.34172400692</v>
      </c>
      <c r="BB40" s="65">
        <f t="shared" si="9"/>
        <v>70222.358219991147</v>
      </c>
      <c r="BC40" s="65">
        <f t="shared" si="9"/>
        <v>267875.23284799868</v>
      </c>
      <c r="BD40" s="65">
        <f t="shared" si="9"/>
        <v>17115.411599989828</v>
      </c>
      <c r="BE40" s="65">
        <f t="shared" si="9"/>
        <v>256586.81289368056</v>
      </c>
      <c r="BF40" s="65">
        <f t="shared" si="9"/>
        <v>321949.5492303599</v>
      </c>
      <c r="BG40" s="65">
        <f t="shared" si="9"/>
        <v>35109.529148882757</v>
      </c>
      <c r="BH40" s="65">
        <f t="shared" si="9"/>
        <v>26531.768320002102</v>
      </c>
      <c r="BI40" s="65">
        <f t="shared" si="9"/>
        <v>526567.9691583903</v>
      </c>
      <c r="BJ40" s="65">
        <f t="shared" si="9"/>
        <v>198192.37105456018</v>
      </c>
      <c r="BK40" s="65">
        <f t="shared" si="9"/>
        <v>3412735.3475220124</v>
      </c>
      <c r="BL40" s="65">
        <f t="shared" si="9"/>
        <v>113187.09834244607</v>
      </c>
      <c r="BM40" s="65">
        <f t="shared" si="9"/>
        <v>1073055.648037151</v>
      </c>
      <c r="BN40" s="65">
        <f t="shared" si="9"/>
        <v>1222595.9163673795</v>
      </c>
      <c r="BO40" s="65">
        <f t="shared" si="9"/>
        <v>3.4691202304202307E-3</v>
      </c>
      <c r="BP40" s="65">
        <f t="shared" si="9"/>
        <v>256.29763932906548</v>
      </c>
      <c r="BQ40" s="65">
        <f t="shared" si="9"/>
        <v>4.0128798844989433E-3</v>
      </c>
      <c r="BR40" s="65">
        <f t="shared" si="9"/>
        <v>645484.5260000031</v>
      </c>
      <c r="BS40" s="65">
        <f t="shared" ref="BS40:CV40" si="10">+BS39+BS38</f>
        <v>2650869.4086606889</v>
      </c>
      <c r="BT40" s="65">
        <f t="shared" si="10"/>
        <v>258402.12493201916</v>
      </c>
      <c r="BU40" s="65">
        <f t="shared" si="10"/>
        <v>1061203.2376361911</v>
      </c>
      <c r="BV40" s="65">
        <f t="shared" si="10"/>
        <v>8025.4488600000004</v>
      </c>
      <c r="BW40" s="65">
        <f t="shared" si="10"/>
        <v>397883.49299000081</v>
      </c>
      <c r="BX40" s="65">
        <f t="shared" si="10"/>
        <v>12663.664475599246</v>
      </c>
      <c r="BY40" s="65">
        <f t="shared" si="10"/>
        <v>705695.125</v>
      </c>
      <c r="BZ40" s="65">
        <f t="shared" si="10"/>
        <v>4242904.7589999996</v>
      </c>
      <c r="CA40" s="65">
        <f t="shared" si="10"/>
        <v>7313612.574</v>
      </c>
      <c r="CB40" s="65">
        <f t="shared" si="10"/>
        <v>18918.56624</v>
      </c>
      <c r="CC40" s="65">
        <f t="shared" si="10"/>
        <v>905567.0501799999</v>
      </c>
      <c r="CD40" s="65">
        <f t="shared" si="10"/>
        <v>0</v>
      </c>
      <c r="CE40" s="65">
        <f t="shared" si="10"/>
        <v>28452.452000000001</v>
      </c>
      <c r="CF40" s="65">
        <f t="shared" si="10"/>
        <v>696622.45958999998</v>
      </c>
      <c r="CG40" s="65">
        <f t="shared" si="10"/>
        <v>194020.59</v>
      </c>
      <c r="CH40" s="65">
        <f>+CH39+CH38</f>
        <v>2.9318200000000001</v>
      </c>
      <c r="CI40" s="65">
        <f t="shared" si="10"/>
        <v>813161.96100000001</v>
      </c>
      <c r="CJ40" s="65">
        <f t="shared" si="10"/>
        <v>201938.84700000001</v>
      </c>
      <c r="CK40" s="65">
        <f t="shared" si="10"/>
        <v>0</v>
      </c>
      <c r="CL40" s="65">
        <f t="shared" si="10"/>
        <v>0</v>
      </c>
      <c r="CM40" s="65">
        <f t="shared" si="10"/>
        <v>79545.21415</v>
      </c>
      <c r="CN40" s="65">
        <f t="shared" si="10"/>
        <v>662749.23896999995</v>
      </c>
      <c r="CO40" s="65">
        <f t="shared" si="10"/>
        <v>736446.43431999965</v>
      </c>
      <c r="CP40" s="65">
        <f t="shared" si="10"/>
        <v>9152723.6727600005</v>
      </c>
      <c r="CQ40" s="65">
        <f t="shared" si="10"/>
        <v>377918.49939999997</v>
      </c>
      <c r="CR40" s="65">
        <f t="shared" si="10"/>
        <v>877844.96267999895</v>
      </c>
      <c r="CS40" s="65">
        <f t="shared" si="10"/>
        <v>5000</v>
      </c>
      <c r="CT40" s="65">
        <f t="shared" si="10"/>
        <v>20468.599999999999</v>
      </c>
      <c r="CU40" s="65">
        <f t="shared" si="10"/>
        <v>5000</v>
      </c>
      <c r="CV40" s="65">
        <f t="shared" si="10"/>
        <v>20468.599999999999</v>
      </c>
      <c r="CW40" s="43">
        <f t="shared" si="4"/>
        <v>332573656.90447539</v>
      </c>
    </row>
    <row r="41" spans="2:101" ht="15.75" thickBot="1" x14ac:dyDescent="0.3"/>
    <row r="42" spans="2:101" x14ac:dyDescent="0.25">
      <c r="C42" s="67" t="s">
        <v>130</v>
      </c>
      <c r="D42" s="68">
        <f>+D37+D39</f>
        <v>-11595.839389999994</v>
      </c>
      <c r="E42" s="68">
        <f>+E37+E39</f>
        <v>22350106.779990003</v>
      </c>
      <c r="F42" s="69">
        <f>+F37+F39</f>
        <v>-4116208.6004700013</v>
      </c>
      <c r="G42" s="88">
        <v>20375.599999999999</v>
      </c>
      <c r="H42" s="88">
        <v>20376.599999999999</v>
      </c>
      <c r="I42" s="88">
        <v>20377.599999999999</v>
      </c>
      <c r="J42" s="88">
        <v>20378.599999999999</v>
      </c>
      <c r="K42" s="88">
        <v>20379.599999999999</v>
      </c>
      <c r="L42" s="88">
        <v>20380.599999999999</v>
      </c>
      <c r="M42" s="88">
        <v>20381.599999999999</v>
      </c>
      <c r="N42" s="88">
        <v>20382.599999999999</v>
      </c>
      <c r="O42" s="88">
        <v>20383.599999999999</v>
      </c>
      <c r="P42" s="88">
        <v>20384.599999999999</v>
      </c>
      <c r="Q42" s="88">
        <v>20385.599999999999</v>
      </c>
      <c r="R42" s="88">
        <v>20386.599999999999</v>
      </c>
      <c r="S42" s="88">
        <v>20387.599999999999</v>
      </c>
      <c r="T42" s="88">
        <v>20388.599999999999</v>
      </c>
      <c r="U42" s="88">
        <v>20389.599999999999</v>
      </c>
      <c r="V42" s="88">
        <v>20390.599999999999</v>
      </c>
      <c r="W42" s="88">
        <v>20391.599999999999</v>
      </c>
      <c r="X42" s="88">
        <v>20392.599999999999</v>
      </c>
      <c r="Y42" s="88">
        <v>20393.599999999999</v>
      </c>
      <c r="Z42" s="88">
        <v>20394.599999999999</v>
      </c>
      <c r="AA42" s="88">
        <v>20395.599999999999</v>
      </c>
      <c r="AB42" s="88">
        <v>20396.599999999999</v>
      </c>
      <c r="AC42" s="88">
        <v>20397.599999999999</v>
      </c>
      <c r="AD42" s="88">
        <v>20398.599999999999</v>
      </c>
      <c r="AE42" s="88">
        <v>20399.599999999999</v>
      </c>
      <c r="AF42" s="88">
        <v>20400.599999999999</v>
      </c>
      <c r="AG42" s="88">
        <v>20401.599999999999</v>
      </c>
      <c r="AH42" s="88">
        <v>20402.599999999999</v>
      </c>
      <c r="AI42" s="88">
        <v>20403.599999999999</v>
      </c>
      <c r="AJ42" s="88">
        <v>20404.599999999999</v>
      </c>
      <c r="AK42" s="88">
        <v>20405.599999999999</v>
      </c>
      <c r="AL42" s="91">
        <v>21576152.444939997</v>
      </c>
      <c r="AM42" s="91">
        <v>59734561.023040004</v>
      </c>
      <c r="AN42" s="91">
        <v>6276507.6849999996</v>
      </c>
      <c r="AO42" s="91">
        <v>1091269.3929999999</v>
      </c>
      <c r="AP42" s="91">
        <v>5285267.3101399997</v>
      </c>
      <c r="AQ42" s="91">
        <v>2357744.21</v>
      </c>
      <c r="AR42" s="88">
        <v>20412.599999999999</v>
      </c>
      <c r="AS42" s="88">
        <v>20413.599999999999</v>
      </c>
      <c r="AT42" s="88">
        <v>20414.599999999999</v>
      </c>
      <c r="AU42" s="88">
        <v>20415.599999999999</v>
      </c>
      <c r="AV42" s="88">
        <v>20416.599999999999</v>
      </c>
      <c r="AW42" s="88">
        <v>20417.599999999999</v>
      </c>
      <c r="AX42" s="88">
        <v>20418.599999999999</v>
      </c>
      <c r="AY42" s="88">
        <v>20419.599999999999</v>
      </c>
      <c r="AZ42" s="88">
        <v>20420.599999999999</v>
      </c>
      <c r="BA42" s="88">
        <v>20421.599999999999</v>
      </c>
      <c r="BB42" s="88">
        <v>20422.599999999999</v>
      </c>
      <c r="BC42" s="88">
        <v>20423.599999999999</v>
      </c>
      <c r="BD42" s="88">
        <v>20424.599999999999</v>
      </c>
      <c r="BE42" s="88">
        <v>20425.599999999999</v>
      </c>
      <c r="BF42" s="88">
        <v>20426.599999999999</v>
      </c>
      <c r="BG42" s="88">
        <v>20427.599999999999</v>
      </c>
      <c r="BH42" s="88">
        <v>20428.599999999999</v>
      </c>
      <c r="BI42" s="88">
        <v>20429.599999999999</v>
      </c>
      <c r="BJ42" s="88">
        <v>20430.599999999999</v>
      </c>
      <c r="BK42" s="88">
        <v>20431.599999999999</v>
      </c>
      <c r="BL42" s="88">
        <v>20432.599999999999</v>
      </c>
      <c r="BM42" s="88">
        <v>20433.599999999999</v>
      </c>
      <c r="BN42" s="88">
        <v>20434.599999999999</v>
      </c>
      <c r="BO42" s="88">
        <v>20435.599999999999</v>
      </c>
      <c r="BP42" s="88">
        <v>20436.599999999999</v>
      </c>
      <c r="BQ42" s="88">
        <v>20437.599999999999</v>
      </c>
      <c r="BR42" s="91">
        <v>645484.53</v>
      </c>
      <c r="BS42" s="91">
        <f>+BR42*BS5</f>
        <v>2650869.4129587002</v>
      </c>
      <c r="BT42" s="91">
        <v>258402.12</v>
      </c>
      <c r="BU42" s="91">
        <f>+BT42*BU5</f>
        <v>1061203.2423948001</v>
      </c>
      <c r="BV42" s="91">
        <v>8025.4480000000003</v>
      </c>
      <c r="BW42" s="91">
        <v>397883.48800000001</v>
      </c>
      <c r="BX42" s="91">
        <v>12663.665000000001</v>
      </c>
      <c r="BY42" s="91">
        <v>705695.12699999998</v>
      </c>
      <c r="BZ42" s="91">
        <v>4242904.7598000001</v>
      </c>
      <c r="CA42" s="91">
        <v>7313612.5728000002</v>
      </c>
      <c r="CB42" s="91">
        <v>18918.565999999999</v>
      </c>
      <c r="CC42" s="91">
        <v>905567.04599999997</v>
      </c>
      <c r="CD42" s="91">
        <v>0</v>
      </c>
      <c r="CE42" s="91">
        <v>28452.452000000001</v>
      </c>
      <c r="CF42" s="91">
        <v>696622.45958999998</v>
      </c>
      <c r="CG42" s="91">
        <v>194020.59</v>
      </c>
      <c r="CH42" s="91">
        <v>2.931</v>
      </c>
      <c r="CI42" s="91">
        <v>813161.96100000001</v>
      </c>
      <c r="CJ42" s="91">
        <v>201938.84700000001</v>
      </c>
      <c r="CK42" s="91">
        <v>0</v>
      </c>
      <c r="CL42" s="91">
        <v>0</v>
      </c>
      <c r="CM42" s="91">
        <v>79545.214000000007</v>
      </c>
      <c r="CN42" s="91">
        <v>662749.23600000003</v>
      </c>
      <c r="CO42" s="91">
        <v>736446.43900000001</v>
      </c>
      <c r="CP42" s="91">
        <v>9152723.6720000003</v>
      </c>
      <c r="CQ42" s="91">
        <v>377918.49900000001</v>
      </c>
      <c r="CR42" s="91">
        <v>877844.96200000006</v>
      </c>
      <c r="CS42" s="91">
        <v>5000</v>
      </c>
      <c r="CT42" s="91">
        <v>20468.599999999999</v>
      </c>
      <c r="CU42" s="91">
        <v>5000</v>
      </c>
      <c r="CV42" s="91">
        <v>20468.599999999999</v>
      </c>
    </row>
    <row r="43" spans="2:101" x14ac:dyDescent="0.25">
      <c r="C43" s="70" t="s">
        <v>131</v>
      </c>
      <c r="D43" s="71">
        <v>-11595.840190000001</v>
      </c>
      <c r="E43" s="71">
        <v>22350106.78427</v>
      </c>
      <c r="F43" s="71">
        <v>-4116208.6035000002</v>
      </c>
      <c r="G43" s="66"/>
      <c r="H43" s="66"/>
      <c r="AL43" s="92">
        <f>+AL42-AL40</f>
        <v>3.399919718503952E-3</v>
      </c>
      <c r="AM43" s="92">
        <f t="shared" ref="AM43:AQ43" si="11">+AM42-AM40</f>
        <v>2.9064640402793884E-3</v>
      </c>
      <c r="AN43" s="92">
        <f t="shared" si="11"/>
        <v>-5.1499996334314346E-3</v>
      </c>
      <c r="AO43" s="92">
        <f t="shared" si="11"/>
        <v>-4.591439850628376E-3</v>
      </c>
      <c r="AP43" s="92">
        <f t="shared" si="11"/>
        <v>-2.7237599715590477E-3</v>
      </c>
      <c r="AQ43" s="92">
        <f t="shared" si="11"/>
        <v>1.7783930525183678E-4</v>
      </c>
      <c r="BR43" s="92">
        <f>+BR40-BR42</f>
        <v>-3.9999969303607941E-3</v>
      </c>
      <c r="BS43" s="92">
        <f t="shared" ref="BS43:BU43" si="12">+BS40-BS42</f>
        <v>-4.2980113066732883E-3</v>
      </c>
      <c r="BT43" s="92">
        <f t="shared" si="12"/>
        <v>4.9320191610604525E-3</v>
      </c>
      <c r="BU43" s="92">
        <f t="shared" si="12"/>
        <v>-4.7586089931428432E-3</v>
      </c>
      <c r="BV43" s="92">
        <f>+BV40-BV42</f>
        <v>8.6000000010244548E-4</v>
      </c>
      <c r="BW43" s="92">
        <f>+BW40-BW42</f>
        <v>4.9900008016265929E-3</v>
      </c>
      <c r="BX43" s="92">
        <f>+BX40-BX42</f>
        <v>-5.2440075523918495E-4</v>
      </c>
      <c r="BY43" s="92">
        <f>+BY42-BY40</f>
        <v>1.9999999785795808E-3</v>
      </c>
      <c r="BZ43" s="92">
        <f t="shared" ref="BZ43:CL43" si="13">+BZ42-BZ40</f>
        <v>8.0000050365924835E-4</v>
      </c>
      <c r="CA43" s="92">
        <f t="shared" si="13"/>
        <v>-1.1999998241662979E-3</v>
      </c>
      <c r="CB43" s="92">
        <f t="shared" si="13"/>
        <v>-2.4000000121304765E-4</v>
      </c>
      <c r="CC43" s="92">
        <f t="shared" si="13"/>
        <v>-4.1799999307841063E-3</v>
      </c>
      <c r="CD43" s="92">
        <f t="shared" si="13"/>
        <v>0</v>
      </c>
      <c r="CE43" s="92">
        <f t="shared" si="13"/>
        <v>0</v>
      </c>
      <c r="CF43" s="92">
        <f>+CF42-CF40</f>
        <v>0</v>
      </c>
      <c r="CG43" s="92">
        <f t="shared" si="13"/>
        <v>0</v>
      </c>
      <c r="CH43" s="92">
        <f t="shared" si="13"/>
        <v>-8.2000000000004292E-4</v>
      </c>
      <c r="CI43" s="92">
        <f t="shared" si="13"/>
        <v>0</v>
      </c>
      <c r="CJ43" s="92">
        <f t="shared" si="13"/>
        <v>0</v>
      </c>
      <c r="CK43" s="92">
        <f t="shared" si="13"/>
        <v>0</v>
      </c>
      <c r="CL43" s="92">
        <f t="shared" si="13"/>
        <v>0</v>
      </c>
      <c r="CM43" s="92">
        <f>+CM42-CM40</f>
        <v>-1.4999999257270247E-4</v>
      </c>
      <c r="CN43" s="92">
        <f>+CN40-CN42</f>
        <v>2.9699999140575528E-3</v>
      </c>
      <c r="CO43" s="92">
        <f>+CO42-CO40</f>
        <v>4.6800003619864583E-3</v>
      </c>
      <c r="CP43" s="92">
        <f t="shared" ref="CP43:CV43" si="14">+CP42-CP40</f>
        <v>-7.6000019907951355E-4</v>
      </c>
      <c r="CQ43" s="92">
        <f t="shared" si="14"/>
        <v>-3.9999996079131961E-4</v>
      </c>
      <c r="CR43" s="92">
        <f t="shared" si="14"/>
        <v>-6.7999889142811298E-4</v>
      </c>
      <c r="CS43" s="92">
        <f t="shared" si="14"/>
        <v>0</v>
      </c>
      <c r="CT43" s="92">
        <f t="shared" si="14"/>
        <v>0</v>
      </c>
      <c r="CU43" s="92">
        <f t="shared" si="14"/>
        <v>0</v>
      </c>
      <c r="CV43" s="92">
        <f t="shared" si="14"/>
        <v>0</v>
      </c>
    </row>
    <row r="44" spans="2:101" ht="15.75" thickBot="1" x14ac:dyDescent="0.3">
      <c r="C44" s="73" t="s">
        <v>132</v>
      </c>
      <c r="D44" s="74">
        <f>+D42-D43</f>
        <v>8.0000000707514118E-4</v>
      </c>
      <c r="E44" s="74">
        <f>+E42-E43</f>
        <v>-4.2799971997737885E-3</v>
      </c>
      <c r="F44" s="75">
        <f>+F42-F43</f>
        <v>3.0299988575279713E-3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</row>
    <row r="45" spans="2:101" x14ac:dyDescent="0.25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</row>
    <row r="46" spans="2:101" x14ac:dyDescent="0.25">
      <c r="D46" s="10">
        <v>9610</v>
      </c>
      <c r="E46" s="10">
        <v>1320940503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2:101" x14ac:dyDescent="0.25">
      <c r="D47" s="10">
        <v>8236</v>
      </c>
      <c r="E47" s="10">
        <v>572393858</v>
      </c>
      <c r="I47" s="66" t="s">
        <v>133</v>
      </c>
      <c r="AL47" s="76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</row>
    <row r="48" spans="2:101" x14ac:dyDescent="0.25">
      <c r="D48" s="10">
        <v>9594</v>
      </c>
      <c r="E48" s="77">
        <v>5502957072.8899994</v>
      </c>
      <c r="AL48" s="76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</row>
    <row r="49" spans="2:97" x14ac:dyDescent="0.25">
      <c r="C49" s="78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</row>
    <row r="50" spans="2:97" x14ac:dyDescent="0.25"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/>
    </row>
    <row r="51" spans="2:97" x14ac:dyDescent="0.25">
      <c r="CS51"/>
    </row>
    <row r="52" spans="2:97" x14ac:dyDescent="0.25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/>
    </row>
    <row r="53" spans="2:97" x14ac:dyDescent="0.25">
      <c r="CS53"/>
    </row>
    <row r="54" spans="2:97" x14ac:dyDescent="0.25">
      <c r="CS54"/>
    </row>
    <row r="55" spans="2:97" x14ac:dyDescent="0.25">
      <c r="CS55"/>
    </row>
    <row r="58" spans="2:97" x14ac:dyDescent="0.25">
      <c r="B58" s="66"/>
      <c r="C58" s="66"/>
      <c r="D58" s="66"/>
      <c r="E58" s="66"/>
      <c r="F58" s="66"/>
      <c r="G58" s="66"/>
      <c r="H58" s="66"/>
      <c r="CM58"/>
      <c r="CN58"/>
      <c r="CO58"/>
      <c r="CP58"/>
      <c r="CQ58"/>
      <c r="CR58"/>
    </row>
    <row r="59" spans="2:97" x14ac:dyDescent="0.25">
      <c r="B59" s="66"/>
      <c r="C59" s="66"/>
      <c r="D59" s="66"/>
      <c r="E59" s="66"/>
      <c r="F59" s="66"/>
      <c r="G59" s="66"/>
      <c r="H59" s="66"/>
      <c r="CM59"/>
      <c r="CN59"/>
      <c r="CO59"/>
      <c r="CP59"/>
      <c r="CQ59"/>
      <c r="CR59"/>
    </row>
    <row r="60" spans="2:97" x14ac:dyDescent="0.25">
      <c r="B60" s="66"/>
      <c r="C60" s="66"/>
      <c r="D60" s="66"/>
      <c r="E60" s="66"/>
      <c r="F60" s="66"/>
      <c r="G60" s="66"/>
      <c r="H60" s="66"/>
      <c r="CM60"/>
      <c r="CN60"/>
      <c r="CO60"/>
      <c r="CP60"/>
      <c r="CQ60"/>
      <c r="CR60"/>
    </row>
    <row r="61" spans="2:97" x14ac:dyDescent="0.25">
      <c r="B61" s="66"/>
      <c r="C61" s="66"/>
      <c r="D61" s="66"/>
      <c r="E61" s="66"/>
      <c r="F61" s="66"/>
      <c r="G61" s="66"/>
      <c r="H61" s="66"/>
      <c r="CM61"/>
      <c r="CN61"/>
      <c r="CO61"/>
      <c r="CP61"/>
      <c r="CQ61"/>
      <c r="CR61"/>
    </row>
    <row r="62" spans="2:97" x14ac:dyDescent="0.25">
      <c r="B62" s="66"/>
      <c r="C62" s="66"/>
      <c r="D62" s="66"/>
      <c r="E62" s="66"/>
      <c r="F62" s="66"/>
      <c r="G62" s="66"/>
      <c r="H62" s="66"/>
      <c r="CM62"/>
      <c r="CN62"/>
      <c r="CO62"/>
      <c r="CP62"/>
      <c r="CQ62"/>
      <c r="CR62"/>
    </row>
    <row r="63" spans="2:97" x14ac:dyDescent="0.25">
      <c r="B63" s="66"/>
      <c r="C63" s="66"/>
      <c r="D63" s="66"/>
      <c r="E63" s="66"/>
      <c r="F63" s="66"/>
      <c r="G63" s="66"/>
      <c r="H63" s="66"/>
      <c r="CM63"/>
      <c r="CN63"/>
      <c r="CO63"/>
      <c r="CP63"/>
      <c r="CQ63"/>
      <c r="CR63"/>
    </row>
  </sheetData>
  <mergeCells count="1">
    <mergeCell ref="AP2:AP3"/>
  </mergeCells>
  <pageMargins left="0.7" right="0.7" top="0.75" bottom="0.75" header="0.3" footer="0.3"/>
  <pageSetup orientation="portrait" r:id="rId1"/>
  <customProperties>
    <customPr name="QAA_DRILLPATH_NODE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3"/>
  <sheetViews>
    <sheetView zoomScale="112" zoomScaleNormal="112" workbookViewId="0">
      <selection activeCell="BS5" sqref="BS5"/>
    </sheetView>
  </sheetViews>
  <sheetFormatPr baseColWidth="10" defaultRowHeight="15" outlineLevelCol="2" x14ac:dyDescent="0.25"/>
  <cols>
    <col min="1" max="1" width="8.5703125" style="10" customWidth="1"/>
    <col min="2" max="2" width="10" style="10" bestFit="1" customWidth="1"/>
    <col min="3" max="3" width="43" style="10" bestFit="1" customWidth="1"/>
    <col min="4" max="5" width="19.42578125" style="10" bestFit="1" customWidth="1"/>
    <col min="6" max="6" width="21.85546875" style="10" bestFit="1" customWidth="1"/>
    <col min="7" max="7" width="19.5703125" style="10" customWidth="1" outlineLevel="1"/>
    <col min="8" max="8" width="17.85546875" style="10" customWidth="1" outlineLevel="1"/>
    <col min="9" max="9" width="17.85546875" style="66" bestFit="1" customWidth="1"/>
    <col min="10" max="10" width="17.85546875" style="66" customWidth="1" outlineLevel="2"/>
    <col min="11" max="13" width="16.42578125" style="66" customWidth="1" outlineLevel="2"/>
    <col min="14" max="14" width="18.85546875" style="66" customWidth="1" outlineLevel="2"/>
    <col min="15" max="15" width="21" style="66" customWidth="1" outlineLevel="2"/>
    <col min="16" max="17" width="14.140625" style="66" customWidth="1" outlineLevel="2"/>
    <col min="18" max="18" width="16.42578125" style="66" customWidth="1" outlineLevel="2"/>
    <col min="19" max="25" width="18.42578125" style="66" customWidth="1" outlineLevel="2"/>
    <col min="26" max="26" width="18.85546875" style="66" customWidth="1" outlineLevel="2"/>
    <col min="27" max="27" width="21" style="66" customWidth="1" outlineLevel="2"/>
    <col min="28" max="29" width="14.5703125" style="66" customWidth="1" outlineLevel="2"/>
    <col min="30" max="30" width="16.42578125" style="66" customWidth="1" outlineLevel="2"/>
    <col min="31" max="31" width="18.42578125" style="66" customWidth="1" outlineLevel="2"/>
    <col min="32" max="32" width="18.140625" style="66" customWidth="1" outlineLevel="2"/>
    <col min="33" max="33" width="20.140625" style="66" customWidth="1" outlineLevel="2"/>
    <col min="34" max="37" width="14.5703125" style="66" customWidth="1" outlineLevel="2"/>
    <col min="38" max="38" width="14.42578125" style="66" bestFit="1" customWidth="1"/>
    <col min="39" max="40" width="13.42578125" style="66" bestFit="1" customWidth="1"/>
    <col min="41" max="41" width="12.42578125" style="66" bestFit="1" customWidth="1"/>
    <col min="42" max="42" width="17.140625" style="66" bestFit="1" customWidth="1"/>
    <col min="43" max="43" width="17.140625" style="66" customWidth="1"/>
    <col min="44" max="48" width="17.42578125" style="66" customWidth="1" outlineLevel="1"/>
    <col min="49" max="49" width="15.140625" style="66" customWidth="1" outlineLevel="1"/>
    <col min="50" max="50" width="9.85546875" style="66" customWidth="1" outlineLevel="1"/>
    <col min="51" max="51" width="12.5703125" style="66" customWidth="1" outlineLevel="1"/>
    <col min="52" max="52" width="14.42578125" style="66" customWidth="1" outlineLevel="1"/>
    <col min="53" max="53" width="15.140625" style="66" customWidth="1" outlineLevel="1"/>
    <col min="54" max="55" width="11.85546875" style="66" customWidth="1" outlineLevel="1"/>
    <col min="56" max="56" width="12.5703125" style="66" customWidth="1" outlineLevel="1"/>
    <col min="57" max="59" width="16.5703125" style="66" customWidth="1" outlineLevel="1"/>
    <col min="60" max="60" width="15.140625" style="66" customWidth="1" outlineLevel="1"/>
    <col min="61" max="62" width="13.5703125" style="66" customWidth="1" outlineLevel="1"/>
    <col min="63" max="63" width="14.42578125" style="66" customWidth="1" outlineLevel="1"/>
    <col min="64" max="64" width="19.5703125" style="66" customWidth="1" outlineLevel="1"/>
    <col min="65" max="66" width="17.85546875" style="66" customWidth="1" outlineLevel="1"/>
    <col min="67" max="67" width="12.85546875" style="66" customWidth="1" outlineLevel="1"/>
    <col min="68" max="68" width="13.5703125" style="66" customWidth="1" outlineLevel="1"/>
    <col min="69" max="69" width="18.85546875" style="66" customWidth="1" outlineLevel="1"/>
    <col min="70" max="70" width="20.140625" style="66" customWidth="1" outlineLevel="1"/>
    <col min="71" max="73" width="20.140625" style="66" bestFit="1" customWidth="1"/>
    <col min="74" max="76" width="17.42578125" style="66" bestFit="1" customWidth="1"/>
    <col min="77" max="77" width="15.140625" style="66" bestFit="1" customWidth="1"/>
    <col min="78" max="79" width="14.42578125" style="66" bestFit="1" customWidth="1"/>
    <col min="80" max="80" width="15.140625" style="66" bestFit="1" customWidth="1"/>
    <col min="81" max="82" width="15" style="66" bestFit="1" customWidth="1"/>
    <col min="83" max="83" width="15.140625" style="66" bestFit="1" customWidth="1"/>
    <col min="84" max="84" width="11.7109375" style="66" bestFit="1" customWidth="1"/>
    <col min="85" max="85" width="12.5703125" style="66" bestFit="1" customWidth="1"/>
    <col min="86" max="86" width="16.5703125" style="66" bestFit="1" customWidth="1"/>
    <col min="87" max="88" width="19.7109375" style="66" bestFit="1" customWidth="1"/>
    <col min="89" max="89" width="15.5703125" style="66" customWidth="1"/>
    <col min="90" max="90" width="11.28515625" style="66" customWidth="1"/>
    <col min="91" max="91" width="17.85546875" style="66" bestFit="1" customWidth="1"/>
    <col min="92" max="92" width="14.42578125" style="66" customWidth="1"/>
    <col min="93" max="93" width="14.28515625" style="66" bestFit="1" customWidth="1"/>
    <col min="94" max="95" width="19.7109375" style="66" bestFit="1" customWidth="1"/>
    <col min="96" max="96" width="16.5703125" style="66" bestFit="1" customWidth="1"/>
    <col min="97" max="97" width="22" style="66" bestFit="1" customWidth="1"/>
    <col min="98" max="98" width="12" bestFit="1" customWidth="1"/>
    <col min="99" max="99" width="11.5703125" bestFit="1" customWidth="1"/>
    <col min="100" max="100" width="12" bestFit="1" customWidth="1"/>
    <col min="101" max="101" width="15.28515625" bestFit="1" customWidth="1"/>
  </cols>
  <sheetData>
    <row r="1" spans="1:101" ht="28.5" x14ac:dyDescent="0.45">
      <c r="A1" s="1"/>
      <c r="B1" s="1"/>
      <c r="C1" s="1"/>
      <c r="D1" s="2"/>
      <c r="E1" s="3"/>
      <c r="F1" s="3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5"/>
      <c r="AN1" s="5"/>
      <c r="AO1" s="5"/>
      <c r="AP1" s="5"/>
      <c r="AQ1" s="5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6"/>
      <c r="BM1" s="4"/>
      <c r="BN1" s="4"/>
      <c r="BO1" s="4"/>
      <c r="BP1" s="4"/>
      <c r="BQ1" s="4"/>
      <c r="BR1" s="7"/>
      <c r="BS1" s="7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8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spans="1:101" ht="15" customHeight="1" x14ac:dyDescent="0.25">
      <c r="D2" s="11" t="s">
        <v>0</v>
      </c>
      <c r="E2" s="11" t="s">
        <v>1</v>
      </c>
      <c r="F2" s="11" t="s">
        <v>2</v>
      </c>
      <c r="G2" s="12" t="s">
        <v>3</v>
      </c>
      <c r="H2" s="12" t="s">
        <v>4</v>
      </c>
      <c r="I2" s="13" t="s">
        <v>5</v>
      </c>
      <c r="J2" s="12" t="s">
        <v>6</v>
      </c>
      <c r="K2" s="12" t="s">
        <v>0</v>
      </c>
      <c r="L2" s="12" t="s">
        <v>1</v>
      </c>
      <c r="M2" s="12" t="s">
        <v>2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12" t="s">
        <v>12</v>
      </c>
      <c r="T2" s="16" t="s">
        <v>7</v>
      </c>
      <c r="U2" s="16" t="s">
        <v>8</v>
      </c>
      <c r="V2" s="16" t="s">
        <v>134</v>
      </c>
      <c r="W2" s="16" t="s">
        <v>135</v>
      </c>
      <c r="X2" s="16" t="s">
        <v>11</v>
      </c>
      <c r="Y2" s="16" t="s">
        <v>12</v>
      </c>
      <c r="Z2" s="12" t="s">
        <v>7</v>
      </c>
      <c r="AA2" s="12" t="s">
        <v>8</v>
      </c>
      <c r="AB2" s="12" t="s">
        <v>9</v>
      </c>
      <c r="AC2" s="12" t="s">
        <v>10</v>
      </c>
      <c r="AD2" s="12" t="s">
        <v>11</v>
      </c>
      <c r="AE2" s="12" t="s">
        <v>12</v>
      </c>
      <c r="AF2" s="12" t="s">
        <v>13</v>
      </c>
      <c r="AG2" s="12" t="s">
        <v>14</v>
      </c>
      <c r="AH2" s="12" t="s">
        <v>15</v>
      </c>
      <c r="AI2" s="12" t="s">
        <v>16</v>
      </c>
      <c r="AJ2" s="12" t="s">
        <v>17</v>
      </c>
      <c r="AK2" s="12" t="s">
        <v>18</v>
      </c>
      <c r="AL2" s="14" t="s">
        <v>19</v>
      </c>
      <c r="AM2" s="14" t="s">
        <v>20</v>
      </c>
      <c r="AN2" s="15" t="s">
        <v>21</v>
      </c>
      <c r="AO2" s="15" t="s">
        <v>22</v>
      </c>
      <c r="AP2" s="89" t="s">
        <v>23</v>
      </c>
      <c r="AQ2" s="83"/>
      <c r="AR2" s="16" t="s">
        <v>0</v>
      </c>
      <c r="AS2" s="16" t="s">
        <v>24</v>
      </c>
      <c r="AT2" s="12" t="s">
        <v>5</v>
      </c>
      <c r="AU2" s="12" t="s">
        <v>2</v>
      </c>
      <c r="AV2" s="12" t="s">
        <v>19</v>
      </c>
      <c r="AW2" s="12" t="s">
        <v>0</v>
      </c>
      <c r="AX2" s="12" t="s">
        <v>24</v>
      </c>
      <c r="AY2" s="12" t="s">
        <v>2</v>
      </c>
      <c r="AZ2" s="12" t="s">
        <v>19</v>
      </c>
      <c r="BA2" s="12" t="s">
        <v>0</v>
      </c>
      <c r="BB2" s="12" t="s">
        <v>24</v>
      </c>
      <c r="BC2" s="12" t="s">
        <v>5</v>
      </c>
      <c r="BD2" s="12" t="s">
        <v>2</v>
      </c>
      <c r="BE2" s="12" t="s">
        <v>0</v>
      </c>
      <c r="BF2" s="12" t="s">
        <v>24</v>
      </c>
      <c r="BG2" s="17" t="s">
        <v>2</v>
      </c>
      <c r="BH2" s="17" t="s">
        <v>0</v>
      </c>
      <c r="BI2" s="17" t="s">
        <v>24</v>
      </c>
      <c r="BJ2" s="17" t="s">
        <v>2</v>
      </c>
      <c r="BK2" s="17" t="s">
        <v>19</v>
      </c>
      <c r="BL2" s="18" t="s">
        <v>3</v>
      </c>
      <c r="BM2" s="18" t="s">
        <v>4</v>
      </c>
      <c r="BN2" s="18" t="s">
        <v>6</v>
      </c>
      <c r="BO2" s="18" t="s">
        <v>25</v>
      </c>
      <c r="BP2" s="18" t="s">
        <v>26</v>
      </c>
      <c r="BQ2" s="18" t="s">
        <v>27</v>
      </c>
      <c r="BR2" s="14" t="s">
        <v>28</v>
      </c>
      <c r="BS2" s="14" t="s">
        <v>10</v>
      </c>
      <c r="BT2" s="14" t="s">
        <v>29</v>
      </c>
      <c r="BU2" s="14" t="s">
        <v>12</v>
      </c>
      <c r="BV2" s="14" t="s">
        <v>0</v>
      </c>
      <c r="BW2" s="14" t="s">
        <v>1</v>
      </c>
      <c r="BX2" s="14" t="s">
        <v>2</v>
      </c>
      <c r="BY2" s="14" t="s">
        <v>0</v>
      </c>
      <c r="BZ2" s="14" t="s">
        <v>1</v>
      </c>
      <c r="CA2" s="14" t="s">
        <v>2</v>
      </c>
      <c r="CB2" s="14" t="s">
        <v>0</v>
      </c>
      <c r="CC2" s="14" t="s">
        <v>1</v>
      </c>
      <c r="CD2" s="14" t="s">
        <v>2</v>
      </c>
      <c r="CE2" s="14" t="s">
        <v>0</v>
      </c>
      <c r="CF2" s="14" t="s">
        <v>1</v>
      </c>
      <c r="CG2" s="14" t="s">
        <v>2</v>
      </c>
      <c r="CH2" s="14" t="s">
        <v>2</v>
      </c>
      <c r="CI2" s="14" t="s">
        <v>1</v>
      </c>
      <c r="CJ2" s="14" t="s">
        <v>2</v>
      </c>
      <c r="CK2" s="14" t="s">
        <v>1</v>
      </c>
      <c r="CL2" s="14" t="s">
        <v>1</v>
      </c>
      <c r="CM2" s="14" t="s">
        <v>1</v>
      </c>
      <c r="CN2" s="14" t="s">
        <v>1</v>
      </c>
      <c r="CO2" s="14" t="s">
        <v>1</v>
      </c>
      <c r="CP2" s="14" t="s">
        <v>1</v>
      </c>
      <c r="CQ2" s="14" t="s">
        <v>1</v>
      </c>
      <c r="CR2" s="19" t="s">
        <v>30</v>
      </c>
      <c r="CS2" s="85" t="s">
        <v>136</v>
      </c>
      <c r="CT2" s="85" t="s">
        <v>135</v>
      </c>
      <c r="CU2" s="85" t="s">
        <v>29</v>
      </c>
      <c r="CV2" s="85" t="s">
        <v>12</v>
      </c>
      <c r="CW2" s="20" t="s">
        <v>31</v>
      </c>
    </row>
    <row r="3" spans="1:101" ht="60" x14ac:dyDescent="0.25">
      <c r="D3" s="21" t="s">
        <v>32</v>
      </c>
      <c r="E3" s="21" t="s">
        <v>32</v>
      </c>
      <c r="F3" s="21" t="s">
        <v>32</v>
      </c>
      <c r="G3" s="22" t="s">
        <v>32</v>
      </c>
      <c r="H3" s="22" t="s">
        <v>32</v>
      </c>
      <c r="I3" s="23" t="s">
        <v>32</v>
      </c>
      <c r="J3" s="22" t="s">
        <v>32</v>
      </c>
      <c r="K3" s="22" t="s">
        <v>33</v>
      </c>
      <c r="L3" s="22" t="s">
        <v>33</v>
      </c>
      <c r="M3" s="22" t="s">
        <v>33</v>
      </c>
      <c r="N3" s="22" t="s">
        <v>34</v>
      </c>
      <c r="O3" s="22" t="s">
        <v>34</v>
      </c>
      <c r="P3" s="22" t="s">
        <v>34</v>
      </c>
      <c r="Q3" s="22" t="s">
        <v>34</v>
      </c>
      <c r="R3" s="22" t="s">
        <v>34</v>
      </c>
      <c r="S3" s="22" t="s">
        <v>34</v>
      </c>
      <c r="T3" s="24" t="s">
        <v>137</v>
      </c>
      <c r="U3" s="24" t="s">
        <v>137</v>
      </c>
      <c r="V3" s="24" t="s">
        <v>137</v>
      </c>
      <c r="W3" s="24" t="s">
        <v>137</v>
      </c>
      <c r="X3" s="24" t="s">
        <v>137</v>
      </c>
      <c r="Y3" s="24" t="s">
        <v>137</v>
      </c>
      <c r="Z3" s="22" t="s">
        <v>35</v>
      </c>
      <c r="AA3" s="22" t="s">
        <v>35</v>
      </c>
      <c r="AB3" s="22" t="s">
        <v>35</v>
      </c>
      <c r="AC3" s="22" t="s">
        <v>35</v>
      </c>
      <c r="AD3" s="22" t="s">
        <v>35</v>
      </c>
      <c r="AE3" s="22" t="s">
        <v>35</v>
      </c>
      <c r="AF3" s="22" t="s">
        <v>35</v>
      </c>
      <c r="AG3" s="22" t="s">
        <v>35</v>
      </c>
      <c r="AH3" s="22" t="s">
        <v>35</v>
      </c>
      <c r="AI3" s="22" t="s">
        <v>35</v>
      </c>
      <c r="AJ3" s="22" t="s">
        <v>35</v>
      </c>
      <c r="AK3" s="22" t="s">
        <v>35</v>
      </c>
      <c r="AL3" s="23" t="s">
        <v>36</v>
      </c>
      <c r="AM3" s="23" t="s">
        <v>36</v>
      </c>
      <c r="AN3" s="23"/>
      <c r="AO3" s="23"/>
      <c r="AP3" s="90"/>
      <c r="AQ3" s="84" t="s">
        <v>37</v>
      </c>
      <c r="AR3" s="24" t="s">
        <v>38</v>
      </c>
      <c r="AS3" s="24" t="s">
        <v>38</v>
      </c>
      <c r="AT3" s="22" t="s">
        <v>38</v>
      </c>
      <c r="AU3" s="22" t="s">
        <v>38</v>
      </c>
      <c r="AV3" s="22" t="s">
        <v>38</v>
      </c>
      <c r="AW3" s="22" t="s">
        <v>39</v>
      </c>
      <c r="AX3" s="22" t="s">
        <v>39</v>
      </c>
      <c r="AY3" s="22" t="s">
        <v>39</v>
      </c>
      <c r="AZ3" s="22" t="s">
        <v>39</v>
      </c>
      <c r="BA3" s="22" t="s">
        <v>40</v>
      </c>
      <c r="BB3" s="22" t="s">
        <v>40</v>
      </c>
      <c r="BC3" s="22" t="s">
        <v>40</v>
      </c>
      <c r="BD3" s="22" t="s">
        <v>40</v>
      </c>
      <c r="BE3" s="22" t="s">
        <v>41</v>
      </c>
      <c r="BF3" s="22" t="s">
        <v>41</v>
      </c>
      <c r="BG3" s="22" t="s">
        <v>41</v>
      </c>
      <c r="BH3" s="22" t="s">
        <v>42</v>
      </c>
      <c r="BI3" s="22" t="s">
        <v>42</v>
      </c>
      <c r="BJ3" s="22" t="s">
        <v>42</v>
      </c>
      <c r="BK3" s="22" t="s">
        <v>42</v>
      </c>
      <c r="BL3" s="24" t="s">
        <v>32</v>
      </c>
      <c r="BM3" s="24" t="s">
        <v>32</v>
      </c>
      <c r="BN3" s="24" t="s">
        <v>32</v>
      </c>
      <c r="BO3" s="25" t="s">
        <v>4</v>
      </c>
      <c r="BP3" s="25" t="s">
        <v>4</v>
      </c>
      <c r="BQ3" s="25" t="s">
        <v>4</v>
      </c>
      <c r="BR3" s="84" t="s">
        <v>43</v>
      </c>
      <c r="BS3" s="84" t="s">
        <v>43</v>
      </c>
      <c r="BT3" s="84" t="s">
        <v>43</v>
      </c>
      <c r="BU3" s="84" t="s">
        <v>43</v>
      </c>
      <c r="BV3" s="84" t="s">
        <v>38</v>
      </c>
      <c r="BW3" s="84" t="s">
        <v>38</v>
      </c>
      <c r="BX3" s="84" t="s">
        <v>38</v>
      </c>
      <c r="BY3" s="84" t="s">
        <v>42</v>
      </c>
      <c r="BZ3" s="84" t="s">
        <v>42</v>
      </c>
      <c r="CA3" s="84" t="s">
        <v>42</v>
      </c>
      <c r="CB3" s="84" t="s">
        <v>44</v>
      </c>
      <c r="CC3" s="84" t="s">
        <v>44</v>
      </c>
      <c r="CD3" s="84" t="s">
        <v>44</v>
      </c>
      <c r="CE3" s="84" t="s">
        <v>45</v>
      </c>
      <c r="CF3" s="84" t="s">
        <v>45</v>
      </c>
      <c r="CG3" s="84" t="s">
        <v>45</v>
      </c>
      <c r="CH3" s="84" t="s">
        <v>41</v>
      </c>
      <c r="CI3" s="84" t="s">
        <v>46</v>
      </c>
      <c r="CJ3" s="84" t="s">
        <v>46</v>
      </c>
      <c r="CK3" s="26" t="s">
        <v>47</v>
      </c>
      <c r="CL3" s="26" t="s">
        <v>47</v>
      </c>
      <c r="CM3" s="26" t="s">
        <v>32</v>
      </c>
      <c r="CN3" s="26" t="s">
        <v>42</v>
      </c>
      <c r="CO3" s="26" t="s">
        <v>48</v>
      </c>
      <c r="CP3" s="26" t="s">
        <v>46</v>
      </c>
      <c r="CQ3" s="26" t="s">
        <v>46</v>
      </c>
      <c r="CR3" s="86" t="s">
        <v>49</v>
      </c>
      <c r="CS3" s="87" t="s">
        <v>138</v>
      </c>
      <c r="CT3" s="87" t="s">
        <v>138</v>
      </c>
      <c r="CU3" s="87" t="s">
        <v>138</v>
      </c>
      <c r="CV3" s="87" t="s">
        <v>138</v>
      </c>
      <c r="CW3" s="27"/>
    </row>
    <row r="4" spans="1:101" x14ac:dyDescent="0.25">
      <c r="A4" s="28"/>
      <c r="B4" s="29" t="s">
        <v>50</v>
      </c>
      <c r="C4" s="30" t="s">
        <v>51</v>
      </c>
      <c r="D4" s="31" t="s">
        <v>52</v>
      </c>
      <c r="E4" s="31" t="s">
        <v>53</v>
      </c>
      <c r="F4" s="31" t="s">
        <v>54</v>
      </c>
      <c r="G4" s="32">
        <v>482800001265</v>
      </c>
      <c r="H4" s="32">
        <v>482800001273</v>
      </c>
      <c r="I4" s="32">
        <v>482800002024</v>
      </c>
      <c r="J4" s="32">
        <v>482800001257</v>
      </c>
      <c r="K4" s="32" t="s">
        <v>55</v>
      </c>
      <c r="L4" s="32" t="s">
        <v>56</v>
      </c>
      <c r="M4" s="32" t="s">
        <v>57</v>
      </c>
      <c r="N4" s="32">
        <v>36203301</v>
      </c>
      <c r="O4" s="32">
        <v>36203301</v>
      </c>
      <c r="P4" s="32">
        <v>36203328</v>
      </c>
      <c r="Q4" s="32">
        <v>36203328</v>
      </c>
      <c r="R4" s="32">
        <v>36025015</v>
      </c>
      <c r="S4" s="32">
        <v>36025015</v>
      </c>
      <c r="T4" s="32"/>
      <c r="U4" s="32"/>
      <c r="V4" s="32"/>
      <c r="W4" s="32"/>
      <c r="X4" s="32"/>
      <c r="Y4" s="32"/>
      <c r="Z4" s="32">
        <v>865784010</v>
      </c>
      <c r="AA4" s="32">
        <v>865784010</v>
      </c>
      <c r="AB4" s="32">
        <v>865804010</v>
      </c>
      <c r="AC4" s="32">
        <v>865804010</v>
      </c>
      <c r="AD4" s="32">
        <v>865794010</v>
      </c>
      <c r="AE4" s="32">
        <v>865794010</v>
      </c>
      <c r="AF4" s="32" t="s">
        <v>58</v>
      </c>
      <c r="AG4" s="32" t="s">
        <v>58</v>
      </c>
      <c r="AH4" s="32" t="s">
        <v>59</v>
      </c>
      <c r="AI4" s="32" t="s">
        <v>59</v>
      </c>
      <c r="AJ4" s="32" t="s">
        <v>60</v>
      </c>
      <c r="AK4" s="32" t="s">
        <v>60</v>
      </c>
      <c r="AL4" s="33"/>
      <c r="AM4" s="33"/>
      <c r="AN4" s="33"/>
      <c r="AO4" s="33"/>
      <c r="AP4" s="33"/>
      <c r="AQ4" s="33">
        <v>3642</v>
      </c>
      <c r="AR4" s="33" t="s">
        <v>61</v>
      </c>
      <c r="AS4" s="33" t="s">
        <v>62</v>
      </c>
      <c r="AT4" s="33" t="s">
        <v>63</v>
      </c>
      <c r="AU4" s="33" t="s">
        <v>64</v>
      </c>
      <c r="AV4" s="33" t="s">
        <v>65</v>
      </c>
      <c r="AW4" s="33" t="s">
        <v>66</v>
      </c>
      <c r="AX4" s="33" t="s">
        <v>67</v>
      </c>
      <c r="AY4" s="33" t="s">
        <v>68</v>
      </c>
      <c r="AZ4" s="33" t="s">
        <v>69</v>
      </c>
      <c r="BA4" s="33" t="s">
        <v>70</v>
      </c>
      <c r="BB4" s="33" t="s">
        <v>71</v>
      </c>
      <c r="BC4" s="33" t="s">
        <v>72</v>
      </c>
      <c r="BD4" s="33" t="s">
        <v>73</v>
      </c>
      <c r="BE4" s="33" t="s">
        <v>74</v>
      </c>
      <c r="BF4" s="33" t="s">
        <v>75</v>
      </c>
      <c r="BG4" s="33" t="s">
        <v>76</v>
      </c>
      <c r="BH4" s="33" t="s">
        <v>77</v>
      </c>
      <c r="BI4" s="33" t="s">
        <v>78</v>
      </c>
      <c r="BJ4" s="33" t="s">
        <v>79</v>
      </c>
      <c r="BK4" s="33" t="s">
        <v>80</v>
      </c>
      <c r="BL4" s="34">
        <v>482800007882</v>
      </c>
      <c r="BM4" s="34">
        <v>482800007908</v>
      </c>
      <c r="BN4" s="34">
        <v>482800007890</v>
      </c>
      <c r="BO4" s="34">
        <v>482800010001</v>
      </c>
      <c r="BP4" s="34">
        <v>482800010019</v>
      </c>
      <c r="BQ4" s="34">
        <v>482800010027</v>
      </c>
      <c r="BR4" s="33">
        <v>36024995</v>
      </c>
      <c r="BS4" s="33">
        <v>36024995</v>
      </c>
      <c r="BT4" s="33">
        <v>36903922</v>
      </c>
      <c r="BU4" s="33">
        <v>36903922</v>
      </c>
      <c r="BV4" s="33">
        <v>36294346</v>
      </c>
      <c r="BW4" s="33" t="s">
        <v>81</v>
      </c>
      <c r="BX4" s="33">
        <v>36294353</v>
      </c>
      <c r="BY4" s="33" t="s">
        <v>82</v>
      </c>
      <c r="BZ4" s="33" t="s">
        <v>83</v>
      </c>
      <c r="CA4" s="33" t="s">
        <v>84</v>
      </c>
      <c r="CB4" s="33" t="s">
        <v>85</v>
      </c>
      <c r="CC4" s="33" t="s">
        <v>86</v>
      </c>
      <c r="CD4" s="33" t="s">
        <v>87</v>
      </c>
      <c r="CE4" s="33" t="s">
        <v>88</v>
      </c>
      <c r="CF4" s="33" t="s">
        <v>89</v>
      </c>
      <c r="CG4" s="33" t="s">
        <v>90</v>
      </c>
      <c r="CH4" s="33" t="s">
        <v>91</v>
      </c>
      <c r="CI4" s="33">
        <v>221816614</v>
      </c>
      <c r="CJ4" s="33">
        <v>221816598</v>
      </c>
      <c r="CK4" s="33">
        <v>60193029</v>
      </c>
      <c r="CL4" s="33">
        <v>60193401</v>
      </c>
      <c r="CM4" s="33">
        <v>1011143807</v>
      </c>
      <c r="CN4" s="33">
        <v>4801736642</v>
      </c>
      <c r="CO4" s="33">
        <v>65005340</v>
      </c>
      <c r="CP4" s="33">
        <v>288086051</v>
      </c>
      <c r="CQ4" s="33">
        <v>288049109</v>
      </c>
      <c r="CR4" s="33">
        <v>411166042</v>
      </c>
      <c r="CS4" s="33">
        <v>865804015</v>
      </c>
      <c r="CT4" s="33">
        <v>865804015</v>
      </c>
      <c r="CU4" s="33">
        <v>865794015</v>
      </c>
      <c r="CV4" s="33">
        <v>865794015</v>
      </c>
      <c r="CW4" s="35"/>
    </row>
    <row r="5" spans="1:101" x14ac:dyDescent="0.25">
      <c r="B5" s="36"/>
      <c r="C5" s="37" t="s">
        <v>92</v>
      </c>
      <c r="D5" s="38"/>
      <c r="E5" s="38" t="s">
        <v>93</v>
      </c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9"/>
      <c r="AI5" s="39"/>
      <c r="AJ5" s="39"/>
      <c r="AK5" s="39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>
        <v>4.28362</v>
      </c>
      <c r="BT5" s="37"/>
      <c r="BU5" s="37">
        <f>+BS5</f>
        <v>4.28362</v>
      </c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40"/>
    </row>
    <row r="6" spans="1:101" x14ac:dyDescent="0.25">
      <c r="B6" s="36"/>
      <c r="C6" s="37" t="s">
        <v>94</v>
      </c>
      <c r="D6" s="37">
        <f>+D7-D8</f>
        <v>-17866.89810000034</v>
      </c>
      <c r="E6" s="37">
        <f>+E7-E8</f>
        <v>1502277.2154454365</v>
      </c>
      <c r="F6" s="37">
        <f>+F7-F8</f>
        <v>706099.25380849093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9"/>
      <c r="AI6" s="39"/>
      <c r="AJ6" s="39"/>
      <c r="AK6" s="39"/>
      <c r="AL6" s="37">
        <f t="shared" ref="AL6:BQ6" si="0">+AL7-AL8</f>
        <v>21455.02178992331</v>
      </c>
      <c r="AM6" s="37">
        <f t="shared" si="0"/>
        <v>46278.906196467578</v>
      </c>
      <c r="AN6" s="37">
        <f t="shared" si="0"/>
        <v>69188.493369999342</v>
      </c>
      <c r="AO6" s="37">
        <f t="shared" si="0"/>
        <v>-51022.56552143977</v>
      </c>
      <c r="AP6" s="37">
        <f t="shared" si="0"/>
        <v>-2623939.5032737572</v>
      </c>
      <c r="AQ6" s="37">
        <f t="shared" si="0"/>
        <v>-169567.75645216065</v>
      </c>
      <c r="AR6" s="37">
        <f t="shared" si="0"/>
        <v>0</v>
      </c>
      <c r="AS6" s="37">
        <f t="shared" si="0"/>
        <v>0</v>
      </c>
      <c r="AT6" s="37">
        <f t="shared" si="0"/>
        <v>0</v>
      </c>
      <c r="AU6" s="37">
        <f t="shared" si="0"/>
        <v>0</v>
      </c>
      <c r="AV6" s="37">
        <f t="shared" si="0"/>
        <v>0</v>
      </c>
      <c r="AW6" s="37">
        <f t="shared" si="0"/>
        <v>0</v>
      </c>
      <c r="AX6" s="37">
        <f t="shared" si="0"/>
        <v>0</v>
      </c>
      <c r="AY6" s="37">
        <f t="shared" si="0"/>
        <v>0</v>
      </c>
      <c r="AZ6" s="37">
        <f t="shared" si="0"/>
        <v>0</v>
      </c>
      <c r="BA6" s="37">
        <f t="shared" si="0"/>
        <v>0</v>
      </c>
      <c r="BB6" s="37">
        <f t="shared" si="0"/>
        <v>0</v>
      </c>
      <c r="BC6" s="37">
        <f t="shared" si="0"/>
        <v>0</v>
      </c>
      <c r="BD6" s="37">
        <f t="shared" si="0"/>
        <v>0</v>
      </c>
      <c r="BE6" s="37">
        <f t="shared" si="0"/>
        <v>0</v>
      </c>
      <c r="BF6" s="37">
        <f t="shared" si="0"/>
        <v>0</v>
      </c>
      <c r="BG6" s="37">
        <f t="shared" si="0"/>
        <v>0</v>
      </c>
      <c r="BH6" s="37">
        <f t="shared" si="0"/>
        <v>0</v>
      </c>
      <c r="BI6" s="37">
        <f t="shared" si="0"/>
        <v>0</v>
      </c>
      <c r="BJ6" s="37">
        <f t="shared" si="0"/>
        <v>0</v>
      </c>
      <c r="BK6" s="37">
        <f t="shared" si="0"/>
        <v>0</v>
      </c>
      <c r="BL6" s="37">
        <f t="shared" si="0"/>
        <v>0</v>
      </c>
      <c r="BM6" s="37">
        <f t="shared" si="0"/>
        <v>0</v>
      </c>
      <c r="BN6" s="37">
        <f t="shared" si="0"/>
        <v>0</v>
      </c>
      <c r="BO6" s="37">
        <f t="shared" si="0"/>
        <v>0</v>
      </c>
      <c r="BP6" s="37">
        <f t="shared" si="0"/>
        <v>0</v>
      </c>
      <c r="BQ6" s="37">
        <f t="shared" si="0"/>
        <v>0</v>
      </c>
      <c r="BR6" s="37"/>
      <c r="BS6" s="37"/>
      <c r="BT6" s="37"/>
      <c r="BU6" s="37"/>
      <c r="BV6" s="37">
        <f>+BV7-BV8-422.17</f>
        <v>-422.17</v>
      </c>
      <c r="BW6" s="37">
        <f t="shared" ref="BW6:CR6" si="1">+BW7-BW8</f>
        <v>0</v>
      </c>
      <c r="BX6" s="37">
        <f t="shared" si="1"/>
        <v>0</v>
      </c>
      <c r="BY6" s="37">
        <f t="shared" si="1"/>
        <v>11278.670000000042</v>
      </c>
      <c r="BZ6" s="37">
        <f t="shared" si="1"/>
        <v>478214.08800000045</v>
      </c>
      <c r="CA6" s="37">
        <f t="shared" si="1"/>
        <v>130520.34300000034</v>
      </c>
      <c r="CB6" s="37">
        <f t="shared" si="1"/>
        <v>-2.4000000121304765E-4</v>
      </c>
      <c r="CC6" s="37">
        <f t="shared" si="1"/>
        <v>-4.1799996979534626E-3</v>
      </c>
      <c r="CD6" s="37">
        <f>+[1]Otrosbancos!$D$29</f>
        <v>0</v>
      </c>
      <c r="CE6" s="37">
        <f t="shared" si="1"/>
        <v>0</v>
      </c>
      <c r="CF6" s="37">
        <f t="shared" si="1"/>
        <v>32564.427000000142</v>
      </c>
      <c r="CG6" s="37">
        <f t="shared" si="1"/>
        <v>0</v>
      </c>
      <c r="CH6" s="37">
        <f t="shared" si="1"/>
        <v>0</v>
      </c>
      <c r="CI6" s="37">
        <f t="shared" si="1"/>
        <v>1346.1402900000103</v>
      </c>
      <c r="CJ6" s="37">
        <f t="shared" si="1"/>
        <v>29343.11879</v>
      </c>
      <c r="CK6" s="37">
        <f t="shared" si="1"/>
        <v>0</v>
      </c>
      <c r="CL6" s="37">
        <f t="shared" si="1"/>
        <v>0</v>
      </c>
      <c r="CM6" s="37">
        <f t="shared" si="1"/>
        <v>-1.4999999257270247E-4</v>
      </c>
      <c r="CN6" s="37">
        <f t="shared" si="1"/>
        <v>-100.00289000000339</v>
      </c>
      <c r="CO6" s="37">
        <f t="shared" si="1"/>
        <v>4.6400002902373672E-3</v>
      </c>
      <c r="CP6" s="37">
        <f t="shared" si="1"/>
        <v>-2.7600005269050598E-3</v>
      </c>
      <c r="CQ6" s="37">
        <f t="shared" si="1"/>
        <v>216.65003000001889</v>
      </c>
      <c r="CR6" s="37">
        <f t="shared" si="1"/>
        <v>0</v>
      </c>
      <c r="CS6" s="37">
        <f>+CS7-CS8</f>
        <v>-5000</v>
      </c>
      <c r="CT6" s="37">
        <f>+CT7-CT8</f>
        <v>-20468.599999999999</v>
      </c>
      <c r="CU6" s="37">
        <f>+CU7-CU8</f>
        <v>-5000</v>
      </c>
      <c r="CV6" s="37">
        <f>+CV7-CV8</f>
        <v>-20468.599999999999</v>
      </c>
      <c r="CW6" s="37"/>
    </row>
    <row r="7" spans="1:101" x14ac:dyDescent="0.25">
      <c r="A7" s="41"/>
      <c r="B7" s="42"/>
      <c r="C7" s="43" t="s">
        <v>95</v>
      </c>
      <c r="D7" s="43">
        <f>+'[1]Cap,Bol,Cls'!$D$4</f>
        <v>538048.76083000004</v>
      </c>
      <c r="E7" s="43">
        <f>+'[1]Cap,Bol,Cls'!$D$13</f>
        <v>11874351.31955</v>
      </c>
      <c r="F7" s="43">
        <f>+'[1]Cap,Bol,Cls'!$D$30</f>
        <v>5950271.1428500004</v>
      </c>
      <c r="G7" s="43">
        <f>+G8</f>
        <v>0</v>
      </c>
      <c r="H7" s="43">
        <f>+H8</f>
        <v>0</v>
      </c>
      <c r="I7" s="43">
        <f>+'[1]Cap,Bol,Cls'!$D$24</f>
        <v>112687.96334</v>
      </c>
      <c r="J7" s="43">
        <f>+J8</f>
        <v>0</v>
      </c>
      <c r="K7" s="43">
        <f>+K8</f>
        <v>109952.39123814307</v>
      </c>
      <c r="L7" s="43">
        <f>+L8</f>
        <v>225943.99348528608</v>
      </c>
      <c r="M7" s="43">
        <f>+M8</f>
        <v>419678.69034486625</v>
      </c>
      <c r="N7" s="43">
        <f>+N8</f>
        <v>177310.5199999999</v>
      </c>
      <c r="O7" s="43">
        <f t="shared" ref="O7:AK7" si="2">+O8</f>
        <v>743248.15264999995</v>
      </c>
      <c r="P7" s="43">
        <f t="shared" si="2"/>
        <v>35612339.74000001</v>
      </c>
      <c r="Q7" s="43">
        <f t="shared" si="2"/>
        <v>151875927.82961878</v>
      </c>
      <c r="R7" s="43">
        <f t="shared" si="2"/>
        <v>275224.07999999996</v>
      </c>
      <c r="S7" s="43">
        <f t="shared" si="2"/>
        <v>1450684.0850667991</v>
      </c>
      <c r="T7" s="43"/>
      <c r="U7" s="43"/>
      <c r="V7" s="43"/>
      <c r="W7" s="43"/>
      <c r="X7" s="43"/>
      <c r="Y7" s="43"/>
      <c r="Z7" s="43">
        <f t="shared" si="2"/>
        <v>9662.5274983807467</v>
      </c>
      <c r="AA7" s="43">
        <f t="shared" si="2"/>
        <v>40503.29</v>
      </c>
      <c r="AB7" s="43">
        <f t="shared" si="2"/>
        <v>7542.7499999967404</v>
      </c>
      <c r="AC7" s="43">
        <f t="shared" si="2"/>
        <v>31617.62</v>
      </c>
      <c r="AD7" s="43">
        <f t="shared" si="2"/>
        <v>5155</v>
      </c>
      <c r="AE7" s="43">
        <f t="shared" si="2"/>
        <v>21608.68</v>
      </c>
      <c r="AF7" s="43">
        <f t="shared" si="2"/>
        <v>7956.8699999451637</v>
      </c>
      <c r="AG7" s="43">
        <f t="shared" si="2"/>
        <v>33353.53</v>
      </c>
      <c r="AH7" s="43">
        <f t="shared" si="2"/>
        <v>203175.47999999719</v>
      </c>
      <c r="AI7" s="43">
        <f t="shared" si="2"/>
        <v>851645.451214</v>
      </c>
      <c r="AJ7" s="43">
        <f t="shared" si="2"/>
        <v>673596.71999999823</v>
      </c>
      <c r="AK7" s="43">
        <f t="shared" si="2"/>
        <v>2823324.1679230896</v>
      </c>
      <c r="AL7" s="43">
        <f>+[1]Inversoras!$D$56</f>
        <v>45829687.386629999</v>
      </c>
      <c r="AM7" s="43">
        <f>+[1]Inversoras!$D$57</f>
        <v>59203277.706010006</v>
      </c>
      <c r="AN7" s="43">
        <f>+[1]Inversoras!$D$58</f>
        <v>6469185.3133100001</v>
      </c>
      <c r="AO7" s="43">
        <f>+[1]Inversoras!$D$59</f>
        <v>758943.84860999999</v>
      </c>
      <c r="AP7" s="43">
        <f>+[1]Inversoras!$D$60</f>
        <v>9494492.8564599995</v>
      </c>
      <c r="AQ7" s="43">
        <f>+[1]Inversoras!$D$61</f>
        <v>1997745.5676200001</v>
      </c>
      <c r="AR7" s="43">
        <f>+AR8</f>
        <v>33752.683643993005</v>
      </c>
      <c r="AS7" s="43">
        <f t="shared" ref="AS7:BQ7" si="3">+AS8</f>
        <v>6.2719079996137461</v>
      </c>
      <c r="AT7" s="43">
        <f t="shared" si="3"/>
        <v>11.210432002509913</v>
      </c>
      <c r="AU7" s="43">
        <f t="shared" si="3"/>
        <v>70709.869203997281</v>
      </c>
      <c r="AV7" s="43">
        <f t="shared" si="3"/>
        <v>523662.90839880263</v>
      </c>
      <c r="AW7" s="43">
        <f t="shared" si="3"/>
        <v>85667.9885699968</v>
      </c>
      <c r="AX7" s="43">
        <f t="shared" si="3"/>
        <v>1041.3974240010875</v>
      </c>
      <c r="AY7" s="43">
        <f t="shared" si="3"/>
        <v>17450.753311997978</v>
      </c>
      <c r="AZ7" s="43">
        <f t="shared" si="3"/>
        <v>23267.345377323236</v>
      </c>
      <c r="BA7" s="43">
        <f t="shared" si="3"/>
        <v>201919.2897240069</v>
      </c>
      <c r="BB7" s="43">
        <f t="shared" si="3"/>
        <v>69923.491219991149</v>
      </c>
      <c r="BC7" s="43">
        <f t="shared" si="3"/>
        <v>266735.13484799874</v>
      </c>
      <c r="BD7" s="43">
        <f t="shared" si="3"/>
        <v>17042.561599989836</v>
      </c>
      <c r="BE7" s="43">
        <f t="shared" si="3"/>
        <v>256586.81289368056</v>
      </c>
      <c r="BF7" s="43">
        <f t="shared" si="3"/>
        <v>321949.5492303599</v>
      </c>
      <c r="BG7" s="43">
        <f t="shared" si="3"/>
        <v>35109.232018882758</v>
      </c>
      <c r="BH7" s="43">
        <f t="shared" si="3"/>
        <v>27273.514880002102</v>
      </c>
      <c r="BI7" s="43">
        <f t="shared" si="3"/>
        <v>630661.83776839031</v>
      </c>
      <c r="BJ7" s="43">
        <f t="shared" si="3"/>
        <v>197783.28604456017</v>
      </c>
      <c r="BK7" s="43">
        <f t="shared" si="3"/>
        <v>2995393.833886012</v>
      </c>
      <c r="BL7" s="43">
        <f t="shared" si="3"/>
        <v>112682.66813244607</v>
      </c>
      <c r="BM7" s="43">
        <f t="shared" si="3"/>
        <v>1068273.465397151</v>
      </c>
      <c r="BN7" s="43">
        <f t="shared" si="3"/>
        <v>4095587.0222573811</v>
      </c>
      <c r="BO7" s="43">
        <f t="shared" si="3"/>
        <v>3.4691202304202307E-3</v>
      </c>
      <c r="BP7" s="43">
        <f t="shared" si="3"/>
        <v>255.06558932906549</v>
      </c>
      <c r="BQ7" s="43">
        <f t="shared" si="3"/>
        <v>4.0128798844989433E-3</v>
      </c>
      <c r="BR7" s="43">
        <f>+[1]Otrosbancos!$D$49</f>
        <v>2723100.65</v>
      </c>
      <c r="BS7" s="43">
        <f>+BS8</f>
        <v>11426987.824417591</v>
      </c>
      <c r="BT7" s="43">
        <f>+[1]Otrosbancos!$D$51</f>
        <v>407611.79</v>
      </c>
      <c r="BU7" s="43">
        <f>+BU8</f>
        <v>1697061.5471122912</v>
      </c>
      <c r="BV7" s="43">
        <f>+BV8+BV5</f>
        <v>8412.7658599999995</v>
      </c>
      <c r="BW7" s="43">
        <f>+BW8+BW5</f>
        <v>1138649.7459900004</v>
      </c>
      <c r="BX7" s="43">
        <f>+BX8+BX5</f>
        <v>12663.664475599246</v>
      </c>
      <c r="BY7" s="43">
        <f>+[1]Otrosbancos!$D$5</f>
        <v>679961.16599999997</v>
      </c>
      <c r="BZ7" s="43">
        <f>+[1]Otrosbancos!$D$10</f>
        <v>3514901.7170000002</v>
      </c>
      <c r="CA7" s="43">
        <f>+[1]Otrosbancos!$D$15</f>
        <v>7166374.0549999997</v>
      </c>
      <c r="CB7" s="43">
        <f>+[1]Otrosbancos!$D$23</f>
        <v>18618.565999999999</v>
      </c>
      <c r="CC7" s="43">
        <f>+[1]Otrosbancos!$D$26</f>
        <v>879494.85400000005</v>
      </c>
      <c r="CD7" s="43">
        <f>+[1]Otrosbancos!$D$29</f>
        <v>0</v>
      </c>
      <c r="CE7" s="43">
        <f>+[1]Otrosbancos!$D$33</f>
        <v>21654.544000000002</v>
      </c>
      <c r="CF7" s="43">
        <f>+[1]Otrosbancos!$D$37</f>
        <v>1169486.4125900001</v>
      </c>
      <c r="CG7" s="43">
        <f>+[1]Otrosbancos!$D$41</f>
        <v>162748.57699999999</v>
      </c>
      <c r="CH7" s="43">
        <f>+[1]Otrosbancos!$D$46</f>
        <v>2.9318200000000001</v>
      </c>
      <c r="CI7" s="43">
        <f>+[1]Otrosbancos!$D$54</f>
        <v>892377.15928999998</v>
      </c>
      <c r="CJ7" s="43">
        <f>+[1]Otrosbancos!$D$56</f>
        <v>63586.314789999997</v>
      </c>
      <c r="CK7" s="43">
        <f>+[1]Liberty!$D$3</f>
        <v>0</v>
      </c>
      <c r="CL7" s="43">
        <f>+[1]Liberty!$D$4</f>
        <v>0</v>
      </c>
      <c r="CM7" s="43">
        <f>+[1]Liberty!$D$6</f>
        <v>79545.214000000007</v>
      </c>
      <c r="CN7" s="43">
        <f>+[1]Liberty!$D$8</f>
        <v>662631.23607999994</v>
      </c>
      <c r="CO7" s="43">
        <f>+[1]Liberty!$D$10</f>
        <v>736440.24595999997</v>
      </c>
      <c r="CP7" s="43">
        <f>+[1]Liberty!$D$12</f>
        <v>9152723.6699999999</v>
      </c>
      <c r="CQ7" s="43">
        <f>+[1]Liberty!$D$13</f>
        <v>378135.14942999999</v>
      </c>
      <c r="CR7" s="43">
        <f>+[1]Otrosbancos!$D$58</f>
        <v>2701872.3746799999</v>
      </c>
      <c r="CS7" s="43">
        <v>0</v>
      </c>
      <c r="CT7" s="43">
        <v>0</v>
      </c>
      <c r="CU7" s="43">
        <v>0</v>
      </c>
      <c r="CV7" s="43">
        <v>0</v>
      </c>
      <c r="CW7" s="43">
        <f>SUM(D7:CV7)</f>
        <v>394575932.81098694</v>
      </c>
    </row>
    <row r="8" spans="1:101" x14ac:dyDescent="0.25">
      <c r="A8" s="41"/>
      <c r="B8" s="44" t="s">
        <v>96</v>
      </c>
      <c r="C8" s="45" t="s">
        <v>97</v>
      </c>
      <c r="D8" s="45">
        <f>+'May, 05'!D40</f>
        <v>555915.65893000038</v>
      </c>
      <c r="E8" s="45">
        <f>+'May, 05'!E40</f>
        <v>10372074.104104564</v>
      </c>
      <c r="F8" s="45">
        <f>+'May, 05'!F40</f>
        <v>5244171.8890415095</v>
      </c>
      <c r="G8" s="45">
        <f>+'May, 05'!G40</f>
        <v>0</v>
      </c>
      <c r="H8" s="45">
        <f>+'May, 05'!H40</f>
        <v>0</v>
      </c>
      <c r="I8" s="45">
        <f>+'May, 05'!I40</f>
        <v>112688.67945999425</v>
      </c>
      <c r="J8" s="45">
        <f>+'May, 05'!J40</f>
        <v>0</v>
      </c>
      <c r="K8" s="45">
        <f>+'May, 05'!K40</f>
        <v>109952.39123814307</v>
      </c>
      <c r="L8" s="45">
        <f>+'May, 05'!L40</f>
        <v>225943.99348528608</v>
      </c>
      <c r="M8" s="45">
        <f>+'May, 05'!M40</f>
        <v>419678.69034486625</v>
      </c>
      <c r="N8" s="45">
        <f>+'May, 05'!N40</f>
        <v>177310.5199999999</v>
      </c>
      <c r="O8" s="45">
        <f>+'May, 05'!O40</f>
        <v>743248.15264999995</v>
      </c>
      <c r="P8" s="45">
        <f>+'May, 05'!P40</f>
        <v>35612339.74000001</v>
      </c>
      <c r="Q8" s="45">
        <f>+'May, 05'!Q40</f>
        <v>151875927.82961878</v>
      </c>
      <c r="R8" s="45">
        <f>+'May, 05'!R40</f>
        <v>275224.07999999996</v>
      </c>
      <c r="S8" s="45">
        <f>+'May, 05'!S40</f>
        <v>1450684.0850667991</v>
      </c>
      <c r="T8" s="45">
        <f>+'May, 05'!T40</f>
        <v>0</v>
      </c>
      <c r="U8" s="45">
        <f>+'May, 05'!U40</f>
        <v>0</v>
      </c>
      <c r="V8" s="45">
        <f>+'May, 05'!V40</f>
        <v>0</v>
      </c>
      <c r="W8" s="45">
        <f>+'May, 05'!W40</f>
        <v>0</v>
      </c>
      <c r="X8" s="45">
        <f>+'May, 05'!X40</f>
        <v>0</v>
      </c>
      <c r="Y8" s="45">
        <f>+'May, 05'!Y40</f>
        <v>0</v>
      </c>
      <c r="Z8" s="45">
        <f>+'May, 05'!Z40</f>
        <v>9662.5274983807467</v>
      </c>
      <c r="AA8" s="45">
        <f>+'May, 05'!AA40</f>
        <v>40503.29</v>
      </c>
      <c r="AB8" s="45">
        <f>+'May, 05'!AB40</f>
        <v>7542.7499999967404</v>
      </c>
      <c r="AC8" s="45">
        <f>+'May, 05'!AC40</f>
        <v>31617.62</v>
      </c>
      <c r="AD8" s="45">
        <f>+'May, 05'!AD40</f>
        <v>5155</v>
      </c>
      <c r="AE8" s="45">
        <f>+'May, 05'!AE40</f>
        <v>21608.68</v>
      </c>
      <c r="AF8" s="45">
        <f>+'May, 05'!AF40</f>
        <v>7956.8699999451637</v>
      </c>
      <c r="AG8" s="45">
        <f>+'May, 05'!AG40</f>
        <v>33353.53</v>
      </c>
      <c r="AH8" s="45">
        <f>+'May, 05'!AH40</f>
        <v>203175.47999999719</v>
      </c>
      <c r="AI8" s="45">
        <f>+'May, 05'!AI40</f>
        <v>851645.451214</v>
      </c>
      <c r="AJ8" s="45">
        <f>+'May, 05'!AJ40</f>
        <v>673596.71999999823</v>
      </c>
      <c r="AK8" s="45">
        <f>+'May, 05'!AK40</f>
        <v>2823324.1679230896</v>
      </c>
      <c r="AL8" s="45">
        <f>+'May, 05'!AL40</f>
        <v>45808232.364840075</v>
      </c>
      <c r="AM8" s="45">
        <f>+'May, 05'!AM40</f>
        <v>59156998.799813539</v>
      </c>
      <c r="AN8" s="45">
        <f>+'May, 05'!AN40</f>
        <v>6399996.8199400008</v>
      </c>
      <c r="AO8" s="45">
        <f>+'May, 05'!AO40</f>
        <v>809966.41413143976</v>
      </c>
      <c r="AP8" s="45">
        <f>+'May, 05'!AP40</f>
        <v>12118432.359733757</v>
      </c>
      <c r="AQ8" s="45">
        <f>+'May, 05'!AQ40</f>
        <v>2167313.3240721608</v>
      </c>
      <c r="AR8" s="45">
        <f>+'May, 05'!AR40</f>
        <v>33752.683643993005</v>
      </c>
      <c r="AS8" s="45">
        <f>+'May, 05'!AS40</f>
        <v>6.2719079996137461</v>
      </c>
      <c r="AT8" s="45">
        <f>+'May, 05'!AT40</f>
        <v>11.210432002509913</v>
      </c>
      <c r="AU8" s="45">
        <f>+'May, 05'!AU40</f>
        <v>70709.869203997281</v>
      </c>
      <c r="AV8" s="45">
        <f>+'May, 05'!AV40</f>
        <v>523662.90839880263</v>
      </c>
      <c r="AW8" s="45">
        <f>+'May, 05'!AW40</f>
        <v>85667.9885699968</v>
      </c>
      <c r="AX8" s="45">
        <f>+'May, 05'!AX40</f>
        <v>1041.3974240010875</v>
      </c>
      <c r="AY8" s="45">
        <f>+'May, 05'!AY40</f>
        <v>17450.753311997978</v>
      </c>
      <c r="AZ8" s="45">
        <f>+'May, 05'!AZ40</f>
        <v>23267.345377323236</v>
      </c>
      <c r="BA8" s="45">
        <f>+'May, 05'!BA40</f>
        <v>201919.2897240069</v>
      </c>
      <c r="BB8" s="45">
        <f>+'May, 05'!BB40</f>
        <v>69923.491219991149</v>
      </c>
      <c r="BC8" s="45">
        <f>+'May, 05'!BC40</f>
        <v>266735.13484799874</v>
      </c>
      <c r="BD8" s="45">
        <f>+'May, 05'!BD40</f>
        <v>17042.561599989836</v>
      </c>
      <c r="BE8" s="45">
        <f>+'May, 05'!BE40</f>
        <v>256586.81289368056</v>
      </c>
      <c r="BF8" s="45">
        <f>+'May, 05'!BF40</f>
        <v>321949.5492303599</v>
      </c>
      <c r="BG8" s="45">
        <f>+'May, 05'!BG40</f>
        <v>35109.232018882758</v>
      </c>
      <c r="BH8" s="45">
        <f>+'May, 05'!BH40</f>
        <v>27273.514880002102</v>
      </c>
      <c r="BI8" s="45">
        <f>+'May, 05'!BI40</f>
        <v>630661.83776839031</v>
      </c>
      <c r="BJ8" s="45">
        <f>+'May, 05'!BJ40</f>
        <v>197783.28604456017</v>
      </c>
      <c r="BK8" s="45">
        <f>+'May, 05'!BK40</f>
        <v>2995393.833886012</v>
      </c>
      <c r="BL8" s="45">
        <f>+'May, 05'!BL40</f>
        <v>112682.66813244607</v>
      </c>
      <c r="BM8" s="45">
        <f>+'May, 05'!BM40</f>
        <v>1068273.465397151</v>
      </c>
      <c r="BN8" s="45">
        <f>+'May, 05'!BN40</f>
        <v>4095587.0222573811</v>
      </c>
      <c r="BO8" s="45">
        <f>+'May, 05'!BO40</f>
        <v>3.4691202304202307E-3</v>
      </c>
      <c r="BP8" s="45">
        <f>+'May, 05'!BP40</f>
        <v>255.06558932906549</v>
      </c>
      <c r="BQ8" s="45">
        <f>+'May, 05'!BQ40</f>
        <v>4.0128798844989433E-3</v>
      </c>
      <c r="BR8" s="45">
        <f>+'May, 05'!BR40</f>
        <v>2723100.6460000034</v>
      </c>
      <c r="BS8" s="45">
        <f>+'May, 05'!BS40</f>
        <v>11426987.824417591</v>
      </c>
      <c r="BT8" s="45">
        <f>+'May, 05'!BT40</f>
        <v>407611.79493201897</v>
      </c>
      <c r="BU8" s="45">
        <f>+'May, 05'!BU40</f>
        <v>1697061.5471122912</v>
      </c>
      <c r="BV8" s="45">
        <f>+'May, 05'!BV40</f>
        <v>8412.7658599999995</v>
      </c>
      <c r="BW8" s="45">
        <f>+'May, 05'!BW40</f>
        <v>1138649.7459900004</v>
      </c>
      <c r="BX8" s="45">
        <f>+'May, 05'!BX40</f>
        <v>12663.664475599246</v>
      </c>
      <c r="BY8" s="45">
        <f>+'May, 05'!BY40</f>
        <v>668682.49599999993</v>
      </c>
      <c r="BZ8" s="45">
        <f>+'May, 05'!BZ40</f>
        <v>3036687.6289999997</v>
      </c>
      <c r="CA8" s="45">
        <f>+'May, 05'!CA40</f>
        <v>7035853.7119999994</v>
      </c>
      <c r="CB8" s="45">
        <f>+'May, 05'!CB40</f>
        <v>18618.56624</v>
      </c>
      <c r="CC8" s="45">
        <f>+'May, 05'!CC40</f>
        <v>879494.85817999975</v>
      </c>
      <c r="CD8" s="45">
        <f>+'May, 05'!CD40</f>
        <v>0</v>
      </c>
      <c r="CE8" s="45">
        <f>+'May, 05'!CE40</f>
        <v>21654.544000000002</v>
      </c>
      <c r="CF8" s="45">
        <f>+'May, 05'!CF40</f>
        <v>1136921.9855899999</v>
      </c>
      <c r="CG8" s="45">
        <f>+'May, 05'!CG40</f>
        <v>162748.57699999999</v>
      </c>
      <c r="CH8" s="45">
        <f>+'May, 05'!CH40</f>
        <v>2.9318200000000001</v>
      </c>
      <c r="CI8" s="45">
        <f>+'May, 05'!CI40</f>
        <v>891031.01899999997</v>
      </c>
      <c r="CJ8" s="45">
        <f>+'May, 05'!CJ40</f>
        <v>34243.195999999996</v>
      </c>
      <c r="CK8" s="45">
        <f>+'May, 05'!CK40</f>
        <v>0</v>
      </c>
      <c r="CL8" s="45">
        <f>+'May, 05'!CL40</f>
        <v>0</v>
      </c>
      <c r="CM8" s="45">
        <f>+'May, 05'!CM40</f>
        <v>79545.21415</v>
      </c>
      <c r="CN8" s="45">
        <f>+'May, 05'!CN40</f>
        <v>662731.23896999995</v>
      </c>
      <c r="CO8" s="45">
        <f>+'May, 05'!CO40</f>
        <v>736440.24131999968</v>
      </c>
      <c r="CP8" s="45">
        <f>+'May, 05'!CP40</f>
        <v>9152723.6727600005</v>
      </c>
      <c r="CQ8" s="45">
        <f>+'May, 05'!CQ40</f>
        <v>377918.49939999997</v>
      </c>
      <c r="CR8" s="45">
        <f>+'May, 05'!CR40</f>
        <v>2701872.374679999</v>
      </c>
      <c r="CS8" s="45">
        <f>+'May, 05'!CS40</f>
        <v>5000</v>
      </c>
      <c r="CT8" s="45">
        <f>+'May, 05'!CT40</f>
        <v>20468.599999999999</v>
      </c>
      <c r="CU8" s="45">
        <f>+'May, 05'!CU40</f>
        <v>5000</v>
      </c>
      <c r="CV8" s="45">
        <f>+'May, 05'!CV40</f>
        <v>20468.599999999999</v>
      </c>
      <c r="CW8" s="43">
        <f t="shared" ref="CW8:CW40" si="4">SUM(D8:CV8)</f>
        <v>394460585.12924606</v>
      </c>
    </row>
    <row r="9" spans="1:101" x14ac:dyDescent="0.25">
      <c r="B9" s="46" t="s">
        <v>96</v>
      </c>
      <c r="C9" s="47" t="s">
        <v>98</v>
      </c>
      <c r="D9" s="47">
        <v>6820</v>
      </c>
      <c r="E9" s="48">
        <v>20135145.846609998</v>
      </c>
      <c r="F9" s="48">
        <v>5190439.75055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>
        <v>8450.0310000000009</v>
      </c>
      <c r="BX9" s="47"/>
      <c r="BY9" s="47">
        <f>IF(BY6&gt;0,BY6,0)</f>
        <v>11278.670000000042</v>
      </c>
      <c r="BZ9" s="47">
        <f>IF(BZ6&gt;0,BZ6,0)</f>
        <v>478214.08800000045</v>
      </c>
      <c r="CA9" s="47">
        <f>IF(CA6&gt;0,CA6,0)</f>
        <v>130520.34300000034</v>
      </c>
      <c r="CB9" s="47"/>
      <c r="CC9" s="47">
        <v>1683.511</v>
      </c>
      <c r="CD9" s="47"/>
      <c r="CE9" s="47">
        <f>IF(CE6&gt;0,CE6,0)</f>
        <v>0</v>
      </c>
      <c r="CF9" s="47">
        <f>IF(CF6&gt;0,CF6,0)</f>
        <v>32564.427000000142</v>
      </c>
      <c r="CG9" s="47">
        <f>IF(CG6&gt;0,CG6,0)</f>
        <v>0</v>
      </c>
      <c r="CH9" s="47"/>
      <c r="CI9" s="47">
        <f>IF(CI6&gt;0,CI6,0)</f>
        <v>1346.1402900000103</v>
      </c>
      <c r="CJ9" s="47">
        <f>IF(CJ6&gt;0,CJ6,0)</f>
        <v>29343.11879</v>
      </c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3">
        <f t="shared" si="4"/>
        <v>26025805.926239997</v>
      </c>
    </row>
    <row r="10" spans="1:101" x14ac:dyDescent="0.25">
      <c r="B10" s="46" t="s">
        <v>99</v>
      </c>
      <c r="C10" s="47" t="s">
        <v>100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>
        <v>-10.818</v>
      </c>
      <c r="BW10" s="47">
        <v>-32.33</v>
      </c>
      <c r="BX10" s="47"/>
      <c r="BY10" s="47">
        <f>IF(BY6&lt;0,BY6,0)</f>
        <v>0</v>
      </c>
      <c r="BZ10" s="47">
        <f>IF(BZ6&lt;0,BZ6,0)</f>
        <v>0</v>
      </c>
      <c r="CA10" s="47">
        <f>IF(CA6&lt;0,CA6,0)</f>
        <v>0</v>
      </c>
      <c r="CB10" s="47"/>
      <c r="CC10" s="47"/>
      <c r="CD10" s="47"/>
      <c r="CE10" s="47">
        <f>IF(CE6&lt;0,CE6,0)</f>
        <v>0</v>
      </c>
      <c r="CF10" s="47">
        <f>IF(CF6&lt;0,CF6,0)</f>
        <v>0</v>
      </c>
      <c r="CG10" s="47">
        <f>IF(CG6&lt;0,CG6,0)</f>
        <v>0</v>
      </c>
      <c r="CH10" s="47"/>
      <c r="CI10" s="47">
        <f>IF(CI6&lt;0,CI6,0)</f>
        <v>0</v>
      </c>
      <c r="CJ10" s="47">
        <f>IF(CJ6&lt;0,CJ6,0)</f>
        <v>0</v>
      </c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3">
        <f t="shared" si="4"/>
        <v>-43.147999999999996</v>
      </c>
    </row>
    <row r="11" spans="1:101" x14ac:dyDescent="0.25">
      <c r="A11" s="41"/>
      <c r="B11" s="49" t="s">
        <v>99</v>
      </c>
      <c r="C11" s="50" t="s">
        <v>101</v>
      </c>
      <c r="D11" s="50">
        <v>-4.016</v>
      </c>
      <c r="E11" s="50">
        <v>-27452.674199998899</v>
      </c>
      <c r="F11" s="50">
        <v>-5941.0997200002703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>
        <f>+[1]Otrosbancos!$D$6+[1]Otrosbancos!$D$7</f>
        <v>-663.39599999999996</v>
      </c>
      <c r="BZ11" s="50">
        <f>+[1]Otrosbancos!$D$11+[1]Otrosbancos!$D$12</f>
        <v>-822023.34199999995</v>
      </c>
      <c r="CA11" s="50">
        <f>+[1]Otrosbancos!$D$16+[1]Otrosbancos!$D$17</f>
        <v>-665671.723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43">
        <f t="shared" si="4"/>
        <v>-1521756.2509199991</v>
      </c>
    </row>
    <row r="12" spans="1:101" x14ac:dyDescent="0.25">
      <c r="B12" s="46" t="s">
        <v>96</v>
      </c>
      <c r="C12" s="47" t="s">
        <v>102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1"/>
      <c r="AS12" s="51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3">
        <f t="shared" si="4"/>
        <v>0</v>
      </c>
    </row>
    <row r="13" spans="1:101" x14ac:dyDescent="0.25">
      <c r="B13" s="46" t="s">
        <v>96</v>
      </c>
      <c r="C13" s="47" t="s">
        <v>103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51"/>
      <c r="AS13" s="51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3">
        <f t="shared" si="4"/>
        <v>0</v>
      </c>
    </row>
    <row r="14" spans="1:101" x14ac:dyDescent="0.25">
      <c r="B14" s="46" t="s">
        <v>96</v>
      </c>
      <c r="C14" s="47" t="s">
        <v>104</v>
      </c>
      <c r="D14" s="47"/>
      <c r="E14" s="47"/>
      <c r="F14" s="47">
        <v>111426.409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51"/>
      <c r="AS14" s="51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3">
        <f t="shared" si="4"/>
        <v>111426.409</v>
      </c>
    </row>
    <row r="15" spans="1:101" x14ac:dyDescent="0.25">
      <c r="B15" s="46" t="s">
        <v>96</v>
      </c>
      <c r="C15" s="47" t="s">
        <v>105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51"/>
      <c r="AS15" s="51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3">
        <f t="shared" si="4"/>
        <v>0</v>
      </c>
    </row>
    <row r="16" spans="1:101" x14ac:dyDescent="0.25">
      <c r="B16" s="46" t="s">
        <v>96</v>
      </c>
      <c r="C16" s="47" t="s">
        <v>106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51"/>
      <c r="AS16" s="51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3">
        <f t="shared" si="4"/>
        <v>0</v>
      </c>
    </row>
    <row r="17" spans="1:101" x14ac:dyDescent="0.25">
      <c r="B17" s="46" t="s">
        <v>99</v>
      </c>
      <c r="C17" s="47" t="s">
        <v>107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51"/>
      <c r="AS17" s="51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3">
        <f t="shared" si="4"/>
        <v>0</v>
      </c>
    </row>
    <row r="18" spans="1:101" x14ac:dyDescent="0.25">
      <c r="B18" s="46" t="s">
        <v>96</v>
      </c>
      <c r="C18" s="47" t="s">
        <v>108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1"/>
      <c r="AS18" s="51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3">
        <f t="shared" si="4"/>
        <v>0</v>
      </c>
    </row>
    <row r="19" spans="1:101" x14ac:dyDescent="0.25">
      <c r="B19" s="46" t="s">
        <v>99</v>
      </c>
      <c r="C19" s="47" t="s">
        <v>109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51"/>
      <c r="AS19" s="51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3">
        <f t="shared" si="4"/>
        <v>0</v>
      </c>
    </row>
    <row r="20" spans="1:101" x14ac:dyDescent="0.25">
      <c r="B20" s="46" t="s">
        <v>99</v>
      </c>
      <c r="C20" s="47" t="s">
        <v>110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51"/>
      <c r="AS20" s="51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3">
        <f t="shared" si="4"/>
        <v>0</v>
      </c>
    </row>
    <row r="21" spans="1:101" x14ac:dyDescent="0.25">
      <c r="B21" s="46" t="s">
        <v>96</v>
      </c>
      <c r="C21" s="47" t="s">
        <v>111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51"/>
      <c r="AS21" s="51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3">
        <f t="shared" si="4"/>
        <v>0</v>
      </c>
    </row>
    <row r="22" spans="1:101" x14ac:dyDescent="0.25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51"/>
      <c r="AS22" s="51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3">
        <f t="shared" si="4"/>
        <v>0</v>
      </c>
    </row>
    <row r="23" spans="1:101" x14ac:dyDescent="0.25">
      <c r="B23" s="46" t="s">
        <v>99</v>
      </c>
      <c r="C23" s="47" t="s">
        <v>112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51"/>
      <c r="AS23" s="51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3">
        <f t="shared" si="4"/>
        <v>0</v>
      </c>
    </row>
    <row r="24" spans="1:101" x14ac:dyDescent="0.25">
      <c r="B24" s="46" t="s">
        <v>99</v>
      </c>
      <c r="C24" s="47" t="s">
        <v>113</v>
      </c>
      <c r="D24" s="47"/>
      <c r="E24" s="47"/>
      <c r="F24" s="47">
        <f>-123.5-7117.5-243.6-26.4-15658.5-2847-252.93</f>
        <v>-26269.43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51"/>
      <c r="AS24" s="51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3">
        <f t="shared" si="4"/>
        <v>-26269.43</v>
      </c>
    </row>
    <row r="25" spans="1:101" x14ac:dyDescent="0.25">
      <c r="A25" s="41"/>
      <c r="B25" s="52" t="s">
        <v>99</v>
      </c>
      <c r="C25" s="53" t="s">
        <v>114</v>
      </c>
      <c r="D25" s="53">
        <v>-18021.117279999999</v>
      </c>
      <c r="E25" s="53">
        <v>-6151944.8777700001</v>
      </c>
      <c r="F25" s="53">
        <v>-1738017.5216699999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43">
        <f t="shared" si="4"/>
        <v>-7907983.5167199997</v>
      </c>
    </row>
    <row r="26" spans="1:101" x14ac:dyDescent="0.25">
      <c r="B26" s="46"/>
      <c r="C26" s="47" t="s">
        <v>115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51"/>
      <c r="AS26" s="51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3">
        <f t="shared" si="4"/>
        <v>0</v>
      </c>
    </row>
    <row r="27" spans="1:101" x14ac:dyDescent="0.25">
      <c r="B27" s="46" t="s">
        <v>99</v>
      </c>
      <c r="C27" s="47" t="s">
        <v>116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51"/>
      <c r="AS27" s="51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3">
        <f t="shared" si="4"/>
        <v>0</v>
      </c>
    </row>
    <row r="28" spans="1:101" x14ac:dyDescent="0.25">
      <c r="B28" s="47" t="s">
        <v>99</v>
      </c>
      <c r="C28" s="47" t="s">
        <v>117</v>
      </c>
      <c r="D28" s="48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51"/>
      <c r="AS28" s="51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3">
        <f t="shared" si="4"/>
        <v>0</v>
      </c>
    </row>
    <row r="29" spans="1:101" x14ac:dyDescent="0.25">
      <c r="B29" s="47"/>
      <c r="C29" s="47" t="s">
        <v>118</v>
      </c>
      <c r="D29" s="48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51"/>
      <c r="AS29" s="51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3">
        <f t="shared" si="4"/>
        <v>0</v>
      </c>
    </row>
    <row r="30" spans="1:101" x14ac:dyDescent="0.25">
      <c r="B30" s="47"/>
      <c r="C30" s="47" t="s">
        <v>119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51"/>
      <c r="AS30" s="51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3">
        <f t="shared" si="4"/>
        <v>0</v>
      </c>
    </row>
    <row r="31" spans="1:101" x14ac:dyDescent="0.25">
      <c r="B31" s="47" t="s">
        <v>99</v>
      </c>
      <c r="C31" s="47" t="s">
        <v>120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51"/>
      <c r="AS31" s="51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3">
        <f t="shared" si="4"/>
        <v>0</v>
      </c>
    </row>
    <row r="32" spans="1:101" x14ac:dyDescent="0.25">
      <c r="B32" s="47" t="s">
        <v>99</v>
      </c>
      <c r="C32" s="47" t="s">
        <v>121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51"/>
      <c r="AS32" s="51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3">
        <f t="shared" si="4"/>
        <v>0</v>
      </c>
    </row>
    <row r="33" spans="2:101" x14ac:dyDescent="0.25">
      <c r="B33" s="47" t="s">
        <v>99</v>
      </c>
      <c r="C33" s="47" t="s">
        <v>122</v>
      </c>
      <c r="D33" s="47"/>
      <c r="E33" s="47">
        <v>-20031</v>
      </c>
      <c r="F33" s="47">
        <v>-35958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51"/>
      <c r="AS33" s="51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3">
        <f t="shared" si="4"/>
        <v>-55989</v>
      </c>
    </row>
    <row r="34" spans="2:101" x14ac:dyDescent="0.25">
      <c r="B34" s="54" t="s">
        <v>99</v>
      </c>
      <c r="C34" s="55" t="s">
        <v>123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43">
        <f t="shared" si="4"/>
        <v>0</v>
      </c>
    </row>
    <row r="35" spans="2:101" x14ac:dyDescent="0.25">
      <c r="B35" s="54" t="s">
        <v>99</v>
      </c>
      <c r="C35" s="55" t="s">
        <v>124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43">
        <f t="shared" si="4"/>
        <v>0</v>
      </c>
    </row>
    <row r="36" spans="2:101" ht="15.75" thickBot="1" x14ac:dyDescent="0.3">
      <c r="B36" s="56"/>
      <c r="C36" s="57" t="s">
        <v>125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43">
        <f t="shared" si="4"/>
        <v>0</v>
      </c>
    </row>
    <row r="37" spans="2:101" x14ac:dyDescent="0.25">
      <c r="B37" s="58"/>
      <c r="C37" s="59" t="s">
        <v>126</v>
      </c>
      <c r="D37" s="59">
        <f>SUM(D9:D36)</f>
        <v>-11205.133279999998</v>
      </c>
      <c r="E37" s="59">
        <f>SUM(E9:E36)</f>
        <v>13935717.294640001</v>
      </c>
      <c r="F37" s="59">
        <f>SUM(F9:F35)</f>
        <v>3495680.1081600003</v>
      </c>
      <c r="G37" s="59">
        <f t="shared" ref="G37:BR37" si="5">SUM(G9:G36)</f>
        <v>0</v>
      </c>
      <c r="H37" s="59">
        <f t="shared" si="5"/>
        <v>0</v>
      </c>
      <c r="I37" s="59">
        <f t="shared" si="5"/>
        <v>0</v>
      </c>
      <c r="J37" s="59">
        <f t="shared" si="5"/>
        <v>0</v>
      </c>
      <c r="K37" s="59">
        <f t="shared" si="5"/>
        <v>0</v>
      </c>
      <c r="L37" s="59">
        <f t="shared" si="5"/>
        <v>0</v>
      </c>
      <c r="M37" s="59">
        <f t="shared" si="5"/>
        <v>0</v>
      </c>
      <c r="N37" s="59">
        <f t="shared" si="5"/>
        <v>0</v>
      </c>
      <c r="O37" s="59">
        <f t="shared" si="5"/>
        <v>0</v>
      </c>
      <c r="P37" s="59">
        <f t="shared" si="5"/>
        <v>0</v>
      </c>
      <c r="Q37" s="59">
        <f t="shared" si="5"/>
        <v>0</v>
      </c>
      <c r="R37" s="59">
        <f t="shared" si="5"/>
        <v>0</v>
      </c>
      <c r="S37" s="59">
        <f t="shared" si="5"/>
        <v>0</v>
      </c>
      <c r="T37" s="59">
        <f t="shared" si="5"/>
        <v>0</v>
      </c>
      <c r="U37" s="59">
        <f t="shared" si="5"/>
        <v>0</v>
      </c>
      <c r="V37" s="59">
        <f t="shared" si="5"/>
        <v>0</v>
      </c>
      <c r="W37" s="59">
        <f t="shared" si="5"/>
        <v>0</v>
      </c>
      <c r="X37" s="59">
        <f t="shared" si="5"/>
        <v>0</v>
      </c>
      <c r="Y37" s="59">
        <f t="shared" si="5"/>
        <v>0</v>
      </c>
      <c r="Z37" s="59">
        <f t="shared" si="5"/>
        <v>0</v>
      </c>
      <c r="AA37" s="59">
        <f t="shared" si="5"/>
        <v>0</v>
      </c>
      <c r="AB37" s="59">
        <f t="shared" si="5"/>
        <v>0</v>
      </c>
      <c r="AC37" s="59">
        <f t="shared" si="5"/>
        <v>0</v>
      </c>
      <c r="AD37" s="59">
        <f t="shared" si="5"/>
        <v>0</v>
      </c>
      <c r="AE37" s="59">
        <f t="shared" si="5"/>
        <v>0</v>
      </c>
      <c r="AF37" s="59">
        <f t="shared" si="5"/>
        <v>0</v>
      </c>
      <c r="AG37" s="59">
        <f t="shared" si="5"/>
        <v>0</v>
      </c>
      <c r="AH37" s="59">
        <f t="shared" si="5"/>
        <v>0</v>
      </c>
      <c r="AI37" s="59">
        <f t="shared" si="5"/>
        <v>0</v>
      </c>
      <c r="AJ37" s="59">
        <f t="shared" si="5"/>
        <v>0</v>
      </c>
      <c r="AK37" s="59">
        <f t="shared" si="5"/>
        <v>0</v>
      </c>
      <c r="AL37" s="59">
        <f t="shared" si="5"/>
        <v>0</v>
      </c>
      <c r="AM37" s="59">
        <f t="shared" si="5"/>
        <v>0</v>
      </c>
      <c r="AN37" s="59">
        <f t="shared" si="5"/>
        <v>0</v>
      </c>
      <c r="AO37" s="59">
        <f t="shared" si="5"/>
        <v>0</v>
      </c>
      <c r="AP37" s="59">
        <f t="shared" si="5"/>
        <v>0</v>
      </c>
      <c r="AQ37" s="59">
        <f t="shared" si="5"/>
        <v>0</v>
      </c>
      <c r="AR37" s="59">
        <f t="shared" si="5"/>
        <v>0</v>
      </c>
      <c r="AS37" s="59">
        <f t="shared" si="5"/>
        <v>0</v>
      </c>
      <c r="AT37" s="59">
        <f t="shared" si="5"/>
        <v>0</v>
      </c>
      <c r="AU37" s="59">
        <f t="shared" si="5"/>
        <v>0</v>
      </c>
      <c r="AV37" s="59">
        <f t="shared" si="5"/>
        <v>0</v>
      </c>
      <c r="AW37" s="59">
        <f t="shared" si="5"/>
        <v>0</v>
      </c>
      <c r="AX37" s="59">
        <f t="shared" si="5"/>
        <v>0</v>
      </c>
      <c r="AY37" s="59">
        <f t="shared" si="5"/>
        <v>0</v>
      </c>
      <c r="AZ37" s="59">
        <f t="shared" si="5"/>
        <v>0</v>
      </c>
      <c r="BA37" s="59">
        <f t="shared" si="5"/>
        <v>0</v>
      </c>
      <c r="BB37" s="59">
        <f t="shared" si="5"/>
        <v>0</v>
      </c>
      <c r="BC37" s="59">
        <f t="shared" si="5"/>
        <v>0</v>
      </c>
      <c r="BD37" s="59">
        <f t="shared" si="5"/>
        <v>0</v>
      </c>
      <c r="BE37" s="59">
        <f t="shared" si="5"/>
        <v>0</v>
      </c>
      <c r="BF37" s="59">
        <f t="shared" si="5"/>
        <v>0</v>
      </c>
      <c r="BG37" s="59">
        <f t="shared" si="5"/>
        <v>0</v>
      </c>
      <c r="BH37" s="59">
        <f t="shared" si="5"/>
        <v>0</v>
      </c>
      <c r="BI37" s="59">
        <f t="shared" si="5"/>
        <v>0</v>
      </c>
      <c r="BJ37" s="59">
        <f t="shared" si="5"/>
        <v>0</v>
      </c>
      <c r="BK37" s="59">
        <f t="shared" si="5"/>
        <v>0</v>
      </c>
      <c r="BL37" s="59">
        <f t="shared" si="5"/>
        <v>0</v>
      </c>
      <c r="BM37" s="59">
        <f t="shared" si="5"/>
        <v>0</v>
      </c>
      <c r="BN37" s="59">
        <f t="shared" si="5"/>
        <v>0</v>
      </c>
      <c r="BO37" s="59">
        <f t="shared" si="5"/>
        <v>0</v>
      </c>
      <c r="BP37" s="59">
        <f t="shared" si="5"/>
        <v>0</v>
      </c>
      <c r="BQ37" s="59">
        <f t="shared" si="5"/>
        <v>0</v>
      </c>
      <c r="BR37" s="59">
        <f t="shared" si="5"/>
        <v>0</v>
      </c>
      <c r="BS37" s="59">
        <f t="shared" ref="BS37:CV37" si="6">SUM(BS9:BS36)</f>
        <v>0</v>
      </c>
      <c r="BT37" s="59">
        <f t="shared" si="6"/>
        <v>0</v>
      </c>
      <c r="BU37" s="59">
        <f t="shared" si="6"/>
        <v>0</v>
      </c>
      <c r="BV37" s="59">
        <f t="shared" si="6"/>
        <v>-10.818</v>
      </c>
      <c r="BW37" s="59">
        <f t="shared" si="6"/>
        <v>8417.7010000000009</v>
      </c>
      <c r="BX37" s="59">
        <f t="shared" si="6"/>
        <v>0</v>
      </c>
      <c r="BY37" s="59">
        <f t="shared" si="6"/>
        <v>10615.274000000041</v>
      </c>
      <c r="BZ37" s="59">
        <f t="shared" si="6"/>
        <v>-343809.25399999949</v>
      </c>
      <c r="CA37" s="59">
        <f t="shared" si="6"/>
        <v>-535151.37999999966</v>
      </c>
      <c r="CB37" s="59">
        <f t="shared" si="6"/>
        <v>0</v>
      </c>
      <c r="CC37" s="59">
        <f t="shared" si="6"/>
        <v>1683.511</v>
      </c>
      <c r="CD37" s="59">
        <f t="shared" si="6"/>
        <v>0</v>
      </c>
      <c r="CE37" s="59">
        <f t="shared" si="6"/>
        <v>0</v>
      </c>
      <c r="CF37" s="59">
        <f t="shared" si="6"/>
        <v>32564.427000000142</v>
      </c>
      <c r="CG37" s="59">
        <f t="shared" si="6"/>
        <v>0</v>
      </c>
      <c r="CH37" s="59">
        <f t="shared" si="6"/>
        <v>0</v>
      </c>
      <c r="CI37" s="59">
        <f t="shared" si="6"/>
        <v>1346.1402900000103</v>
      </c>
      <c r="CJ37" s="59">
        <f t="shared" si="6"/>
        <v>29343.11879</v>
      </c>
      <c r="CK37" s="59">
        <f t="shared" si="6"/>
        <v>0</v>
      </c>
      <c r="CL37" s="59">
        <f t="shared" si="6"/>
        <v>0</v>
      </c>
      <c r="CM37" s="59">
        <f t="shared" si="6"/>
        <v>0</v>
      </c>
      <c r="CN37" s="59">
        <f t="shared" si="6"/>
        <v>0</v>
      </c>
      <c r="CO37" s="59">
        <f t="shared" si="6"/>
        <v>0</v>
      </c>
      <c r="CP37" s="59">
        <f t="shared" si="6"/>
        <v>0</v>
      </c>
      <c r="CQ37" s="59">
        <f t="shared" si="6"/>
        <v>0</v>
      </c>
      <c r="CR37" s="59">
        <f t="shared" si="6"/>
        <v>0</v>
      </c>
      <c r="CS37" s="59">
        <f t="shared" si="6"/>
        <v>0</v>
      </c>
      <c r="CT37" s="59">
        <f t="shared" si="6"/>
        <v>0</v>
      </c>
      <c r="CU37" s="59">
        <f t="shared" si="6"/>
        <v>0</v>
      </c>
      <c r="CV37" s="59">
        <f t="shared" si="6"/>
        <v>0</v>
      </c>
      <c r="CW37" s="43">
        <f t="shared" si="4"/>
        <v>16625190.989600003</v>
      </c>
    </row>
    <row r="38" spans="2:101" x14ac:dyDescent="0.25">
      <c r="B38" s="60"/>
      <c r="C38" s="61" t="s">
        <v>127</v>
      </c>
      <c r="D38" s="61">
        <f>+D37+D8</f>
        <v>544710.52565000043</v>
      </c>
      <c r="E38" s="61">
        <f>+E37+E8</f>
        <v>24307791.398744565</v>
      </c>
      <c r="F38" s="61">
        <f>+F37+F8</f>
        <v>8739851.9972015098</v>
      </c>
      <c r="G38" s="61">
        <f t="shared" ref="G38:BR38" si="7">+G37+G8</f>
        <v>0</v>
      </c>
      <c r="H38" s="61">
        <f t="shared" si="7"/>
        <v>0</v>
      </c>
      <c r="I38" s="61">
        <f t="shared" si="7"/>
        <v>112688.67945999425</v>
      </c>
      <c r="J38" s="61">
        <f t="shared" si="7"/>
        <v>0</v>
      </c>
      <c r="K38" s="61">
        <f t="shared" si="7"/>
        <v>109952.39123814307</v>
      </c>
      <c r="L38" s="61">
        <f t="shared" si="7"/>
        <v>225943.99348528608</v>
      </c>
      <c r="M38" s="61">
        <f t="shared" si="7"/>
        <v>419678.69034486625</v>
      </c>
      <c r="N38" s="61">
        <f t="shared" si="7"/>
        <v>177310.5199999999</v>
      </c>
      <c r="O38" s="61">
        <f t="shared" si="7"/>
        <v>743248.15264999995</v>
      </c>
      <c r="P38" s="61">
        <f t="shared" si="7"/>
        <v>35612339.74000001</v>
      </c>
      <c r="Q38" s="61">
        <f t="shared" si="7"/>
        <v>151875927.82961878</v>
      </c>
      <c r="R38" s="61">
        <f t="shared" si="7"/>
        <v>275224.07999999996</v>
      </c>
      <c r="S38" s="61">
        <f t="shared" si="7"/>
        <v>1450684.0850667991</v>
      </c>
      <c r="T38" s="61">
        <f t="shared" si="7"/>
        <v>0</v>
      </c>
      <c r="U38" s="61">
        <f t="shared" si="7"/>
        <v>0</v>
      </c>
      <c r="V38" s="61">
        <f t="shared" si="7"/>
        <v>0</v>
      </c>
      <c r="W38" s="61">
        <f t="shared" si="7"/>
        <v>0</v>
      </c>
      <c r="X38" s="61">
        <f t="shared" si="7"/>
        <v>0</v>
      </c>
      <c r="Y38" s="61">
        <f t="shared" si="7"/>
        <v>0</v>
      </c>
      <c r="Z38" s="61">
        <f t="shared" si="7"/>
        <v>9662.5274983807467</v>
      </c>
      <c r="AA38" s="61">
        <f t="shared" si="7"/>
        <v>40503.29</v>
      </c>
      <c r="AB38" s="61">
        <f t="shared" si="7"/>
        <v>7542.7499999967404</v>
      </c>
      <c r="AC38" s="61">
        <f t="shared" si="7"/>
        <v>31617.62</v>
      </c>
      <c r="AD38" s="61">
        <f t="shared" si="7"/>
        <v>5155</v>
      </c>
      <c r="AE38" s="61">
        <f t="shared" si="7"/>
        <v>21608.68</v>
      </c>
      <c r="AF38" s="61">
        <f t="shared" si="7"/>
        <v>7956.8699999451637</v>
      </c>
      <c r="AG38" s="61">
        <f t="shared" si="7"/>
        <v>33353.53</v>
      </c>
      <c r="AH38" s="61">
        <f t="shared" si="7"/>
        <v>203175.47999999719</v>
      </c>
      <c r="AI38" s="61">
        <f t="shared" si="7"/>
        <v>851645.451214</v>
      </c>
      <c r="AJ38" s="61">
        <f t="shared" si="7"/>
        <v>673596.71999999823</v>
      </c>
      <c r="AK38" s="61">
        <f t="shared" si="7"/>
        <v>2823324.1679230896</v>
      </c>
      <c r="AL38" s="61">
        <f t="shared" si="7"/>
        <v>45808232.364840075</v>
      </c>
      <c r="AM38" s="61">
        <f t="shared" si="7"/>
        <v>59156998.799813539</v>
      </c>
      <c r="AN38" s="61">
        <f t="shared" si="7"/>
        <v>6399996.8199400008</v>
      </c>
      <c r="AO38" s="61">
        <f t="shared" si="7"/>
        <v>809966.41413143976</v>
      </c>
      <c r="AP38" s="61">
        <f t="shared" si="7"/>
        <v>12118432.359733757</v>
      </c>
      <c r="AQ38" s="61">
        <f t="shared" si="7"/>
        <v>2167313.3240721608</v>
      </c>
      <c r="AR38" s="61">
        <f t="shared" si="7"/>
        <v>33752.683643993005</v>
      </c>
      <c r="AS38" s="61">
        <f t="shared" si="7"/>
        <v>6.2719079996137461</v>
      </c>
      <c r="AT38" s="61">
        <f t="shared" si="7"/>
        <v>11.210432002509913</v>
      </c>
      <c r="AU38" s="61">
        <f t="shared" si="7"/>
        <v>70709.869203997281</v>
      </c>
      <c r="AV38" s="61">
        <f t="shared" si="7"/>
        <v>523662.90839880263</v>
      </c>
      <c r="AW38" s="61">
        <f t="shared" si="7"/>
        <v>85667.9885699968</v>
      </c>
      <c r="AX38" s="61">
        <f t="shared" si="7"/>
        <v>1041.3974240010875</v>
      </c>
      <c r="AY38" s="61">
        <f t="shared" si="7"/>
        <v>17450.753311997978</v>
      </c>
      <c r="AZ38" s="61">
        <f t="shared" si="7"/>
        <v>23267.345377323236</v>
      </c>
      <c r="BA38" s="61">
        <f t="shared" si="7"/>
        <v>201919.2897240069</v>
      </c>
      <c r="BB38" s="61">
        <f t="shared" si="7"/>
        <v>69923.491219991149</v>
      </c>
      <c r="BC38" s="61">
        <f t="shared" si="7"/>
        <v>266735.13484799874</v>
      </c>
      <c r="BD38" s="61">
        <f t="shared" si="7"/>
        <v>17042.561599989836</v>
      </c>
      <c r="BE38" s="61">
        <f t="shared" si="7"/>
        <v>256586.81289368056</v>
      </c>
      <c r="BF38" s="61">
        <f t="shared" si="7"/>
        <v>321949.5492303599</v>
      </c>
      <c r="BG38" s="61">
        <f t="shared" si="7"/>
        <v>35109.232018882758</v>
      </c>
      <c r="BH38" s="61">
        <f t="shared" si="7"/>
        <v>27273.514880002102</v>
      </c>
      <c r="BI38" s="61">
        <f t="shared" si="7"/>
        <v>630661.83776839031</v>
      </c>
      <c r="BJ38" s="61">
        <f t="shared" si="7"/>
        <v>197783.28604456017</v>
      </c>
      <c r="BK38" s="61">
        <f t="shared" si="7"/>
        <v>2995393.833886012</v>
      </c>
      <c r="BL38" s="61">
        <f t="shared" si="7"/>
        <v>112682.66813244607</v>
      </c>
      <c r="BM38" s="61">
        <f t="shared" si="7"/>
        <v>1068273.465397151</v>
      </c>
      <c r="BN38" s="61">
        <f t="shared" si="7"/>
        <v>4095587.0222573811</v>
      </c>
      <c r="BO38" s="61">
        <f t="shared" si="7"/>
        <v>3.4691202304202307E-3</v>
      </c>
      <c r="BP38" s="61">
        <f t="shared" si="7"/>
        <v>255.06558932906549</v>
      </c>
      <c r="BQ38" s="61">
        <f t="shared" si="7"/>
        <v>4.0128798844989433E-3</v>
      </c>
      <c r="BR38" s="61">
        <f t="shared" si="7"/>
        <v>2723100.6460000034</v>
      </c>
      <c r="BS38" s="61">
        <f t="shared" ref="BS38:CV38" si="8">+BS37+BS8</f>
        <v>11426987.824417591</v>
      </c>
      <c r="BT38" s="61">
        <f t="shared" si="8"/>
        <v>407611.79493201897</v>
      </c>
      <c r="BU38" s="61">
        <f t="shared" si="8"/>
        <v>1697061.5471122912</v>
      </c>
      <c r="BV38" s="61">
        <f t="shared" si="8"/>
        <v>8401.9478600000002</v>
      </c>
      <c r="BW38" s="61">
        <f t="shared" si="8"/>
        <v>1147067.4469900005</v>
      </c>
      <c r="BX38" s="61">
        <f t="shared" si="8"/>
        <v>12663.664475599246</v>
      </c>
      <c r="BY38" s="61">
        <f t="shared" si="8"/>
        <v>679297.77</v>
      </c>
      <c r="BZ38" s="61">
        <f t="shared" si="8"/>
        <v>2692878.375</v>
      </c>
      <c r="CA38" s="61">
        <f t="shared" si="8"/>
        <v>6500702.3319999995</v>
      </c>
      <c r="CB38" s="61">
        <f t="shared" si="8"/>
        <v>18618.56624</v>
      </c>
      <c r="CC38" s="61">
        <f t="shared" si="8"/>
        <v>881178.36917999981</v>
      </c>
      <c r="CD38" s="61">
        <f t="shared" si="8"/>
        <v>0</v>
      </c>
      <c r="CE38" s="61">
        <f t="shared" si="8"/>
        <v>21654.544000000002</v>
      </c>
      <c r="CF38" s="61">
        <f t="shared" si="8"/>
        <v>1169486.4125900001</v>
      </c>
      <c r="CG38" s="61">
        <f t="shared" si="8"/>
        <v>162748.57699999999</v>
      </c>
      <c r="CH38" s="61">
        <f t="shared" si="8"/>
        <v>2.9318200000000001</v>
      </c>
      <c r="CI38" s="61">
        <f t="shared" si="8"/>
        <v>892377.15928999998</v>
      </c>
      <c r="CJ38" s="61">
        <f t="shared" si="8"/>
        <v>63586.314789999997</v>
      </c>
      <c r="CK38" s="61">
        <f t="shared" si="8"/>
        <v>0</v>
      </c>
      <c r="CL38" s="61">
        <f t="shared" si="8"/>
        <v>0</v>
      </c>
      <c r="CM38" s="61">
        <f t="shared" si="8"/>
        <v>79545.21415</v>
      </c>
      <c r="CN38" s="61">
        <f t="shared" si="8"/>
        <v>662731.23896999995</v>
      </c>
      <c r="CO38" s="61">
        <f t="shared" si="8"/>
        <v>736440.24131999968</v>
      </c>
      <c r="CP38" s="61">
        <f t="shared" si="8"/>
        <v>9152723.6727600005</v>
      </c>
      <c r="CQ38" s="61">
        <f t="shared" si="8"/>
        <v>377918.49939999997</v>
      </c>
      <c r="CR38" s="61">
        <f t="shared" si="8"/>
        <v>2701872.374679999</v>
      </c>
      <c r="CS38" s="61">
        <f t="shared" si="8"/>
        <v>5000</v>
      </c>
      <c r="CT38" s="61">
        <f t="shared" si="8"/>
        <v>20468.599999999999</v>
      </c>
      <c r="CU38" s="61">
        <f t="shared" si="8"/>
        <v>5000</v>
      </c>
      <c r="CV38" s="61">
        <f t="shared" si="8"/>
        <v>20468.599999999999</v>
      </c>
      <c r="CW38" s="43">
        <f t="shared" si="4"/>
        <v>411085776.11884624</v>
      </c>
    </row>
    <row r="39" spans="2:101" x14ac:dyDescent="0.25">
      <c r="B39" s="62"/>
      <c r="C39" s="63" t="s">
        <v>128</v>
      </c>
      <c r="D39" s="63">
        <v>12000</v>
      </c>
      <c r="E39" s="63">
        <v>-3400058.3424999998</v>
      </c>
      <c r="F39" s="63">
        <v>-3996000</v>
      </c>
      <c r="G39" s="63">
        <v>0</v>
      </c>
      <c r="H39" s="63">
        <v>0</v>
      </c>
      <c r="I39" s="63">
        <v>19.374679999999998</v>
      </c>
      <c r="J39" s="63">
        <v>0</v>
      </c>
      <c r="K39" s="63">
        <v>0</v>
      </c>
      <c r="L39" s="63">
        <v>-12863.73610398653</v>
      </c>
      <c r="M39" s="63">
        <v>-4.1455159999999998</v>
      </c>
      <c r="N39" s="63">
        <v>0</v>
      </c>
      <c r="O39" s="63">
        <v>0</v>
      </c>
      <c r="P39" s="63">
        <v>-485868.05999999959</v>
      </c>
      <c r="Q39" s="63">
        <v>-2081274.1391771985</v>
      </c>
      <c r="R39" s="63">
        <v>20.94</v>
      </c>
      <c r="S39" s="63">
        <v>89.699002800000002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33.126999999999995</v>
      </c>
      <c r="BB39" s="63">
        <v>11.472000000000001</v>
      </c>
      <c r="BC39" s="63">
        <v>43.768999999999998</v>
      </c>
      <c r="BD39" s="63">
        <v>2.7959999999999998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19.383569999999999</v>
      </c>
      <c r="BM39" s="63">
        <v>183.76333</v>
      </c>
      <c r="BN39" s="63">
        <v>704.52044000000001</v>
      </c>
      <c r="BO39" s="63">
        <v>0</v>
      </c>
      <c r="BP39" s="63">
        <v>4.718E-2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0</v>
      </c>
      <c r="BX39" s="63">
        <v>0</v>
      </c>
      <c r="BY39" s="63">
        <v>0</v>
      </c>
      <c r="BZ39" s="63">
        <v>1600000</v>
      </c>
      <c r="CA39" s="63">
        <v>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43">
        <f t="shared" si="4"/>
        <v>-8362939.5310943853</v>
      </c>
    </row>
    <row r="40" spans="2:101" ht="15.75" thickBot="1" x14ac:dyDescent="0.3">
      <c r="B40" s="64"/>
      <c r="C40" s="65" t="s">
        <v>129</v>
      </c>
      <c r="D40" s="65">
        <f>+D39+D38</f>
        <v>556710.52565000043</v>
      </c>
      <c r="E40" s="65">
        <f>+E39+E38</f>
        <v>20907733.056244563</v>
      </c>
      <c r="F40" s="65">
        <f>+F39+F38</f>
        <v>4743851.9972015098</v>
      </c>
      <c r="G40" s="65">
        <f t="shared" ref="G40:BR40" si="9">+G39+G38</f>
        <v>0</v>
      </c>
      <c r="H40" s="65">
        <f t="shared" si="9"/>
        <v>0</v>
      </c>
      <c r="I40" s="65">
        <f t="shared" si="9"/>
        <v>112708.05413999424</v>
      </c>
      <c r="J40" s="65">
        <f t="shared" si="9"/>
        <v>0</v>
      </c>
      <c r="K40" s="65">
        <f t="shared" si="9"/>
        <v>109952.39123814307</v>
      </c>
      <c r="L40" s="65">
        <f t="shared" si="9"/>
        <v>213080.25738129954</v>
      </c>
      <c r="M40" s="65">
        <f t="shared" si="9"/>
        <v>419674.54482886626</v>
      </c>
      <c r="N40" s="65">
        <f t="shared" si="9"/>
        <v>177310.5199999999</v>
      </c>
      <c r="O40" s="65">
        <f t="shared" si="9"/>
        <v>743248.15264999995</v>
      </c>
      <c r="P40" s="65">
        <f t="shared" si="9"/>
        <v>35126471.680000007</v>
      </c>
      <c r="Q40" s="65">
        <f t="shared" si="9"/>
        <v>149794653.69044158</v>
      </c>
      <c r="R40" s="65">
        <f t="shared" si="9"/>
        <v>275245.01999999996</v>
      </c>
      <c r="S40" s="65">
        <f t="shared" si="9"/>
        <v>1450773.7840695991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9662.5274983807467</v>
      </c>
      <c r="AA40" s="65">
        <f t="shared" si="9"/>
        <v>40503.29</v>
      </c>
      <c r="AB40" s="65">
        <f t="shared" si="9"/>
        <v>7542.7499999967404</v>
      </c>
      <c r="AC40" s="65">
        <f t="shared" si="9"/>
        <v>31617.62</v>
      </c>
      <c r="AD40" s="65">
        <f t="shared" si="9"/>
        <v>5155</v>
      </c>
      <c r="AE40" s="65">
        <f t="shared" si="9"/>
        <v>21608.68</v>
      </c>
      <c r="AF40" s="65">
        <f t="shared" si="9"/>
        <v>7956.8699999451637</v>
      </c>
      <c r="AG40" s="65">
        <f t="shared" si="9"/>
        <v>33353.53</v>
      </c>
      <c r="AH40" s="65">
        <f t="shared" si="9"/>
        <v>203175.47999999719</v>
      </c>
      <c r="AI40" s="65">
        <f t="shared" si="9"/>
        <v>851645.451214</v>
      </c>
      <c r="AJ40" s="65">
        <f t="shared" si="9"/>
        <v>673596.71999999823</v>
      </c>
      <c r="AK40" s="65">
        <f t="shared" si="9"/>
        <v>2823324.1679230896</v>
      </c>
      <c r="AL40" s="65">
        <f t="shared" si="9"/>
        <v>45808232.364840075</v>
      </c>
      <c r="AM40" s="65">
        <f t="shared" si="9"/>
        <v>59156998.799813539</v>
      </c>
      <c r="AN40" s="65">
        <f t="shared" si="9"/>
        <v>6399996.8199400008</v>
      </c>
      <c r="AO40" s="65">
        <f t="shared" si="9"/>
        <v>809966.41413143976</v>
      </c>
      <c r="AP40" s="65">
        <f t="shared" si="9"/>
        <v>12118432.359733757</v>
      </c>
      <c r="AQ40" s="65">
        <f t="shared" si="9"/>
        <v>2167313.3240721608</v>
      </c>
      <c r="AR40" s="65">
        <f t="shared" si="9"/>
        <v>33752.683643993005</v>
      </c>
      <c r="AS40" s="65">
        <f t="shared" si="9"/>
        <v>6.2719079996137461</v>
      </c>
      <c r="AT40" s="65">
        <f t="shared" si="9"/>
        <v>11.210432002509913</v>
      </c>
      <c r="AU40" s="65">
        <f t="shared" si="9"/>
        <v>70709.869203997281</v>
      </c>
      <c r="AV40" s="65">
        <f t="shared" si="9"/>
        <v>523662.90839880263</v>
      </c>
      <c r="AW40" s="65">
        <f t="shared" si="9"/>
        <v>85667.9885699968</v>
      </c>
      <c r="AX40" s="65">
        <f t="shared" si="9"/>
        <v>1041.3974240010875</v>
      </c>
      <c r="AY40" s="65">
        <f t="shared" si="9"/>
        <v>17450.753311997978</v>
      </c>
      <c r="AZ40" s="65">
        <f t="shared" si="9"/>
        <v>23267.345377323236</v>
      </c>
      <c r="BA40" s="65">
        <f t="shared" si="9"/>
        <v>201952.41672400691</v>
      </c>
      <c r="BB40" s="65">
        <f t="shared" si="9"/>
        <v>69934.963219991143</v>
      </c>
      <c r="BC40" s="65">
        <f t="shared" si="9"/>
        <v>266778.90384799871</v>
      </c>
      <c r="BD40" s="65">
        <f t="shared" si="9"/>
        <v>17045.357599989835</v>
      </c>
      <c r="BE40" s="65">
        <f t="shared" si="9"/>
        <v>256586.81289368056</v>
      </c>
      <c r="BF40" s="65">
        <f t="shared" si="9"/>
        <v>321949.5492303599</v>
      </c>
      <c r="BG40" s="65">
        <f t="shared" si="9"/>
        <v>35109.232018882758</v>
      </c>
      <c r="BH40" s="65">
        <f t="shared" si="9"/>
        <v>27273.514880002102</v>
      </c>
      <c r="BI40" s="65">
        <f t="shared" si="9"/>
        <v>630661.83776839031</v>
      </c>
      <c r="BJ40" s="65">
        <f t="shared" si="9"/>
        <v>197783.28604456017</v>
      </c>
      <c r="BK40" s="65">
        <f t="shared" si="9"/>
        <v>2995393.833886012</v>
      </c>
      <c r="BL40" s="65">
        <f t="shared" si="9"/>
        <v>112702.05170244607</v>
      </c>
      <c r="BM40" s="65">
        <f t="shared" si="9"/>
        <v>1068457.2287271509</v>
      </c>
      <c r="BN40" s="65">
        <f t="shared" si="9"/>
        <v>4096291.5426973812</v>
      </c>
      <c r="BO40" s="65">
        <f t="shared" si="9"/>
        <v>3.4691202304202307E-3</v>
      </c>
      <c r="BP40" s="65">
        <f t="shared" si="9"/>
        <v>255.11276932906549</v>
      </c>
      <c r="BQ40" s="65">
        <f t="shared" si="9"/>
        <v>4.0128798844989433E-3</v>
      </c>
      <c r="BR40" s="65">
        <f t="shared" si="9"/>
        <v>2723100.6460000034</v>
      </c>
      <c r="BS40" s="65">
        <f t="shared" ref="BS40:CV40" si="10">+BS39+BS38</f>
        <v>11426987.824417591</v>
      </c>
      <c r="BT40" s="65">
        <f t="shared" si="10"/>
        <v>407611.79493201897</v>
      </c>
      <c r="BU40" s="65">
        <f t="shared" si="10"/>
        <v>1697061.5471122912</v>
      </c>
      <c r="BV40" s="65">
        <f t="shared" si="10"/>
        <v>8401.9478600000002</v>
      </c>
      <c r="BW40" s="65">
        <f t="shared" si="10"/>
        <v>1147067.4469900005</v>
      </c>
      <c r="BX40" s="65">
        <f t="shared" si="10"/>
        <v>12663.664475599246</v>
      </c>
      <c r="BY40" s="65">
        <f t="shared" si="10"/>
        <v>679297.77</v>
      </c>
      <c r="BZ40" s="65">
        <f t="shared" si="10"/>
        <v>4292878.375</v>
      </c>
      <c r="CA40" s="65">
        <f t="shared" si="10"/>
        <v>6500702.3319999995</v>
      </c>
      <c r="CB40" s="65">
        <f t="shared" si="10"/>
        <v>18618.56624</v>
      </c>
      <c r="CC40" s="65">
        <f t="shared" si="10"/>
        <v>881178.36917999981</v>
      </c>
      <c r="CD40" s="65">
        <f t="shared" si="10"/>
        <v>0</v>
      </c>
      <c r="CE40" s="65">
        <f t="shared" si="10"/>
        <v>21654.544000000002</v>
      </c>
      <c r="CF40" s="65">
        <f t="shared" si="10"/>
        <v>1169486.4125900001</v>
      </c>
      <c r="CG40" s="65">
        <f t="shared" si="10"/>
        <v>162748.57699999999</v>
      </c>
      <c r="CH40" s="65">
        <f>+CH39+CH38</f>
        <v>2.9318200000000001</v>
      </c>
      <c r="CI40" s="65">
        <f t="shared" si="10"/>
        <v>892377.15928999998</v>
      </c>
      <c r="CJ40" s="65">
        <f t="shared" si="10"/>
        <v>63586.314789999997</v>
      </c>
      <c r="CK40" s="65">
        <f t="shared" si="10"/>
        <v>0</v>
      </c>
      <c r="CL40" s="65">
        <f t="shared" si="10"/>
        <v>0</v>
      </c>
      <c r="CM40" s="65">
        <f t="shared" si="10"/>
        <v>79545.21415</v>
      </c>
      <c r="CN40" s="65">
        <f t="shared" si="10"/>
        <v>662731.23896999995</v>
      </c>
      <c r="CO40" s="65">
        <f t="shared" si="10"/>
        <v>736440.24131999968</v>
      </c>
      <c r="CP40" s="65">
        <f t="shared" si="10"/>
        <v>9152723.6727600005</v>
      </c>
      <c r="CQ40" s="65">
        <f t="shared" si="10"/>
        <v>377918.49939999997</v>
      </c>
      <c r="CR40" s="65">
        <f t="shared" si="10"/>
        <v>2701872.374679999</v>
      </c>
      <c r="CS40" s="65">
        <f t="shared" si="10"/>
        <v>5000</v>
      </c>
      <c r="CT40" s="65">
        <f t="shared" si="10"/>
        <v>20468.599999999999</v>
      </c>
      <c r="CU40" s="65">
        <f t="shared" si="10"/>
        <v>5000</v>
      </c>
      <c r="CV40" s="65">
        <f t="shared" si="10"/>
        <v>20468.599999999999</v>
      </c>
      <c r="CW40" s="43">
        <f t="shared" si="4"/>
        <v>402722836.58775181</v>
      </c>
    </row>
    <row r="41" spans="2:101" ht="15.75" thickBot="1" x14ac:dyDescent="0.3"/>
    <row r="42" spans="2:101" x14ac:dyDescent="0.25">
      <c r="C42" s="67" t="s">
        <v>130</v>
      </c>
      <c r="D42" s="68">
        <f>+D37+D39</f>
        <v>794.86672000000181</v>
      </c>
      <c r="E42" s="68">
        <f>+E37+E39</f>
        <v>10535658.952140002</v>
      </c>
      <c r="F42" s="69">
        <f>+F37+F39</f>
        <v>-500319.89183999971</v>
      </c>
      <c r="G42" s="88">
        <v>20375.599999999999</v>
      </c>
      <c r="H42" s="88">
        <v>20376.599999999999</v>
      </c>
      <c r="I42" s="88">
        <v>20377.599999999999</v>
      </c>
      <c r="J42" s="88">
        <v>20378.599999999999</v>
      </c>
      <c r="K42" s="88">
        <v>20379.599999999999</v>
      </c>
      <c r="L42" s="88">
        <v>20380.599999999999</v>
      </c>
      <c r="M42" s="88">
        <v>20381.599999999999</v>
      </c>
      <c r="N42" s="88">
        <v>20382.599999999999</v>
      </c>
      <c r="O42" s="88">
        <v>20383.599999999999</v>
      </c>
      <c r="P42" s="88">
        <v>20384.599999999999</v>
      </c>
      <c r="Q42" s="88">
        <v>20385.599999999999</v>
      </c>
      <c r="R42" s="88">
        <v>20386.599999999999</v>
      </c>
      <c r="S42" s="88">
        <v>20387.599999999999</v>
      </c>
      <c r="T42" s="88">
        <v>20388.599999999999</v>
      </c>
      <c r="U42" s="88">
        <v>20389.599999999999</v>
      </c>
      <c r="V42" s="88">
        <v>20390.599999999999</v>
      </c>
      <c r="W42" s="88">
        <v>20391.599999999999</v>
      </c>
      <c r="X42" s="88">
        <v>20392.599999999999</v>
      </c>
      <c r="Y42" s="88">
        <v>20393.599999999999</v>
      </c>
      <c r="Z42" s="88">
        <v>20394.599999999999</v>
      </c>
      <c r="AA42" s="88">
        <v>20395.599999999999</v>
      </c>
      <c r="AB42" s="88">
        <v>20396.599999999999</v>
      </c>
      <c r="AC42" s="88">
        <v>20397.599999999999</v>
      </c>
      <c r="AD42" s="88">
        <v>20398.599999999999</v>
      </c>
      <c r="AE42" s="88">
        <v>20399.599999999999</v>
      </c>
      <c r="AF42" s="88">
        <v>20400.599999999999</v>
      </c>
      <c r="AG42" s="88">
        <v>20401.599999999999</v>
      </c>
      <c r="AH42" s="88">
        <v>20402.599999999999</v>
      </c>
      <c r="AI42" s="88">
        <v>20403.599999999999</v>
      </c>
      <c r="AJ42" s="88">
        <v>20404.599999999999</v>
      </c>
      <c r="AK42" s="88">
        <v>20405.599999999999</v>
      </c>
      <c r="AL42" s="88">
        <v>20406.599999999999</v>
      </c>
      <c r="AM42" s="88">
        <v>20407.599999999999</v>
      </c>
      <c r="AN42" s="88">
        <v>20408.599999999999</v>
      </c>
      <c r="AO42" s="88">
        <v>20409.599999999999</v>
      </c>
      <c r="AP42" s="88">
        <v>20410.599999999999</v>
      </c>
      <c r="AQ42" s="88">
        <v>20411.599999999999</v>
      </c>
      <c r="AR42" s="88">
        <v>20412.599999999999</v>
      </c>
      <c r="AS42" s="88">
        <v>20413.599999999999</v>
      </c>
      <c r="AT42" s="88">
        <v>20414.599999999999</v>
      </c>
      <c r="AU42" s="88">
        <v>20415.599999999999</v>
      </c>
      <c r="AV42" s="88">
        <v>20416.599999999999</v>
      </c>
      <c r="AW42" s="88">
        <v>20417.599999999999</v>
      </c>
      <c r="AX42" s="88">
        <v>20418.599999999999</v>
      </c>
      <c r="AY42" s="88">
        <v>20419.599999999999</v>
      </c>
      <c r="AZ42" s="88">
        <v>20420.599999999999</v>
      </c>
      <c r="BA42" s="88">
        <v>20421.599999999999</v>
      </c>
      <c r="BB42" s="88">
        <v>20422.599999999999</v>
      </c>
      <c r="BC42" s="88">
        <v>20423.599999999999</v>
      </c>
      <c r="BD42" s="88">
        <v>20424.599999999999</v>
      </c>
      <c r="BE42" s="88">
        <v>20425.599999999999</v>
      </c>
      <c r="BF42" s="88">
        <v>20426.599999999999</v>
      </c>
      <c r="BG42" s="88">
        <v>20427.599999999999</v>
      </c>
      <c r="BH42" s="88">
        <v>20428.599999999999</v>
      </c>
      <c r="BI42" s="88">
        <v>20429.599999999999</v>
      </c>
      <c r="BJ42" s="88">
        <v>20430.599999999999</v>
      </c>
      <c r="BK42" s="88">
        <v>20431.599999999999</v>
      </c>
      <c r="BL42" s="88">
        <v>20432.599999999999</v>
      </c>
      <c r="BM42" s="88">
        <v>20433.599999999999</v>
      </c>
      <c r="BN42" s="88">
        <v>20434.599999999999</v>
      </c>
      <c r="BO42" s="88">
        <v>20435.599999999999</v>
      </c>
      <c r="BP42" s="88">
        <v>20436.599999999999</v>
      </c>
      <c r="BQ42" s="88">
        <v>20437.599999999999</v>
      </c>
      <c r="BR42" s="88">
        <v>20438.599999999999</v>
      </c>
      <c r="BS42" s="88">
        <v>20439.599999999999</v>
      </c>
      <c r="BT42" s="88">
        <v>20440.599999999999</v>
      </c>
      <c r="BU42" s="88">
        <v>20441.599999999999</v>
      </c>
      <c r="BV42" s="88">
        <v>20442.599999999999</v>
      </c>
      <c r="BW42" s="88">
        <v>20443.599999999999</v>
      </c>
      <c r="BX42" s="88">
        <v>20444.599999999999</v>
      </c>
      <c r="BY42" s="88">
        <v>20445.599999999999</v>
      </c>
      <c r="BZ42" s="88">
        <v>20446.599999999999</v>
      </c>
      <c r="CA42" s="88">
        <v>20447.599999999999</v>
      </c>
      <c r="CB42" s="88">
        <v>20448.599999999999</v>
      </c>
      <c r="CC42" s="88">
        <v>20449.599999999999</v>
      </c>
      <c r="CD42" s="88">
        <v>20450.599999999999</v>
      </c>
      <c r="CE42" s="88">
        <v>20451.599999999999</v>
      </c>
      <c r="CF42" s="88">
        <v>20452.599999999999</v>
      </c>
      <c r="CG42" s="88">
        <v>20453.599999999999</v>
      </c>
      <c r="CH42" s="88">
        <v>20454.599999999999</v>
      </c>
      <c r="CI42" s="88">
        <v>20455.599999999999</v>
      </c>
      <c r="CJ42" s="88">
        <v>20456.599999999999</v>
      </c>
      <c r="CK42" s="88">
        <v>20457.599999999999</v>
      </c>
      <c r="CL42" s="88">
        <v>20458.599999999999</v>
      </c>
      <c r="CM42" s="88">
        <v>20459.599999999999</v>
      </c>
      <c r="CN42" s="88">
        <v>20460.599999999999</v>
      </c>
      <c r="CO42" s="88">
        <v>20461.599999999999</v>
      </c>
      <c r="CP42" s="88">
        <v>20462.599999999999</v>
      </c>
      <c r="CQ42" s="88">
        <v>20463.599999999999</v>
      </c>
      <c r="CR42" s="88">
        <v>20464.599999999999</v>
      </c>
      <c r="CS42" s="88">
        <v>20465.599999999999</v>
      </c>
      <c r="CT42" s="88">
        <v>20466.599999999999</v>
      </c>
      <c r="CU42" s="88">
        <v>20467.599999999999</v>
      </c>
      <c r="CV42" s="88">
        <v>20468.599999999999</v>
      </c>
    </row>
    <row r="43" spans="2:101" x14ac:dyDescent="0.25">
      <c r="C43" s="70" t="s">
        <v>131</v>
      </c>
      <c r="D43" s="71">
        <v>794.86671999999896</v>
      </c>
      <c r="E43" s="71">
        <v>10251606.275660001</v>
      </c>
      <c r="F43" s="71">
        <v>-500319.8959</v>
      </c>
      <c r="G43" s="66"/>
      <c r="H43" s="66"/>
      <c r="CT43" s="66"/>
      <c r="CU43" s="66"/>
      <c r="CV43" s="66"/>
    </row>
    <row r="44" spans="2:101" ht="15.75" thickBot="1" x14ac:dyDescent="0.3">
      <c r="C44" s="73" t="s">
        <v>132</v>
      </c>
      <c r="D44" s="74">
        <f>+D42-D43</f>
        <v>2.8421709430404007E-12</v>
      </c>
      <c r="E44" s="74">
        <f>+E42-E43</f>
        <v>284052.67648000084</v>
      </c>
      <c r="F44" s="75">
        <f>+F42-F43</f>
        <v>4.0600002976134419E-3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</row>
    <row r="45" spans="2:101" x14ac:dyDescent="0.25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</row>
    <row r="46" spans="2:101" x14ac:dyDescent="0.25">
      <c r="D46" s="10">
        <v>9610</v>
      </c>
      <c r="E46" s="10">
        <v>8919138870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2:101" x14ac:dyDescent="0.25">
      <c r="D47" s="10">
        <v>8236</v>
      </c>
      <c r="E47" s="10">
        <v>8578337615</v>
      </c>
      <c r="I47" s="66" t="s">
        <v>133</v>
      </c>
      <c r="AL47" s="76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</row>
    <row r="48" spans="2:101" x14ac:dyDescent="0.25">
      <c r="D48" s="10">
        <v>9594</v>
      </c>
      <c r="E48" s="77">
        <v>2637669361.6100001</v>
      </c>
      <c r="AL48" s="76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</row>
    <row r="49" spans="2:97" x14ac:dyDescent="0.25">
      <c r="C49" s="78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</row>
    <row r="50" spans="2:97" x14ac:dyDescent="0.25"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/>
    </row>
    <row r="51" spans="2:97" x14ac:dyDescent="0.25">
      <c r="CS51"/>
    </row>
    <row r="52" spans="2:97" x14ac:dyDescent="0.25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/>
    </row>
    <row r="53" spans="2:97" x14ac:dyDescent="0.25">
      <c r="CS53"/>
    </row>
    <row r="54" spans="2:97" x14ac:dyDescent="0.25">
      <c r="CS54"/>
    </row>
    <row r="55" spans="2:97" x14ac:dyDescent="0.25">
      <c r="CS55"/>
    </row>
    <row r="58" spans="2:97" x14ac:dyDescent="0.25">
      <c r="B58" s="66"/>
      <c r="C58" s="66"/>
      <c r="D58" s="66"/>
      <c r="E58" s="66"/>
      <c r="F58" s="66"/>
      <c r="G58" s="66"/>
      <c r="H58" s="66"/>
      <c r="CM58"/>
      <c r="CN58"/>
      <c r="CO58"/>
      <c r="CP58"/>
      <c r="CQ58"/>
      <c r="CR58"/>
    </row>
    <row r="59" spans="2:97" x14ac:dyDescent="0.25">
      <c r="B59" s="66"/>
      <c r="C59" s="66"/>
      <c r="D59" s="66"/>
      <c r="E59" s="66"/>
      <c r="F59" s="66"/>
      <c r="G59" s="66"/>
      <c r="H59" s="66"/>
      <c r="CM59"/>
      <c r="CN59"/>
      <c r="CO59"/>
      <c r="CP59"/>
      <c r="CQ59"/>
      <c r="CR59"/>
    </row>
    <row r="60" spans="2:97" x14ac:dyDescent="0.25">
      <c r="B60" s="66"/>
      <c r="C60" s="66"/>
      <c r="D60" s="66"/>
      <c r="E60" s="66"/>
      <c r="F60" s="66"/>
      <c r="G60" s="66"/>
      <c r="H60" s="66"/>
      <c r="CM60"/>
      <c r="CN60"/>
      <c r="CO60"/>
      <c r="CP60"/>
      <c r="CQ60"/>
      <c r="CR60"/>
    </row>
    <row r="61" spans="2:97" x14ac:dyDescent="0.25">
      <c r="B61" s="66"/>
      <c r="C61" s="66"/>
      <c r="D61" s="66"/>
      <c r="E61" s="66"/>
      <c r="F61" s="66"/>
      <c r="G61" s="66"/>
      <c r="H61" s="66"/>
      <c r="CM61"/>
      <c r="CN61"/>
      <c r="CO61"/>
      <c r="CP61"/>
      <c r="CQ61"/>
      <c r="CR61"/>
    </row>
    <row r="62" spans="2:97" x14ac:dyDescent="0.25">
      <c r="B62" s="66"/>
      <c r="C62" s="66"/>
      <c r="D62" s="66"/>
      <c r="E62" s="66"/>
      <c r="F62" s="66"/>
      <c r="G62" s="66"/>
      <c r="H62" s="66"/>
      <c r="CM62"/>
      <c r="CN62"/>
      <c r="CO62"/>
      <c r="CP62"/>
      <c r="CQ62"/>
      <c r="CR62"/>
    </row>
    <row r="63" spans="2:97" x14ac:dyDescent="0.25">
      <c r="B63" s="66"/>
      <c r="C63" s="66"/>
      <c r="D63" s="66"/>
      <c r="E63" s="66"/>
      <c r="F63" s="66"/>
      <c r="G63" s="66"/>
      <c r="H63" s="66"/>
      <c r="CM63"/>
      <c r="CN63"/>
      <c r="CO63"/>
      <c r="CP63"/>
      <c r="CQ63"/>
      <c r="CR63"/>
    </row>
  </sheetData>
  <mergeCells count="1">
    <mergeCell ref="AP2:AP3"/>
  </mergeCells>
  <pageMargins left="0.7" right="0.7" top="0.75" bottom="0.75" header="0.3" footer="0.3"/>
  <pageSetup orientation="portrait" r:id="rId1"/>
  <customProperties>
    <customPr name="QAA_DRILLPATH_NODE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3"/>
  <sheetViews>
    <sheetView zoomScale="112" zoomScaleNormal="112" workbookViewId="0">
      <selection activeCell="BS5" sqref="BS5"/>
    </sheetView>
  </sheetViews>
  <sheetFormatPr baseColWidth="10" defaultRowHeight="15" outlineLevelCol="2" x14ac:dyDescent="0.25"/>
  <cols>
    <col min="1" max="1" width="8.5703125" style="10" customWidth="1"/>
    <col min="2" max="2" width="10" style="10" bestFit="1" customWidth="1"/>
    <col min="3" max="3" width="43" style="10" bestFit="1" customWidth="1"/>
    <col min="4" max="5" width="19.42578125" style="10" bestFit="1" customWidth="1"/>
    <col min="6" max="6" width="21.85546875" style="10" bestFit="1" customWidth="1"/>
    <col min="7" max="7" width="19.5703125" style="10" customWidth="1" outlineLevel="1"/>
    <col min="8" max="8" width="17.85546875" style="10" customWidth="1" outlineLevel="1"/>
    <col min="9" max="9" width="17.85546875" style="66" bestFit="1" customWidth="1"/>
    <col min="10" max="10" width="17.85546875" style="66" customWidth="1" outlineLevel="2"/>
    <col min="11" max="13" width="16.42578125" style="66" customWidth="1" outlineLevel="2"/>
    <col min="14" max="14" width="18.85546875" style="66" customWidth="1" outlineLevel="2"/>
    <col min="15" max="15" width="21" style="66" customWidth="1" outlineLevel="2"/>
    <col min="16" max="17" width="14.140625" style="66" customWidth="1" outlineLevel="2"/>
    <col min="18" max="18" width="16.42578125" style="66" customWidth="1" outlineLevel="2"/>
    <col min="19" max="25" width="18.42578125" style="66" customWidth="1" outlineLevel="2"/>
    <col min="26" max="26" width="18.85546875" style="66" customWidth="1" outlineLevel="2"/>
    <col min="27" max="27" width="21" style="66" customWidth="1" outlineLevel="2"/>
    <col min="28" max="29" width="14.5703125" style="66" customWidth="1" outlineLevel="2"/>
    <col min="30" max="30" width="16.42578125" style="66" customWidth="1" outlineLevel="2"/>
    <col min="31" max="31" width="18.42578125" style="66" customWidth="1" outlineLevel="2"/>
    <col min="32" max="32" width="18.140625" style="66" customWidth="1" outlineLevel="2"/>
    <col min="33" max="33" width="20.140625" style="66" customWidth="1" outlineLevel="2"/>
    <col min="34" max="37" width="14.5703125" style="66" customWidth="1" outlineLevel="2"/>
    <col min="38" max="38" width="14.42578125" style="66" bestFit="1" customWidth="1"/>
    <col min="39" max="40" width="13.42578125" style="66" bestFit="1" customWidth="1"/>
    <col min="41" max="41" width="12.42578125" style="66" bestFit="1" customWidth="1"/>
    <col min="42" max="42" width="17.140625" style="66" bestFit="1" customWidth="1"/>
    <col min="43" max="43" width="17.140625" style="66" customWidth="1"/>
    <col min="44" max="48" width="17.42578125" style="66" customWidth="1" outlineLevel="1"/>
    <col min="49" max="49" width="15.140625" style="66" customWidth="1" outlineLevel="1"/>
    <col min="50" max="50" width="9.85546875" style="66" customWidth="1" outlineLevel="1"/>
    <col min="51" max="51" width="12.5703125" style="66" customWidth="1" outlineLevel="1"/>
    <col min="52" max="52" width="14.42578125" style="66" customWidth="1" outlineLevel="1"/>
    <col min="53" max="53" width="15.140625" style="66" customWidth="1" outlineLevel="1"/>
    <col min="54" max="55" width="11.85546875" style="66" customWidth="1" outlineLevel="1"/>
    <col min="56" max="56" width="12.5703125" style="66" customWidth="1" outlineLevel="1"/>
    <col min="57" max="59" width="16.5703125" style="66" customWidth="1" outlineLevel="1"/>
    <col min="60" max="60" width="15.140625" style="66" customWidth="1" outlineLevel="1"/>
    <col min="61" max="62" width="13.5703125" style="66" customWidth="1" outlineLevel="1"/>
    <col min="63" max="63" width="14.42578125" style="66" customWidth="1" outlineLevel="1"/>
    <col min="64" max="64" width="19.5703125" style="66" customWidth="1" outlineLevel="1"/>
    <col min="65" max="66" width="17.85546875" style="66" customWidth="1" outlineLevel="1"/>
    <col min="67" max="67" width="12.85546875" style="66" customWidth="1" outlineLevel="1"/>
    <col min="68" max="68" width="13.5703125" style="66" customWidth="1" outlineLevel="1"/>
    <col min="69" max="69" width="18.85546875" style="66" customWidth="1" outlineLevel="1"/>
    <col min="70" max="70" width="20.140625" style="66" customWidth="1" outlineLevel="1"/>
    <col min="71" max="73" width="20.140625" style="66" bestFit="1" customWidth="1"/>
    <col min="74" max="76" width="17.42578125" style="66" bestFit="1" customWidth="1"/>
    <col min="77" max="77" width="15.140625" style="66" bestFit="1" customWidth="1"/>
    <col min="78" max="79" width="14.42578125" style="66" bestFit="1" customWidth="1"/>
    <col min="80" max="80" width="15.140625" style="66" bestFit="1" customWidth="1"/>
    <col min="81" max="82" width="15" style="66" bestFit="1" customWidth="1"/>
    <col min="83" max="83" width="15.140625" style="66" bestFit="1" customWidth="1"/>
    <col min="84" max="84" width="11.7109375" style="66" bestFit="1" customWidth="1"/>
    <col min="85" max="85" width="12.5703125" style="66" bestFit="1" customWidth="1"/>
    <col min="86" max="86" width="16.5703125" style="66" bestFit="1" customWidth="1"/>
    <col min="87" max="88" width="19.7109375" style="66" bestFit="1" customWidth="1"/>
    <col min="89" max="89" width="15.5703125" style="66" customWidth="1"/>
    <col min="90" max="90" width="11.28515625" style="66" customWidth="1"/>
    <col min="91" max="91" width="17.85546875" style="66" bestFit="1" customWidth="1"/>
    <col min="92" max="92" width="14.42578125" style="66" customWidth="1"/>
    <col min="93" max="93" width="14.28515625" style="66" bestFit="1" customWidth="1"/>
    <col min="94" max="95" width="19.7109375" style="66" bestFit="1" customWidth="1"/>
    <col min="96" max="96" width="16.5703125" style="66" bestFit="1" customWidth="1"/>
    <col min="97" max="97" width="22" style="66" bestFit="1" customWidth="1"/>
    <col min="98" max="98" width="12" bestFit="1" customWidth="1"/>
    <col min="99" max="99" width="11.5703125" bestFit="1" customWidth="1"/>
    <col min="100" max="100" width="12" bestFit="1" customWidth="1"/>
    <col min="101" max="101" width="15.28515625" bestFit="1" customWidth="1"/>
  </cols>
  <sheetData>
    <row r="1" spans="1:101" ht="28.5" x14ac:dyDescent="0.45">
      <c r="A1" s="1"/>
      <c r="B1" s="1"/>
      <c r="C1" s="1"/>
      <c r="D1" s="2"/>
      <c r="E1" s="3"/>
      <c r="F1" s="3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5"/>
      <c r="AN1" s="5"/>
      <c r="AO1" s="5"/>
      <c r="AP1" s="5"/>
      <c r="AQ1" s="5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6"/>
      <c r="BM1" s="4"/>
      <c r="BN1" s="4"/>
      <c r="BO1" s="4"/>
      <c r="BP1" s="4"/>
      <c r="BQ1" s="4"/>
      <c r="BR1" s="7"/>
      <c r="BS1" s="7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8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spans="1:101" ht="15" customHeight="1" x14ac:dyDescent="0.25">
      <c r="D2" s="11" t="s">
        <v>0</v>
      </c>
      <c r="E2" s="11" t="s">
        <v>1</v>
      </c>
      <c r="F2" s="11" t="s">
        <v>2</v>
      </c>
      <c r="G2" s="12" t="s">
        <v>3</v>
      </c>
      <c r="H2" s="12" t="s">
        <v>4</v>
      </c>
      <c r="I2" s="13" t="s">
        <v>5</v>
      </c>
      <c r="J2" s="12" t="s">
        <v>6</v>
      </c>
      <c r="K2" s="12" t="s">
        <v>0</v>
      </c>
      <c r="L2" s="12" t="s">
        <v>1</v>
      </c>
      <c r="M2" s="12" t="s">
        <v>2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12" t="s">
        <v>12</v>
      </c>
      <c r="T2" s="16" t="s">
        <v>7</v>
      </c>
      <c r="U2" s="16" t="s">
        <v>8</v>
      </c>
      <c r="V2" s="16" t="s">
        <v>134</v>
      </c>
      <c r="W2" s="16" t="s">
        <v>135</v>
      </c>
      <c r="X2" s="16" t="s">
        <v>11</v>
      </c>
      <c r="Y2" s="16" t="s">
        <v>12</v>
      </c>
      <c r="Z2" s="12" t="s">
        <v>7</v>
      </c>
      <c r="AA2" s="12" t="s">
        <v>8</v>
      </c>
      <c r="AB2" s="12" t="s">
        <v>9</v>
      </c>
      <c r="AC2" s="12" t="s">
        <v>10</v>
      </c>
      <c r="AD2" s="12" t="s">
        <v>11</v>
      </c>
      <c r="AE2" s="12" t="s">
        <v>12</v>
      </c>
      <c r="AF2" s="12" t="s">
        <v>13</v>
      </c>
      <c r="AG2" s="12" t="s">
        <v>14</v>
      </c>
      <c r="AH2" s="12" t="s">
        <v>15</v>
      </c>
      <c r="AI2" s="12" t="s">
        <v>16</v>
      </c>
      <c r="AJ2" s="12" t="s">
        <v>17</v>
      </c>
      <c r="AK2" s="12" t="s">
        <v>18</v>
      </c>
      <c r="AL2" s="14" t="s">
        <v>19</v>
      </c>
      <c r="AM2" s="14" t="s">
        <v>20</v>
      </c>
      <c r="AN2" s="15" t="s">
        <v>21</v>
      </c>
      <c r="AO2" s="15" t="s">
        <v>22</v>
      </c>
      <c r="AP2" s="89" t="s">
        <v>23</v>
      </c>
      <c r="AQ2" s="83"/>
      <c r="AR2" s="16" t="s">
        <v>0</v>
      </c>
      <c r="AS2" s="16" t="s">
        <v>24</v>
      </c>
      <c r="AT2" s="12" t="s">
        <v>5</v>
      </c>
      <c r="AU2" s="12" t="s">
        <v>2</v>
      </c>
      <c r="AV2" s="12" t="s">
        <v>19</v>
      </c>
      <c r="AW2" s="12" t="s">
        <v>0</v>
      </c>
      <c r="AX2" s="12" t="s">
        <v>24</v>
      </c>
      <c r="AY2" s="12" t="s">
        <v>2</v>
      </c>
      <c r="AZ2" s="12" t="s">
        <v>19</v>
      </c>
      <c r="BA2" s="12" t="s">
        <v>0</v>
      </c>
      <c r="BB2" s="12" t="s">
        <v>24</v>
      </c>
      <c r="BC2" s="12" t="s">
        <v>5</v>
      </c>
      <c r="BD2" s="12" t="s">
        <v>2</v>
      </c>
      <c r="BE2" s="12" t="s">
        <v>0</v>
      </c>
      <c r="BF2" s="12" t="s">
        <v>24</v>
      </c>
      <c r="BG2" s="17" t="s">
        <v>2</v>
      </c>
      <c r="BH2" s="17" t="s">
        <v>0</v>
      </c>
      <c r="BI2" s="17" t="s">
        <v>24</v>
      </c>
      <c r="BJ2" s="17" t="s">
        <v>2</v>
      </c>
      <c r="BK2" s="17" t="s">
        <v>19</v>
      </c>
      <c r="BL2" s="18" t="s">
        <v>3</v>
      </c>
      <c r="BM2" s="18" t="s">
        <v>4</v>
      </c>
      <c r="BN2" s="18" t="s">
        <v>6</v>
      </c>
      <c r="BO2" s="18" t="s">
        <v>25</v>
      </c>
      <c r="BP2" s="18" t="s">
        <v>26</v>
      </c>
      <c r="BQ2" s="18" t="s">
        <v>27</v>
      </c>
      <c r="BR2" s="14" t="s">
        <v>28</v>
      </c>
      <c r="BS2" s="14" t="s">
        <v>10</v>
      </c>
      <c r="BT2" s="14" t="s">
        <v>29</v>
      </c>
      <c r="BU2" s="14" t="s">
        <v>12</v>
      </c>
      <c r="BV2" s="14" t="s">
        <v>0</v>
      </c>
      <c r="BW2" s="14" t="s">
        <v>1</v>
      </c>
      <c r="BX2" s="14" t="s">
        <v>2</v>
      </c>
      <c r="BY2" s="14" t="s">
        <v>0</v>
      </c>
      <c r="BZ2" s="14" t="s">
        <v>1</v>
      </c>
      <c r="CA2" s="14" t="s">
        <v>2</v>
      </c>
      <c r="CB2" s="14" t="s">
        <v>0</v>
      </c>
      <c r="CC2" s="14" t="s">
        <v>1</v>
      </c>
      <c r="CD2" s="14" t="s">
        <v>2</v>
      </c>
      <c r="CE2" s="14" t="s">
        <v>0</v>
      </c>
      <c r="CF2" s="14" t="s">
        <v>1</v>
      </c>
      <c r="CG2" s="14" t="s">
        <v>2</v>
      </c>
      <c r="CH2" s="14" t="s">
        <v>2</v>
      </c>
      <c r="CI2" s="14" t="s">
        <v>1</v>
      </c>
      <c r="CJ2" s="14" t="s">
        <v>2</v>
      </c>
      <c r="CK2" s="14" t="s">
        <v>1</v>
      </c>
      <c r="CL2" s="14" t="s">
        <v>1</v>
      </c>
      <c r="CM2" s="14" t="s">
        <v>1</v>
      </c>
      <c r="CN2" s="14" t="s">
        <v>1</v>
      </c>
      <c r="CO2" s="14" t="s">
        <v>1</v>
      </c>
      <c r="CP2" s="14" t="s">
        <v>1</v>
      </c>
      <c r="CQ2" s="14" t="s">
        <v>1</v>
      </c>
      <c r="CR2" s="19" t="s">
        <v>30</v>
      </c>
      <c r="CS2" s="85" t="s">
        <v>136</v>
      </c>
      <c r="CT2" s="85" t="s">
        <v>135</v>
      </c>
      <c r="CU2" s="85" t="s">
        <v>29</v>
      </c>
      <c r="CV2" s="85" t="s">
        <v>12</v>
      </c>
      <c r="CW2" s="20" t="s">
        <v>31</v>
      </c>
    </row>
    <row r="3" spans="1:101" ht="60" x14ac:dyDescent="0.25">
      <c r="D3" s="21" t="s">
        <v>32</v>
      </c>
      <c r="E3" s="21" t="s">
        <v>32</v>
      </c>
      <c r="F3" s="21" t="s">
        <v>32</v>
      </c>
      <c r="G3" s="22" t="s">
        <v>32</v>
      </c>
      <c r="H3" s="22" t="s">
        <v>32</v>
      </c>
      <c r="I3" s="23" t="s">
        <v>32</v>
      </c>
      <c r="J3" s="22" t="s">
        <v>32</v>
      </c>
      <c r="K3" s="22" t="s">
        <v>33</v>
      </c>
      <c r="L3" s="22" t="s">
        <v>33</v>
      </c>
      <c r="M3" s="22" t="s">
        <v>33</v>
      </c>
      <c r="N3" s="22" t="s">
        <v>34</v>
      </c>
      <c r="O3" s="22" t="s">
        <v>34</v>
      </c>
      <c r="P3" s="22" t="s">
        <v>34</v>
      </c>
      <c r="Q3" s="22" t="s">
        <v>34</v>
      </c>
      <c r="R3" s="22" t="s">
        <v>34</v>
      </c>
      <c r="S3" s="22" t="s">
        <v>34</v>
      </c>
      <c r="T3" s="24" t="s">
        <v>137</v>
      </c>
      <c r="U3" s="24" t="s">
        <v>137</v>
      </c>
      <c r="V3" s="24" t="s">
        <v>137</v>
      </c>
      <c r="W3" s="24" t="s">
        <v>137</v>
      </c>
      <c r="X3" s="24" t="s">
        <v>137</v>
      </c>
      <c r="Y3" s="24" t="s">
        <v>137</v>
      </c>
      <c r="Z3" s="22" t="s">
        <v>35</v>
      </c>
      <c r="AA3" s="22" t="s">
        <v>35</v>
      </c>
      <c r="AB3" s="22" t="s">
        <v>35</v>
      </c>
      <c r="AC3" s="22" t="s">
        <v>35</v>
      </c>
      <c r="AD3" s="22" t="s">
        <v>35</v>
      </c>
      <c r="AE3" s="22" t="s">
        <v>35</v>
      </c>
      <c r="AF3" s="22" t="s">
        <v>35</v>
      </c>
      <c r="AG3" s="22" t="s">
        <v>35</v>
      </c>
      <c r="AH3" s="22" t="s">
        <v>35</v>
      </c>
      <c r="AI3" s="22" t="s">
        <v>35</v>
      </c>
      <c r="AJ3" s="22" t="s">
        <v>35</v>
      </c>
      <c r="AK3" s="22" t="s">
        <v>35</v>
      </c>
      <c r="AL3" s="23" t="s">
        <v>36</v>
      </c>
      <c r="AM3" s="23" t="s">
        <v>36</v>
      </c>
      <c r="AN3" s="23"/>
      <c r="AO3" s="23"/>
      <c r="AP3" s="90"/>
      <c r="AQ3" s="84" t="s">
        <v>37</v>
      </c>
      <c r="AR3" s="24" t="s">
        <v>38</v>
      </c>
      <c r="AS3" s="24" t="s">
        <v>38</v>
      </c>
      <c r="AT3" s="22" t="s">
        <v>38</v>
      </c>
      <c r="AU3" s="22" t="s">
        <v>38</v>
      </c>
      <c r="AV3" s="22" t="s">
        <v>38</v>
      </c>
      <c r="AW3" s="22" t="s">
        <v>39</v>
      </c>
      <c r="AX3" s="22" t="s">
        <v>39</v>
      </c>
      <c r="AY3" s="22" t="s">
        <v>39</v>
      </c>
      <c r="AZ3" s="22" t="s">
        <v>39</v>
      </c>
      <c r="BA3" s="22" t="s">
        <v>40</v>
      </c>
      <c r="BB3" s="22" t="s">
        <v>40</v>
      </c>
      <c r="BC3" s="22" t="s">
        <v>40</v>
      </c>
      <c r="BD3" s="22" t="s">
        <v>40</v>
      </c>
      <c r="BE3" s="22" t="s">
        <v>41</v>
      </c>
      <c r="BF3" s="22" t="s">
        <v>41</v>
      </c>
      <c r="BG3" s="22" t="s">
        <v>41</v>
      </c>
      <c r="BH3" s="22" t="s">
        <v>42</v>
      </c>
      <c r="BI3" s="22" t="s">
        <v>42</v>
      </c>
      <c r="BJ3" s="22" t="s">
        <v>42</v>
      </c>
      <c r="BK3" s="22" t="s">
        <v>42</v>
      </c>
      <c r="BL3" s="24" t="s">
        <v>32</v>
      </c>
      <c r="BM3" s="24" t="s">
        <v>32</v>
      </c>
      <c r="BN3" s="24" t="s">
        <v>32</v>
      </c>
      <c r="BO3" s="25" t="s">
        <v>4</v>
      </c>
      <c r="BP3" s="25" t="s">
        <v>4</v>
      </c>
      <c r="BQ3" s="25" t="s">
        <v>4</v>
      </c>
      <c r="BR3" s="84" t="s">
        <v>43</v>
      </c>
      <c r="BS3" s="84" t="s">
        <v>43</v>
      </c>
      <c r="BT3" s="84" t="s">
        <v>43</v>
      </c>
      <c r="BU3" s="84" t="s">
        <v>43</v>
      </c>
      <c r="BV3" s="84" t="s">
        <v>38</v>
      </c>
      <c r="BW3" s="84" t="s">
        <v>38</v>
      </c>
      <c r="BX3" s="84" t="s">
        <v>38</v>
      </c>
      <c r="BY3" s="84" t="s">
        <v>42</v>
      </c>
      <c r="BZ3" s="84" t="s">
        <v>42</v>
      </c>
      <c r="CA3" s="84" t="s">
        <v>42</v>
      </c>
      <c r="CB3" s="84" t="s">
        <v>44</v>
      </c>
      <c r="CC3" s="84" t="s">
        <v>44</v>
      </c>
      <c r="CD3" s="84" t="s">
        <v>44</v>
      </c>
      <c r="CE3" s="84" t="s">
        <v>45</v>
      </c>
      <c r="CF3" s="84" t="s">
        <v>45</v>
      </c>
      <c r="CG3" s="84" t="s">
        <v>45</v>
      </c>
      <c r="CH3" s="84" t="s">
        <v>41</v>
      </c>
      <c r="CI3" s="84" t="s">
        <v>46</v>
      </c>
      <c r="CJ3" s="84" t="s">
        <v>46</v>
      </c>
      <c r="CK3" s="26" t="s">
        <v>47</v>
      </c>
      <c r="CL3" s="26" t="s">
        <v>47</v>
      </c>
      <c r="CM3" s="26" t="s">
        <v>32</v>
      </c>
      <c r="CN3" s="26" t="s">
        <v>42</v>
      </c>
      <c r="CO3" s="26" t="s">
        <v>48</v>
      </c>
      <c r="CP3" s="26" t="s">
        <v>46</v>
      </c>
      <c r="CQ3" s="26" t="s">
        <v>46</v>
      </c>
      <c r="CR3" s="86" t="s">
        <v>49</v>
      </c>
      <c r="CS3" s="87" t="s">
        <v>138</v>
      </c>
      <c r="CT3" s="87" t="s">
        <v>138</v>
      </c>
      <c r="CU3" s="87" t="s">
        <v>138</v>
      </c>
      <c r="CV3" s="87" t="s">
        <v>138</v>
      </c>
      <c r="CW3" s="27"/>
    </row>
    <row r="4" spans="1:101" x14ac:dyDescent="0.25">
      <c r="A4" s="28"/>
      <c r="B4" s="29" t="s">
        <v>50</v>
      </c>
      <c r="C4" s="30" t="s">
        <v>51</v>
      </c>
      <c r="D4" s="31" t="s">
        <v>52</v>
      </c>
      <c r="E4" s="31" t="s">
        <v>53</v>
      </c>
      <c r="F4" s="31" t="s">
        <v>54</v>
      </c>
      <c r="G4" s="32">
        <v>482800001265</v>
      </c>
      <c r="H4" s="32">
        <v>482800001273</v>
      </c>
      <c r="I4" s="32">
        <v>482800002024</v>
      </c>
      <c r="J4" s="32">
        <v>482800001257</v>
      </c>
      <c r="K4" s="32" t="s">
        <v>55</v>
      </c>
      <c r="L4" s="32" t="s">
        <v>56</v>
      </c>
      <c r="M4" s="32" t="s">
        <v>57</v>
      </c>
      <c r="N4" s="32">
        <v>36203301</v>
      </c>
      <c r="O4" s="32">
        <v>36203301</v>
      </c>
      <c r="P4" s="32">
        <v>36203328</v>
      </c>
      <c r="Q4" s="32">
        <v>36203328</v>
      </c>
      <c r="R4" s="32">
        <v>36025015</v>
      </c>
      <c r="S4" s="32">
        <v>36025015</v>
      </c>
      <c r="T4" s="32"/>
      <c r="U4" s="32"/>
      <c r="V4" s="32"/>
      <c r="W4" s="32"/>
      <c r="X4" s="32"/>
      <c r="Y4" s="32"/>
      <c r="Z4" s="32">
        <v>865784010</v>
      </c>
      <c r="AA4" s="32">
        <v>865784010</v>
      </c>
      <c r="AB4" s="32">
        <v>865804010</v>
      </c>
      <c r="AC4" s="32">
        <v>865804010</v>
      </c>
      <c r="AD4" s="32">
        <v>865794010</v>
      </c>
      <c r="AE4" s="32">
        <v>865794010</v>
      </c>
      <c r="AF4" s="32" t="s">
        <v>58</v>
      </c>
      <c r="AG4" s="32" t="s">
        <v>58</v>
      </c>
      <c r="AH4" s="32" t="s">
        <v>59</v>
      </c>
      <c r="AI4" s="32" t="s">
        <v>59</v>
      </c>
      <c r="AJ4" s="32" t="s">
        <v>60</v>
      </c>
      <c r="AK4" s="32" t="s">
        <v>60</v>
      </c>
      <c r="AL4" s="33"/>
      <c r="AM4" s="33"/>
      <c r="AN4" s="33"/>
      <c r="AO4" s="33"/>
      <c r="AP4" s="33"/>
      <c r="AQ4" s="33">
        <v>3642</v>
      </c>
      <c r="AR4" s="33" t="s">
        <v>61</v>
      </c>
      <c r="AS4" s="33" t="s">
        <v>62</v>
      </c>
      <c r="AT4" s="33" t="s">
        <v>63</v>
      </c>
      <c r="AU4" s="33" t="s">
        <v>64</v>
      </c>
      <c r="AV4" s="33" t="s">
        <v>65</v>
      </c>
      <c r="AW4" s="33" t="s">
        <v>66</v>
      </c>
      <c r="AX4" s="33" t="s">
        <v>67</v>
      </c>
      <c r="AY4" s="33" t="s">
        <v>68</v>
      </c>
      <c r="AZ4" s="33" t="s">
        <v>69</v>
      </c>
      <c r="BA4" s="33" t="s">
        <v>70</v>
      </c>
      <c r="BB4" s="33" t="s">
        <v>71</v>
      </c>
      <c r="BC4" s="33" t="s">
        <v>72</v>
      </c>
      <c r="BD4" s="33" t="s">
        <v>73</v>
      </c>
      <c r="BE4" s="33" t="s">
        <v>74</v>
      </c>
      <c r="BF4" s="33" t="s">
        <v>75</v>
      </c>
      <c r="BG4" s="33" t="s">
        <v>76</v>
      </c>
      <c r="BH4" s="33" t="s">
        <v>77</v>
      </c>
      <c r="BI4" s="33" t="s">
        <v>78</v>
      </c>
      <c r="BJ4" s="33" t="s">
        <v>79</v>
      </c>
      <c r="BK4" s="33" t="s">
        <v>80</v>
      </c>
      <c r="BL4" s="34">
        <v>482800007882</v>
      </c>
      <c r="BM4" s="34">
        <v>482800007908</v>
      </c>
      <c r="BN4" s="34">
        <v>482800007890</v>
      </c>
      <c r="BO4" s="34">
        <v>482800010001</v>
      </c>
      <c r="BP4" s="34">
        <v>482800010019</v>
      </c>
      <c r="BQ4" s="34">
        <v>482800010027</v>
      </c>
      <c r="BR4" s="33">
        <v>36024995</v>
      </c>
      <c r="BS4" s="33">
        <v>36024995</v>
      </c>
      <c r="BT4" s="33">
        <v>36903922</v>
      </c>
      <c r="BU4" s="33">
        <v>36903922</v>
      </c>
      <c r="BV4" s="33">
        <v>36294346</v>
      </c>
      <c r="BW4" s="33" t="s">
        <v>81</v>
      </c>
      <c r="BX4" s="33">
        <v>36294353</v>
      </c>
      <c r="BY4" s="33" t="s">
        <v>82</v>
      </c>
      <c r="BZ4" s="33" t="s">
        <v>83</v>
      </c>
      <c r="CA4" s="33" t="s">
        <v>84</v>
      </c>
      <c r="CB4" s="33" t="s">
        <v>85</v>
      </c>
      <c r="CC4" s="33" t="s">
        <v>86</v>
      </c>
      <c r="CD4" s="33" t="s">
        <v>87</v>
      </c>
      <c r="CE4" s="33" t="s">
        <v>88</v>
      </c>
      <c r="CF4" s="33" t="s">
        <v>89</v>
      </c>
      <c r="CG4" s="33" t="s">
        <v>90</v>
      </c>
      <c r="CH4" s="33" t="s">
        <v>91</v>
      </c>
      <c r="CI4" s="33">
        <v>221816614</v>
      </c>
      <c r="CJ4" s="33">
        <v>221816598</v>
      </c>
      <c r="CK4" s="33">
        <v>60193029</v>
      </c>
      <c r="CL4" s="33">
        <v>60193401</v>
      </c>
      <c r="CM4" s="33">
        <v>1011143807</v>
      </c>
      <c r="CN4" s="33">
        <v>4801736642</v>
      </c>
      <c r="CO4" s="33">
        <v>65005340</v>
      </c>
      <c r="CP4" s="33">
        <v>288086051</v>
      </c>
      <c r="CQ4" s="33">
        <v>288049109</v>
      </c>
      <c r="CR4" s="33">
        <v>411166042</v>
      </c>
      <c r="CS4" s="33">
        <v>865804015</v>
      </c>
      <c r="CT4" s="33">
        <v>865804015</v>
      </c>
      <c r="CU4" s="33">
        <v>865794015</v>
      </c>
      <c r="CV4" s="33">
        <v>865794015</v>
      </c>
      <c r="CW4" s="35"/>
    </row>
    <row r="5" spans="1:101" x14ac:dyDescent="0.25">
      <c r="B5" s="36"/>
      <c r="C5" s="37" t="s">
        <v>92</v>
      </c>
      <c r="D5" s="38"/>
      <c r="E5" s="38" t="s">
        <v>93</v>
      </c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9"/>
      <c r="AI5" s="39"/>
      <c r="AJ5" s="39"/>
      <c r="AK5" s="39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>
        <v>4.3050200000000007</v>
      </c>
      <c r="BT5" s="37"/>
      <c r="BU5" s="37">
        <f>+BS5</f>
        <v>4.3050200000000007</v>
      </c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40"/>
    </row>
    <row r="6" spans="1:101" x14ac:dyDescent="0.25">
      <c r="B6" s="36"/>
      <c r="C6" s="37" t="s">
        <v>94</v>
      </c>
      <c r="D6" s="37">
        <f>+D7-D8</f>
        <v>-17780.12060000049</v>
      </c>
      <c r="E6" s="37">
        <f>+E7-E8</f>
        <v>345781.6360354349</v>
      </c>
      <c r="F6" s="37">
        <f>+F7-F8</f>
        <v>346998.34516848996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9"/>
      <c r="AI6" s="39"/>
      <c r="AJ6" s="39"/>
      <c r="AK6" s="39"/>
      <c r="AL6" s="37">
        <f t="shared" ref="AL6:BQ6" si="0">+AL7-AL8</f>
        <v>29333.718319922686</v>
      </c>
      <c r="AM6" s="37">
        <f t="shared" si="0"/>
        <v>55766.777536466718</v>
      </c>
      <c r="AN6" s="37">
        <f t="shared" si="0"/>
        <v>70299.656039999798</v>
      </c>
      <c r="AO6" s="37">
        <f t="shared" si="0"/>
        <v>88193.783538560267</v>
      </c>
      <c r="AP6" s="37">
        <f t="shared" si="0"/>
        <v>-2750768.0128337555</v>
      </c>
      <c r="AQ6" s="37">
        <f t="shared" si="0"/>
        <v>-131908.11227216083</v>
      </c>
      <c r="AR6" s="37">
        <f t="shared" si="0"/>
        <v>0</v>
      </c>
      <c r="AS6" s="37">
        <f t="shared" si="0"/>
        <v>0</v>
      </c>
      <c r="AT6" s="37">
        <f t="shared" si="0"/>
        <v>0</v>
      </c>
      <c r="AU6" s="37">
        <f t="shared" si="0"/>
        <v>0</v>
      </c>
      <c r="AV6" s="37">
        <f t="shared" si="0"/>
        <v>0</v>
      </c>
      <c r="AW6" s="37">
        <f t="shared" si="0"/>
        <v>0</v>
      </c>
      <c r="AX6" s="37">
        <f t="shared" si="0"/>
        <v>0</v>
      </c>
      <c r="AY6" s="37">
        <f t="shared" si="0"/>
        <v>0</v>
      </c>
      <c r="AZ6" s="37">
        <f t="shared" si="0"/>
        <v>0</v>
      </c>
      <c r="BA6" s="37">
        <f t="shared" si="0"/>
        <v>0</v>
      </c>
      <c r="BB6" s="37">
        <f t="shared" si="0"/>
        <v>0</v>
      </c>
      <c r="BC6" s="37">
        <f t="shared" si="0"/>
        <v>0</v>
      </c>
      <c r="BD6" s="37">
        <f t="shared" si="0"/>
        <v>0</v>
      </c>
      <c r="BE6" s="37">
        <f t="shared" si="0"/>
        <v>0</v>
      </c>
      <c r="BF6" s="37">
        <f t="shared" si="0"/>
        <v>0</v>
      </c>
      <c r="BG6" s="37">
        <f t="shared" si="0"/>
        <v>0</v>
      </c>
      <c r="BH6" s="37">
        <f t="shared" si="0"/>
        <v>0</v>
      </c>
      <c r="BI6" s="37">
        <f t="shared" si="0"/>
        <v>0</v>
      </c>
      <c r="BJ6" s="37">
        <f t="shared" si="0"/>
        <v>0</v>
      </c>
      <c r="BK6" s="37">
        <f t="shared" si="0"/>
        <v>0</v>
      </c>
      <c r="BL6" s="37">
        <f t="shared" si="0"/>
        <v>0</v>
      </c>
      <c r="BM6" s="37">
        <f t="shared" si="0"/>
        <v>0</v>
      </c>
      <c r="BN6" s="37">
        <f t="shared" si="0"/>
        <v>0</v>
      </c>
      <c r="BO6" s="37">
        <f t="shared" si="0"/>
        <v>0</v>
      </c>
      <c r="BP6" s="37">
        <f t="shared" si="0"/>
        <v>0</v>
      </c>
      <c r="BQ6" s="37">
        <f t="shared" si="0"/>
        <v>0</v>
      </c>
      <c r="BR6" s="37"/>
      <c r="BS6" s="37"/>
      <c r="BT6" s="37"/>
      <c r="BU6" s="37"/>
      <c r="BV6" s="37">
        <f>+BV7-BV8-422.17</f>
        <v>-422.17</v>
      </c>
      <c r="BW6" s="37">
        <f t="shared" ref="BW6:CR6" si="1">+BW7-BW8</f>
        <v>0</v>
      </c>
      <c r="BX6" s="37">
        <f t="shared" si="1"/>
        <v>0</v>
      </c>
      <c r="BY6" s="37">
        <f t="shared" si="1"/>
        <v>918.85399999993388</v>
      </c>
      <c r="BZ6" s="37">
        <f t="shared" si="1"/>
        <v>458882.81281999964</v>
      </c>
      <c r="CA6" s="37">
        <f t="shared" si="1"/>
        <v>117345.47700000089</v>
      </c>
      <c r="CB6" s="37">
        <f t="shared" si="1"/>
        <v>-2.4000000121304765E-4</v>
      </c>
      <c r="CC6" s="37">
        <f t="shared" si="1"/>
        <v>-4.1799998143687844E-3</v>
      </c>
      <c r="CD6" s="37">
        <f>+[1]Otrosbancos!$E$29</f>
        <v>0</v>
      </c>
      <c r="CE6" s="37">
        <f t="shared" si="1"/>
        <v>-13.621000000002823</v>
      </c>
      <c r="CF6" s="37">
        <f t="shared" si="1"/>
        <v>56113.204999999842</v>
      </c>
      <c r="CG6" s="37">
        <f t="shared" si="1"/>
        <v>0</v>
      </c>
      <c r="CH6" s="37">
        <f t="shared" si="1"/>
        <v>0</v>
      </c>
      <c r="CI6" s="37">
        <f t="shared" si="1"/>
        <v>5328.6817100000335</v>
      </c>
      <c r="CJ6" s="37">
        <f t="shared" si="1"/>
        <v>872.83271000000241</v>
      </c>
      <c r="CK6" s="37">
        <f t="shared" si="1"/>
        <v>0</v>
      </c>
      <c r="CL6" s="37">
        <f t="shared" si="1"/>
        <v>0</v>
      </c>
      <c r="CM6" s="37">
        <f t="shared" si="1"/>
        <v>-1.4999999257270247E-4</v>
      </c>
      <c r="CN6" s="37">
        <f t="shared" si="1"/>
        <v>-100.00289000000339</v>
      </c>
      <c r="CO6" s="37">
        <f t="shared" si="1"/>
        <v>4.6400002902373672E-3</v>
      </c>
      <c r="CP6" s="37">
        <f t="shared" si="1"/>
        <v>-2.7600005269050598E-3</v>
      </c>
      <c r="CQ6" s="37">
        <f t="shared" si="1"/>
        <v>216.65003000001889</v>
      </c>
      <c r="CR6" s="37">
        <f t="shared" si="1"/>
        <v>0</v>
      </c>
      <c r="CS6" s="37">
        <f>+CS7-CS8</f>
        <v>-5000</v>
      </c>
      <c r="CT6" s="37">
        <f>+CT7-CT8</f>
        <v>-20468.599999999999</v>
      </c>
      <c r="CU6" s="37">
        <f>+CU7-CU8</f>
        <v>-5000</v>
      </c>
      <c r="CV6" s="37">
        <f>+CV7-CV8</f>
        <v>-20468.599999999999</v>
      </c>
      <c r="CW6" s="37"/>
    </row>
    <row r="7" spans="1:101" x14ac:dyDescent="0.25">
      <c r="A7" s="41"/>
      <c r="B7" s="42"/>
      <c r="C7" s="43" t="s">
        <v>95</v>
      </c>
      <c r="D7" s="43">
        <f>+'[1]Cap,Bol,Cls'!$E$4</f>
        <v>538930.40504999994</v>
      </c>
      <c r="E7" s="43">
        <f>+'[1]Cap,Bol,Cls'!$E$13</f>
        <v>21253514.692279998</v>
      </c>
      <c r="F7" s="43">
        <f>+'[1]Cap,Bol,Cls'!$E$30</f>
        <v>5090850.3423699997</v>
      </c>
      <c r="G7" s="43">
        <f>+G8</f>
        <v>0</v>
      </c>
      <c r="H7" s="43">
        <f>+H8</f>
        <v>0</v>
      </c>
      <c r="I7" s="43">
        <f>+'[1]Cap,Bol,Cls'!$E$24</f>
        <v>112707.35161</v>
      </c>
      <c r="J7" s="43">
        <f>+J8</f>
        <v>0</v>
      </c>
      <c r="K7" s="43">
        <f>+K8</f>
        <v>109952.39123814307</v>
      </c>
      <c r="L7" s="43">
        <f>+L8</f>
        <v>213080.25738129954</v>
      </c>
      <c r="M7" s="43">
        <f>+M8</f>
        <v>419674.54482886626</v>
      </c>
      <c r="N7" s="43">
        <f>+N8</f>
        <v>177310.5199999999</v>
      </c>
      <c r="O7" s="43">
        <f t="shared" ref="O7:AK7" si="2">+O8</f>
        <v>743248.15264999995</v>
      </c>
      <c r="P7" s="43">
        <f t="shared" si="2"/>
        <v>35126471.680000007</v>
      </c>
      <c r="Q7" s="43">
        <f t="shared" si="2"/>
        <v>149794653.69044158</v>
      </c>
      <c r="R7" s="43">
        <f t="shared" si="2"/>
        <v>275245.01999999996</v>
      </c>
      <c r="S7" s="43">
        <f t="shared" si="2"/>
        <v>1450773.7840695991</v>
      </c>
      <c r="T7" s="43"/>
      <c r="U7" s="43"/>
      <c r="V7" s="43"/>
      <c r="W7" s="43"/>
      <c r="X7" s="43"/>
      <c r="Y7" s="43"/>
      <c r="Z7" s="43">
        <f t="shared" si="2"/>
        <v>9662.5274983807467</v>
      </c>
      <c r="AA7" s="43">
        <f t="shared" si="2"/>
        <v>40503.29</v>
      </c>
      <c r="AB7" s="43">
        <f t="shared" si="2"/>
        <v>7542.7499999967404</v>
      </c>
      <c r="AC7" s="43">
        <f t="shared" si="2"/>
        <v>31617.62</v>
      </c>
      <c r="AD7" s="43">
        <f t="shared" si="2"/>
        <v>5155</v>
      </c>
      <c r="AE7" s="43">
        <f t="shared" si="2"/>
        <v>21608.68</v>
      </c>
      <c r="AF7" s="43">
        <f t="shared" si="2"/>
        <v>7956.8699999451637</v>
      </c>
      <c r="AG7" s="43">
        <f t="shared" si="2"/>
        <v>33353.53</v>
      </c>
      <c r="AH7" s="43">
        <f t="shared" si="2"/>
        <v>203175.47999999719</v>
      </c>
      <c r="AI7" s="43">
        <f t="shared" si="2"/>
        <v>851645.451214</v>
      </c>
      <c r="AJ7" s="43">
        <f t="shared" si="2"/>
        <v>673596.71999999823</v>
      </c>
      <c r="AK7" s="43">
        <f t="shared" si="2"/>
        <v>2823324.1679230896</v>
      </c>
      <c r="AL7" s="43">
        <f>+[1]Inversoras!$E$56</f>
        <v>45837566.083159998</v>
      </c>
      <c r="AM7" s="43">
        <f>+[1]Inversoras!$E$57</f>
        <v>59212765.577350006</v>
      </c>
      <c r="AN7" s="43">
        <f>+[1]Inversoras!$E$58</f>
        <v>6470296.4759800006</v>
      </c>
      <c r="AO7" s="43">
        <f>+[1]Inversoras!$E$59</f>
        <v>898160.19767000002</v>
      </c>
      <c r="AP7" s="43">
        <f>+[1]Inversoras!$E$60</f>
        <v>9367664.3469000012</v>
      </c>
      <c r="AQ7" s="43">
        <f>+[1]Inversoras!$E$61</f>
        <v>2035405.2117999999</v>
      </c>
      <c r="AR7" s="43">
        <f>+AR8</f>
        <v>33752.683643993005</v>
      </c>
      <c r="AS7" s="43">
        <f t="shared" ref="AS7:BQ7" si="3">+AS8</f>
        <v>6.2719079996137461</v>
      </c>
      <c r="AT7" s="43">
        <f t="shared" si="3"/>
        <v>11.210432002509913</v>
      </c>
      <c r="AU7" s="43">
        <f t="shared" si="3"/>
        <v>70709.869203997281</v>
      </c>
      <c r="AV7" s="43">
        <f t="shared" si="3"/>
        <v>523662.90839880263</v>
      </c>
      <c r="AW7" s="43">
        <f t="shared" si="3"/>
        <v>85667.9885699968</v>
      </c>
      <c r="AX7" s="43">
        <f t="shared" si="3"/>
        <v>1041.3974240010875</v>
      </c>
      <c r="AY7" s="43">
        <f t="shared" si="3"/>
        <v>17450.753311997978</v>
      </c>
      <c r="AZ7" s="43">
        <f t="shared" si="3"/>
        <v>23267.345377323236</v>
      </c>
      <c r="BA7" s="43">
        <f t="shared" si="3"/>
        <v>201952.41672400691</v>
      </c>
      <c r="BB7" s="43">
        <f t="shared" si="3"/>
        <v>69934.963219991143</v>
      </c>
      <c r="BC7" s="43">
        <f t="shared" si="3"/>
        <v>266778.90384799871</v>
      </c>
      <c r="BD7" s="43">
        <f t="shared" si="3"/>
        <v>17045.357599989835</v>
      </c>
      <c r="BE7" s="43">
        <f t="shared" si="3"/>
        <v>256586.81289368056</v>
      </c>
      <c r="BF7" s="43">
        <f t="shared" si="3"/>
        <v>321949.5492303599</v>
      </c>
      <c r="BG7" s="43">
        <f t="shared" si="3"/>
        <v>35109.232018882758</v>
      </c>
      <c r="BH7" s="43">
        <f t="shared" si="3"/>
        <v>27273.514880002102</v>
      </c>
      <c r="BI7" s="43">
        <f t="shared" si="3"/>
        <v>630661.83776839031</v>
      </c>
      <c r="BJ7" s="43">
        <f t="shared" si="3"/>
        <v>197783.28604456017</v>
      </c>
      <c r="BK7" s="43">
        <f t="shared" si="3"/>
        <v>2995393.833886012</v>
      </c>
      <c r="BL7" s="43">
        <f t="shared" si="3"/>
        <v>112702.05170244607</v>
      </c>
      <c r="BM7" s="43">
        <f t="shared" si="3"/>
        <v>1068457.2287271509</v>
      </c>
      <c r="BN7" s="43">
        <f t="shared" si="3"/>
        <v>4096291.5426973812</v>
      </c>
      <c r="BO7" s="43">
        <f t="shared" si="3"/>
        <v>3.4691202304202307E-3</v>
      </c>
      <c r="BP7" s="43">
        <f t="shared" si="3"/>
        <v>255.11276932906549</v>
      </c>
      <c r="BQ7" s="43">
        <f t="shared" si="3"/>
        <v>4.0128798844989433E-3</v>
      </c>
      <c r="BR7" s="43">
        <f>+[1]Otrosbancos!$E$49</f>
        <v>2723100.65</v>
      </c>
      <c r="BS7" s="43">
        <f>+BS8</f>
        <v>11426987.824417591</v>
      </c>
      <c r="BT7" s="43">
        <f>+[1]Otrosbancos!$E$51</f>
        <v>407611.79</v>
      </c>
      <c r="BU7" s="43">
        <f>+BU8</f>
        <v>1697061.5471122912</v>
      </c>
      <c r="BV7" s="43">
        <f>+BV8+BV5</f>
        <v>8401.9478600000002</v>
      </c>
      <c r="BW7" s="43">
        <f>+BW8+BW5</f>
        <v>1147067.4469900005</v>
      </c>
      <c r="BX7" s="43">
        <f>+BX8+BX5</f>
        <v>12663.664475599246</v>
      </c>
      <c r="BY7" s="43">
        <f>+[1]Otrosbancos!$E$5</f>
        <v>680216.62399999995</v>
      </c>
      <c r="BZ7" s="43">
        <f>+[1]Otrosbancos!$E$10</f>
        <v>4751761.1878199996</v>
      </c>
      <c r="CA7" s="43">
        <f>+[1]Otrosbancos!$E$15</f>
        <v>6618047.8090000004</v>
      </c>
      <c r="CB7" s="43">
        <f>+[1]Otrosbancos!$E$23</f>
        <v>18618.565999999999</v>
      </c>
      <c r="CC7" s="43">
        <f>+[1]Otrosbancos!$E$26</f>
        <v>881178.36499999999</v>
      </c>
      <c r="CD7" s="43">
        <f>+[1]Otrosbancos!$E$29</f>
        <v>0</v>
      </c>
      <c r="CE7" s="43">
        <f>+[1]Otrosbancos!$E$33</f>
        <v>21640.922999999999</v>
      </c>
      <c r="CF7" s="43">
        <f>+[1]Otrosbancos!$E$37</f>
        <v>1225599.6175899999</v>
      </c>
      <c r="CG7" s="43">
        <f>+[1]Otrosbancos!$E$41</f>
        <v>162748.57699999999</v>
      </c>
      <c r="CH7" s="43">
        <f>+[1]Otrosbancos!$E$46</f>
        <v>2.9318200000000001</v>
      </c>
      <c r="CI7" s="43">
        <f>+[1]Otrosbancos!$E$54</f>
        <v>897705.84100000001</v>
      </c>
      <c r="CJ7" s="43">
        <f>+[1]Otrosbancos!$E$56</f>
        <v>64459.147499999999</v>
      </c>
      <c r="CK7" s="43">
        <f>+[1]Liberty!$E$3</f>
        <v>0</v>
      </c>
      <c r="CL7" s="43">
        <f>+[1]Liberty!$E$4</f>
        <v>0</v>
      </c>
      <c r="CM7" s="43">
        <f>+[1]Liberty!$E$6</f>
        <v>79545.214000000007</v>
      </c>
      <c r="CN7" s="43">
        <f>+[1]Liberty!$E$8</f>
        <v>662631.23607999994</v>
      </c>
      <c r="CO7" s="43">
        <f>+[1]Liberty!$E$10</f>
        <v>736440.24595999997</v>
      </c>
      <c r="CP7" s="43">
        <f>+[1]Liberty!$E$12</f>
        <v>9152723.6699999999</v>
      </c>
      <c r="CQ7" s="43">
        <f>+[1]Liberty!$E$13</f>
        <v>378135.14942999999</v>
      </c>
      <c r="CR7" s="43">
        <f>+[1]Otrosbancos!$E$58</f>
        <v>2701872.3746799999</v>
      </c>
      <c r="CS7" s="43">
        <v>0</v>
      </c>
      <c r="CT7" s="43">
        <v>0</v>
      </c>
      <c r="CU7" s="43">
        <v>0</v>
      </c>
      <c r="CV7" s="43">
        <v>0</v>
      </c>
      <c r="CW7" s="43">
        <f>SUM(D7:CV7)</f>
        <v>401347381.24191248</v>
      </c>
    </row>
    <row r="8" spans="1:101" x14ac:dyDescent="0.25">
      <c r="A8" s="41"/>
      <c r="B8" s="44" t="s">
        <v>96</v>
      </c>
      <c r="C8" s="45" t="s">
        <v>97</v>
      </c>
      <c r="D8" s="45">
        <f>+'May, 06'!D40</f>
        <v>556710.52565000043</v>
      </c>
      <c r="E8" s="45">
        <f>+'May, 06'!E40</f>
        <v>20907733.056244563</v>
      </c>
      <c r="F8" s="45">
        <f>+'May, 06'!F40</f>
        <v>4743851.9972015098</v>
      </c>
      <c r="G8" s="45">
        <f>+'May, 06'!G40</f>
        <v>0</v>
      </c>
      <c r="H8" s="45">
        <f>+'May, 06'!H40</f>
        <v>0</v>
      </c>
      <c r="I8" s="45">
        <f>+'May, 06'!I40</f>
        <v>112708.05413999424</v>
      </c>
      <c r="J8" s="45">
        <f>+'May, 06'!J40</f>
        <v>0</v>
      </c>
      <c r="K8" s="45">
        <f>+'May, 06'!K40</f>
        <v>109952.39123814307</v>
      </c>
      <c r="L8" s="45">
        <f>+'May, 06'!L40</f>
        <v>213080.25738129954</v>
      </c>
      <c r="M8" s="45">
        <f>+'May, 06'!M40</f>
        <v>419674.54482886626</v>
      </c>
      <c r="N8" s="45">
        <f>+'May, 06'!N40</f>
        <v>177310.5199999999</v>
      </c>
      <c r="O8" s="45">
        <f>+'May, 06'!O40</f>
        <v>743248.15264999995</v>
      </c>
      <c r="P8" s="45">
        <f>+'May, 06'!P40</f>
        <v>35126471.680000007</v>
      </c>
      <c r="Q8" s="45">
        <f>+'May, 06'!Q40</f>
        <v>149794653.69044158</v>
      </c>
      <c r="R8" s="45">
        <f>+'May, 06'!R40</f>
        <v>275245.01999999996</v>
      </c>
      <c r="S8" s="45">
        <f>+'May, 06'!S40</f>
        <v>1450773.7840695991</v>
      </c>
      <c r="T8" s="45">
        <f>+'May, 06'!T40</f>
        <v>0</v>
      </c>
      <c r="U8" s="45">
        <f>+'May, 06'!U40</f>
        <v>0</v>
      </c>
      <c r="V8" s="45">
        <f>+'May, 06'!V40</f>
        <v>0</v>
      </c>
      <c r="W8" s="45">
        <f>+'May, 06'!W40</f>
        <v>0</v>
      </c>
      <c r="X8" s="45">
        <f>+'May, 06'!X40</f>
        <v>0</v>
      </c>
      <c r="Y8" s="45">
        <f>+'May, 06'!Y40</f>
        <v>0</v>
      </c>
      <c r="Z8" s="45">
        <f>+'May, 06'!Z40</f>
        <v>9662.5274983807467</v>
      </c>
      <c r="AA8" s="45">
        <f>+'May, 06'!AA40</f>
        <v>40503.29</v>
      </c>
      <c r="AB8" s="45">
        <f>+'May, 06'!AB40</f>
        <v>7542.7499999967404</v>
      </c>
      <c r="AC8" s="45">
        <f>+'May, 06'!AC40</f>
        <v>31617.62</v>
      </c>
      <c r="AD8" s="45">
        <f>+'May, 06'!AD40</f>
        <v>5155</v>
      </c>
      <c r="AE8" s="45">
        <f>+'May, 06'!AE40</f>
        <v>21608.68</v>
      </c>
      <c r="AF8" s="45">
        <f>+'May, 06'!AF40</f>
        <v>7956.8699999451637</v>
      </c>
      <c r="AG8" s="45">
        <f>+'May, 06'!AG40</f>
        <v>33353.53</v>
      </c>
      <c r="AH8" s="45">
        <f>+'May, 06'!AH40</f>
        <v>203175.47999999719</v>
      </c>
      <c r="AI8" s="45">
        <f>+'May, 06'!AI40</f>
        <v>851645.451214</v>
      </c>
      <c r="AJ8" s="45">
        <f>+'May, 06'!AJ40</f>
        <v>673596.71999999823</v>
      </c>
      <c r="AK8" s="45">
        <f>+'May, 06'!AK40</f>
        <v>2823324.1679230896</v>
      </c>
      <c r="AL8" s="45">
        <f>+'May, 06'!AL40</f>
        <v>45808232.364840075</v>
      </c>
      <c r="AM8" s="45">
        <f>+'May, 06'!AM40</f>
        <v>59156998.799813539</v>
      </c>
      <c r="AN8" s="45">
        <f>+'May, 06'!AN40</f>
        <v>6399996.8199400008</v>
      </c>
      <c r="AO8" s="45">
        <f>+'May, 06'!AO40</f>
        <v>809966.41413143976</v>
      </c>
      <c r="AP8" s="45">
        <f>+'May, 06'!AP40</f>
        <v>12118432.359733757</v>
      </c>
      <c r="AQ8" s="45">
        <f>+'May, 06'!AQ40</f>
        <v>2167313.3240721608</v>
      </c>
      <c r="AR8" s="45">
        <f>+'May, 06'!AR40</f>
        <v>33752.683643993005</v>
      </c>
      <c r="AS8" s="45">
        <f>+'May, 06'!AS40</f>
        <v>6.2719079996137461</v>
      </c>
      <c r="AT8" s="45">
        <f>+'May, 06'!AT40</f>
        <v>11.210432002509913</v>
      </c>
      <c r="AU8" s="45">
        <f>+'May, 06'!AU40</f>
        <v>70709.869203997281</v>
      </c>
      <c r="AV8" s="45">
        <f>+'May, 06'!AV40</f>
        <v>523662.90839880263</v>
      </c>
      <c r="AW8" s="45">
        <f>+'May, 06'!AW40</f>
        <v>85667.9885699968</v>
      </c>
      <c r="AX8" s="45">
        <f>+'May, 06'!AX40</f>
        <v>1041.3974240010875</v>
      </c>
      <c r="AY8" s="45">
        <f>+'May, 06'!AY40</f>
        <v>17450.753311997978</v>
      </c>
      <c r="AZ8" s="45">
        <f>+'May, 06'!AZ40</f>
        <v>23267.345377323236</v>
      </c>
      <c r="BA8" s="45">
        <f>+'May, 06'!BA40</f>
        <v>201952.41672400691</v>
      </c>
      <c r="BB8" s="45">
        <f>+'May, 06'!BB40</f>
        <v>69934.963219991143</v>
      </c>
      <c r="BC8" s="45">
        <f>+'May, 06'!BC40</f>
        <v>266778.90384799871</v>
      </c>
      <c r="BD8" s="45">
        <f>+'May, 06'!BD40</f>
        <v>17045.357599989835</v>
      </c>
      <c r="BE8" s="45">
        <f>+'May, 06'!BE40</f>
        <v>256586.81289368056</v>
      </c>
      <c r="BF8" s="45">
        <f>+'May, 06'!BF40</f>
        <v>321949.5492303599</v>
      </c>
      <c r="BG8" s="45">
        <f>+'May, 06'!BG40</f>
        <v>35109.232018882758</v>
      </c>
      <c r="BH8" s="45">
        <f>+'May, 06'!BH40</f>
        <v>27273.514880002102</v>
      </c>
      <c r="BI8" s="45">
        <f>+'May, 06'!BI40</f>
        <v>630661.83776839031</v>
      </c>
      <c r="BJ8" s="45">
        <f>+'May, 06'!BJ40</f>
        <v>197783.28604456017</v>
      </c>
      <c r="BK8" s="45">
        <f>+'May, 06'!BK40</f>
        <v>2995393.833886012</v>
      </c>
      <c r="BL8" s="45">
        <f>+'May, 06'!BL40</f>
        <v>112702.05170244607</v>
      </c>
      <c r="BM8" s="45">
        <f>+'May, 06'!BM40</f>
        <v>1068457.2287271509</v>
      </c>
      <c r="BN8" s="45">
        <f>+'May, 06'!BN40</f>
        <v>4096291.5426973812</v>
      </c>
      <c r="BO8" s="45">
        <f>+'May, 06'!BO40</f>
        <v>3.4691202304202307E-3</v>
      </c>
      <c r="BP8" s="45">
        <f>+'May, 06'!BP40</f>
        <v>255.11276932906549</v>
      </c>
      <c r="BQ8" s="45">
        <f>+'May, 06'!BQ40</f>
        <v>4.0128798844989433E-3</v>
      </c>
      <c r="BR8" s="45">
        <f>+'May, 06'!BR40</f>
        <v>2723100.6460000034</v>
      </c>
      <c r="BS8" s="45">
        <f>+'May, 06'!BS40</f>
        <v>11426987.824417591</v>
      </c>
      <c r="BT8" s="45">
        <f>+'May, 06'!BT40</f>
        <v>407611.79493201897</v>
      </c>
      <c r="BU8" s="45">
        <f>+'May, 06'!BU40</f>
        <v>1697061.5471122912</v>
      </c>
      <c r="BV8" s="45">
        <f>+'May, 06'!BV40</f>
        <v>8401.9478600000002</v>
      </c>
      <c r="BW8" s="45">
        <f>+'May, 06'!BW40</f>
        <v>1147067.4469900005</v>
      </c>
      <c r="BX8" s="45">
        <f>+'May, 06'!BX40</f>
        <v>12663.664475599246</v>
      </c>
      <c r="BY8" s="45">
        <f>+'May, 06'!BY40</f>
        <v>679297.77</v>
      </c>
      <c r="BZ8" s="45">
        <f>+'May, 06'!BZ40</f>
        <v>4292878.375</v>
      </c>
      <c r="CA8" s="45">
        <f>+'May, 06'!CA40</f>
        <v>6500702.3319999995</v>
      </c>
      <c r="CB8" s="45">
        <f>+'May, 06'!CB40</f>
        <v>18618.56624</v>
      </c>
      <c r="CC8" s="45">
        <f>+'May, 06'!CC40</f>
        <v>881178.36917999981</v>
      </c>
      <c r="CD8" s="45">
        <f>+'May, 06'!CD40</f>
        <v>0</v>
      </c>
      <c r="CE8" s="45">
        <f>+'May, 06'!CE40</f>
        <v>21654.544000000002</v>
      </c>
      <c r="CF8" s="45">
        <f>+'May, 06'!CF40</f>
        <v>1169486.4125900001</v>
      </c>
      <c r="CG8" s="45">
        <f>+'May, 06'!CG40</f>
        <v>162748.57699999999</v>
      </c>
      <c r="CH8" s="45">
        <f>+'May, 06'!CH40</f>
        <v>2.9318200000000001</v>
      </c>
      <c r="CI8" s="45">
        <f>+'May, 06'!CI40</f>
        <v>892377.15928999998</v>
      </c>
      <c r="CJ8" s="45">
        <f>+'May, 06'!CJ40</f>
        <v>63586.314789999997</v>
      </c>
      <c r="CK8" s="45">
        <f>+'May, 06'!CK40</f>
        <v>0</v>
      </c>
      <c r="CL8" s="45">
        <f>+'May, 06'!CL40</f>
        <v>0</v>
      </c>
      <c r="CM8" s="45">
        <f>+'May, 06'!CM40</f>
        <v>79545.21415</v>
      </c>
      <c r="CN8" s="45">
        <f>+'May, 06'!CN40</f>
        <v>662731.23896999995</v>
      </c>
      <c r="CO8" s="45">
        <f>+'May, 06'!CO40</f>
        <v>736440.24131999968</v>
      </c>
      <c r="CP8" s="45">
        <f>+'May, 06'!CP40</f>
        <v>9152723.6727600005</v>
      </c>
      <c r="CQ8" s="45">
        <f>+'May, 06'!CQ40</f>
        <v>377918.49939999997</v>
      </c>
      <c r="CR8" s="45">
        <f>+'May, 06'!CR40</f>
        <v>2701872.374679999</v>
      </c>
      <c r="CS8" s="45">
        <f>+'May, 06'!CS40</f>
        <v>5000</v>
      </c>
      <c r="CT8" s="45">
        <f>+'May, 06'!CT40</f>
        <v>20468.599999999999</v>
      </c>
      <c r="CU8" s="45">
        <f>+'May, 06'!CU40</f>
        <v>5000</v>
      </c>
      <c r="CV8" s="45">
        <f>+'May, 06'!CV40</f>
        <v>20468.599999999999</v>
      </c>
      <c r="CW8" s="43">
        <f t="shared" ref="CW8:CW40" si="4">SUM(D8:CV8)</f>
        <v>402722836.58775181</v>
      </c>
    </row>
    <row r="9" spans="1:101" x14ac:dyDescent="0.25">
      <c r="B9" s="46" t="s">
        <v>96</v>
      </c>
      <c r="C9" s="47" t="s">
        <v>98</v>
      </c>
      <c r="D9" s="48">
        <v>6955</v>
      </c>
      <c r="E9" s="48">
        <v>13550647.471759999</v>
      </c>
      <c r="F9" s="48">
        <v>4408120.6679999996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>
        <v>1121.374</v>
      </c>
      <c r="BX9" s="47"/>
      <c r="BY9" s="47">
        <f>IF(BY6&gt;0,BY6,0)</f>
        <v>918.85399999993388</v>
      </c>
      <c r="BZ9" s="47">
        <f>IF(BZ6&gt;0,BZ6,0)</f>
        <v>458882.81281999964</v>
      </c>
      <c r="CA9" s="47">
        <f>IF(CA6&gt;0,CA6,0)</f>
        <v>117345.47700000089</v>
      </c>
      <c r="CB9" s="47"/>
      <c r="CC9" s="47"/>
      <c r="CD9" s="47"/>
      <c r="CE9" s="47">
        <f>IF(CE6&gt;0,CE6,0)</f>
        <v>0</v>
      </c>
      <c r="CF9" s="47">
        <f>IF(CF6&gt;0,CF6,0)</f>
        <v>56113.204999999842</v>
      </c>
      <c r="CG9" s="47">
        <f>IF(CG6&gt;0,CG6,0)</f>
        <v>0</v>
      </c>
      <c r="CH9" s="47"/>
      <c r="CI9" s="47">
        <f>IF(CI6&gt;0,CI6,0)</f>
        <v>5328.6817100000335</v>
      </c>
      <c r="CJ9" s="47">
        <f>IF(CJ6&gt;0,CJ6,0)</f>
        <v>872.83271000000241</v>
      </c>
      <c r="CK9" s="47"/>
      <c r="CL9" s="47"/>
      <c r="CM9" s="47"/>
      <c r="CN9" s="47">
        <v>18</v>
      </c>
      <c r="CO9" s="47"/>
      <c r="CP9" s="47"/>
      <c r="CQ9" s="47"/>
      <c r="CR9" s="47"/>
      <c r="CS9" s="47"/>
      <c r="CT9" s="47"/>
      <c r="CU9" s="47"/>
      <c r="CV9" s="47"/>
      <c r="CW9" s="43">
        <f t="shared" si="4"/>
        <v>18606324.377</v>
      </c>
    </row>
    <row r="10" spans="1:101" x14ac:dyDescent="0.25">
      <c r="B10" s="46" t="s">
        <v>99</v>
      </c>
      <c r="C10" s="47" t="s">
        <v>100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>
        <v>-1.7569999999999999</v>
      </c>
      <c r="BW10" s="47">
        <v>-14.29</v>
      </c>
      <c r="BX10" s="47"/>
      <c r="BY10" s="47">
        <f>IF(BY6&lt;0,BY6,0)</f>
        <v>0</v>
      </c>
      <c r="BZ10" s="47">
        <f>IF(BZ6&lt;0,BZ6,0)</f>
        <v>0</v>
      </c>
      <c r="CA10" s="47">
        <f>IF(CA6&lt;0,CA6,0)</f>
        <v>0</v>
      </c>
      <c r="CB10" s="47"/>
      <c r="CC10" s="47"/>
      <c r="CD10" s="47"/>
      <c r="CE10" s="47">
        <f>IF(CE6&lt;0,CE6,0)</f>
        <v>-13.621000000002823</v>
      </c>
      <c r="CF10" s="47">
        <f>IF(CF6&lt;0,CF6,0)</f>
        <v>0</v>
      </c>
      <c r="CG10" s="47">
        <f>IF(CG6&lt;0,CG6,0)</f>
        <v>0</v>
      </c>
      <c r="CH10" s="47"/>
      <c r="CI10" s="47">
        <f>IF(CI6&lt;0,CI6,0)</f>
        <v>0</v>
      </c>
      <c r="CJ10" s="47">
        <f>IF(CJ6&lt;0,CJ6,0)</f>
        <v>0</v>
      </c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3">
        <f t="shared" si="4"/>
        <v>-29.668000000002824</v>
      </c>
    </row>
    <row r="11" spans="1:101" x14ac:dyDescent="0.25">
      <c r="A11" s="41"/>
      <c r="B11" s="49" t="s">
        <v>99</v>
      </c>
      <c r="C11" s="50" t="s">
        <v>101</v>
      </c>
      <c r="D11" s="50">
        <v>-8.032</v>
      </c>
      <c r="E11" s="50">
        <v>-19603.512640003199</v>
      </c>
      <c r="F11" s="50">
        <v>-5958.3251399993896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>
        <f>+[1]Otrosbancos!$E$6+[1]Otrosbancos!$E$7</f>
        <v>-6887.1210000000001</v>
      </c>
      <c r="BZ11" s="50">
        <f>+[1]Otrosbancos!$E$11+[1]Otrosbancos!$E$12</f>
        <v>-2873337.338</v>
      </c>
      <c r="CA11" s="50">
        <f>+[1]Otrosbancos!$E$16+[1]Otrosbancos!$E$17</f>
        <v>-1234091.22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43">
        <f t="shared" si="4"/>
        <v>-4139885.5487800026</v>
      </c>
    </row>
    <row r="12" spans="1:101" x14ac:dyDescent="0.25">
      <c r="B12" s="46" t="s">
        <v>96</v>
      </c>
      <c r="C12" s="47" t="s">
        <v>102</v>
      </c>
      <c r="D12" s="47">
        <v>988.36500000000001</v>
      </c>
      <c r="E12" s="47">
        <f>2130593.426-2130593.426</f>
        <v>0</v>
      </c>
      <c r="F12" s="47">
        <f>3866007.076-3864730.676</f>
        <v>1276.3999999999069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1"/>
      <c r="AS12" s="51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3">
        <f t="shared" si="4"/>
        <v>2264.7649999999066</v>
      </c>
    </row>
    <row r="13" spans="1:101" x14ac:dyDescent="0.25">
      <c r="B13" s="46" t="s">
        <v>96</v>
      </c>
      <c r="C13" s="47" t="s">
        <v>103</v>
      </c>
      <c r="D13" s="47"/>
      <c r="E13" s="47">
        <f>2130593.426-142611.156</f>
        <v>1987982.27</v>
      </c>
      <c r="F13" s="47">
        <f>3864730.676-568725.718</f>
        <v>3296004.9580000001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51"/>
      <c r="AS13" s="51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3">
        <f t="shared" si="4"/>
        <v>5283987.2280000001</v>
      </c>
    </row>
    <row r="14" spans="1:101" x14ac:dyDescent="0.25">
      <c r="B14" s="46" t="s">
        <v>96</v>
      </c>
      <c r="C14" s="47" t="s">
        <v>104</v>
      </c>
      <c r="D14" s="47"/>
      <c r="E14" s="47"/>
      <c r="F14" s="47">
        <v>272122.89199999999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51"/>
      <c r="AS14" s="51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3">
        <f t="shared" si="4"/>
        <v>272122.89199999999</v>
      </c>
    </row>
    <row r="15" spans="1:101" x14ac:dyDescent="0.25">
      <c r="B15" s="46" t="s">
        <v>96</v>
      </c>
      <c r="C15" s="47" t="s">
        <v>105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51"/>
      <c r="AS15" s="51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3">
        <f t="shared" si="4"/>
        <v>0</v>
      </c>
    </row>
    <row r="16" spans="1:101" x14ac:dyDescent="0.25">
      <c r="B16" s="46" t="s">
        <v>96</v>
      </c>
      <c r="C16" s="47" t="s">
        <v>106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51"/>
      <c r="AS16" s="51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3">
        <f t="shared" si="4"/>
        <v>0</v>
      </c>
    </row>
    <row r="17" spans="1:101" x14ac:dyDescent="0.25">
      <c r="B17" s="46" t="s">
        <v>99</v>
      </c>
      <c r="C17" s="47" t="s">
        <v>107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51"/>
      <c r="AS17" s="51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3">
        <f t="shared" si="4"/>
        <v>0</v>
      </c>
    </row>
    <row r="18" spans="1:101" x14ac:dyDescent="0.25">
      <c r="B18" s="46" t="s">
        <v>96</v>
      </c>
      <c r="C18" s="47" t="s">
        <v>108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1"/>
      <c r="AS18" s="51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3">
        <f t="shared" si="4"/>
        <v>0</v>
      </c>
    </row>
    <row r="19" spans="1:101" x14ac:dyDescent="0.25">
      <c r="B19" s="46" t="s">
        <v>99</v>
      </c>
      <c r="C19" s="47" t="s">
        <v>109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51"/>
      <c r="AS19" s="51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3">
        <f t="shared" si="4"/>
        <v>0</v>
      </c>
    </row>
    <row r="20" spans="1:101" x14ac:dyDescent="0.25">
      <c r="B20" s="46" t="s">
        <v>99</v>
      </c>
      <c r="C20" s="47" t="s">
        <v>110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51"/>
      <c r="AS20" s="51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3">
        <f t="shared" si="4"/>
        <v>0</v>
      </c>
    </row>
    <row r="21" spans="1:101" x14ac:dyDescent="0.25">
      <c r="B21" s="46" t="s">
        <v>96</v>
      </c>
      <c r="C21" s="47" t="s">
        <v>111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51"/>
      <c r="AS21" s="51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3">
        <f t="shared" si="4"/>
        <v>0</v>
      </c>
    </row>
    <row r="22" spans="1:101" x14ac:dyDescent="0.25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51"/>
      <c r="AS22" s="51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3">
        <f t="shared" si="4"/>
        <v>0</v>
      </c>
    </row>
    <row r="23" spans="1:101" x14ac:dyDescent="0.25">
      <c r="B23" s="46" t="s">
        <v>99</v>
      </c>
      <c r="C23" s="47" t="s">
        <v>112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51"/>
      <c r="AS23" s="51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3">
        <f t="shared" si="4"/>
        <v>0</v>
      </c>
    </row>
    <row r="24" spans="1:101" x14ac:dyDescent="0.25">
      <c r="B24" s="46" t="s">
        <v>99</v>
      </c>
      <c r="C24" s="47" t="s">
        <v>113</v>
      </c>
      <c r="D24" s="47"/>
      <c r="E24" s="47">
        <f>-6263.797-22249.494-2866.138-1697.459-146.212-60.502-133.134</f>
        <v>-33416.735999999997</v>
      </c>
      <c r="F24" s="47">
        <f>-393.49-1.574</f>
        <v>-395.06400000000002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51"/>
      <c r="AS24" s="51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3">
        <f t="shared" si="4"/>
        <v>-33811.799999999996</v>
      </c>
    </row>
    <row r="25" spans="1:101" x14ac:dyDescent="0.25">
      <c r="A25" s="41"/>
      <c r="B25" s="52" t="s">
        <v>99</v>
      </c>
      <c r="C25" s="53" t="s">
        <v>114</v>
      </c>
      <c r="D25" s="53">
        <v>-7174.9645099999998</v>
      </c>
      <c r="E25" s="53">
        <f>-2569985.62626+142611.156</f>
        <v>-2427374.4702599999</v>
      </c>
      <c r="F25" s="53">
        <f>-2346897.53002+568725.718</f>
        <v>-1778171.8120200001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43">
        <f t="shared" si="4"/>
        <v>-4212721.2467899993</v>
      </c>
    </row>
    <row r="26" spans="1:101" x14ac:dyDescent="0.25">
      <c r="B26" s="46"/>
      <c r="C26" s="47" t="s">
        <v>115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51"/>
      <c r="AS26" s="51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3">
        <f t="shared" si="4"/>
        <v>0</v>
      </c>
    </row>
    <row r="27" spans="1:101" x14ac:dyDescent="0.25">
      <c r="B27" s="46" t="s">
        <v>99</v>
      </c>
      <c r="C27" s="47" t="s">
        <v>116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51"/>
      <c r="AS27" s="51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3">
        <f t="shared" si="4"/>
        <v>0</v>
      </c>
    </row>
    <row r="28" spans="1:101" x14ac:dyDescent="0.25">
      <c r="B28" s="47" t="s">
        <v>99</v>
      </c>
      <c r="C28" s="47" t="s">
        <v>117</v>
      </c>
      <c r="D28" s="48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51"/>
      <c r="AS28" s="51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3">
        <f t="shared" si="4"/>
        <v>0</v>
      </c>
    </row>
    <row r="29" spans="1:101" x14ac:dyDescent="0.25">
      <c r="B29" s="47"/>
      <c r="C29" s="47" t="s">
        <v>118</v>
      </c>
      <c r="D29" s="48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51"/>
      <c r="AS29" s="51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3">
        <f t="shared" si="4"/>
        <v>0</v>
      </c>
    </row>
    <row r="30" spans="1:101" x14ac:dyDescent="0.25">
      <c r="B30" s="47"/>
      <c r="C30" s="47" t="s">
        <v>119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51"/>
      <c r="AS30" s="51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3">
        <f t="shared" si="4"/>
        <v>0</v>
      </c>
    </row>
    <row r="31" spans="1:101" x14ac:dyDescent="0.25">
      <c r="B31" s="47" t="s">
        <v>99</v>
      </c>
      <c r="C31" s="47" t="s">
        <v>120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51"/>
      <c r="AS31" s="51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3">
        <f t="shared" si="4"/>
        <v>0</v>
      </c>
    </row>
    <row r="32" spans="1:101" x14ac:dyDescent="0.25">
      <c r="B32" s="47" t="s">
        <v>99</v>
      </c>
      <c r="C32" s="47" t="s">
        <v>121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51"/>
      <c r="AS32" s="51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3">
        <f t="shared" si="4"/>
        <v>0</v>
      </c>
    </row>
    <row r="33" spans="2:101" x14ac:dyDescent="0.25">
      <c r="B33" s="47" t="s">
        <v>99</v>
      </c>
      <c r="C33" s="47" t="s">
        <v>122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51"/>
      <c r="AS33" s="51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3">
        <f t="shared" si="4"/>
        <v>0</v>
      </c>
    </row>
    <row r="34" spans="2:101" x14ac:dyDescent="0.25">
      <c r="B34" s="54" t="s">
        <v>99</v>
      </c>
      <c r="C34" s="55" t="s">
        <v>123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43">
        <f t="shared" si="4"/>
        <v>0</v>
      </c>
    </row>
    <row r="35" spans="2:101" x14ac:dyDescent="0.25">
      <c r="B35" s="54" t="s">
        <v>99</v>
      </c>
      <c r="C35" s="55" t="s">
        <v>124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43">
        <f t="shared" si="4"/>
        <v>0</v>
      </c>
    </row>
    <row r="36" spans="2:101" ht="15.75" thickBot="1" x14ac:dyDescent="0.3">
      <c r="B36" s="56"/>
      <c r="C36" s="57" t="s">
        <v>125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43">
        <f t="shared" si="4"/>
        <v>0</v>
      </c>
    </row>
    <row r="37" spans="2:101" x14ac:dyDescent="0.25">
      <c r="B37" s="58"/>
      <c r="C37" s="59" t="s">
        <v>126</v>
      </c>
      <c r="D37" s="59">
        <f>SUM(D9:D36)</f>
        <v>760.36848999999984</v>
      </c>
      <c r="E37" s="59">
        <f>SUM(E9:E36)</f>
        <v>13058235.022859996</v>
      </c>
      <c r="F37" s="59">
        <f>SUM(F9:F35)</f>
        <v>6192999.7168400008</v>
      </c>
      <c r="G37" s="59">
        <f t="shared" ref="G37:BR37" si="5">SUM(G9:G36)</f>
        <v>0</v>
      </c>
      <c r="H37" s="59">
        <f t="shared" si="5"/>
        <v>0</v>
      </c>
      <c r="I37" s="59">
        <f t="shared" si="5"/>
        <v>0</v>
      </c>
      <c r="J37" s="59">
        <f t="shared" si="5"/>
        <v>0</v>
      </c>
      <c r="K37" s="59">
        <f t="shared" si="5"/>
        <v>0</v>
      </c>
      <c r="L37" s="59">
        <f t="shared" si="5"/>
        <v>0</v>
      </c>
      <c r="M37" s="59">
        <f t="shared" si="5"/>
        <v>0</v>
      </c>
      <c r="N37" s="59">
        <f t="shared" si="5"/>
        <v>0</v>
      </c>
      <c r="O37" s="59">
        <f t="shared" si="5"/>
        <v>0</v>
      </c>
      <c r="P37" s="59">
        <f t="shared" si="5"/>
        <v>0</v>
      </c>
      <c r="Q37" s="59">
        <f t="shared" si="5"/>
        <v>0</v>
      </c>
      <c r="R37" s="59">
        <f t="shared" si="5"/>
        <v>0</v>
      </c>
      <c r="S37" s="59">
        <f t="shared" si="5"/>
        <v>0</v>
      </c>
      <c r="T37" s="59">
        <f t="shared" si="5"/>
        <v>0</v>
      </c>
      <c r="U37" s="59">
        <f t="shared" si="5"/>
        <v>0</v>
      </c>
      <c r="V37" s="59">
        <f t="shared" si="5"/>
        <v>0</v>
      </c>
      <c r="W37" s="59">
        <f t="shared" si="5"/>
        <v>0</v>
      </c>
      <c r="X37" s="59">
        <f t="shared" si="5"/>
        <v>0</v>
      </c>
      <c r="Y37" s="59">
        <f t="shared" si="5"/>
        <v>0</v>
      </c>
      <c r="Z37" s="59">
        <f t="shared" si="5"/>
        <v>0</v>
      </c>
      <c r="AA37" s="59">
        <f t="shared" si="5"/>
        <v>0</v>
      </c>
      <c r="AB37" s="59">
        <f t="shared" si="5"/>
        <v>0</v>
      </c>
      <c r="AC37" s="59">
        <f t="shared" si="5"/>
        <v>0</v>
      </c>
      <c r="AD37" s="59">
        <f t="shared" si="5"/>
        <v>0</v>
      </c>
      <c r="AE37" s="59">
        <f t="shared" si="5"/>
        <v>0</v>
      </c>
      <c r="AF37" s="59">
        <f t="shared" si="5"/>
        <v>0</v>
      </c>
      <c r="AG37" s="59">
        <f t="shared" si="5"/>
        <v>0</v>
      </c>
      <c r="AH37" s="59">
        <f t="shared" si="5"/>
        <v>0</v>
      </c>
      <c r="AI37" s="59">
        <f t="shared" si="5"/>
        <v>0</v>
      </c>
      <c r="AJ37" s="59">
        <f t="shared" si="5"/>
        <v>0</v>
      </c>
      <c r="AK37" s="59">
        <f t="shared" si="5"/>
        <v>0</v>
      </c>
      <c r="AL37" s="59">
        <f t="shared" si="5"/>
        <v>0</v>
      </c>
      <c r="AM37" s="59">
        <f t="shared" si="5"/>
        <v>0</v>
      </c>
      <c r="AN37" s="59">
        <f t="shared" si="5"/>
        <v>0</v>
      </c>
      <c r="AO37" s="59">
        <f t="shared" si="5"/>
        <v>0</v>
      </c>
      <c r="AP37" s="59">
        <f t="shared" si="5"/>
        <v>0</v>
      </c>
      <c r="AQ37" s="59">
        <f t="shared" si="5"/>
        <v>0</v>
      </c>
      <c r="AR37" s="59">
        <f t="shared" si="5"/>
        <v>0</v>
      </c>
      <c r="AS37" s="59">
        <f t="shared" si="5"/>
        <v>0</v>
      </c>
      <c r="AT37" s="59">
        <f t="shared" si="5"/>
        <v>0</v>
      </c>
      <c r="AU37" s="59">
        <f t="shared" si="5"/>
        <v>0</v>
      </c>
      <c r="AV37" s="59">
        <f t="shared" si="5"/>
        <v>0</v>
      </c>
      <c r="AW37" s="59">
        <f t="shared" si="5"/>
        <v>0</v>
      </c>
      <c r="AX37" s="59">
        <f t="shared" si="5"/>
        <v>0</v>
      </c>
      <c r="AY37" s="59">
        <f t="shared" si="5"/>
        <v>0</v>
      </c>
      <c r="AZ37" s="59">
        <f t="shared" si="5"/>
        <v>0</v>
      </c>
      <c r="BA37" s="59">
        <f t="shared" si="5"/>
        <v>0</v>
      </c>
      <c r="BB37" s="59">
        <f t="shared" si="5"/>
        <v>0</v>
      </c>
      <c r="BC37" s="59">
        <f t="shared" si="5"/>
        <v>0</v>
      </c>
      <c r="BD37" s="59">
        <f t="shared" si="5"/>
        <v>0</v>
      </c>
      <c r="BE37" s="59">
        <f t="shared" si="5"/>
        <v>0</v>
      </c>
      <c r="BF37" s="59">
        <f t="shared" si="5"/>
        <v>0</v>
      </c>
      <c r="BG37" s="59">
        <f t="shared" si="5"/>
        <v>0</v>
      </c>
      <c r="BH37" s="59">
        <f t="shared" si="5"/>
        <v>0</v>
      </c>
      <c r="BI37" s="59">
        <f t="shared" si="5"/>
        <v>0</v>
      </c>
      <c r="BJ37" s="59">
        <f t="shared" si="5"/>
        <v>0</v>
      </c>
      <c r="BK37" s="59">
        <f t="shared" si="5"/>
        <v>0</v>
      </c>
      <c r="BL37" s="59">
        <f t="shared" si="5"/>
        <v>0</v>
      </c>
      <c r="BM37" s="59">
        <f t="shared" si="5"/>
        <v>0</v>
      </c>
      <c r="BN37" s="59">
        <f t="shared" si="5"/>
        <v>0</v>
      </c>
      <c r="BO37" s="59">
        <f t="shared" si="5"/>
        <v>0</v>
      </c>
      <c r="BP37" s="59">
        <f t="shared" si="5"/>
        <v>0</v>
      </c>
      <c r="BQ37" s="59">
        <f t="shared" si="5"/>
        <v>0</v>
      </c>
      <c r="BR37" s="59">
        <f t="shared" si="5"/>
        <v>0</v>
      </c>
      <c r="BS37" s="59">
        <f t="shared" ref="BS37:CV37" si="6">SUM(BS9:BS36)</f>
        <v>0</v>
      </c>
      <c r="BT37" s="59">
        <f t="shared" si="6"/>
        <v>0</v>
      </c>
      <c r="BU37" s="59">
        <f t="shared" si="6"/>
        <v>0</v>
      </c>
      <c r="BV37" s="59">
        <f t="shared" si="6"/>
        <v>-1.7569999999999999</v>
      </c>
      <c r="BW37" s="59">
        <f t="shared" si="6"/>
        <v>1107.0840000000001</v>
      </c>
      <c r="BX37" s="59">
        <f t="shared" si="6"/>
        <v>0</v>
      </c>
      <c r="BY37" s="59">
        <f t="shared" si="6"/>
        <v>-5968.2670000000662</v>
      </c>
      <c r="BZ37" s="59">
        <f t="shared" si="6"/>
        <v>-2414454.5251800003</v>
      </c>
      <c r="CA37" s="59">
        <f t="shared" si="6"/>
        <v>-1116745.7429999991</v>
      </c>
      <c r="CB37" s="59">
        <f t="shared" si="6"/>
        <v>0</v>
      </c>
      <c r="CC37" s="59">
        <f t="shared" si="6"/>
        <v>0</v>
      </c>
      <c r="CD37" s="59">
        <f t="shared" si="6"/>
        <v>0</v>
      </c>
      <c r="CE37" s="59">
        <f t="shared" si="6"/>
        <v>-13.621000000002823</v>
      </c>
      <c r="CF37" s="59">
        <f t="shared" si="6"/>
        <v>56113.204999999842</v>
      </c>
      <c r="CG37" s="59">
        <f t="shared" si="6"/>
        <v>0</v>
      </c>
      <c r="CH37" s="59">
        <f t="shared" si="6"/>
        <v>0</v>
      </c>
      <c r="CI37" s="59">
        <f t="shared" si="6"/>
        <v>5328.6817100000335</v>
      </c>
      <c r="CJ37" s="59">
        <f t="shared" si="6"/>
        <v>872.83271000000241</v>
      </c>
      <c r="CK37" s="59">
        <f t="shared" si="6"/>
        <v>0</v>
      </c>
      <c r="CL37" s="59">
        <f t="shared" si="6"/>
        <v>0</v>
      </c>
      <c r="CM37" s="59">
        <f t="shared" si="6"/>
        <v>0</v>
      </c>
      <c r="CN37" s="59">
        <f t="shared" si="6"/>
        <v>18</v>
      </c>
      <c r="CO37" s="59">
        <f t="shared" si="6"/>
        <v>0</v>
      </c>
      <c r="CP37" s="59">
        <f t="shared" si="6"/>
        <v>0</v>
      </c>
      <c r="CQ37" s="59">
        <f t="shared" si="6"/>
        <v>0</v>
      </c>
      <c r="CR37" s="59">
        <f t="shared" si="6"/>
        <v>0</v>
      </c>
      <c r="CS37" s="59">
        <f t="shared" si="6"/>
        <v>0</v>
      </c>
      <c r="CT37" s="59">
        <f t="shared" si="6"/>
        <v>0</v>
      </c>
      <c r="CU37" s="59">
        <f t="shared" si="6"/>
        <v>0</v>
      </c>
      <c r="CV37" s="59">
        <f t="shared" si="6"/>
        <v>0</v>
      </c>
      <c r="CW37" s="43">
        <f t="shared" si="4"/>
        <v>15778250.998429995</v>
      </c>
    </row>
    <row r="38" spans="2:101" x14ac:dyDescent="0.25">
      <c r="B38" s="60"/>
      <c r="C38" s="61" t="s">
        <v>127</v>
      </c>
      <c r="D38" s="61">
        <f>+D37+D8</f>
        <v>557470.89414000046</v>
      </c>
      <c r="E38" s="61">
        <f>+E37+E8</f>
        <v>33965968.079104558</v>
      </c>
      <c r="F38" s="61">
        <f>+F37+F8</f>
        <v>10936851.714041511</v>
      </c>
      <c r="G38" s="61">
        <f t="shared" ref="G38:BR38" si="7">+G37+G8</f>
        <v>0</v>
      </c>
      <c r="H38" s="61">
        <f t="shared" si="7"/>
        <v>0</v>
      </c>
      <c r="I38" s="61">
        <f t="shared" si="7"/>
        <v>112708.05413999424</v>
      </c>
      <c r="J38" s="61">
        <f t="shared" si="7"/>
        <v>0</v>
      </c>
      <c r="K38" s="61">
        <f t="shared" si="7"/>
        <v>109952.39123814307</v>
      </c>
      <c r="L38" s="61">
        <f t="shared" si="7"/>
        <v>213080.25738129954</v>
      </c>
      <c r="M38" s="61">
        <f t="shared" si="7"/>
        <v>419674.54482886626</v>
      </c>
      <c r="N38" s="61">
        <f t="shared" si="7"/>
        <v>177310.5199999999</v>
      </c>
      <c r="O38" s="61">
        <f t="shared" si="7"/>
        <v>743248.15264999995</v>
      </c>
      <c r="P38" s="61">
        <f t="shared" si="7"/>
        <v>35126471.680000007</v>
      </c>
      <c r="Q38" s="61">
        <f t="shared" si="7"/>
        <v>149794653.69044158</v>
      </c>
      <c r="R38" s="61">
        <f t="shared" si="7"/>
        <v>275245.01999999996</v>
      </c>
      <c r="S38" s="61">
        <f t="shared" si="7"/>
        <v>1450773.7840695991</v>
      </c>
      <c r="T38" s="61">
        <f t="shared" si="7"/>
        <v>0</v>
      </c>
      <c r="U38" s="61">
        <f t="shared" si="7"/>
        <v>0</v>
      </c>
      <c r="V38" s="61">
        <f t="shared" si="7"/>
        <v>0</v>
      </c>
      <c r="W38" s="61">
        <f t="shared" si="7"/>
        <v>0</v>
      </c>
      <c r="X38" s="61">
        <f t="shared" si="7"/>
        <v>0</v>
      </c>
      <c r="Y38" s="61">
        <f t="shared" si="7"/>
        <v>0</v>
      </c>
      <c r="Z38" s="61">
        <f t="shared" si="7"/>
        <v>9662.5274983807467</v>
      </c>
      <c r="AA38" s="61">
        <f t="shared" si="7"/>
        <v>40503.29</v>
      </c>
      <c r="AB38" s="61">
        <f t="shared" si="7"/>
        <v>7542.7499999967404</v>
      </c>
      <c r="AC38" s="61">
        <f t="shared" si="7"/>
        <v>31617.62</v>
      </c>
      <c r="AD38" s="61">
        <f t="shared" si="7"/>
        <v>5155</v>
      </c>
      <c r="AE38" s="61">
        <f t="shared" si="7"/>
        <v>21608.68</v>
      </c>
      <c r="AF38" s="61">
        <f t="shared" si="7"/>
        <v>7956.8699999451637</v>
      </c>
      <c r="AG38" s="61">
        <f t="shared" si="7"/>
        <v>33353.53</v>
      </c>
      <c r="AH38" s="61">
        <f t="shared" si="7"/>
        <v>203175.47999999719</v>
      </c>
      <c r="AI38" s="61">
        <f t="shared" si="7"/>
        <v>851645.451214</v>
      </c>
      <c r="AJ38" s="61">
        <f t="shared" si="7"/>
        <v>673596.71999999823</v>
      </c>
      <c r="AK38" s="61">
        <f t="shared" si="7"/>
        <v>2823324.1679230896</v>
      </c>
      <c r="AL38" s="61">
        <f t="shared" si="7"/>
        <v>45808232.364840075</v>
      </c>
      <c r="AM38" s="61">
        <f t="shared" si="7"/>
        <v>59156998.799813539</v>
      </c>
      <c r="AN38" s="61">
        <f t="shared" si="7"/>
        <v>6399996.8199400008</v>
      </c>
      <c r="AO38" s="61">
        <f t="shared" si="7"/>
        <v>809966.41413143976</v>
      </c>
      <c r="AP38" s="61">
        <f t="shared" si="7"/>
        <v>12118432.359733757</v>
      </c>
      <c r="AQ38" s="61">
        <f t="shared" si="7"/>
        <v>2167313.3240721608</v>
      </c>
      <c r="AR38" s="61">
        <f t="shared" si="7"/>
        <v>33752.683643993005</v>
      </c>
      <c r="AS38" s="61">
        <f t="shared" si="7"/>
        <v>6.2719079996137461</v>
      </c>
      <c r="AT38" s="61">
        <f t="shared" si="7"/>
        <v>11.210432002509913</v>
      </c>
      <c r="AU38" s="61">
        <f t="shared" si="7"/>
        <v>70709.869203997281</v>
      </c>
      <c r="AV38" s="61">
        <f t="shared" si="7"/>
        <v>523662.90839880263</v>
      </c>
      <c r="AW38" s="61">
        <f t="shared" si="7"/>
        <v>85667.9885699968</v>
      </c>
      <c r="AX38" s="61">
        <f t="shared" si="7"/>
        <v>1041.3974240010875</v>
      </c>
      <c r="AY38" s="61">
        <f t="shared" si="7"/>
        <v>17450.753311997978</v>
      </c>
      <c r="AZ38" s="61">
        <f t="shared" si="7"/>
        <v>23267.345377323236</v>
      </c>
      <c r="BA38" s="61">
        <f t="shared" si="7"/>
        <v>201952.41672400691</v>
      </c>
      <c r="BB38" s="61">
        <f t="shared" si="7"/>
        <v>69934.963219991143</v>
      </c>
      <c r="BC38" s="61">
        <f t="shared" si="7"/>
        <v>266778.90384799871</v>
      </c>
      <c r="BD38" s="61">
        <f t="shared" si="7"/>
        <v>17045.357599989835</v>
      </c>
      <c r="BE38" s="61">
        <f t="shared" si="7"/>
        <v>256586.81289368056</v>
      </c>
      <c r="BF38" s="61">
        <f t="shared" si="7"/>
        <v>321949.5492303599</v>
      </c>
      <c r="BG38" s="61">
        <f t="shared" si="7"/>
        <v>35109.232018882758</v>
      </c>
      <c r="BH38" s="61">
        <f t="shared" si="7"/>
        <v>27273.514880002102</v>
      </c>
      <c r="BI38" s="61">
        <f t="shared" si="7"/>
        <v>630661.83776839031</v>
      </c>
      <c r="BJ38" s="61">
        <f t="shared" si="7"/>
        <v>197783.28604456017</v>
      </c>
      <c r="BK38" s="61">
        <f t="shared" si="7"/>
        <v>2995393.833886012</v>
      </c>
      <c r="BL38" s="61">
        <f t="shared" si="7"/>
        <v>112702.05170244607</v>
      </c>
      <c r="BM38" s="61">
        <f t="shared" si="7"/>
        <v>1068457.2287271509</v>
      </c>
      <c r="BN38" s="61">
        <f t="shared" si="7"/>
        <v>4096291.5426973812</v>
      </c>
      <c r="BO38" s="61">
        <f t="shared" si="7"/>
        <v>3.4691202304202307E-3</v>
      </c>
      <c r="BP38" s="61">
        <f t="shared" si="7"/>
        <v>255.11276932906549</v>
      </c>
      <c r="BQ38" s="61">
        <f t="shared" si="7"/>
        <v>4.0128798844989433E-3</v>
      </c>
      <c r="BR38" s="61">
        <f t="shared" si="7"/>
        <v>2723100.6460000034</v>
      </c>
      <c r="BS38" s="61">
        <f t="shared" ref="BS38:CV38" si="8">+BS37+BS8</f>
        <v>11426987.824417591</v>
      </c>
      <c r="BT38" s="61">
        <f t="shared" si="8"/>
        <v>407611.79493201897</v>
      </c>
      <c r="BU38" s="61">
        <f t="shared" si="8"/>
        <v>1697061.5471122912</v>
      </c>
      <c r="BV38" s="61">
        <f t="shared" si="8"/>
        <v>8400.1908600000006</v>
      </c>
      <c r="BW38" s="61">
        <f t="shared" si="8"/>
        <v>1148174.5309900006</v>
      </c>
      <c r="BX38" s="61">
        <f t="shared" si="8"/>
        <v>12663.664475599246</v>
      </c>
      <c r="BY38" s="61">
        <f t="shared" si="8"/>
        <v>673329.50299999991</v>
      </c>
      <c r="BZ38" s="61">
        <f t="shared" si="8"/>
        <v>1878423.8498199997</v>
      </c>
      <c r="CA38" s="61">
        <f t="shared" si="8"/>
        <v>5383956.5890000006</v>
      </c>
      <c r="CB38" s="61">
        <f t="shared" si="8"/>
        <v>18618.56624</v>
      </c>
      <c r="CC38" s="61">
        <f t="shared" si="8"/>
        <v>881178.36917999981</v>
      </c>
      <c r="CD38" s="61">
        <f t="shared" si="8"/>
        <v>0</v>
      </c>
      <c r="CE38" s="61">
        <f t="shared" si="8"/>
        <v>21640.922999999999</v>
      </c>
      <c r="CF38" s="61">
        <f t="shared" si="8"/>
        <v>1225599.6175899999</v>
      </c>
      <c r="CG38" s="61">
        <f t="shared" si="8"/>
        <v>162748.57699999999</v>
      </c>
      <c r="CH38" s="61">
        <f t="shared" si="8"/>
        <v>2.9318200000000001</v>
      </c>
      <c r="CI38" s="61">
        <f t="shared" si="8"/>
        <v>897705.84100000001</v>
      </c>
      <c r="CJ38" s="61">
        <f t="shared" si="8"/>
        <v>64459.147499999999</v>
      </c>
      <c r="CK38" s="61">
        <f t="shared" si="8"/>
        <v>0</v>
      </c>
      <c r="CL38" s="61">
        <f t="shared" si="8"/>
        <v>0</v>
      </c>
      <c r="CM38" s="61">
        <f t="shared" si="8"/>
        <v>79545.21415</v>
      </c>
      <c r="CN38" s="61">
        <f t="shared" si="8"/>
        <v>662749.23896999995</v>
      </c>
      <c r="CO38" s="61">
        <f t="shared" si="8"/>
        <v>736440.24131999968</v>
      </c>
      <c r="CP38" s="61">
        <f t="shared" si="8"/>
        <v>9152723.6727600005</v>
      </c>
      <c r="CQ38" s="61">
        <f t="shared" si="8"/>
        <v>377918.49939999997</v>
      </c>
      <c r="CR38" s="61">
        <f t="shared" si="8"/>
        <v>2701872.374679999</v>
      </c>
      <c r="CS38" s="61">
        <f t="shared" si="8"/>
        <v>5000</v>
      </c>
      <c r="CT38" s="61">
        <f t="shared" si="8"/>
        <v>20468.599999999999</v>
      </c>
      <c r="CU38" s="61">
        <f t="shared" si="8"/>
        <v>5000</v>
      </c>
      <c r="CV38" s="61">
        <f t="shared" si="8"/>
        <v>20468.599999999999</v>
      </c>
      <c r="CW38" s="43">
        <f t="shared" si="4"/>
        <v>418501087.58618176</v>
      </c>
    </row>
    <row r="39" spans="2:101" x14ac:dyDescent="0.25">
      <c r="B39" s="62"/>
      <c r="C39" s="63" t="s">
        <v>128</v>
      </c>
      <c r="D39" s="63">
        <v>0</v>
      </c>
      <c r="E39" s="63">
        <v>-19968192.351070002</v>
      </c>
      <c r="F39" s="63">
        <v>-5366387.79055</v>
      </c>
      <c r="G39" s="63">
        <v>0</v>
      </c>
      <c r="H39" s="63">
        <v>0</v>
      </c>
      <c r="I39" s="63">
        <v>19.398270000000004</v>
      </c>
      <c r="J39" s="63">
        <v>0</v>
      </c>
      <c r="K39" s="63">
        <v>0</v>
      </c>
      <c r="L39" s="63">
        <v>489993.95199199131</v>
      </c>
      <c r="M39" s="63">
        <v>63766.534569999996</v>
      </c>
      <c r="N39" s="63">
        <v>0</v>
      </c>
      <c r="O39" s="63">
        <v>0</v>
      </c>
      <c r="P39" s="63">
        <v>-4560000</v>
      </c>
      <c r="Q39" s="63">
        <v>-19630891.200000003</v>
      </c>
      <c r="R39" s="63">
        <v>20.95</v>
      </c>
      <c r="S39" s="63">
        <v>90.190169000000012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-8500000</v>
      </c>
      <c r="AM39" s="63">
        <v>0</v>
      </c>
      <c r="AN39" s="63">
        <v>0</v>
      </c>
      <c r="AO39" s="63">
        <v>0</v>
      </c>
      <c r="AP39" s="63">
        <v>-27159.614585800002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33.131</v>
      </c>
      <c r="BB39" s="63">
        <v>11.472999999999999</v>
      </c>
      <c r="BC39" s="63">
        <v>43.767000000000003</v>
      </c>
      <c r="BD39" s="63">
        <v>2.8069999999999999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19.387150000000002</v>
      </c>
      <c r="BM39" s="63">
        <v>183.79533000000001</v>
      </c>
      <c r="BN39" s="63">
        <v>704.64077999999995</v>
      </c>
      <c r="BO39" s="63">
        <v>0</v>
      </c>
      <c r="BP39" s="63">
        <v>4.7189999999999996E-2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0</v>
      </c>
      <c r="BX39" s="63">
        <v>0</v>
      </c>
      <c r="BY39" s="63">
        <v>0</v>
      </c>
      <c r="BZ39" s="63">
        <v>4000000</v>
      </c>
      <c r="CA39" s="63">
        <v>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43">
        <f t="shared" si="4"/>
        <v>-53497740.882754825</v>
      </c>
    </row>
    <row r="40" spans="2:101" ht="15.75" thickBot="1" x14ac:dyDescent="0.3">
      <c r="B40" s="64"/>
      <c r="C40" s="65" t="s">
        <v>129</v>
      </c>
      <c r="D40" s="65">
        <f>+D39+D38</f>
        <v>557470.89414000046</v>
      </c>
      <c r="E40" s="65">
        <f>+E39+E38</f>
        <v>13997775.728034556</v>
      </c>
      <c r="F40" s="65">
        <f>+F39+F38</f>
        <v>5570463.9234915106</v>
      </c>
      <c r="G40" s="65">
        <f t="shared" ref="G40:BR40" si="9">+G39+G38</f>
        <v>0</v>
      </c>
      <c r="H40" s="65">
        <f t="shared" si="9"/>
        <v>0</v>
      </c>
      <c r="I40" s="65">
        <f t="shared" si="9"/>
        <v>112727.45240999425</v>
      </c>
      <c r="J40" s="65">
        <f t="shared" si="9"/>
        <v>0</v>
      </c>
      <c r="K40" s="65">
        <f t="shared" si="9"/>
        <v>109952.39123814307</v>
      </c>
      <c r="L40" s="65">
        <f t="shared" si="9"/>
        <v>703074.20937329088</v>
      </c>
      <c r="M40" s="65">
        <f t="shared" si="9"/>
        <v>483441.07939886628</v>
      </c>
      <c r="N40" s="65">
        <f t="shared" si="9"/>
        <v>177310.5199999999</v>
      </c>
      <c r="O40" s="65">
        <f t="shared" si="9"/>
        <v>743248.15264999995</v>
      </c>
      <c r="P40" s="65">
        <f t="shared" si="9"/>
        <v>30566471.680000007</v>
      </c>
      <c r="Q40" s="65">
        <f t="shared" si="9"/>
        <v>130163762.49044158</v>
      </c>
      <c r="R40" s="65">
        <f t="shared" si="9"/>
        <v>275265.96999999997</v>
      </c>
      <c r="S40" s="65">
        <f t="shared" si="9"/>
        <v>1450863.9742385992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9662.5274983807467</v>
      </c>
      <c r="AA40" s="65">
        <f t="shared" si="9"/>
        <v>40503.29</v>
      </c>
      <c r="AB40" s="65">
        <f t="shared" si="9"/>
        <v>7542.7499999967404</v>
      </c>
      <c r="AC40" s="65">
        <f t="shared" si="9"/>
        <v>31617.62</v>
      </c>
      <c r="AD40" s="65">
        <f t="shared" si="9"/>
        <v>5155</v>
      </c>
      <c r="AE40" s="65">
        <f t="shared" si="9"/>
        <v>21608.68</v>
      </c>
      <c r="AF40" s="65">
        <f t="shared" si="9"/>
        <v>7956.8699999451637</v>
      </c>
      <c r="AG40" s="65">
        <f t="shared" si="9"/>
        <v>33353.53</v>
      </c>
      <c r="AH40" s="65">
        <f t="shared" si="9"/>
        <v>203175.47999999719</v>
      </c>
      <c r="AI40" s="65">
        <f t="shared" si="9"/>
        <v>851645.451214</v>
      </c>
      <c r="AJ40" s="65">
        <f t="shared" si="9"/>
        <v>673596.71999999823</v>
      </c>
      <c r="AK40" s="65">
        <f t="shared" si="9"/>
        <v>2823324.1679230896</v>
      </c>
      <c r="AL40" s="65">
        <f t="shared" si="9"/>
        <v>37308232.364840075</v>
      </c>
      <c r="AM40" s="65">
        <f t="shared" si="9"/>
        <v>59156998.799813539</v>
      </c>
      <c r="AN40" s="65">
        <f t="shared" si="9"/>
        <v>6399996.8199400008</v>
      </c>
      <c r="AO40" s="65">
        <f t="shared" si="9"/>
        <v>809966.41413143976</v>
      </c>
      <c r="AP40" s="65">
        <f t="shared" si="9"/>
        <v>12091272.745147957</v>
      </c>
      <c r="AQ40" s="65">
        <f t="shared" si="9"/>
        <v>2167313.3240721608</v>
      </c>
      <c r="AR40" s="65">
        <f t="shared" si="9"/>
        <v>33752.683643993005</v>
      </c>
      <c r="AS40" s="65">
        <f t="shared" si="9"/>
        <v>6.2719079996137461</v>
      </c>
      <c r="AT40" s="65">
        <f t="shared" si="9"/>
        <v>11.210432002509913</v>
      </c>
      <c r="AU40" s="65">
        <f t="shared" si="9"/>
        <v>70709.869203997281</v>
      </c>
      <c r="AV40" s="65">
        <f t="shared" si="9"/>
        <v>523662.90839880263</v>
      </c>
      <c r="AW40" s="65">
        <f t="shared" si="9"/>
        <v>85667.9885699968</v>
      </c>
      <c r="AX40" s="65">
        <f t="shared" si="9"/>
        <v>1041.3974240010875</v>
      </c>
      <c r="AY40" s="65">
        <f t="shared" si="9"/>
        <v>17450.753311997978</v>
      </c>
      <c r="AZ40" s="65">
        <f t="shared" si="9"/>
        <v>23267.345377323236</v>
      </c>
      <c r="BA40" s="65">
        <f t="shared" si="9"/>
        <v>201985.5477240069</v>
      </c>
      <c r="BB40" s="65">
        <f t="shared" si="9"/>
        <v>69946.436219991141</v>
      </c>
      <c r="BC40" s="65">
        <f t="shared" si="9"/>
        <v>266822.6708479987</v>
      </c>
      <c r="BD40" s="65">
        <f t="shared" si="9"/>
        <v>17048.164599989836</v>
      </c>
      <c r="BE40" s="65">
        <f t="shared" si="9"/>
        <v>256586.81289368056</v>
      </c>
      <c r="BF40" s="65">
        <f t="shared" si="9"/>
        <v>321949.5492303599</v>
      </c>
      <c r="BG40" s="65">
        <f t="shared" si="9"/>
        <v>35109.232018882758</v>
      </c>
      <c r="BH40" s="65">
        <f t="shared" si="9"/>
        <v>27273.514880002102</v>
      </c>
      <c r="BI40" s="65">
        <f t="shared" si="9"/>
        <v>630661.83776839031</v>
      </c>
      <c r="BJ40" s="65">
        <f t="shared" si="9"/>
        <v>197783.28604456017</v>
      </c>
      <c r="BK40" s="65">
        <f t="shared" si="9"/>
        <v>2995393.833886012</v>
      </c>
      <c r="BL40" s="65">
        <f t="shared" si="9"/>
        <v>112721.43885244607</v>
      </c>
      <c r="BM40" s="65">
        <f t="shared" si="9"/>
        <v>1068641.0240571511</v>
      </c>
      <c r="BN40" s="65">
        <f t="shared" si="9"/>
        <v>4096996.1834773812</v>
      </c>
      <c r="BO40" s="65">
        <f t="shared" si="9"/>
        <v>3.4691202304202307E-3</v>
      </c>
      <c r="BP40" s="65">
        <f t="shared" si="9"/>
        <v>255.15995932906549</v>
      </c>
      <c r="BQ40" s="65">
        <f t="shared" si="9"/>
        <v>4.0128798844989433E-3</v>
      </c>
      <c r="BR40" s="65">
        <f t="shared" si="9"/>
        <v>2723100.6460000034</v>
      </c>
      <c r="BS40" s="65">
        <f t="shared" ref="BS40:CV40" si="10">+BS39+BS38</f>
        <v>11426987.824417591</v>
      </c>
      <c r="BT40" s="65">
        <f t="shared" si="10"/>
        <v>407611.79493201897</v>
      </c>
      <c r="BU40" s="65">
        <f t="shared" si="10"/>
        <v>1697061.5471122912</v>
      </c>
      <c r="BV40" s="65">
        <f t="shared" si="10"/>
        <v>8400.1908600000006</v>
      </c>
      <c r="BW40" s="65">
        <f t="shared" si="10"/>
        <v>1148174.5309900006</v>
      </c>
      <c r="BX40" s="65">
        <f t="shared" si="10"/>
        <v>12663.664475599246</v>
      </c>
      <c r="BY40" s="65">
        <f t="shared" si="10"/>
        <v>673329.50299999991</v>
      </c>
      <c r="BZ40" s="65">
        <f t="shared" si="10"/>
        <v>5878423.8498199992</v>
      </c>
      <c r="CA40" s="65">
        <f t="shared" si="10"/>
        <v>5383956.5890000006</v>
      </c>
      <c r="CB40" s="65">
        <f t="shared" si="10"/>
        <v>18618.56624</v>
      </c>
      <c r="CC40" s="65">
        <f t="shared" si="10"/>
        <v>881178.36917999981</v>
      </c>
      <c r="CD40" s="65">
        <f t="shared" si="10"/>
        <v>0</v>
      </c>
      <c r="CE40" s="65">
        <f t="shared" si="10"/>
        <v>21640.922999999999</v>
      </c>
      <c r="CF40" s="65">
        <f t="shared" si="10"/>
        <v>1225599.6175899999</v>
      </c>
      <c r="CG40" s="65">
        <f t="shared" si="10"/>
        <v>162748.57699999999</v>
      </c>
      <c r="CH40" s="65">
        <f>+CH39+CH38</f>
        <v>2.9318200000000001</v>
      </c>
      <c r="CI40" s="65">
        <f t="shared" si="10"/>
        <v>897705.84100000001</v>
      </c>
      <c r="CJ40" s="65">
        <f t="shared" si="10"/>
        <v>64459.147499999999</v>
      </c>
      <c r="CK40" s="65">
        <f t="shared" si="10"/>
        <v>0</v>
      </c>
      <c r="CL40" s="65">
        <f t="shared" si="10"/>
        <v>0</v>
      </c>
      <c r="CM40" s="65">
        <f t="shared" si="10"/>
        <v>79545.21415</v>
      </c>
      <c r="CN40" s="65">
        <f t="shared" si="10"/>
        <v>662749.23896999995</v>
      </c>
      <c r="CO40" s="65">
        <f t="shared" si="10"/>
        <v>736440.24131999968</v>
      </c>
      <c r="CP40" s="65">
        <f t="shared" si="10"/>
        <v>9152723.6727600005</v>
      </c>
      <c r="CQ40" s="65">
        <f t="shared" si="10"/>
        <v>377918.49939999997</v>
      </c>
      <c r="CR40" s="65">
        <f t="shared" si="10"/>
        <v>2701872.374679999</v>
      </c>
      <c r="CS40" s="65">
        <f t="shared" si="10"/>
        <v>5000</v>
      </c>
      <c r="CT40" s="65">
        <f t="shared" si="10"/>
        <v>20468.599999999999</v>
      </c>
      <c r="CU40" s="65">
        <f t="shared" si="10"/>
        <v>5000</v>
      </c>
      <c r="CV40" s="65">
        <f t="shared" si="10"/>
        <v>20468.599999999999</v>
      </c>
      <c r="CW40" s="43">
        <f t="shared" si="4"/>
        <v>365003346.70342696</v>
      </c>
    </row>
    <row r="41" spans="2:101" ht="15.75" thickBot="1" x14ac:dyDescent="0.3"/>
    <row r="42" spans="2:101" x14ac:dyDescent="0.25">
      <c r="C42" s="67" t="s">
        <v>130</v>
      </c>
      <c r="D42" s="68">
        <f>+D37+D39</f>
        <v>760.36848999999984</v>
      </c>
      <c r="E42" s="68">
        <f>+E37+E39</f>
        <v>-6909957.3282100055</v>
      </c>
      <c r="F42" s="69">
        <f>+F37+F39</f>
        <v>826611.92629000079</v>
      </c>
      <c r="G42" s="88">
        <v>20375.599999999999</v>
      </c>
      <c r="H42" s="88">
        <v>20376.599999999999</v>
      </c>
      <c r="I42" s="88">
        <v>20377.599999999999</v>
      </c>
      <c r="J42" s="88">
        <v>20378.599999999999</v>
      </c>
      <c r="K42" s="88">
        <v>20379.599999999999</v>
      </c>
      <c r="L42" s="88">
        <v>20380.599999999999</v>
      </c>
      <c r="M42" s="88">
        <v>20381.599999999999</v>
      </c>
      <c r="N42" s="88">
        <v>20382.599999999999</v>
      </c>
      <c r="O42" s="88">
        <v>20383.599999999999</v>
      </c>
      <c r="P42" s="88">
        <v>20384.599999999999</v>
      </c>
      <c r="Q42" s="88">
        <v>20385.599999999999</v>
      </c>
      <c r="R42" s="88">
        <v>20386.599999999999</v>
      </c>
      <c r="S42" s="88">
        <v>20387.599999999999</v>
      </c>
      <c r="T42" s="88">
        <v>20388.599999999999</v>
      </c>
      <c r="U42" s="88">
        <v>20389.599999999999</v>
      </c>
      <c r="V42" s="88">
        <v>20390.599999999999</v>
      </c>
      <c r="W42" s="88">
        <v>20391.599999999999</v>
      </c>
      <c r="X42" s="88">
        <v>20392.599999999999</v>
      </c>
      <c r="Y42" s="88">
        <v>20393.599999999999</v>
      </c>
      <c r="Z42" s="88">
        <v>20394.599999999999</v>
      </c>
      <c r="AA42" s="88">
        <v>20395.599999999999</v>
      </c>
      <c r="AB42" s="88">
        <v>20396.599999999999</v>
      </c>
      <c r="AC42" s="88">
        <v>20397.599999999999</v>
      </c>
      <c r="AD42" s="88">
        <v>20398.599999999999</v>
      </c>
      <c r="AE42" s="88">
        <v>20399.599999999999</v>
      </c>
      <c r="AF42" s="88">
        <v>20400.599999999999</v>
      </c>
      <c r="AG42" s="88">
        <v>20401.599999999999</v>
      </c>
      <c r="AH42" s="88">
        <v>20402.599999999999</v>
      </c>
      <c r="AI42" s="88">
        <v>20403.599999999999</v>
      </c>
      <c r="AJ42" s="88">
        <v>20404.599999999999</v>
      </c>
      <c r="AK42" s="88">
        <v>20405.599999999999</v>
      </c>
      <c r="AL42" s="88">
        <v>20406.599999999999</v>
      </c>
      <c r="AM42" s="88">
        <v>20407.599999999999</v>
      </c>
      <c r="AN42" s="88">
        <v>20408.599999999999</v>
      </c>
      <c r="AO42" s="88">
        <v>20409.599999999999</v>
      </c>
      <c r="AP42" s="88">
        <v>20410.599999999999</v>
      </c>
      <c r="AQ42" s="88">
        <v>20411.599999999999</v>
      </c>
      <c r="AR42" s="88">
        <v>20412.599999999999</v>
      </c>
      <c r="AS42" s="88">
        <v>20413.599999999999</v>
      </c>
      <c r="AT42" s="88">
        <v>20414.599999999999</v>
      </c>
      <c r="AU42" s="88">
        <v>20415.599999999999</v>
      </c>
      <c r="AV42" s="88">
        <v>20416.599999999999</v>
      </c>
      <c r="AW42" s="88">
        <v>20417.599999999999</v>
      </c>
      <c r="AX42" s="88">
        <v>20418.599999999999</v>
      </c>
      <c r="AY42" s="88">
        <v>20419.599999999999</v>
      </c>
      <c r="AZ42" s="88">
        <v>20420.599999999999</v>
      </c>
      <c r="BA42" s="88">
        <v>20421.599999999999</v>
      </c>
      <c r="BB42" s="88">
        <v>20422.599999999999</v>
      </c>
      <c r="BC42" s="88">
        <v>20423.599999999999</v>
      </c>
      <c r="BD42" s="88">
        <v>20424.599999999999</v>
      </c>
      <c r="BE42" s="88">
        <v>20425.599999999999</v>
      </c>
      <c r="BF42" s="88">
        <v>20426.599999999999</v>
      </c>
      <c r="BG42" s="88">
        <v>20427.599999999999</v>
      </c>
      <c r="BH42" s="88">
        <v>20428.599999999999</v>
      </c>
      <c r="BI42" s="88">
        <v>20429.599999999999</v>
      </c>
      <c r="BJ42" s="88">
        <v>20430.599999999999</v>
      </c>
      <c r="BK42" s="88">
        <v>20431.599999999999</v>
      </c>
      <c r="BL42" s="88">
        <v>20432.599999999999</v>
      </c>
      <c r="BM42" s="88">
        <v>20433.599999999999</v>
      </c>
      <c r="BN42" s="88">
        <v>20434.599999999999</v>
      </c>
      <c r="BO42" s="88">
        <v>20435.599999999999</v>
      </c>
      <c r="BP42" s="88">
        <v>20436.599999999999</v>
      </c>
      <c r="BQ42" s="88">
        <v>20437.599999999999</v>
      </c>
      <c r="BR42" s="88">
        <v>20438.599999999999</v>
      </c>
      <c r="BS42" s="88">
        <v>20439.599999999999</v>
      </c>
      <c r="BT42" s="88">
        <v>20440.599999999999</v>
      </c>
      <c r="BU42" s="88">
        <v>20441.599999999999</v>
      </c>
      <c r="BV42" s="88">
        <v>20442.599999999999</v>
      </c>
      <c r="BW42" s="88">
        <v>20443.599999999999</v>
      </c>
      <c r="BX42" s="88">
        <v>20444.599999999999</v>
      </c>
      <c r="BY42" s="88">
        <v>20445.599999999999</v>
      </c>
      <c r="BZ42" s="88">
        <v>20446.599999999999</v>
      </c>
      <c r="CA42" s="88">
        <v>20447.599999999999</v>
      </c>
      <c r="CB42" s="88">
        <v>20448.599999999999</v>
      </c>
      <c r="CC42" s="88">
        <v>20449.599999999999</v>
      </c>
      <c r="CD42" s="88">
        <v>20450.599999999999</v>
      </c>
      <c r="CE42" s="88">
        <v>20451.599999999999</v>
      </c>
      <c r="CF42" s="88">
        <v>20452.599999999999</v>
      </c>
      <c r="CG42" s="88">
        <v>20453.599999999999</v>
      </c>
      <c r="CH42" s="88">
        <v>20454.599999999999</v>
      </c>
      <c r="CI42" s="88">
        <v>20455.599999999999</v>
      </c>
      <c r="CJ42" s="88">
        <v>20456.599999999999</v>
      </c>
      <c r="CK42" s="88">
        <v>20457.599999999999</v>
      </c>
      <c r="CL42" s="88">
        <v>20458.599999999999</v>
      </c>
      <c r="CM42" s="88">
        <v>20459.599999999999</v>
      </c>
      <c r="CN42" s="88">
        <v>20460.599999999999</v>
      </c>
      <c r="CO42" s="88">
        <v>20461.599999999999</v>
      </c>
      <c r="CP42" s="88">
        <v>20462.599999999999</v>
      </c>
      <c r="CQ42" s="88">
        <v>20463.599999999999</v>
      </c>
      <c r="CR42" s="88">
        <v>20464.599999999999</v>
      </c>
      <c r="CS42" s="88">
        <v>20465.599999999999</v>
      </c>
      <c r="CT42" s="88">
        <v>20466.599999999999</v>
      </c>
      <c r="CU42" s="88">
        <v>20467.599999999999</v>
      </c>
      <c r="CV42" s="88">
        <v>20468.599999999999</v>
      </c>
    </row>
    <row r="43" spans="2:101" x14ac:dyDescent="0.25">
      <c r="C43" s="70" t="s">
        <v>131</v>
      </c>
      <c r="D43" s="71">
        <v>760.36848999999995</v>
      </c>
      <c r="E43" s="71">
        <v>-6909957.3285800004</v>
      </c>
      <c r="F43" s="71">
        <v>826611.92633000005</v>
      </c>
      <c r="G43" s="66"/>
      <c r="H43" s="66"/>
      <c r="CT43" s="66"/>
      <c r="CU43" s="66"/>
      <c r="CV43" s="66"/>
    </row>
    <row r="44" spans="2:101" ht="15.75" thickBot="1" x14ac:dyDescent="0.3">
      <c r="C44" s="73" t="s">
        <v>132</v>
      </c>
      <c r="D44" s="74">
        <f>+D42-D43</f>
        <v>0</v>
      </c>
      <c r="E44" s="74">
        <f>+E42-E43</f>
        <v>3.6999490112066269E-4</v>
      </c>
      <c r="F44" s="75">
        <f>+F42-F43</f>
        <v>-3.999925684183836E-5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</row>
    <row r="45" spans="2:101" ht="15.75" thickBot="1" x14ac:dyDescent="0.3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</row>
    <row r="46" spans="2:101" ht="15.75" thickBot="1" x14ac:dyDescent="0.3">
      <c r="D46" s="10">
        <v>9610</v>
      </c>
      <c r="E46" s="80">
        <v>8722790500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2:101" ht="15.75" thickBot="1" x14ac:dyDescent="0.3">
      <c r="D47" s="10">
        <v>8236</v>
      </c>
      <c r="E47" s="80">
        <v>2502219213</v>
      </c>
      <c r="F47" s="79"/>
      <c r="I47" s="66" t="s">
        <v>133</v>
      </c>
      <c r="AL47" s="76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</row>
    <row r="48" spans="2:101" ht="15.75" thickBot="1" x14ac:dyDescent="0.3">
      <c r="D48" s="10">
        <v>9594</v>
      </c>
      <c r="E48" s="80">
        <v>1616229485.76</v>
      </c>
      <c r="F48" s="79"/>
      <c r="AL48" s="76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</row>
    <row r="49" spans="2:97" x14ac:dyDescent="0.25">
      <c r="C49" s="78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</row>
    <row r="50" spans="2:97" x14ac:dyDescent="0.25"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/>
    </row>
    <row r="51" spans="2:97" x14ac:dyDescent="0.25">
      <c r="CS51"/>
    </row>
    <row r="52" spans="2:97" x14ac:dyDescent="0.25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/>
    </row>
    <row r="53" spans="2:97" x14ac:dyDescent="0.25">
      <c r="CS53"/>
    </row>
    <row r="54" spans="2:97" x14ac:dyDescent="0.25">
      <c r="CS54"/>
    </row>
    <row r="55" spans="2:97" x14ac:dyDescent="0.25">
      <c r="CS55"/>
    </row>
    <row r="58" spans="2:97" x14ac:dyDescent="0.25">
      <c r="B58" s="66"/>
      <c r="C58" s="66"/>
      <c r="D58" s="66"/>
      <c r="E58" s="66"/>
      <c r="F58" s="66"/>
      <c r="G58" s="66"/>
      <c r="H58" s="66"/>
      <c r="CM58"/>
      <c r="CN58"/>
      <c r="CO58"/>
      <c r="CP58"/>
      <c r="CQ58"/>
      <c r="CR58"/>
    </row>
    <row r="59" spans="2:97" x14ac:dyDescent="0.25">
      <c r="B59" s="66"/>
      <c r="C59" s="66"/>
      <c r="D59" s="66"/>
      <c r="E59" s="66"/>
      <c r="F59" s="66"/>
      <c r="G59" s="66"/>
      <c r="H59" s="66"/>
      <c r="CM59"/>
      <c r="CN59"/>
      <c r="CO59"/>
      <c r="CP59"/>
      <c r="CQ59"/>
      <c r="CR59"/>
    </row>
    <row r="60" spans="2:97" x14ac:dyDescent="0.25">
      <c r="B60" s="66"/>
      <c r="C60" s="66"/>
      <c r="D60" s="66"/>
      <c r="E60" s="66"/>
      <c r="F60" s="66"/>
      <c r="G60" s="66"/>
      <c r="H60" s="66"/>
      <c r="CM60"/>
      <c r="CN60"/>
      <c r="CO60"/>
      <c r="CP60"/>
      <c r="CQ60"/>
      <c r="CR60"/>
    </row>
    <row r="61" spans="2:97" x14ac:dyDescent="0.25">
      <c r="B61" s="66"/>
      <c r="C61" s="66"/>
      <c r="D61" s="66"/>
      <c r="E61" s="66"/>
      <c r="F61" s="66"/>
      <c r="G61" s="66"/>
      <c r="H61" s="66"/>
      <c r="CM61"/>
      <c r="CN61"/>
      <c r="CO61"/>
      <c r="CP61"/>
      <c r="CQ61"/>
      <c r="CR61"/>
    </row>
    <row r="62" spans="2:97" x14ac:dyDescent="0.25">
      <c r="B62" s="66"/>
      <c r="C62" s="66"/>
      <c r="D62" s="66"/>
      <c r="E62" s="66"/>
      <c r="F62" s="66"/>
      <c r="G62" s="66"/>
      <c r="H62" s="66"/>
      <c r="CM62"/>
      <c r="CN62"/>
      <c r="CO62"/>
      <c r="CP62"/>
      <c r="CQ62"/>
      <c r="CR62"/>
    </row>
    <row r="63" spans="2:97" x14ac:dyDescent="0.25">
      <c r="B63" s="66"/>
      <c r="C63" s="66"/>
      <c r="D63" s="66"/>
      <c r="E63" s="66"/>
      <c r="F63" s="66"/>
      <c r="G63" s="66"/>
      <c r="H63" s="66"/>
      <c r="CM63"/>
      <c r="CN63"/>
      <c r="CO63"/>
      <c r="CP63"/>
      <c r="CQ63"/>
      <c r="CR63"/>
    </row>
  </sheetData>
  <mergeCells count="1">
    <mergeCell ref="AP2:AP3"/>
  </mergeCells>
  <pageMargins left="0.7" right="0.7" top="0.75" bottom="0.75" header="0.3" footer="0.3"/>
  <pageSetup orientation="portrait" r:id="rId1"/>
  <customProperties>
    <customPr name="QAA_DRILLPATH_NODE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3"/>
  <sheetViews>
    <sheetView zoomScale="112" zoomScaleNormal="112" workbookViewId="0">
      <selection activeCell="BS5" sqref="BS5"/>
    </sheetView>
  </sheetViews>
  <sheetFormatPr baseColWidth="10" defaultRowHeight="15" outlineLevelCol="2" x14ac:dyDescent="0.25"/>
  <cols>
    <col min="1" max="1" width="8.5703125" style="10" customWidth="1"/>
    <col min="2" max="2" width="10" style="10" bestFit="1" customWidth="1"/>
    <col min="3" max="3" width="43" style="10" bestFit="1" customWidth="1"/>
    <col min="4" max="5" width="19.42578125" style="10" bestFit="1" customWidth="1"/>
    <col min="6" max="6" width="21.85546875" style="10" bestFit="1" customWidth="1"/>
    <col min="7" max="7" width="19.5703125" style="10" customWidth="1" outlineLevel="1"/>
    <col min="8" max="8" width="17.85546875" style="10" customWidth="1" outlineLevel="1"/>
    <col min="9" max="9" width="17.85546875" style="66" bestFit="1" customWidth="1"/>
    <col min="10" max="10" width="17.85546875" style="66" customWidth="1" outlineLevel="2"/>
    <col min="11" max="13" width="16.42578125" style="66" customWidth="1" outlineLevel="2"/>
    <col min="14" max="14" width="18.85546875" style="66" customWidth="1" outlineLevel="2"/>
    <col min="15" max="15" width="21" style="66" customWidth="1" outlineLevel="2"/>
    <col min="16" max="17" width="14.140625" style="66" customWidth="1" outlineLevel="2"/>
    <col min="18" max="18" width="16.42578125" style="66" customWidth="1" outlineLevel="2"/>
    <col min="19" max="25" width="18.42578125" style="66" customWidth="1" outlineLevel="2"/>
    <col min="26" max="26" width="18.85546875" style="66" customWidth="1" outlineLevel="2"/>
    <col min="27" max="27" width="21" style="66" customWidth="1" outlineLevel="2"/>
    <col min="28" max="29" width="14.5703125" style="66" customWidth="1" outlineLevel="2"/>
    <col min="30" max="30" width="16.42578125" style="66" customWidth="1" outlineLevel="2"/>
    <col min="31" max="31" width="18.42578125" style="66" customWidth="1" outlineLevel="2"/>
    <col min="32" max="32" width="18.140625" style="66" customWidth="1" outlineLevel="2"/>
    <col min="33" max="33" width="20.140625" style="66" customWidth="1" outlineLevel="2"/>
    <col min="34" max="37" width="14.5703125" style="66" customWidth="1" outlineLevel="2"/>
    <col min="38" max="38" width="14.42578125" style="66" bestFit="1" customWidth="1"/>
    <col min="39" max="40" width="13.42578125" style="66" bestFit="1" customWidth="1"/>
    <col min="41" max="41" width="12.42578125" style="66" bestFit="1" customWidth="1"/>
    <col min="42" max="42" width="17.140625" style="66" bestFit="1" customWidth="1"/>
    <col min="43" max="43" width="17.140625" style="66" customWidth="1"/>
    <col min="44" max="48" width="17.42578125" style="66" customWidth="1" outlineLevel="1"/>
    <col min="49" max="49" width="15.140625" style="66" customWidth="1" outlineLevel="1"/>
    <col min="50" max="50" width="9.85546875" style="66" customWidth="1" outlineLevel="1"/>
    <col min="51" max="51" width="12.5703125" style="66" customWidth="1" outlineLevel="1"/>
    <col min="52" max="52" width="14.42578125" style="66" customWidth="1" outlineLevel="1"/>
    <col min="53" max="53" width="15.140625" style="66" customWidth="1" outlineLevel="1"/>
    <col min="54" max="55" width="11.85546875" style="66" customWidth="1" outlineLevel="1"/>
    <col min="56" max="56" width="12.5703125" style="66" customWidth="1" outlineLevel="1"/>
    <col min="57" max="59" width="16.5703125" style="66" customWidth="1" outlineLevel="1"/>
    <col min="60" max="60" width="15.140625" style="66" customWidth="1" outlineLevel="1"/>
    <col min="61" max="62" width="13.5703125" style="66" customWidth="1" outlineLevel="1"/>
    <col min="63" max="63" width="14.42578125" style="66" customWidth="1" outlineLevel="1"/>
    <col min="64" max="64" width="19.5703125" style="66" customWidth="1" outlineLevel="1"/>
    <col min="65" max="66" width="17.85546875" style="66" customWidth="1" outlineLevel="1"/>
    <col min="67" max="67" width="12.85546875" style="66" customWidth="1" outlineLevel="1"/>
    <col min="68" max="68" width="13.5703125" style="66" customWidth="1" outlineLevel="1"/>
    <col min="69" max="69" width="18.85546875" style="66" customWidth="1" outlineLevel="1"/>
    <col min="70" max="70" width="20.140625" style="66" customWidth="1" outlineLevel="1"/>
    <col min="71" max="73" width="20.140625" style="66" bestFit="1" customWidth="1"/>
    <col min="74" max="76" width="17.42578125" style="66" bestFit="1" customWidth="1"/>
    <col min="77" max="77" width="15.140625" style="66" bestFit="1" customWidth="1"/>
    <col min="78" max="79" width="14.42578125" style="66" bestFit="1" customWidth="1"/>
    <col min="80" max="80" width="15.140625" style="66" bestFit="1" customWidth="1"/>
    <col min="81" max="82" width="15" style="66" bestFit="1" customWidth="1"/>
    <col min="83" max="83" width="15.140625" style="66" bestFit="1" customWidth="1"/>
    <col min="84" max="84" width="11.7109375" style="66" bestFit="1" customWidth="1"/>
    <col min="85" max="85" width="12.5703125" style="66" bestFit="1" customWidth="1"/>
    <col min="86" max="86" width="16.5703125" style="66" bestFit="1" customWidth="1"/>
    <col min="87" max="88" width="19.7109375" style="66" bestFit="1" customWidth="1"/>
    <col min="89" max="89" width="15.5703125" style="66" customWidth="1"/>
    <col min="90" max="90" width="11.28515625" style="66" customWidth="1"/>
    <col min="91" max="91" width="17.85546875" style="66" bestFit="1" customWidth="1"/>
    <col min="92" max="92" width="14.42578125" style="66" customWidth="1"/>
    <col min="93" max="93" width="14.28515625" style="66" bestFit="1" customWidth="1"/>
    <col min="94" max="95" width="19.7109375" style="66" bestFit="1" customWidth="1"/>
    <col min="96" max="96" width="16.5703125" style="66" bestFit="1" customWidth="1"/>
    <col min="97" max="97" width="22" style="66" bestFit="1" customWidth="1"/>
    <col min="98" max="98" width="12" bestFit="1" customWidth="1"/>
    <col min="99" max="99" width="11.5703125" bestFit="1" customWidth="1"/>
    <col min="100" max="100" width="12" bestFit="1" customWidth="1"/>
    <col min="101" max="101" width="15.28515625" bestFit="1" customWidth="1"/>
  </cols>
  <sheetData>
    <row r="1" spans="1:101" ht="28.5" x14ac:dyDescent="0.45">
      <c r="A1" s="1"/>
      <c r="B1" s="1"/>
      <c r="C1" s="1"/>
      <c r="D1" s="2"/>
      <c r="E1" s="3"/>
      <c r="F1" s="3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5"/>
      <c r="AN1" s="5"/>
      <c r="AO1" s="5"/>
      <c r="AP1" s="5"/>
      <c r="AQ1" s="5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6"/>
      <c r="BM1" s="4"/>
      <c r="BN1" s="4"/>
      <c r="BO1" s="4"/>
      <c r="BP1" s="4"/>
      <c r="BQ1" s="4"/>
      <c r="BR1" s="7"/>
      <c r="BS1" s="7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8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spans="1:101" ht="15" customHeight="1" x14ac:dyDescent="0.25">
      <c r="D2" s="11" t="s">
        <v>0</v>
      </c>
      <c r="E2" s="11" t="s">
        <v>1</v>
      </c>
      <c r="F2" s="11" t="s">
        <v>2</v>
      </c>
      <c r="G2" s="12" t="s">
        <v>3</v>
      </c>
      <c r="H2" s="12" t="s">
        <v>4</v>
      </c>
      <c r="I2" s="13" t="s">
        <v>5</v>
      </c>
      <c r="J2" s="12" t="s">
        <v>6</v>
      </c>
      <c r="K2" s="12" t="s">
        <v>0</v>
      </c>
      <c r="L2" s="12" t="s">
        <v>1</v>
      </c>
      <c r="M2" s="12" t="s">
        <v>2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12" t="s">
        <v>12</v>
      </c>
      <c r="T2" s="16" t="s">
        <v>7</v>
      </c>
      <c r="U2" s="16" t="s">
        <v>8</v>
      </c>
      <c r="V2" s="16" t="s">
        <v>134</v>
      </c>
      <c r="W2" s="16" t="s">
        <v>135</v>
      </c>
      <c r="X2" s="16" t="s">
        <v>11</v>
      </c>
      <c r="Y2" s="16" t="s">
        <v>12</v>
      </c>
      <c r="Z2" s="12" t="s">
        <v>7</v>
      </c>
      <c r="AA2" s="12" t="s">
        <v>8</v>
      </c>
      <c r="AB2" s="12" t="s">
        <v>9</v>
      </c>
      <c r="AC2" s="12" t="s">
        <v>10</v>
      </c>
      <c r="AD2" s="12" t="s">
        <v>11</v>
      </c>
      <c r="AE2" s="12" t="s">
        <v>12</v>
      </c>
      <c r="AF2" s="12" t="s">
        <v>13</v>
      </c>
      <c r="AG2" s="12" t="s">
        <v>14</v>
      </c>
      <c r="AH2" s="12" t="s">
        <v>15</v>
      </c>
      <c r="AI2" s="12" t="s">
        <v>16</v>
      </c>
      <c r="AJ2" s="12" t="s">
        <v>17</v>
      </c>
      <c r="AK2" s="12" t="s">
        <v>18</v>
      </c>
      <c r="AL2" s="14" t="s">
        <v>19</v>
      </c>
      <c r="AM2" s="14" t="s">
        <v>20</v>
      </c>
      <c r="AN2" s="15" t="s">
        <v>21</v>
      </c>
      <c r="AO2" s="15" t="s">
        <v>22</v>
      </c>
      <c r="AP2" s="89" t="s">
        <v>23</v>
      </c>
      <c r="AQ2" s="83"/>
      <c r="AR2" s="16" t="s">
        <v>0</v>
      </c>
      <c r="AS2" s="16" t="s">
        <v>24</v>
      </c>
      <c r="AT2" s="12" t="s">
        <v>5</v>
      </c>
      <c r="AU2" s="12" t="s">
        <v>2</v>
      </c>
      <c r="AV2" s="12" t="s">
        <v>19</v>
      </c>
      <c r="AW2" s="12" t="s">
        <v>0</v>
      </c>
      <c r="AX2" s="12" t="s">
        <v>24</v>
      </c>
      <c r="AY2" s="12" t="s">
        <v>2</v>
      </c>
      <c r="AZ2" s="12" t="s">
        <v>19</v>
      </c>
      <c r="BA2" s="12" t="s">
        <v>0</v>
      </c>
      <c r="BB2" s="12" t="s">
        <v>24</v>
      </c>
      <c r="BC2" s="12" t="s">
        <v>5</v>
      </c>
      <c r="BD2" s="12" t="s">
        <v>2</v>
      </c>
      <c r="BE2" s="12" t="s">
        <v>0</v>
      </c>
      <c r="BF2" s="12" t="s">
        <v>24</v>
      </c>
      <c r="BG2" s="17" t="s">
        <v>2</v>
      </c>
      <c r="BH2" s="17" t="s">
        <v>0</v>
      </c>
      <c r="BI2" s="17" t="s">
        <v>24</v>
      </c>
      <c r="BJ2" s="17" t="s">
        <v>2</v>
      </c>
      <c r="BK2" s="17" t="s">
        <v>19</v>
      </c>
      <c r="BL2" s="18" t="s">
        <v>3</v>
      </c>
      <c r="BM2" s="18" t="s">
        <v>4</v>
      </c>
      <c r="BN2" s="18" t="s">
        <v>6</v>
      </c>
      <c r="BO2" s="18" t="s">
        <v>25</v>
      </c>
      <c r="BP2" s="18" t="s">
        <v>26</v>
      </c>
      <c r="BQ2" s="18" t="s">
        <v>27</v>
      </c>
      <c r="BR2" s="14" t="s">
        <v>28</v>
      </c>
      <c r="BS2" s="14" t="s">
        <v>10</v>
      </c>
      <c r="BT2" s="14" t="s">
        <v>29</v>
      </c>
      <c r="BU2" s="14" t="s">
        <v>12</v>
      </c>
      <c r="BV2" s="14" t="s">
        <v>0</v>
      </c>
      <c r="BW2" s="14" t="s">
        <v>1</v>
      </c>
      <c r="BX2" s="14" t="s">
        <v>2</v>
      </c>
      <c r="BY2" s="14" t="s">
        <v>0</v>
      </c>
      <c r="BZ2" s="14" t="s">
        <v>1</v>
      </c>
      <c r="CA2" s="14" t="s">
        <v>2</v>
      </c>
      <c r="CB2" s="14" t="s">
        <v>0</v>
      </c>
      <c r="CC2" s="14" t="s">
        <v>1</v>
      </c>
      <c r="CD2" s="14" t="s">
        <v>2</v>
      </c>
      <c r="CE2" s="14" t="s">
        <v>0</v>
      </c>
      <c r="CF2" s="14" t="s">
        <v>1</v>
      </c>
      <c r="CG2" s="14" t="s">
        <v>2</v>
      </c>
      <c r="CH2" s="14" t="s">
        <v>2</v>
      </c>
      <c r="CI2" s="14" t="s">
        <v>1</v>
      </c>
      <c r="CJ2" s="14" t="s">
        <v>2</v>
      </c>
      <c r="CK2" s="14" t="s">
        <v>1</v>
      </c>
      <c r="CL2" s="14" t="s">
        <v>1</v>
      </c>
      <c r="CM2" s="14" t="s">
        <v>1</v>
      </c>
      <c r="CN2" s="14" t="s">
        <v>1</v>
      </c>
      <c r="CO2" s="14" t="s">
        <v>1</v>
      </c>
      <c r="CP2" s="14" t="s">
        <v>1</v>
      </c>
      <c r="CQ2" s="14" t="s">
        <v>1</v>
      </c>
      <c r="CR2" s="19" t="s">
        <v>30</v>
      </c>
      <c r="CS2" s="85" t="s">
        <v>136</v>
      </c>
      <c r="CT2" s="85" t="s">
        <v>135</v>
      </c>
      <c r="CU2" s="85" t="s">
        <v>29</v>
      </c>
      <c r="CV2" s="85" t="s">
        <v>12</v>
      </c>
      <c r="CW2" s="20" t="s">
        <v>31</v>
      </c>
    </row>
    <row r="3" spans="1:101" ht="60" x14ac:dyDescent="0.25">
      <c r="D3" s="21" t="s">
        <v>32</v>
      </c>
      <c r="E3" s="21" t="s">
        <v>32</v>
      </c>
      <c r="F3" s="21" t="s">
        <v>32</v>
      </c>
      <c r="G3" s="22" t="s">
        <v>32</v>
      </c>
      <c r="H3" s="22" t="s">
        <v>32</v>
      </c>
      <c r="I3" s="23" t="s">
        <v>32</v>
      </c>
      <c r="J3" s="22" t="s">
        <v>32</v>
      </c>
      <c r="K3" s="22" t="s">
        <v>33</v>
      </c>
      <c r="L3" s="22" t="s">
        <v>33</v>
      </c>
      <c r="M3" s="22" t="s">
        <v>33</v>
      </c>
      <c r="N3" s="22" t="s">
        <v>34</v>
      </c>
      <c r="O3" s="22" t="s">
        <v>34</v>
      </c>
      <c r="P3" s="22" t="s">
        <v>34</v>
      </c>
      <c r="Q3" s="22" t="s">
        <v>34</v>
      </c>
      <c r="R3" s="22" t="s">
        <v>34</v>
      </c>
      <c r="S3" s="22" t="s">
        <v>34</v>
      </c>
      <c r="T3" s="24" t="s">
        <v>137</v>
      </c>
      <c r="U3" s="24" t="s">
        <v>137</v>
      </c>
      <c r="V3" s="24" t="s">
        <v>137</v>
      </c>
      <c r="W3" s="24" t="s">
        <v>137</v>
      </c>
      <c r="X3" s="24" t="s">
        <v>137</v>
      </c>
      <c r="Y3" s="24" t="s">
        <v>137</v>
      </c>
      <c r="Z3" s="22" t="s">
        <v>35</v>
      </c>
      <c r="AA3" s="22" t="s">
        <v>35</v>
      </c>
      <c r="AB3" s="22" t="s">
        <v>35</v>
      </c>
      <c r="AC3" s="22" t="s">
        <v>35</v>
      </c>
      <c r="AD3" s="22" t="s">
        <v>35</v>
      </c>
      <c r="AE3" s="22" t="s">
        <v>35</v>
      </c>
      <c r="AF3" s="22" t="s">
        <v>35</v>
      </c>
      <c r="AG3" s="22" t="s">
        <v>35</v>
      </c>
      <c r="AH3" s="22" t="s">
        <v>35</v>
      </c>
      <c r="AI3" s="22" t="s">
        <v>35</v>
      </c>
      <c r="AJ3" s="22" t="s">
        <v>35</v>
      </c>
      <c r="AK3" s="22" t="s">
        <v>35</v>
      </c>
      <c r="AL3" s="23" t="s">
        <v>36</v>
      </c>
      <c r="AM3" s="23" t="s">
        <v>36</v>
      </c>
      <c r="AN3" s="23"/>
      <c r="AO3" s="23"/>
      <c r="AP3" s="90"/>
      <c r="AQ3" s="84" t="s">
        <v>37</v>
      </c>
      <c r="AR3" s="24" t="s">
        <v>38</v>
      </c>
      <c r="AS3" s="24" t="s">
        <v>38</v>
      </c>
      <c r="AT3" s="22" t="s">
        <v>38</v>
      </c>
      <c r="AU3" s="22" t="s">
        <v>38</v>
      </c>
      <c r="AV3" s="22" t="s">
        <v>38</v>
      </c>
      <c r="AW3" s="22" t="s">
        <v>39</v>
      </c>
      <c r="AX3" s="22" t="s">
        <v>39</v>
      </c>
      <c r="AY3" s="22" t="s">
        <v>39</v>
      </c>
      <c r="AZ3" s="22" t="s">
        <v>39</v>
      </c>
      <c r="BA3" s="22" t="s">
        <v>40</v>
      </c>
      <c r="BB3" s="22" t="s">
        <v>40</v>
      </c>
      <c r="BC3" s="22" t="s">
        <v>40</v>
      </c>
      <c r="BD3" s="22" t="s">
        <v>40</v>
      </c>
      <c r="BE3" s="22" t="s">
        <v>41</v>
      </c>
      <c r="BF3" s="22" t="s">
        <v>41</v>
      </c>
      <c r="BG3" s="22" t="s">
        <v>41</v>
      </c>
      <c r="BH3" s="22" t="s">
        <v>42</v>
      </c>
      <c r="BI3" s="22" t="s">
        <v>42</v>
      </c>
      <c r="BJ3" s="22" t="s">
        <v>42</v>
      </c>
      <c r="BK3" s="22" t="s">
        <v>42</v>
      </c>
      <c r="BL3" s="24" t="s">
        <v>32</v>
      </c>
      <c r="BM3" s="24" t="s">
        <v>32</v>
      </c>
      <c r="BN3" s="24" t="s">
        <v>32</v>
      </c>
      <c r="BO3" s="25" t="s">
        <v>4</v>
      </c>
      <c r="BP3" s="25" t="s">
        <v>4</v>
      </c>
      <c r="BQ3" s="25" t="s">
        <v>4</v>
      </c>
      <c r="BR3" s="84" t="s">
        <v>43</v>
      </c>
      <c r="BS3" s="84" t="s">
        <v>43</v>
      </c>
      <c r="BT3" s="84" t="s">
        <v>43</v>
      </c>
      <c r="BU3" s="84" t="s">
        <v>43</v>
      </c>
      <c r="BV3" s="84" t="s">
        <v>38</v>
      </c>
      <c r="BW3" s="84" t="s">
        <v>38</v>
      </c>
      <c r="BX3" s="84" t="s">
        <v>38</v>
      </c>
      <c r="BY3" s="84" t="s">
        <v>42</v>
      </c>
      <c r="BZ3" s="84" t="s">
        <v>42</v>
      </c>
      <c r="CA3" s="84" t="s">
        <v>42</v>
      </c>
      <c r="CB3" s="84" t="s">
        <v>44</v>
      </c>
      <c r="CC3" s="84" t="s">
        <v>44</v>
      </c>
      <c r="CD3" s="84" t="s">
        <v>44</v>
      </c>
      <c r="CE3" s="84" t="s">
        <v>45</v>
      </c>
      <c r="CF3" s="84" t="s">
        <v>45</v>
      </c>
      <c r="CG3" s="84" t="s">
        <v>45</v>
      </c>
      <c r="CH3" s="84" t="s">
        <v>41</v>
      </c>
      <c r="CI3" s="84" t="s">
        <v>46</v>
      </c>
      <c r="CJ3" s="84" t="s">
        <v>46</v>
      </c>
      <c r="CK3" s="26" t="s">
        <v>47</v>
      </c>
      <c r="CL3" s="26" t="s">
        <v>47</v>
      </c>
      <c r="CM3" s="26" t="s">
        <v>32</v>
      </c>
      <c r="CN3" s="26" t="s">
        <v>42</v>
      </c>
      <c r="CO3" s="26" t="s">
        <v>48</v>
      </c>
      <c r="CP3" s="26" t="s">
        <v>46</v>
      </c>
      <c r="CQ3" s="26" t="s">
        <v>46</v>
      </c>
      <c r="CR3" s="86" t="s">
        <v>49</v>
      </c>
      <c r="CS3" s="87" t="s">
        <v>138</v>
      </c>
      <c r="CT3" s="87" t="s">
        <v>138</v>
      </c>
      <c r="CU3" s="87" t="s">
        <v>138</v>
      </c>
      <c r="CV3" s="87" t="s">
        <v>138</v>
      </c>
      <c r="CW3" s="27"/>
    </row>
    <row r="4" spans="1:101" x14ac:dyDescent="0.25">
      <c r="A4" s="28"/>
      <c r="B4" s="29" t="s">
        <v>50</v>
      </c>
      <c r="C4" s="30" t="s">
        <v>51</v>
      </c>
      <c r="D4" s="31" t="s">
        <v>52</v>
      </c>
      <c r="E4" s="31" t="s">
        <v>53</v>
      </c>
      <c r="F4" s="31" t="s">
        <v>54</v>
      </c>
      <c r="G4" s="32">
        <v>482800001265</v>
      </c>
      <c r="H4" s="32">
        <v>482800001273</v>
      </c>
      <c r="I4" s="32">
        <v>482800002024</v>
      </c>
      <c r="J4" s="32">
        <v>482800001257</v>
      </c>
      <c r="K4" s="32" t="s">
        <v>55</v>
      </c>
      <c r="L4" s="32" t="s">
        <v>56</v>
      </c>
      <c r="M4" s="32" t="s">
        <v>57</v>
      </c>
      <c r="N4" s="32">
        <v>36203301</v>
      </c>
      <c r="O4" s="32">
        <v>36203301</v>
      </c>
      <c r="P4" s="32">
        <v>36203328</v>
      </c>
      <c r="Q4" s="32">
        <v>36203328</v>
      </c>
      <c r="R4" s="32">
        <v>36025015</v>
      </c>
      <c r="S4" s="32">
        <v>36025015</v>
      </c>
      <c r="T4" s="32"/>
      <c r="U4" s="32"/>
      <c r="V4" s="32"/>
      <c r="W4" s="32"/>
      <c r="X4" s="32"/>
      <c r="Y4" s="32"/>
      <c r="Z4" s="32">
        <v>865784010</v>
      </c>
      <c r="AA4" s="32">
        <v>865784010</v>
      </c>
      <c r="AB4" s="32">
        <v>865804010</v>
      </c>
      <c r="AC4" s="32">
        <v>865804010</v>
      </c>
      <c r="AD4" s="32">
        <v>865794010</v>
      </c>
      <c r="AE4" s="32">
        <v>865794010</v>
      </c>
      <c r="AF4" s="32" t="s">
        <v>58</v>
      </c>
      <c r="AG4" s="32" t="s">
        <v>58</v>
      </c>
      <c r="AH4" s="32" t="s">
        <v>59</v>
      </c>
      <c r="AI4" s="32" t="s">
        <v>59</v>
      </c>
      <c r="AJ4" s="32" t="s">
        <v>60</v>
      </c>
      <c r="AK4" s="32" t="s">
        <v>60</v>
      </c>
      <c r="AL4" s="33"/>
      <c r="AM4" s="33"/>
      <c r="AN4" s="33"/>
      <c r="AO4" s="33"/>
      <c r="AP4" s="33"/>
      <c r="AQ4" s="33">
        <v>3642</v>
      </c>
      <c r="AR4" s="33" t="s">
        <v>61</v>
      </c>
      <c r="AS4" s="33" t="s">
        <v>62</v>
      </c>
      <c r="AT4" s="33" t="s">
        <v>63</v>
      </c>
      <c r="AU4" s="33" t="s">
        <v>64</v>
      </c>
      <c r="AV4" s="33" t="s">
        <v>65</v>
      </c>
      <c r="AW4" s="33" t="s">
        <v>66</v>
      </c>
      <c r="AX4" s="33" t="s">
        <v>67</v>
      </c>
      <c r="AY4" s="33" t="s">
        <v>68</v>
      </c>
      <c r="AZ4" s="33" t="s">
        <v>69</v>
      </c>
      <c r="BA4" s="33" t="s">
        <v>70</v>
      </c>
      <c r="BB4" s="33" t="s">
        <v>71</v>
      </c>
      <c r="BC4" s="33" t="s">
        <v>72</v>
      </c>
      <c r="BD4" s="33" t="s">
        <v>73</v>
      </c>
      <c r="BE4" s="33" t="s">
        <v>74</v>
      </c>
      <c r="BF4" s="33" t="s">
        <v>75</v>
      </c>
      <c r="BG4" s="33" t="s">
        <v>76</v>
      </c>
      <c r="BH4" s="33" t="s">
        <v>77</v>
      </c>
      <c r="BI4" s="33" t="s">
        <v>78</v>
      </c>
      <c r="BJ4" s="33" t="s">
        <v>79</v>
      </c>
      <c r="BK4" s="33" t="s">
        <v>80</v>
      </c>
      <c r="BL4" s="34">
        <v>482800007882</v>
      </c>
      <c r="BM4" s="34">
        <v>482800007908</v>
      </c>
      <c r="BN4" s="34">
        <v>482800007890</v>
      </c>
      <c r="BO4" s="34">
        <v>482800010001</v>
      </c>
      <c r="BP4" s="34">
        <v>482800010019</v>
      </c>
      <c r="BQ4" s="34">
        <v>482800010027</v>
      </c>
      <c r="BR4" s="33">
        <v>36024995</v>
      </c>
      <c r="BS4" s="33">
        <v>36024995</v>
      </c>
      <c r="BT4" s="33">
        <v>36903922</v>
      </c>
      <c r="BU4" s="33">
        <v>36903922</v>
      </c>
      <c r="BV4" s="33">
        <v>36294346</v>
      </c>
      <c r="BW4" s="33" t="s">
        <v>81</v>
      </c>
      <c r="BX4" s="33">
        <v>36294353</v>
      </c>
      <c r="BY4" s="33" t="s">
        <v>82</v>
      </c>
      <c r="BZ4" s="33" t="s">
        <v>83</v>
      </c>
      <c r="CA4" s="33" t="s">
        <v>84</v>
      </c>
      <c r="CB4" s="33" t="s">
        <v>85</v>
      </c>
      <c r="CC4" s="33" t="s">
        <v>86</v>
      </c>
      <c r="CD4" s="33" t="s">
        <v>87</v>
      </c>
      <c r="CE4" s="33" t="s">
        <v>88</v>
      </c>
      <c r="CF4" s="33" t="s">
        <v>89</v>
      </c>
      <c r="CG4" s="33" t="s">
        <v>90</v>
      </c>
      <c r="CH4" s="33" t="s">
        <v>91</v>
      </c>
      <c r="CI4" s="33">
        <v>221816614</v>
      </c>
      <c r="CJ4" s="33">
        <v>221816598</v>
      </c>
      <c r="CK4" s="33">
        <v>60193029</v>
      </c>
      <c r="CL4" s="33">
        <v>60193401</v>
      </c>
      <c r="CM4" s="33">
        <v>1011143807</v>
      </c>
      <c r="CN4" s="33">
        <v>4801736642</v>
      </c>
      <c r="CO4" s="33">
        <v>65005340</v>
      </c>
      <c r="CP4" s="33">
        <v>288086051</v>
      </c>
      <c r="CQ4" s="33">
        <v>288049109</v>
      </c>
      <c r="CR4" s="33">
        <v>411166042</v>
      </c>
      <c r="CS4" s="33">
        <v>865804015</v>
      </c>
      <c r="CT4" s="33">
        <v>865804015</v>
      </c>
      <c r="CU4" s="33">
        <v>865794015</v>
      </c>
      <c r="CV4" s="33">
        <v>865794015</v>
      </c>
      <c r="CW4" s="35"/>
    </row>
    <row r="5" spans="1:101" x14ac:dyDescent="0.25">
      <c r="B5" s="36"/>
      <c r="C5" s="37" t="s">
        <v>92</v>
      </c>
      <c r="D5" s="38"/>
      <c r="E5" s="38" t="s">
        <v>93</v>
      </c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9"/>
      <c r="AI5" s="39"/>
      <c r="AJ5" s="39"/>
      <c r="AK5" s="39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>
        <v>4.3067900000000003</v>
      </c>
      <c r="BT5" s="37"/>
      <c r="BU5" s="37">
        <f>+BS5</f>
        <v>4.3067900000000003</v>
      </c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40"/>
    </row>
    <row r="6" spans="1:101" x14ac:dyDescent="0.25">
      <c r="B6" s="36"/>
      <c r="C6" s="37" t="s">
        <v>94</v>
      </c>
      <c r="D6" s="37">
        <f>+D7-D8</f>
        <v>-17889.327100000461</v>
      </c>
      <c r="E6" s="37">
        <f>+E7-E8</f>
        <v>948199.21139544435</v>
      </c>
      <c r="F6" s="37">
        <f>+F7-F8</f>
        <v>1421666.8525984893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9"/>
      <c r="AI6" s="39"/>
      <c r="AJ6" s="39"/>
      <c r="AK6" s="39"/>
      <c r="AL6" s="37">
        <f t="shared" ref="AL6:BQ6" si="0">+AL7-AL8</f>
        <v>-8705.8907500728965</v>
      </c>
      <c r="AM6" s="37">
        <f t="shared" si="0"/>
        <v>65256.281116463244</v>
      </c>
      <c r="AN6" s="37">
        <f t="shared" si="0"/>
        <v>50821.892279999331</v>
      </c>
      <c r="AO6" s="37">
        <f t="shared" si="0"/>
        <v>64532.527278560214</v>
      </c>
      <c r="AP6" s="37">
        <f t="shared" si="0"/>
        <v>-2936618.5844679568</v>
      </c>
      <c r="AQ6" s="37">
        <f t="shared" si="0"/>
        <v>-408951.8403321607</v>
      </c>
      <c r="AR6" s="37">
        <f t="shared" si="0"/>
        <v>0</v>
      </c>
      <c r="AS6" s="37">
        <f t="shared" si="0"/>
        <v>0</v>
      </c>
      <c r="AT6" s="37">
        <f t="shared" si="0"/>
        <v>0</v>
      </c>
      <c r="AU6" s="37">
        <f t="shared" si="0"/>
        <v>0</v>
      </c>
      <c r="AV6" s="37">
        <f t="shared" si="0"/>
        <v>0</v>
      </c>
      <c r="AW6" s="37">
        <f t="shared" si="0"/>
        <v>0</v>
      </c>
      <c r="AX6" s="37">
        <f t="shared" si="0"/>
        <v>0</v>
      </c>
      <c r="AY6" s="37">
        <f t="shared" si="0"/>
        <v>0</v>
      </c>
      <c r="AZ6" s="37">
        <f t="shared" si="0"/>
        <v>0</v>
      </c>
      <c r="BA6" s="37">
        <f t="shared" si="0"/>
        <v>0</v>
      </c>
      <c r="BB6" s="37">
        <f t="shared" si="0"/>
        <v>0</v>
      </c>
      <c r="BC6" s="37">
        <f t="shared" si="0"/>
        <v>0</v>
      </c>
      <c r="BD6" s="37">
        <f t="shared" si="0"/>
        <v>0</v>
      </c>
      <c r="BE6" s="37">
        <f t="shared" si="0"/>
        <v>0</v>
      </c>
      <c r="BF6" s="37">
        <f t="shared" si="0"/>
        <v>0</v>
      </c>
      <c r="BG6" s="37">
        <f t="shared" si="0"/>
        <v>0</v>
      </c>
      <c r="BH6" s="37">
        <f t="shared" si="0"/>
        <v>0</v>
      </c>
      <c r="BI6" s="37">
        <f t="shared" si="0"/>
        <v>0</v>
      </c>
      <c r="BJ6" s="37">
        <f t="shared" si="0"/>
        <v>0</v>
      </c>
      <c r="BK6" s="37">
        <f t="shared" si="0"/>
        <v>0</v>
      </c>
      <c r="BL6" s="37">
        <f t="shared" si="0"/>
        <v>0</v>
      </c>
      <c r="BM6" s="37">
        <f t="shared" si="0"/>
        <v>0</v>
      </c>
      <c r="BN6" s="37">
        <f t="shared" si="0"/>
        <v>0</v>
      </c>
      <c r="BO6" s="37">
        <f t="shared" si="0"/>
        <v>0</v>
      </c>
      <c r="BP6" s="37">
        <f t="shared" si="0"/>
        <v>0</v>
      </c>
      <c r="BQ6" s="37">
        <f t="shared" si="0"/>
        <v>0</v>
      </c>
      <c r="BR6" s="37"/>
      <c r="BS6" s="37"/>
      <c r="BT6" s="37"/>
      <c r="BU6" s="37"/>
      <c r="BV6" s="37">
        <f>+BV7-BV8-422.17</f>
        <v>-422.17</v>
      </c>
      <c r="BW6" s="37">
        <f t="shared" ref="BW6:CR6" si="1">+BW7-BW8</f>
        <v>0</v>
      </c>
      <c r="BX6" s="37">
        <f t="shared" si="1"/>
        <v>0</v>
      </c>
      <c r="BY6" s="37">
        <f t="shared" si="1"/>
        <v>863.12124000012409</v>
      </c>
      <c r="BZ6" s="37">
        <f t="shared" si="1"/>
        <v>123501.437570001</v>
      </c>
      <c r="CA6" s="37">
        <f t="shared" si="1"/>
        <v>292924.45984999929</v>
      </c>
      <c r="CB6" s="37">
        <f t="shared" si="1"/>
        <v>-2.4000000121304765E-4</v>
      </c>
      <c r="CC6" s="37">
        <f t="shared" si="1"/>
        <v>-4.1799998143687844E-3</v>
      </c>
      <c r="CD6" s="37">
        <f>+[1]Otrosbancos!$F$29</f>
        <v>0</v>
      </c>
      <c r="CE6" s="37">
        <f t="shared" si="1"/>
        <v>0</v>
      </c>
      <c r="CF6" s="37">
        <f t="shared" si="1"/>
        <v>1091.564000000013</v>
      </c>
      <c r="CG6" s="37">
        <f t="shared" si="1"/>
        <v>0</v>
      </c>
      <c r="CH6" s="37">
        <f t="shared" si="1"/>
        <v>0</v>
      </c>
      <c r="CI6" s="37">
        <f t="shared" si="1"/>
        <v>498.56495000002906</v>
      </c>
      <c r="CJ6" s="37">
        <f t="shared" si="1"/>
        <v>6879.1354999999967</v>
      </c>
      <c r="CK6" s="37">
        <f t="shared" si="1"/>
        <v>0</v>
      </c>
      <c r="CL6" s="37">
        <f t="shared" si="1"/>
        <v>0</v>
      </c>
      <c r="CM6" s="37">
        <f t="shared" si="1"/>
        <v>-1.4999999257270247E-4</v>
      </c>
      <c r="CN6" s="37">
        <f t="shared" si="1"/>
        <v>-2.9699999140575528E-3</v>
      </c>
      <c r="CO6" s="37">
        <f t="shared" si="1"/>
        <v>4.6400002902373672E-3</v>
      </c>
      <c r="CP6" s="37">
        <f t="shared" si="1"/>
        <v>-2.7600005269050598E-3</v>
      </c>
      <c r="CQ6" s="37">
        <f t="shared" si="1"/>
        <v>216.65003000001889</v>
      </c>
      <c r="CR6" s="37">
        <f t="shared" si="1"/>
        <v>0</v>
      </c>
      <c r="CS6" s="37">
        <f>+CS7-CS8</f>
        <v>-5000</v>
      </c>
      <c r="CT6" s="37">
        <f>+CT7-CT8</f>
        <v>-20468.599999999999</v>
      </c>
      <c r="CU6" s="37">
        <f>+CU7-CU8</f>
        <v>-5000</v>
      </c>
      <c r="CV6" s="37">
        <f>+CV7-CV8</f>
        <v>-20468.599999999999</v>
      </c>
      <c r="CW6" s="37"/>
    </row>
    <row r="7" spans="1:101" x14ac:dyDescent="0.25">
      <c r="A7" s="41"/>
      <c r="B7" s="42"/>
      <c r="C7" s="43" t="s">
        <v>95</v>
      </c>
      <c r="D7" s="43">
        <f>+'[1]Cap,Bol,Cls'!$F$4</f>
        <v>539581.56703999999</v>
      </c>
      <c r="E7" s="43">
        <f>+'[1]Cap,Bol,Cls'!$F$13</f>
        <v>14945974.93943</v>
      </c>
      <c r="F7" s="43">
        <f>+'[1]Cap,Bol,Cls'!$F$30</f>
        <v>6992130.7760899998</v>
      </c>
      <c r="G7" s="43">
        <f>+G8</f>
        <v>0</v>
      </c>
      <c r="H7" s="43">
        <f>+H8</f>
        <v>0</v>
      </c>
      <c r="I7" s="43">
        <f>+'[1]Cap,Bol,Cls'!$F$24</f>
        <v>112726.74247</v>
      </c>
      <c r="J7" s="43">
        <f>+J8</f>
        <v>0</v>
      </c>
      <c r="K7" s="43">
        <f>+K8</f>
        <v>109952.39123814307</v>
      </c>
      <c r="L7" s="43">
        <f>+L8</f>
        <v>703074.20937329088</v>
      </c>
      <c r="M7" s="43">
        <f>+M8</f>
        <v>483441.07939886628</v>
      </c>
      <c r="N7" s="43">
        <f>+N8</f>
        <v>177310.5199999999</v>
      </c>
      <c r="O7" s="43">
        <f t="shared" ref="O7:AK7" si="2">+O8</f>
        <v>743248.15264999995</v>
      </c>
      <c r="P7" s="43">
        <f t="shared" si="2"/>
        <v>30566471.680000007</v>
      </c>
      <c r="Q7" s="43">
        <f t="shared" si="2"/>
        <v>130163762.49044158</v>
      </c>
      <c r="R7" s="43">
        <f t="shared" si="2"/>
        <v>275265.96999999997</v>
      </c>
      <c r="S7" s="43">
        <f t="shared" si="2"/>
        <v>1450863.9742385992</v>
      </c>
      <c r="T7" s="43"/>
      <c r="U7" s="43"/>
      <c r="V7" s="43"/>
      <c r="W7" s="43"/>
      <c r="X7" s="43"/>
      <c r="Y7" s="43"/>
      <c r="Z7" s="43">
        <f t="shared" si="2"/>
        <v>9662.5274983807467</v>
      </c>
      <c r="AA7" s="43">
        <f t="shared" si="2"/>
        <v>40503.29</v>
      </c>
      <c r="AB7" s="43">
        <f t="shared" si="2"/>
        <v>7542.7499999967404</v>
      </c>
      <c r="AC7" s="43">
        <f t="shared" si="2"/>
        <v>31617.62</v>
      </c>
      <c r="AD7" s="43">
        <f t="shared" si="2"/>
        <v>5155</v>
      </c>
      <c r="AE7" s="43">
        <f t="shared" si="2"/>
        <v>21608.68</v>
      </c>
      <c r="AF7" s="43">
        <f t="shared" si="2"/>
        <v>7956.8699999451637</v>
      </c>
      <c r="AG7" s="43">
        <f t="shared" si="2"/>
        <v>33353.53</v>
      </c>
      <c r="AH7" s="43">
        <f t="shared" si="2"/>
        <v>203175.47999999719</v>
      </c>
      <c r="AI7" s="43">
        <f t="shared" si="2"/>
        <v>851645.451214</v>
      </c>
      <c r="AJ7" s="43">
        <f t="shared" si="2"/>
        <v>673596.71999999823</v>
      </c>
      <c r="AK7" s="43">
        <f t="shared" si="2"/>
        <v>2823324.1679230896</v>
      </c>
      <c r="AL7" s="43">
        <f>+[1]Inversoras!$F$56</f>
        <v>37299526.474090002</v>
      </c>
      <c r="AM7" s="43">
        <f>+[1]Inversoras!$F$57</f>
        <v>59222255.080930002</v>
      </c>
      <c r="AN7" s="43">
        <f>+[1]Inversoras!$F$58</f>
        <v>6450818.7122200001</v>
      </c>
      <c r="AO7" s="43">
        <f>+[1]Inversoras!$F$59</f>
        <v>874498.94140999997</v>
      </c>
      <c r="AP7" s="43">
        <f>+[1]Inversoras!$F$60</f>
        <v>9154654.1606799997</v>
      </c>
      <c r="AQ7" s="43">
        <f>+[1]Inversoras!$F$61</f>
        <v>1758361.4837400001</v>
      </c>
      <c r="AR7" s="43">
        <f>+AR8</f>
        <v>33752.683643993005</v>
      </c>
      <c r="AS7" s="43">
        <f t="shared" ref="AS7:BQ7" si="3">+AS8</f>
        <v>6.2719079996137461</v>
      </c>
      <c r="AT7" s="43">
        <f t="shared" si="3"/>
        <v>11.210432002509913</v>
      </c>
      <c r="AU7" s="43">
        <f t="shared" si="3"/>
        <v>70709.869203997281</v>
      </c>
      <c r="AV7" s="43">
        <f t="shared" si="3"/>
        <v>523662.90839880263</v>
      </c>
      <c r="AW7" s="43">
        <f t="shared" si="3"/>
        <v>85667.9885699968</v>
      </c>
      <c r="AX7" s="43">
        <f t="shared" si="3"/>
        <v>1041.3974240010875</v>
      </c>
      <c r="AY7" s="43">
        <f t="shared" si="3"/>
        <v>17450.753311997978</v>
      </c>
      <c r="AZ7" s="43">
        <f t="shared" si="3"/>
        <v>23267.345377323236</v>
      </c>
      <c r="BA7" s="43">
        <f t="shared" si="3"/>
        <v>201985.5477240069</v>
      </c>
      <c r="BB7" s="43">
        <f t="shared" si="3"/>
        <v>69946.436219991141</v>
      </c>
      <c r="BC7" s="43">
        <f t="shared" si="3"/>
        <v>266822.6708479987</v>
      </c>
      <c r="BD7" s="43">
        <f t="shared" si="3"/>
        <v>17048.164599989836</v>
      </c>
      <c r="BE7" s="43">
        <f t="shared" si="3"/>
        <v>256586.81289368056</v>
      </c>
      <c r="BF7" s="43">
        <f t="shared" si="3"/>
        <v>321949.5492303599</v>
      </c>
      <c r="BG7" s="43">
        <f t="shared" si="3"/>
        <v>35109.232018882758</v>
      </c>
      <c r="BH7" s="43">
        <f t="shared" si="3"/>
        <v>27273.514880002102</v>
      </c>
      <c r="BI7" s="43">
        <f t="shared" si="3"/>
        <v>630661.83776839031</v>
      </c>
      <c r="BJ7" s="43">
        <f t="shared" si="3"/>
        <v>197783.28604456017</v>
      </c>
      <c r="BK7" s="43">
        <f t="shared" si="3"/>
        <v>2995393.833886012</v>
      </c>
      <c r="BL7" s="43">
        <f t="shared" si="3"/>
        <v>112721.43885244607</v>
      </c>
      <c r="BM7" s="43">
        <f t="shared" si="3"/>
        <v>1068641.0240571511</v>
      </c>
      <c r="BN7" s="43">
        <f t="shared" si="3"/>
        <v>4096996.1834773812</v>
      </c>
      <c r="BO7" s="43">
        <f t="shared" si="3"/>
        <v>3.4691202304202307E-3</v>
      </c>
      <c r="BP7" s="43">
        <f t="shared" si="3"/>
        <v>255.15995932906549</v>
      </c>
      <c r="BQ7" s="43">
        <f t="shared" si="3"/>
        <v>4.0128798844989433E-3</v>
      </c>
      <c r="BR7" s="43">
        <f>+[1]Otrosbancos!$F$49</f>
        <v>2723100.65</v>
      </c>
      <c r="BS7" s="43">
        <f>+BS8</f>
        <v>11426987.824417591</v>
      </c>
      <c r="BT7" s="43">
        <f>+[1]Otrosbancos!$F$51</f>
        <v>407611.79</v>
      </c>
      <c r="BU7" s="43">
        <f>+BU8</f>
        <v>1697061.5471122912</v>
      </c>
      <c r="BV7" s="43">
        <f>+BV8+BV5</f>
        <v>8400.1908600000006</v>
      </c>
      <c r="BW7" s="43">
        <f>+BW8+BW5</f>
        <v>1148174.5309900006</v>
      </c>
      <c r="BX7" s="43">
        <f>+BX8+BX5</f>
        <v>12663.664475599246</v>
      </c>
      <c r="BY7" s="43">
        <f>+[1]Otrosbancos!$F$5</f>
        <v>674192.62424000003</v>
      </c>
      <c r="BZ7" s="43">
        <f>+[1]Otrosbancos!$F$10</f>
        <v>6001925.2873900002</v>
      </c>
      <c r="CA7" s="43">
        <f>+[1]Otrosbancos!$F$15</f>
        <v>5676881.0488499999</v>
      </c>
      <c r="CB7" s="43">
        <f>+[1]Otrosbancos!$F$23</f>
        <v>18618.565999999999</v>
      </c>
      <c r="CC7" s="43">
        <f>+[1]Otrosbancos!$F$26</f>
        <v>881178.36499999999</v>
      </c>
      <c r="CD7" s="43">
        <f>+[1]Otrosbancos!$F$29</f>
        <v>0</v>
      </c>
      <c r="CE7" s="43">
        <f>+[1]Otrosbancos!$F$33</f>
        <v>21640.922999999999</v>
      </c>
      <c r="CF7" s="43">
        <f>+[1]Otrosbancos!$F$37</f>
        <v>1226691.1815899999</v>
      </c>
      <c r="CG7" s="43">
        <f>+[1]Otrosbancos!$F$41</f>
        <v>162748.57699999999</v>
      </c>
      <c r="CH7" s="43">
        <f>+[1]Otrosbancos!$F$46</f>
        <v>2.9318200000000001</v>
      </c>
      <c r="CI7" s="43">
        <f>+[1]Otrosbancos!$F$54</f>
        <v>898204.40595000004</v>
      </c>
      <c r="CJ7" s="43">
        <f>+[1]Otrosbancos!$F$56</f>
        <v>71338.282999999996</v>
      </c>
      <c r="CK7" s="43">
        <f>+[1]Liberty!$F$3</f>
        <v>0</v>
      </c>
      <c r="CL7" s="43">
        <f>+[1]Liberty!$F$4</f>
        <v>0</v>
      </c>
      <c r="CM7" s="43">
        <f>+[1]Liberty!$F$6</f>
        <v>79545.214000000007</v>
      </c>
      <c r="CN7" s="43">
        <f>+[1]Liberty!$F$8</f>
        <v>662749.23600000003</v>
      </c>
      <c r="CO7" s="43">
        <f>+[1]Liberty!$F$10</f>
        <v>736440.24595999997</v>
      </c>
      <c r="CP7" s="43">
        <f>+[1]Liberty!$F$12</f>
        <v>9152723.6699999999</v>
      </c>
      <c r="CQ7" s="43">
        <f>+[1]Liberty!$F$13</f>
        <v>378135.14942999999</v>
      </c>
      <c r="CR7" s="43">
        <f>+[1]Otrosbancos!$F$58</f>
        <v>2701872.3746799999</v>
      </c>
      <c r="CS7" s="43">
        <v>0</v>
      </c>
      <c r="CT7" s="43">
        <v>0</v>
      </c>
      <c r="CU7" s="43">
        <v>0</v>
      </c>
      <c r="CV7" s="43">
        <v>0</v>
      </c>
      <c r="CW7" s="43">
        <f>SUM(D7:CV7)</f>
        <v>364556694.84205353</v>
      </c>
    </row>
    <row r="8" spans="1:101" x14ac:dyDescent="0.25">
      <c r="A8" s="41"/>
      <c r="B8" s="44" t="s">
        <v>96</v>
      </c>
      <c r="C8" s="45" t="s">
        <v>97</v>
      </c>
      <c r="D8" s="45">
        <f>+'May, 07'!D40</f>
        <v>557470.89414000046</v>
      </c>
      <c r="E8" s="45">
        <f>+'May, 07'!E40</f>
        <v>13997775.728034556</v>
      </c>
      <c r="F8" s="45">
        <f>+'May, 07'!F40</f>
        <v>5570463.9234915106</v>
      </c>
      <c r="G8" s="45">
        <f>+'May, 07'!G40</f>
        <v>0</v>
      </c>
      <c r="H8" s="45">
        <f>+'May, 07'!H40</f>
        <v>0</v>
      </c>
      <c r="I8" s="45">
        <f>+'May, 07'!I40</f>
        <v>112727.45240999425</v>
      </c>
      <c r="J8" s="45">
        <f>+'May, 07'!J40</f>
        <v>0</v>
      </c>
      <c r="K8" s="45">
        <f>+'May, 07'!K40</f>
        <v>109952.39123814307</v>
      </c>
      <c r="L8" s="45">
        <f>+'May, 07'!L40</f>
        <v>703074.20937329088</v>
      </c>
      <c r="M8" s="45">
        <f>+'May, 07'!M40</f>
        <v>483441.07939886628</v>
      </c>
      <c r="N8" s="45">
        <f>+'May, 07'!N40</f>
        <v>177310.5199999999</v>
      </c>
      <c r="O8" s="45">
        <f>+'May, 07'!O40</f>
        <v>743248.15264999995</v>
      </c>
      <c r="P8" s="45">
        <f>+'May, 07'!P40</f>
        <v>30566471.680000007</v>
      </c>
      <c r="Q8" s="45">
        <f>+'May, 07'!Q40</f>
        <v>130163762.49044158</v>
      </c>
      <c r="R8" s="45">
        <f>+'May, 07'!R40</f>
        <v>275265.96999999997</v>
      </c>
      <c r="S8" s="45">
        <f>+'May, 07'!S40</f>
        <v>1450863.9742385992</v>
      </c>
      <c r="T8" s="45">
        <f>+'May, 07'!T40</f>
        <v>0</v>
      </c>
      <c r="U8" s="45">
        <f>+'May, 07'!U40</f>
        <v>0</v>
      </c>
      <c r="V8" s="45">
        <f>+'May, 07'!V40</f>
        <v>0</v>
      </c>
      <c r="W8" s="45">
        <f>+'May, 07'!W40</f>
        <v>0</v>
      </c>
      <c r="X8" s="45">
        <f>+'May, 07'!X40</f>
        <v>0</v>
      </c>
      <c r="Y8" s="45">
        <f>+'May, 07'!Y40</f>
        <v>0</v>
      </c>
      <c r="Z8" s="45">
        <f>+'May, 07'!Z40</f>
        <v>9662.5274983807467</v>
      </c>
      <c r="AA8" s="45">
        <f>+'May, 07'!AA40</f>
        <v>40503.29</v>
      </c>
      <c r="AB8" s="45">
        <f>+'May, 07'!AB40</f>
        <v>7542.7499999967404</v>
      </c>
      <c r="AC8" s="45">
        <f>+'May, 07'!AC40</f>
        <v>31617.62</v>
      </c>
      <c r="AD8" s="45">
        <f>+'May, 07'!AD40</f>
        <v>5155</v>
      </c>
      <c r="AE8" s="45">
        <f>+'May, 07'!AE40</f>
        <v>21608.68</v>
      </c>
      <c r="AF8" s="45">
        <f>+'May, 07'!AF40</f>
        <v>7956.8699999451637</v>
      </c>
      <c r="AG8" s="45">
        <f>+'May, 07'!AG40</f>
        <v>33353.53</v>
      </c>
      <c r="AH8" s="45">
        <f>+'May, 07'!AH40</f>
        <v>203175.47999999719</v>
      </c>
      <c r="AI8" s="45">
        <f>+'May, 07'!AI40</f>
        <v>851645.451214</v>
      </c>
      <c r="AJ8" s="45">
        <f>+'May, 07'!AJ40</f>
        <v>673596.71999999823</v>
      </c>
      <c r="AK8" s="45">
        <f>+'May, 07'!AK40</f>
        <v>2823324.1679230896</v>
      </c>
      <c r="AL8" s="45">
        <f>+'May, 07'!AL40</f>
        <v>37308232.364840075</v>
      </c>
      <c r="AM8" s="45">
        <f>+'May, 07'!AM40</f>
        <v>59156998.799813539</v>
      </c>
      <c r="AN8" s="45">
        <f>+'May, 07'!AN40</f>
        <v>6399996.8199400008</v>
      </c>
      <c r="AO8" s="45">
        <f>+'May, 07'!AO40</f>
        <v>809966.41413143976</v>
      </c>
      <c r="AP8" s="45">
        <f>+'May, 07'!AP40</f>
        <v>12091272.745147957</v>
      </c>
      <c r="AQ8" s="45">
        <f>+'May, 07'!AQ40</f>
        <v>2167313.3240721608</v>
      </c>
      <c r="AR8" s="45">
        <f>+'May, 07'!AR40</f>
        <v>33752.683643993005</v>
      </c>
      <c r="AS8" s="45">
        <f>+'May, 07'!AS40</f>
        <v>6.2719079996137461</v>
      </c>
      <c r="AT8" s="45">
        <f>+'May, 07'!AT40</f>
        <v>11.210432002509913</v>
      </c>
      <c r="AU8" s="45">
        <f>+'May, 07'!AU40</f>
        <v>70709.869203997281</v>
      </c>
      <c r="AV8" s="45">
        <f>+'May, 07'!AV40</f>
        <v>523662.90839880263</v>
      </c>
      <c r="AW8" s="45">
        <f>+'May, 07'!AW40</f>
        <v>85667.9885699968</v>
      </c>
      <c r="AX8" s="45">
        <f>+'May, 07'!AX40</f>
        <v>1041.3974240010875</v>
      </c>
      <c r="AY8" s="45">
        <f>+'May, 07'!AY40</f>
        <v>17450.753311997978</v>
      </c>
      <c r="AZ8" s="45">
        <f>+'May, 07'!AZ40</f>
        <v>23267.345377323236</v>
      </c>
      <c r="BA8" s="45">
        <f>+'May, 07'!BA40</f>
        <v>201985.5477240069</v>
      </c>
      <c r="BB8" s="45">
        <f>+'May, 07'!BB40</f>
        <v>69946.436219991141</v>
      </c>
      <c r="BC8" s="45">
        <f>+'May, 07'!BC40</f>
        <v>266822.6708479987</v>
      </c>
      <c r="BD8" s="45">
        <f>+'May, 07'!BD40</f>
        <v>17048.164599989836</v>
      </c>
      <c r="BE8" s="45">
        <f>+'May, 07'!BE40</f>
        <v>256586.81289368056</v>
      </c>
      <c r="BF8" s="45">
        <f>+'May, 07'!BF40</f>
        <v>321949.5492303599</v>
      </c>
      <c r="BG8" s="45">
        <f>+'May, 07'!BG40</f>
        <v>35109.232018882758</v>
      </c>
      <c r="BH8" s="45">
        <f>+'May, 07'!BH40</f>
        <v>27273.514880002102</v>
      </c>
      <c r="BI8" s="45">
        <f>+'May, 07'!BI40</f>
        <v>630661.83776839031</v>
      </c>
      <c r="BJ8" s="45">
        <f>+'May, 07'!BJ40</f>
        <v>197783.28604456017</v>
      </c>
      <c r="BK8" s="45">
        <f>+'May, 07'!BK40</f>
        <v>2995393.833886012</v>
      </c>
      <c r="BL8" s="45">
        <f>+'May, 07'!BL40</f>
        <v>112721.43885244607</v>
      </c>
      <c r="BM8" s="45">
        <f>+'May, 07'!BM40</f>
        <v>1068641.0240571511</v>
      </c>
      <c r="BN8" s="45">
        <f>+'May, 07'!BN40</f>
        <v>4096996.1834773812</v>
      </c>
      <c r="BO8" s="45">
        <f>+'May, 07'!BO40</f>
        <v>3.4691202304202307E-3</v>
      </c>
      <c r="BP8" s="45">
        <f>+'May, 07'!BP40</f>
        <v>255.15995932906549</v>
      </c>
      <c r="BQ8" s="45">
        <f>+'May, 07'!BQ40</f>
        <v>4.0128798844989433E-3</v>
      </c>
      <c r="BR8" s="45">
        <f>+'May, 07'!BR40</f>
        <v>2723100.6460000034</v>
      </c>
      <c r="BS8" s="45">
        <f>+'May, 07'!BS40</f>
        <v>11426987.824417591</v>
      </c>
      <c r="BT8" s="45">
        <f>+'May, 07'!BT40</f>
        <v>407611.79493201897</v>
      </c>
      <c r="BU8" s="45">
        <f>+'May, 07'!BU40</f>
        <v>1697061.5471122912</v>
      </c>
      <c r="BV8" s="45">
        <f>+'May, 07'!BV40</f>
        <v>8400.1908600000006</v>
      </c>
      <c r="BW8" s="45">
        <f>+'May, 07'!BW40</f>
        <v>1148174.5309900006</v>
      </c>
      <c r="BX8" s="45">
        <f>+'May, 07'!BX40</f>
        <v>12663.664475599246</v>
      </c>
      <c r="BY8" s="45">
        <f>+'May, 07'!BY40</f>
        <v>673329.50299999991</v>
      </c>
      <c r="BZ8" s="45">
        <f>+'May, 07'!BZ40</f>
        <v>5878423.8498199992</v>
      </c>
      <c r="CA8" s="45">
        <f>+'May, 07'!CA40</f>
        <v>5383956.5890000006</v>
      </c>
      <c r="CB8" s="45">
        <f>+'May, 07'!CB40</f>
        <v>18618.56624</v>
      </c>
      <c r="CC8" s="45">
        <f>+'May, 07'!CC40</f>
        <v>881178.36917999981</v>
      </c>
      <c r="CD8" s="45">
        <f>+'May, 07'!CD40</f>
        <v>0</v>
      </c>
      <c r="CE8" s="45">
        <f>+'May, 07'!CE40</f>
        <v>21640.922999999999</v>
      </c>
      <c r="CF8" s="45">
        <f>+'May, 07'!CF40</f>
        <v>1225599.6175899999</v>
      </c>
      <c r="CG8" s="45">
        <f>+'May, 07'!CG40</f>
        <v>162748.57699999999</v>
      </c>
      <c r="CH8" s="45">
        <f>+'May, 07'!CH40</f>
        <v>2.9318200000000001</v>
      </c>
      <c r="CI8" s="45">
        <f>+'May, 07'!CI40</f>
        <v>897705.84100000001</v>
      </c>
      <c r="CJ8" s="45">
        <f>+'May, 07'!CJ40</f>
        <v>64459.147499999999</v>
      </c>
      <c r="CK8" s="45">
        <f>+'May, 07'!CK40</f>
        <v>0</v>
      </c>
      <c r="CL8" s="45">
        <f>+'May, 07'!CL40</f>
        <v>0</v>
      </c>
      <c r="CM8" s="45">
        <f>+'May, 07'!CM40</f>
        <v>79545.21415</v>
      </c>
      <c r="CN8" s="45">
        <f>+'May, 07'!CN40</f>
        <v>662749.23896999995</v>
      </c>
      <c r="CO8" s="45">
        <f>+'May, 07'!CO40</f>
        <v>736440.24131999968</v>
      </c>
      <c r="CP8" s="45">
        <f>+'May, 07'!CP40</f>
        <v>9152723.6727600005</v>
      </c>
      <c r="CQ8" s="45">
        <f>+'May, 07'!CQ40</f>
        <v>377918.49939999997</v>
      </c>
      <c r="CR8" s="45">
        <f>+'May, 07'!CR40</f>
        <v>2701872.374679999</v>
      </c>
      <c r="CS8" s="45">
        <f>+'May, 07'!CS40</f>
        <v>5000</v>
      </c>
      <c r="CT8" s="45">
        <f>+'May, 07'!CT40</f>
        <v>20468.599999999999</v>
      </c>
      <c r="CU8" s="45">
        <f>+'May, 07'!CU40</f>
        <v>5000</v>
      </c>
      <c r="CV8" s="45">
        <f>+'May, 07'!CV40</f>
        <v>20468.599999999999</v>
      </c>
      <c r="CW8" s="43">
        <f t="shared" ref="CW8:CW40" si="4">SUM(D8:CV8)</f>
        <v>365003346.70342696</v>
      </c>
    </row>
    <row r="9" spans="1:101" x14ac:dyDescent="0.25">
      <c r="B9" s="46" t="s">
        <v>96</v>
      </c>
      <c r="C9" s="47" t="s">
        <v>98</v>
      </c>
      <c r="D9" s="47">
        <v>19500</v>
      </c>
      <c r="E9" s="48">
        <v>18869144.372000001</v>
      </c>
      <c r="F9" s="48">
        <v>8246935.8847000003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>
        <v>2277.462</v>
      </c>
      <c r="BX9" s="47"/>
      <c r="BY9" s="47">
        <f>IF(BY6&gt;0,BY6,0)</f>
        <v>863.12124000012409</v>
      </c>
      <c r="BZ9" s="47">
        <f>IF(BZ6&gt;0,BZ6,0)</f>
        <v>123501.437570001</v>
      </c>
      <c r="CA9" s="47">
        <f>IF(CA6&gt;0,CA6,0)</f>
        <v>292924.45984999929</v>
      </c>
      <c r="CB9" s="47"/>
      <c r="CC9" s="47">
        <v>808.28300000000002</v>
      </c>
      <c r="CD9" s="47"/>
      <c r="CE9" s="47">
        <f>IF(CE6&gt;0,CE6,0)</f>
        <v>0</v>
      </c>
      <c r="CF9" s="47">
        <f>IF(CF6&gt;0,CF6,0)</f>
        <v>1091.564000000013</v>
      </c>
      <c r="CG9" s="47">
        <f>IF(CG6&gt;0,CG6,0)</f>
        <v>0</v>
      </c>
      <c r="CH9" s="47"/>
      <c r="CI9" s="47">
        <f>IF(CI6&gt;0,CI6,0)</f>
        <v>498.56495000002906</v>
      </c>
      <c r="CJ9" s="47">
        <f>IF(CJ6&gt;0,CJ6,0)</f>
        <v>6879.1354999999967</v>
      </c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3">
        <f t="shared" si="4"/>
        <v>27564424.284810003</v>
      </c>
    </row>
    <row r="10" spans="1:101" x14ac:dyDescent="0.25">
      <c r="B10" s="46" t="s">
        <v>99</v>
      </c>
      <c r="C10" s="47" t="s">
        <v>100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>
        <v>-10.776999999999999</v>
      </c>
      <c r="BX10" s="47"/>
      <c r="BY10" s="47">
        <f>IF(BY6&lt;0,BY6,0)</f>
        <v>0</v>
      </c>
      <c r="BZ10" s="47">
        <f>IF(BZ6&lt;0,BZ6,0)</f>
        <v>0</v>
      </c>
      <c r="CA10" s="47">
        <f>IF(CA6&lt;0,CA6,0)</f>
        <v>0</v>
      </c>
      <c r="CB10" s="47"/>
      <c r="CC10" s="47"/>
      <c r="CD10" s="47"/>
      <c r="CE10" s="47">
        <f>IF(CE6&lt;0,CE6,0)</f>
        <v>0</v>
      </c>
      <c r="CF10" s="47">
        <f>IF(CF6&lt;0,CF6,0)</f>
        <v>0</v>
      </c>
      <c r="CG10" s="47">
        <f>IF(CG6&lt;0,CG6,0)</f>
        <v>0</v>
      </c>
      <c r="CH10" s="47"/>
      <c r="CI10" s="47">
        <f>IF(CI6&lt;0,CI6,0)</f>
        <v>0</v>
      </c>
      <c r="CJ10" s="47">
        <f>IF(CJ6&lt;0,CJ6,0)</f>
        <v>0</v>
      </c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3">
        <f t="shared" si="4"/>
        <v>-10.776999999999999</v>
      </c>
    </row>
    <row r="11" spans="1:101" x14ac:dyDescent="0.25">
      <c r="A11" s="41"/>
      <c r="B11" s="49" t="s">
        <v>99</v>
      </c>
      <c r="C11" s="50" t="s">
        <v>101</v>
      </c>
      <c r="D11" s="50">
        <v>0</v>
      </c>
      <c r="E11" s="50">
        <v>-182539.636449999</v>
      </c>
      <c r="F11" s="50">
        <v>-2286.69031999969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>
        <f>+[1]Otrosbancos!$F$6+[1]Otrosbancos!$F$7</f>
        <v>-2434.4320000000002</v>
      </c>
      <c r="BZ11" s="50">
        <f>+[1]Otrosbancos!$F$11+[1]Otrosbancos!$F$12</f>
        <v>-1635542.611</v>
      </c>
      <c r="CA11" s="50">
        <f>+[1]Otrosbancos!$F$16+[1]Otrosbancos!$F$17</f>
        <v>-2499648.7240000004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43">
        <f t="shared" si="4"/>
        <v>-4322452.0937699992</v>
      </c>
    </row>
    <row r="12" spans="1:101" x14ac:dyDescent="0.25">
      <c r="B12" s="46" t="s">
        <v>96</v>
      </c>
      <c r="C12" s="47" t="s">
        <v>102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1"/>
      <c r="AS12" s="51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3">
        <f t="shared" si="4"/>
        <v>0</v>
      </c>
    </row>
    <row r="13" spans="1:101" x14ac:dyDescent="0.25">
      <c r="B13" s="46" t="s">
        <v>96</v>
      </c>
      <c r="C13" s="47" t="s">
        <v>103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51"/>
      <c r="AS13" s="51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3">
        <f t="shared" si="4"/>
        <v>0</v>
      </c>
    </row>
    <row r="14" spans="1:101" x14ac:dyDescent="0.25">
      <c r="B14" s="46" t="s">
        <v>96</v>
      </c>
      <c r="C14" s="47" t="s">
        <v>104</v>
      </c>
      <c r="D14" s="47"/>
      <c r="E14" s="47"/>
      <c r="F14" s="47">
        <v>148715.114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51"/>
      <c r="AS14" s="51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3">
        <f t="shared" si="4"/>
        <v>148715.114</v>
      </c>
    </row>
    <row r="15" spans="1:101" x14ac:dyDescent="0.25">
      <c r="B15" s="46" t="s">
        <v>96</v>
      </c>
      <c r="C15" s="47" t="s">
        <v>105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51"/>
      <c r="AS15" s="51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3">
        <f t="shared" si="4"/>
        <v>0</v>
      </c>
    </row>
    <row r="16" spans="1:101" x14ac:dyDescent="0.25">
      <c r="B16" s="46" t="s">
        <v>96</v>
      </c>
      <c r="C16" s="47" t="s">
        <v>106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51"/>
      <c r="AS16" s="51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3">
        <f t="shared" si="4"/>
        <v>0</v>
      </c>
    </row>
    <row r="17" spans="1:101" x14ac:dyDescent="0.25">
      <c r="B17" s="46" t="s">
        <v>99</v>
      </c>
      <c r="C17" s="47" t="s">
        <v>107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51"/>
      <c r="AS17" s="51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3">
        <f t="shared" si="4"/>
        <v>0</v>
      </c>
    </row>
    <row r="18" spans="1:101" x14ac:dyDescent="0.25">
      <c r="B18" s="46" t="s">
        <v>96</v>
      </c>
      <c r="C18" s="47" t="s">
        <v>108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1"/>
      <c r="AS18" s="51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3">
        <f t="shared" si="4"/>
        <v>0</v>
      </c>
    </row>
    <row r="19" spans="1:101" x14ac:dyDescent="0.25">
      <c r="B19" s="46" t="s">
        <v>99</v>
      </c>
      <c r="C19" s="47" t="s">
        <v>109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51"/>
      <c r="AS19" s="51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3">
        <f t="shared" si="4"/>
        <v>0</v>
      </c>
    </row>
    <row r="20" spans="1:101" x14ac:dyDescent="0.25">
      <c r="B20" s="46" t="s">
        <v>99</v>
      </c>
      <c r="C20" s="47" t="s">
        <v>110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51"/>
      <c r="AS20" s="51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3">
        <f t="shared" si="4"/>
        <v>0</v>
      </c>
    </row>
    <row r="21" spans="1:101" x14ac:dyDescent="0.25">
      <c r="B21" s="46" t="s">
        <v>96</v>
      </c>
      <c r="C21" s="47" t="s">
        <v>111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51"/>
      <c r="AS21" s="51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3">
        <f t="shared" si="4"/>
        <v>0</v>
      </c>
    </row>
    <row r="22" spans="1:101" x14ac:dyDescent="0.25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51"/>
      <c r="AS22" s="51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3">
        <f t="shared" si="4"/>
        <v>0</v>
      </c>
    </row>
    <row r="23" spans="1:101" x14ac:dyDescent="0.25">
      <c r="B23" s="46" t="s">
        <v>99</v>
      </c>
      <c r="C23" s="47" t="s">
        <v>112</v>
      </c>
      <c r="D23" s="47"/>
      <c r="E23" s="47">
        <v>-51577.817000000003</v>
      </c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51"/>
      <c r="AS23" s="51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3">
        <f t="shared" si="4"/>
        <v>-51577.817000000003</v>
      </c>
    </row>
    <row r="24" spans="1:101" x14ac:dyDescent="0.25">
      <c r="B24" s="46" t="s">
        <v>99</v>
      </c>
      <c r="C24" s="47" t="s">
        <v>113</v>
      </c>
      <c r="D24" s="47">
        <f>-188.28-0.753</f>
        <v>-189.03299999999999</v>
      </c>
      <c r="E24" s="47">
        <f>-70775.454-1.31-2235.093-59.932-29893.5-2847-206.22-41.87-630.552</f>
        <v>-106690.93099999998</v>
      </c>
      <c r="F24" s="47">
        <f>-33292.828-8013.497-154.579-165.843</f>
        <v>-41626.747000000003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51"/>
      <c r="AS24" s="51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3">
        <f t="shared" si="4"/>
        <v>-148506.71099999998</v>
      </c>
    </row>
    <row r="25" spans="1:101" x14ac:dyDescent="0.25">
      <c r="A25" s="41"/>
      <c r="B25" s="52" t="s">
        <v>99</v>
      </c>
      <c r="C25" s="53" t="s">
        <v>114</v>
      </c>
      <c r="D25" s="53">
        <v>-1494.26224</v>
      </c>
      <c r="E25" s="53">
        <v>-1960138.8758</v>
      </c>
      <c r="F25" s="53">
        <v>-5064601.1925499998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43">
        <f t="shared" si="4"/>
        <v>-7026234.3305900004</v>
      </c>
    </row>
    <row r="26" spans="1:101" x14ac:dyDescent="0.25">
      <c r="B26" s="46"/>
      <c r="C26" s="47" t="s">
        <v>115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51"/>
      <c r="AS26" s="51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3">
        <f t="shared" si="4"/>
        <v>0</v>
      </c>
    </row>
    <row r="27" spans="1:101" x14ac:dyDescent="0.25">
      <c r="B27" s="46" t="s">
        <v>99</v>
      </c>
      <c r="C27" s="47" t="s">
        <v>116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51"/>
      <c r="AS27" s="51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3">
        <f t="shared" si="4"/>
        <v>0</v>
      </c>
    </row>
    <row r="28" spans="1:101" x14ac:dyDescent="0.25">
      <c r="B28" s="47" t="s">
        <v>99</v>
      </c>
      <c r="C28" s="47" t="s">
        <v>117</v>
      </c>
      <c r="D28" s="48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51"/>
      <c r="AS28" s="51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3">
        <f t="shared" si="4"/>
        <v>0</v>
      </c>
    </row>
    <row r="29" spans="1:101" x14ac:dyDescent="0.25">
      <c r="B29" s="47"/>
      <c r="C29" s="47" t="s">
        <v>118</v>
      </c>
      <c r="D29" s="48"/>
      <c r="E29" s="47">
        <v>142.35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51"/>
      <c r="AS29" s="51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3">
        <f t="shared" si="4"/>
        <v>142.35</v>
      </c>
    </row>
    <row r="30" spans="1:101" x14ac:dyDescent="0.25">
      <c r="B30" s="47"/>
      <c r="C30" s="47" t="s">
        <v>119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51"/>
      <c r="AS30" s="51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3">
        <f t="shared" si="4"/>
        <v>0</v>
      </c>
    </row>
    <row r="31" spans="1:101" x14ac:dyDescent="0.25">
      <c r="B31" s="47" t="s">
        <v>99</v>
      </c>
      <c r="C31" s="47" t="s">
        <v>120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51"/>
      <c r="AS31" s="51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3">
        <f t="shared" si="4"/>
        <v>0</v>
      </c>
    </row>
    <row r="32" spans="1:101" x14ac:dyDescent="0.25">
      <c r="B32" s="47" t="s">
        <v>99</v>
      </c>
      <c r="C32" s="47" t="s">
        <v>121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51"/>
      <c r="AS32" s="51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3">
        <f t="shared" si="4"/>
        <v>0</v>
      </c>
    </row>
    <row r="33" spans="2:101" x14ac:dyDescent="0.25">
      <c r="B33" s="47" t="s">
        <v>99</v>
      </c>
      <c r="C33" s="47" t="s">
        <v>122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51"/>
      <c r="AS33" s="51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3">
        <f t="shared" si="4"/>
        <v>0</v>
      </c>
    </row>
    <row r="34" spans="2:101" x14ac:dyDescent="0.25">
      <c r="B34" s="54" t="s">
        <v>99</v>
      </c>
      <c r="C34" s="55" t="s">
        <v>123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43">
        <f t="shared" si="4"/>
        <v>0</v>
      </c>
    </row>
    <row r="35" spans="2:101" x14ac:dyDescent="0.25">
      <c r="B35" s="54" t="s">
        <v>99</v>
      </c>
      <c r="C35" s="55" t="s">
        <v>124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43">
        <f t="shared" si="4"/>
        <v>0</v>
      </c>
    </row>
    <row r="36" spans="2:101" ht="15.75" thickBot="1" x14ac:dyDescent="0.3">
      <c r="B36" s="56"/>
      <c r="C36" s="57" t="s">
        <v>125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43">
        <f t="shared" si="4"/>
        <v>0</v>
      </c>
    </row>
    <row r="37" spans="2:101" x14ac:dyDescent="0.25">
      <c r="B37" s="58"/>
      <c r="C37" s="59" t="s">
        <v>126</v>
      </c>
      <c r="D37" s="59">
        <f>SUM(D9:D36)</f>
        <v>17816.704760000001</v>
      </c>
      <c r="E37" s="59">
        <f>SUM(E9:E36)</f>
        <v>16568339.461749997</v>
      </c>
      <c r="F37" s="59">
        <f>SUM(F9:F35)</f>
        <v>3287136.3688300001</v>
      </c>
      <c r="G37" s="59">
        <f t="shared" ref="G37:BR37" si="5">SUM(G9:G36)</f>
        <v>0</v>
      </c>
      <c r="H37" s="59">
        <f t="shared" si="5"/>
        <v>0</v>
      </c>
      <c r="I37" s="59">
        <f t="shared" si="5"/>
        <v>0</v>
      </c>
      <c r="J37" s="59">
        <f t="shared" si="5"/>
        <v>0</v>
      </c>
      <c r="K37" s="59">
        <f t="shared" si="5"/>
        <v>0</v>
      </c>
      <c r="L37" s="59">
        <f t="shared" si="5"/>
        <v>0</v>
      </c>
      <c r="M37" s="59">
        <f t="shared" si="5"/>
        <v>0</v>
      </c>
      <c r="N37" s="59">
        <f t="shared" si="5"/>
        <v>0</v>
      </c>
      <c r="O37" s="59">
        <f t="shared" si="5"/>
        <v>0</v>
      </c>
      <c r="P37" s="59">
        <f t="shared" si="5"/>
        <v>0</v>
      </c>
      <c r="Q37" s="59">
        <f t="shared" si="5"/>
        <v>0</v>
      </c>
      <c r="R37" s="59">
        <f t="shared" si="5"/>
        <v>0</v>
      </c>
      <c r="S37" s="59">
        <f t="shared" si="5"/>
        <v>0</v>
      </c>
      <c r="T37" s="59">
        <f t="shared" si="5"/>
        <v>0</v>
      </c>
      <c r="U37" s="59">
        <f t="shared" si="5"/>
        <v>0</v>
      </c>
      <c r="V37" s="59">
        <f t="shared" si="5"/>
        <v>0</v>
      </c>
      <c r="W37" s="59">
        <f t="shared" si="5"/>
        <v>0</v>
      </c>
      <c r="X37" s="59">
        <f t="shared" si="5"/>
        <v>0</v>
      </c>
      <c r="Y37" s="59">
        <f t="shared" si="5"/>
        <v>0</v>
      </c>
      <c r="Z37" s="59">
        <f t="shared" si="5"/>
        <v>0</v>
      </c>
      <c r="AA37" s="59">
        <f t="shared" si="5"/>
        <v>0</v>
      </c>
      <c r="AB37" s="59">
        <f t="shared" si="5"/>
        <v>0</v>
      </c>
      <c r="AC37" s="59">
        <f t="shared" si="5"/>
        <v>0</v>
      </c>
      <c r="AD37" s="59">
        <f t="shared" si="5"/>
        <v>0</v>
      </c>
      <c r="AE37" s="59">
        <f t="shared" si="5"/>
        <v>0</v>
      </c>
      <c r="AF37" s="59">
        <f t="shared" si="5"/>
        <v>0</v>
      </c>
      <c r="AG37" s="59">
        <f t="shared" si="5"/>
        <v>0</v>
      </c>
      <c r="AH37" s="59">
        <f t="shared" si="5"/>
        <v>0</v>
      </c>
      <c r="AI37" s="59">
        <f t="shared" si="5"/>
        <v>0</v>
      </c>
      <c r="AJ37" s="59">
        <f t="shared" si="5"/>
        <v>0</v>
      </c>
      <c r="AK37" s="59">
        <f t="shared" si="5"/>
        <v>0</v>
      </c>
      <c r="AL37" s="59">
        <f t="shared" si="5"/>
        <v>0</v>
      </c>
      <c r="AM37" s="59">
        <f t="shared" si="5"/>
        <v>0</v>
      </c>
      <c r="AN37" s="59">
        <f t="shared" si="5"/>
        <v>0</v>
      </c>
      <c r="AO37" s="59">
        <f t="shared" si="5"/>
        <v>0</v>
      </c>
      <c r="AP37" s="59">
        <f t="shared" si="5"/>
        <v>0</v>
      </c>
      <c r="AQ37" s="59">
        <f t="shared" si="5"/>
        <v>0</v>
      </c>
      <c r="AR37" s="59">
        <f t="shared" si="5"/>
        <v>0</v>
      </c>
      <c r="AS37" s="59">
        <f t="shared" si="5"/>
        <v>0</v>
      </c>
      <c r="AT37" s="59">
        <f t="shared" si="5"/>
        <v>0</v>
      </c>
      <c r="AU37" s="59">
        <f t="shared" si="5"/>
        <v>0</v>
      </c>
      <c r="AV37" s="59">
        <f t="shared" si="5"/>
        <v>0</v>
      </c>
      <c r="AW37" s="59">
        <f t="shared" si="5"/>
        <v>0</v>
      </c>
      <c r="AX37" s="59">
        <f t="shared" si="5"/>
        <v>0</v>
      </c>
      <c r="AY37" s="59">
        <f t="shared" si="5"/>
        <v>0</v>
      </c>
      <c r="AZ37" s="59">
        <f t="shared" si="5"/>
        <v>0</v>
      </c>
      <c r="BA37" s="59">
        <f t="shared" si="5"/>
        <v>0</v>
      </c>
      <c r="BB37" s="59">
        <f t="shared" si="5"/>
        <v>0</v>
      </c>
      <c r="BC37" s="59">
        <f t="shared" si="5"/>
        <v>0</v>
      </c>
      <c r="BD37" s="59">
        <f t="shared" si="5"/>
        <v>0</v>
      </c>
      <c r="BE37" s="59">
        <f t="shared" si="5"/>
        <v>0</v>
      </c>
      <c r="BF37" s="59">
        <f t="shared" si="5"/>
        <v>0</v>
      </c>
      <c r="BG37" s="59">
        <f t="shared" si="5"/>
        <v>0</v>
      </c>
      <c r="BH37" s="59">
        <f t="shared" si="5"/>
        <v>0</v>
      </c>
      <c r="BI37" s="59">
        <f t="shared" si="5"/>
        <v>0</v>
      </c>
      <c r="BJ37" s="59">
        <f t="shared" si="5"/>
        <v>0</v>
      </c>
      <c r="BK37" s="59">
        <f t="shared" si="5"/>
        <v>0</v>
      </c>
      <c r="BL37" s="59">
        <f t="shared" si="5"/>
        <v>0</v>
      </c>
      <c r="BM37" s="59">
        <f t="shared" si="5"/>
        <v>0</v>
      </c>
      <c r="BN37" s="59">
        <f t="shared" si="5"/>
        <v>0</v>
      </c>
      <c r="BO37" s="59">
        <f t="shared" si="5"/>
        <v>0</v>
      </c>
      <c r="BP37" s="59">
        <f t="shared" si="5"/>
        <v>0</v>
      </c>
      <c r="BQ37" s="59">
        <f t="shared" si="5"/>
        <v>0</v>
      </c>
      <c r="BR37" s="59">
        <f t="shared" si="5"/>
        <v>0</v>
      </c>
      <c r="BS37" s="59">
        <f t="shared" ref="BS37:CV37" si="6">SUM(BS9:BS36)</f>
        <v>0</v>
      </c>
      <c r="BT37" s="59">
        <f t="shared" si="6"/>
        <v>0</v>
      </c>
      <c r="BU37" s="59">
        <f t="shared" si="6"/>
        <v>0</v>
      </c>
      <c r="BV37" s="59">
        <f t="shared" si="6"/>
        <v>0</v>
      </c>
      <c r="BW37" s="59">
        <f t="shared" si="6"/>
        <v>2266.6849999999999</v>
      </c>
      <c r="BX37" s="59">
        <f t="shared" si="6"/>
        <v>0</v>
      </c>
      <c r="BY37" s="59">
        <f t="shared" si="6"/>
        <v>-1571.3107599998762</v>
      </c>
      <c r="BZ37" s="59">
        <f t="shared" si="6"/>
        <v>-1512041.173429999</v>
      </c>
      <c r="CA37" s="59">
        <f t="shared" si="6"/>
        <v>-2206724.2641500011</v>
      </c>
      <c r="CB37" s="59">
        <f t="shared" si="6"/>
        <v>0</v>
      </c>
      <c r="CC37" s="59">
        <f t="shared" si="6"/>
        <v>808.28300000000002</v>
      </c>
      <c r="CD37" s="59">
        <f t="shared" si="6"/>
        <v>0</v>
      </c>
      <c r="CE37" s="59">
        <f t="shared" si="6"/>
        <v>0</v>
      </c>
      <c r="CF37" s="59">
        <f t="shared" si="6"/>
        <v>1091.564000000013</v>
      </c>
      <c r="CG37" s="59">
        <f t="shared" si="6"/>
        <v>0</v>
      </c>
      <c r="CH37" s="59">
        <f t="shared" si="6"/>
        <v>0</v>
      </c>
      <c r="CI37" s="59">
        <f t="shared" si="6"/>
        <v>498.56495000002906</v>
      </c>
      <c r="CJ37" s="59">
        <f t="shared" si="6"/>
        <v>6879.1354999999967</v>
      </c>
      <c r="CK37" s="59">
        <f t="shared" si="6"/>
        <v>0</v>
      </c>
      <c r="CL37" s="59">
        <f t="shared" si="6"/>
        <v>0</v>
      </c>
      <c r="CM37" s="59">
        <f t="shared" si="6"/>
        <v>0</v>
      </c>
      <c r="CN37" s="59">
        <f t="shared" si="6"/>
        <v>0</v>
      </c>
      <c r="CO37" s="59">
        <f t="shared" si="6"/>
        <v>0</v>
      </c>
      <c r="CP37" s="59">
        <f t="shared" si="6"/>
        <v>0</v>
      </c>
      <c r="CQ37" s="59">
        <f t="shared" si="6"/>
        <v>0</v>
      </c>
      <c r="CR37" s="59">
        <f t="shared" si="6"/>
        <v>0</v>
      </c>
      <c r="CS37" s="59">
        <f t="shared" si="6"/>
        <v>0</v>
      </c>
      <c r="CT37" s="59">
        <f t="shared" si="6"/>
        <v>0</v>
      </c>
      <c r="CU37" s="59">
        <f t="shared" si="6"/>
        <v>0</v>
      </c>
      <c r="CV37" s="59">
        <f t="shared" si="6"/>
        <v>0</v>
      </c>
      <c r="CW37" s="43">
        <f t="shared" si="4"/>
        <v>16164500.019449996</v>
      </c>
    </row>
    <row r="38" spans="2:101" x14ac:dyDescent="0.25">
      <c r="B38" s="60"/>
      <c r="C38" s="61" t="s">
        <v>127</v>
      </c>
      <c r="D38" s="61">
        <f>+D37+D8</f>
        <v>575287.59890000045</v>
      </c>
      <c r="E38" s="61">
        <f>+E37+E8</f>
        <v>30566115.189784553</v>
      </c>
      <c r="F38" s="61">
        <f>+F37+F8</f>
        <v>8857600.2923215106</v>
      </c>
      <c r="G38" s="61">
        <f t="shared" ref="G38:BR38" si="7">+G37+G8</f>
        <v>0</v>
      </c>
      <c r="H38" s="61">
        <f t="shared" si="7"/>
        <v>0</v>
      </c>
      <c r="I38" s="61">
        <f t="shared" si="7"/>
        <v>112727.45240999425</v>
      </c>
      <c r="J38" s="61">
        <f t="shared" si="7"/>
        <v>0</v>
      </c>
      <c r="K38" s="61">
        <f t="shared" si="7"/>
        <v>109952.39123814307</v>
      </c>
      <c r="L38" s="61">
        <f t="shared" si="7"/>
        <v>703074.20937329088</v>
      </c>
      <c r="M38" s="61">
        <f t="shared" si="7"/>
        <v>483441.07939886628</v>
      </c>
      <c r="N38" s="61">
        <f t="shared" si="7"/>
        <v>177310.5199999999</v>
      </c>
      <c r="O38" s="61">
        <f t="shared" si="7"/>
        <v>743248.15264999995</v>
      </c>
      <c r="P38" s="61">
        <f t="shared" si="7"/>
        <v>30566471.680000007</v>
      </c>
      <c r="Q38" s="61">
        <f t="shared" si="7"/>
        <v>130163762.49044158</v>
      </c>
      <c r="R38" s="61">
        <f t="shared" si="7"/>
        <v>275265.96999999997</v>
      </c>
      <c r="S38" s="61">
        <f t="shared" si="7"/>
        <v>1450863.9742385992</v>
      </c>
      <c r="T38" s="61">
        <f t="shared" si="7"/>
        <v>0</v>
      </c>
      <c r="U38" s="61">
        <f t="shared" si="7"/>
        <v>0</v>
      </c>
      <c r="V38" s="61">
        <f t="shared" si="7"/>
        <v>0</v>
      </c>
      <c r="W38" s="61">
        <f t="shared" si="7"/>
        <v>0</v>
      </c>
      <c r="X38" s="61">
        <f t="shared" si="7"/>
        <v>0</v>
      </c>
      <c r="Y38" s="61">
        <f t="shared" si="7"/>
        <v>0</v>
      </c>
      <c r="Z38" s="61">
        <f t="shared" si="7"/>
        <v>9662.5274983807467</v>
      </c>
      <c r="AA38" s="61">
        <f t="shared" si="7"/>
        <v>40503.29</v>
      </c>
      <c r="AB38" s="61">
        <f t="shared" si="7"/>
        <v>7542.7499999967404</v>
      </c>
      <c r="AC38" s="61">
        <f t="shared" si="7"/>
        <v>31617.62</v>
      </c>
      <c r="AD38" s="61">
        <f t="shared" si="7"/>
        <v>5155</v>
      </c>
      <c r="AE38" s="61">
        <f t="shared" si="7"/>
        <v>21608.68</v>
      </c>
      <c r="AF38" s="61">
        <f t="shared" si="7"/>
        <v>7956.8699999451637</v>
      </c>
      <c r="AG38" s="61">
        <f t="shared" si="7"/>
        <v>33353.53</v>
      </c>
      <c r="AH38" s="61">
        <f t="shared" si="7"/>
        <v>203175.47999999719</v>
      </c>
      <c r="AI38" s="61">
        <f t="shared" si="7"/>
        <v>851645.451214</v>
      </c>
      <c r="AJ38" s="61">
        <f t="shared" si="7"/>
        <v>673596.71999999823</v>
      </c>
      <c r="AK38" s="61">
        <f t="shared" si="7"/>
        <v>2823324.1679230896</v>
      </c>
      <c r="AL38" s="61">
        <f t="shared" si="7"/>
        <v>37308232.364840075</v>
      </c>
      <c r="AM38" s="61">
        <f t="shared" si="7"/>
        <v>59156998.799813539</v>
      </c>
      <c r="AN38" s="61">
        <f t="shared" si="7"/>
        <v>6399996.8199400008</v>
      </c>
      <c r="AO38" s="61">
        <f t="shared" si="7"/>
        <v>809966.41413143976</v>
      </c>
      <c r="AP38" s="61">
        <f t="shared" si="7"/>
        <v>12091272.745147957</v>
      </c>
      <c r="AQ38" s="61">
        <f t="shared" si="7"/>
        <v>2167313.3240721608</v>
      </c>
      <c r="AR38" s="61">
        <f t="shared" si="7"/>
        <v>33752.683643993005</v>
      </c>
      <c r="AS38" s="61">
        <f t="shared" si="7"/>
        <v>6.2719079996137461</v>
      </c>
      <c r="AT38" s="61">
        <f t="shared" si="7"/>
        <v>11.210432002509913</v>
      </c>
      <c r="AU38" s="61">
        <f t="shared" si="7"/>
        <v>70709.869203997281</v>
      </c>
      <c r="AV38" s="61">
        <f t="shared" si="7"/>
        <v>523662.90839880263</v>
      </c>
      <c r="AW38" s="61">
        <f t="shared" si="7"/>
        <v>85667.9885699968</v>
      </c>
      <c r="AX38" s="61">
        <f t="shared" si="7"/>
        <v>1041.3974240010875</v>
      </c>
      <c r="AY38" s="61">
        <f t="shared" si="7"/>
        <v>17450.753311997978</v>
      </c>
      <c r="AZ38" s="61">
        <f t="shared" si="7"/>
        <v>23267.345377323236</v>
      </c>
      <c r="BA38" s="61">
        <f t="shared" si="7"/>
        <v>201985.5477240069</v>
      </c>
      <c r="BB38" s="61">
        <f t="shared" si="7"/>
        <v>69946.436219991141</v>
      </c>
      <c r="BC38" s="61">
        <f t="shared" si="7"/>
        <v>266822.6708479987</v>
      </c>
      <c r="BD38" s="61">
        <f t="shared" si="7"/>
        <v>17048.164599989836</v>
      </c>
      <c r="BE38" s="61">
        <f t="shared" si="7"/>
        <v>256586.81289368056</v>
      </c>
      <c r="BF38" s="61">
        <f t="shared" si="7"/>
        <v>321949.5492303599</v>
      </c>
      <c r="BG38" s="61">
        <f t="shared" si="7"/>
        <v>35109.232018882758</v>
      </c>
      <c r="BH38" s="61">
        <f t="shared" si="7"/>
        <v>27273.514880002102</v>
      </c>
      <c r="BI38" s="61">
        <f t="shared" si="7"/>
        <v>630661.83776839031</v>
      </c>
      <c r="BJ38" s="61">
        <f t="shared" si="7"/>
        <v>197783.28604456017</v>
      </c>
      <c r="BK38" s="61">
        <f t="shared" si="7"/>
        <v>2995393.833886012</v>
      </c>
      <c r="BL38" s="61">
        <f t="shared" si="7"/>
        <v>112721.43885244607</v>
      </c>
      <c r="BM38" s="61">
        <f t="shared" si="7"/>
        <v>1068641.0240571511</v>
      </c>
      <c r="BN38" s="61">
        <f t="shared" si="7"/>
        <v>4096996.1834773812</v>
      </c>
      <c r="BO38" s="61">
        <f t="shared" si="7"/>
        <v>3.4691202304202307E-3</v>
      </c>
      <c r="BP38" s="61">
        <f t="shared" si="7"/>
        <v>255.15995932906549</v>
      </c>
      <c r="BQ38" s="61">
        <f t="shared" si="7"/>
        <v>4.0128798844989433E-3</v>
      </c>
      <c r="BR38" s="61">
        <f t="shared" si="7"/>
        <v>2723100.6460000034</v>
      </c>
      <c r="BS38" s="61">
        <f t="shared" ref="BS38:CV38" si="8">+BS37+BS8</f>
        <v>11426987.824417591</v>
      </c>
      <c r="BT38" s="61">
        <f t="shared" si="8"/>
        <v>407611.79493201897</v>
      </c>
      <c r="BU38" s="61">
        <f t="shared" si="8"/>
        <v>1697061.5471122912</v>
      </c>
      <c r="BV38" s="61">
        <f t="shared" si="8"/>
        <v>8400.1908600000006</v>
      </c>
      <c r="BW38" s="61">
        <f t="shared" si="8"/>
        <v>1150441.2159900006</v>
      </c>
      <c r="BX38" s="61">
        <f t="shared" si="8"/>
        <v>12663.664475599246</v>
      </c>
      <c r="BY38" s="61">
        <f t="shared" si="8"/>
        <v>671758.19224</v>
      </c>
      <c r="BZ38" s="61">
        <f t="shared" si="8"/>
        <v>4366382.6763899997</v>
      </c>
      <c r="CA38" s="61">
        <f t="shared" si="8"/>
        <v>3177232.3248499995</v>
      </c>
      <c r="CB38" s="61">
        <f t="shared" si="8"/>
        <v>18618.56624</v>
      </c>
      <c r="CC38" s="61">
        <f t="shared" si="8"/>
        <v>881986.65217999986</v>
      </c>
      <c r="CD38" s="61">
        <f t="shared" si="8"/>
        <v>0</v>
      </c>
      <c r="CE38" s="61">
        <f t="shared" si="8"/>
        <v>21640.922999999999</v>
      </c>
      <c r="CF38" s="61">
        <f t="shared" si="8"/>
        <v>1226691.1815899999</v>
      </c>
      <c r="CG38" s="61">
        <f t="shared" si="8"/>
        <v>162748.57699999999</v>
      </c>
      <c r="CH38" s="61">
        <f t="shared" si="8"/>
        <v>2.9318200000000001</v>
      </c>
      <c r="CI38" s="61">
        <f t="shared" si="8"/>
        <v>898204.40595000004</v>
      </c>
      <c r="CJ38" s="61">
        <f t="shared" si="8"/>
        <v>71338.282999999996</v>
      </c>
      <c r="CK38" s="61">
        <f t="shared" si="8"/>
        <v>0</v>
      </c>
      <c r="CL38" s="61">
        <f t="shared" si="8"/>
        <v>0</v>
      </c>
      <c r="CM38" s="61">
        <f t="shared" si="8"/>
        <v>79545.21415</v>
      </c>
      <c r="CN38" s="61">
        <f t="shared" si="8"/>
        <v>662749.23896999995</v>
      </c>
      <c r="CO38" s="61">
        <f t="shared" si="8"/>
        <v>736440.24131999968</v>
      </c>
      <c r="CP38" s="61">
        <f t="shared" si="8"/>
        <v>9152723.6727600005</v>
      </c>
      <c r="CQ38" s="61">
        <f t="shared" si="8"/>
        <v>377918.49939999997</v>
      </c>
      <c r="CR38" s="61">
        <f t="shared" si="8"/>
        <v>2701872.374679999</v>
      </c>
      <c r="CS38" s="61">
        <f t="shared" si="8"/>
        <v>5000</v>
      </c>
      <c r="CT38" s="61">
        <f t="shared" si="8"/>
        <v>20468.599999999999</v>
      </c>
      <c r="CU38" s="61">
        <f t="shared" si="8"/>
        <v>5000</v>
      </c>
      <c r="CV38" s="61">
        <f t="shared" si="8"/>
        <v>20468.599999999999</v>
      </c>
      <c r="CW38" s="43">
        <f t="shared" si="4"/>
        <v>381167846.72287703</v>
      </c>
    </row>
    <row r="39" spans="2:101" x14ac:dyDescent="0.25">
      <c r="B39" s="62"/>
      <c r="C39" s="63" t="s">
        <v>128</v>
      </c>
      <c r="D39" s="63">
        <v>-7500</v>
      </c>
      <c r="E39" s="63">
        <v>-11164430.00206</v>
      </c>
      <c r="F39" s="63">
        <v>-1219000</v>
      </c>
      <c r="G39" s="63">
        <v>0</v>
      </c>
      <c r="H39" s="63">
        <v>0</v>
      </c>
      <c r="I39" s="63">
        <v>19.39086</v>
      </c>
      <c r="J39" s="63">
        <v>0</v>
      </c>
      <c r="K39" s="63">
        <v>-3498.0454359999999</v>
      </c>
      <c r="L39" s="63">
        <v>-593032.44536402356</v>
      </c>
      <c r="M39" s="63">
        <v>-20.502368000000011</v>
      </c>
      <c r="N39" s="63">
        <v>0</v>
      </c>
      <c r="O39" s="63">
        <v>0</v>
      </c>
      <c r="P39" s="63">
        <v>-9272158.2400000002</v>
      </c>
      <c r="Q39" s="63">
        <v>-39933238.386449598</v>
      </c>
      <c r="R39" s="63">
        <v>4229.45</v>
      </c>
      <c r="S39" s="63">
        <v>18215.352965500089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-1156.6300000000001</v>
      </c>
      <c r="AI39" s="63">
        <v>-4981.3625177000004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-391.56987936000002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33.146999999999998</v>
      </c>
      <c r="BB39" s="63">
        <v>11.475</v>
      </c>
      <c r="BC39" s="63">
        <v>43.774000000000001</v>
      </c>
      <c r="BD39" s="63">
        <v>2.7970000000000002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1597.6172300000001</v>
      </c>
      <c r="BL39" s="63">
        <v>19.390740000000001</v>
      </c>
      <c r="BM39" s="63">
        <v>183.82732999999999</v>
      </c>
      <c r="BN39" s="63">
        <v>704.76213999999993</v>
      </c>
      <c r="BO39" s="63">
        <v>0</v>
      </c>
      <c r="BP39" s="63">
        <v>4.7189999999999996E-2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0</v>
      </c>
      <c r="BX39" s="63">
        <v>0</v>
      </c>
      <c r="BY39" s="63">
        <v>0</v>
      </c>
      <c r="BZ39" s="63">
        <v>2500000</v>
      </c>
      <c r="CA39" s="63">
        <v>1300000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43">
        <f t="shared" si="4"/>
        <v>-58374346.152619191</v>
      </c>
    </row>
    <row r="40" spans="2:101" ht="15.75" thickBot="1" x14ac:dyDescent="0.3">
      <c r="B40" s="64"/>
      <c r="C40" s="65" t="s">
        <v>129</v>
      </c>
      <c r="D40" s="65">
        <f>+D39+D38</f>
        <v>567787.59890000045</v>
      </c>
      <c r="E40" s="65">
        <f>+E39+E38</f>
        <v>19401685.187724553</v>
      </c>
      <c r="F40" s="65">
        <f>+F39+F38</f>
        <v>7638600.2923215106</v>
      </c>
      <c r="G40" s="65">
        <f t="shared" ref="G40:BR40" si="9">+G39+G38</f>
        <v>0</v>
      </c>
      <c r="H40" s="65">
        <f t="shared" si="9"/>
        <v>0</v>
      </c>
      <c r="I40" s="65">
        <f t="shared" si="9"/>
        <v>112746.84326999425</v>
      </c>
      <c r="J40" s="65">
        <f t="shared" si="9"/>
        <v>0</v>
      </c>
      <c r="K40" s="65">
        <f t="shared" si="9"/>
        <v>106454.34580214307</v>
      </c>
      <c r="L40" s="65">
        <f t="shared" si="9"/>
        <v>110041.76400926732</v>
      </c>
      <c r="M40" s="65">
        <f t="shared" si="9"/>
        <v>483420.57703086629</v>
      </c>
      <c r="N40" s="65">
        <f t="shared" si="9"/>
        <v>177310.5199999999</v>
      </c>
      <c r="O40" s="65">
        <f t="shared" si="9"/>
        <v>743248.15264999995</v>
      </c>
      <c r="P40" s="65">
        <f t="shared" si="9"/>
        <v>21294313.440000005</v>
      </c>
      <c r="Q40" s="65">
        <f t="shared" si="9"/>
        <v>90230524.103991985</v>
      </c>
      <c r="R40" s="65">
        <f t="shared" si="9"/>
        <v>279495.42</v>
      </c>
      <c r="S40" s="65">
        <f t="shared" si="9"/>
        <v>1469079.3272040994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9662.5274983807467</v>
      </c>
      <c r="AA40" s="65">
        <f t="shared" si="9"/>
        <v>40503.29</v>
      </c>
      <c r="AB40" s="65">
        <f t="shared" si="9"/>
        <v>7542.7499999967404</v>
      </c>
      <c r="AC40" s="65">
        <f t="shared" si="9"/>
        <v>31617.62</v>
      </c>
      <c r="AD40" s="65">
        <f t="shared" si="9"/>
        <v>5155</v>
      </c>
      <c r="AE40" s="65">
        <f t="shared" si="9"/>
        <v>21608.68</v>
      </c>
      <c r="AF40" s="65">
        <f t="shared" si="9"/>
        <v>7956.8699999451637</v>
      </c>
      <c r="AG40" s="65">
        <f t="shared" si="9"/>
        <v>33353.53</v>
      </c>
      <c r="AH40" s="65">
        <f t="shared" si="9"/>
        <v>202018.84999999718</v>
      </c>
      <c r="AI40" s="65">
        <f t="shared" si="9"/>
        <v>846664.08869630005</v>
      </c>
      <c r="AJ40" s="65">
        <f t="shared" si="9"/>
        <v>673596.71999999823</v>
      </c>
      <c r="AK40" s="65">
        <f t="shared" si="9"/>
        <v>2823324.1679230896</v>
      </c>
      <c r="AL40" s="65">
        <f t="shared" si="9"/>
        <v>37308232.364840075</v>
      </c>
      <c r="AM40" s="65">
        <f t="shared" si="9"/>
        <v>59156998.799813539</v>
      </c>
      <c r="AN40" s="65">
        <f t="shared" si="9"/>
        <v>6399996.8199400008</v>
      </c>
      <c r="AO40" s="65">
        <f t="shared" si="9"/>
        <v>809966.41413143976</v>
      </c>
      <c r="AP40" s="65">
        <f t="shared" si="9"/>
        <v>12090881.175268596</v>
      </c>
      <c r="AQ40" s="65">
        <f t="shared" si="9"/>
        <v>2167313.3240721608</v>
      </c>
      <c r="AR40" s="65">
        <f t="shared" si="9"/>
        <v>33752.683643993005</v>
      </c>
      <c r="AS40" s="65">
        <f t="shared" si="9"/>
        <v>6.2719079996137461</v>
      </c>
      <c r="AT40" s="65">
        <f t="shared" si="9"/>
        <v>11.210432002509913</v>
      </c>
      <c r="AU40" s="65">
        <f t="shared" si="9"/>
        <v>70709.869203997281</v>
      </c>
      <c r="AV40" s="65">
        <f t="shared" si="9"/>
        <v>523662.90839880263</v>
      </c>
      <c r="AW40" s="65">
        <f t="shared" si="9"/>
        <v>85667.9885699968</v>
      </c>
      <c r="AX40" s="65">
        <f t="shared" si="9"/>
        <v>1041.3974240010875</v>
      </c>
      <c r="AY40" s="65">
        <f t="shared" si="9"/>
        <v>17450.753311997978</v>
      </c>
      <c r="AZ40" s="65">
        <f t="shared" si="9"/>
        <v>23267.345377323236</v>
      </c>
      <c r="BA40" s="65">
        <f t="shared" si="9"/>
        <v>202018.6947240069</v>
      </c>
      <c r="BB40" s="65">
        <f t="shared" si="9"/>
        <v>69957.911219991147</v>
      </c>
      <c r="BC40" s="65">
        <f t="shared" si="9"/>
        <v>266866.44484799867</v>
      </c>
      <c r="BD40" s="65">
        <f t="shared" si="9"/>
        <v>17050.961599989834</v>
      </c>
      <c r="BE40" s="65">
        <f t="shared" si="9"/>
        <v>256586.81289368056</v>
      </c>
      <c r="BF40" s="65">
        <f t="shared" si="9"/>
        <v>321949.5492303599</v>
      </c>
      <c r="BG40" s="65">
        <f t="shared" si="9"/>
        <v>35109.232018882758</v>
      </c>
      <c r="BH40" s="65">
        <f t="shared" si="9"/>
        <v>27273.514880002102</v>
      </c>
      <c r="BI40" s="65">
        <f t="shared" si="9"/>
        <v>630661.83776839031</v>
      </c>
      <c r="BJ40" s="65">
        <f t="shared" si="9"/>
        <v>197783.28604456017</v>
      </c>
      <c r="BK40" s="65">
        <f t="shared" si="9"/>
        <v>2996991.4511160119</v>
      </c>
      <c r="BL40" s="65">
        <f t="shared" si="9"/>
        <v>112740.82959244607</v>
      </c>
      <c r="BM40" s="65">
        <f t="shared" si="9"/>
        <v>1068824.8513871511</v>
      </c>
      <c r="BN40" s="65">
        <f t="shared" si="9"/>
        <v>4097700.945617381</v>
      </c>
      <c r="BO40" s="65">
        <f t="shared" si="9"/>
        <v>3.4691202304202307E-3</v>
      </c>
      <c r="BP40" s="65">
        <f t="shared" si="9"/>
        <v>255.20714932906549</v>
      </c>
      <c r="BQ40" s="65">
        <f t="shared" si="9"/>
        <v>4.0128798844989433E-3</v>
      </c>
      <c r="BR40" s="65">
        <f t="shared" si="9"/>
        <v>2723100.6460000034</v>
      </c>
      <c r="BS40" s="65">
        <f t="shared" ref="BS40:CV40" si="10">+BS39+BS38</f>
        <v>11426987.824417591</v>
      </c>
      <c r="BT40" s="65">
        <f t="shared" si="10"/>
        <v>407611.79493201897</v>
      </c>
      <c r="BU40" s="65">
        <f t="shared" si="10"/>
        <v>1697061.5471122912</v>
      </c>
      <c r="BV40" s="65">
        <f t="shared" si="10"/>
        <v>8400.1908600000006</v>
      </c>
      <c r="BW40" s="65">
        <f t="shared" si="10"/>
        <v>1150441.2159900006</v>
      </c>
      <c r="BX40" s="65">
        <f t="shared" si="10"/>
        <v>12663.664475599246</v>
      </c>
      <c r="BY40" s="65">
        <f t="shared" si="10"/>
        <v>671758.19224</v>
      </c>
      <c r="BZ40" s="65">
        <f t="shared" si="10"/>
        <v>6866382.6763899997</v>
      </c>
      <c r="CA40" s="65">
        <f t="shared" si="10"/>
        <v>4477232.3248499995</v>
      </c>
      <c r="CB40" s="65">
        <f t="shared" si="10"/>
        <v>18618.56624</v>
      </c>
      <c r="CC40" s="65">
        <f t="shared" si="10"/>
        <v>881986.65217999986</v>
      </c>
      <c r="CD40" s="65">
        <f t="shared" si="10"/>
        <v>0</v>
      </c>
      <c r="CE40" s="65">
        <f t="shared" si="10"/>
        <v>21640.922999999999</v>
      </c>
      <c r="CF40" s="65">
        <f t="shared" si="10"/>
        <v>1226691.1815899999</v>
      </c>
      <c r="CG40" s="65">
        <f t="shared" si="10"/>
        <v>162748.57699999999</v>
      </c>
      <c r="CH40" s="65">
        <f>+CH39+CH38</f>
        <v>2.9318200000000001</v>
      </c>
      <c r="CI40" s="65">
        <f t="shared" si="10"/>
        <v>898204.40595000004</v>
      </c>
      <c r="CJ40" s="65">
        <f t="shared" si="10"/>
        <v>71338.282999999996</v>
      </c>
      <c r="CK40" s="65">
        <f t="shared" si="10"/>
        <v>0</v>
      </c>
      <c r="CL40" s="65">
        <f t="shared" si="10"/>
        <v>0</v>
      </c>
      <c r="CM40" s="65">
        <f t="shared" si="10"/>
        <v>79545.21415</v>
      </c>
      <c r="CN40" s="65">
        <f t="shared" si="10"/>
        <v>662749.23896999995</v>
      </c>
      <c r="CO40" s="65">
        <f t="shared" si="10"/>
        <v>736440.24131999968</v>
      </c>
      <c r="CP40" s="65">
        <f t="shared" si="10"/>
        <v>9152723.6727600005</v>
      </c>
      <c r="CQ40" s="65">
        <f t="shared" si="10"/>
        <v>377918.49939999997</v>
      </c>
      <c r="CR40" s="65">
        <f t="shared" si="10"/>
        <v>2701872.374679999</v>
      </c>
      <c r="CS40" s="65">
        <f t="shared" si="10"/>
        <v>5000</v>
      </c>
      <c r="CT40" s="65">
        <f t="shared" si="10"/>
        <v>20468.599999999999</v>
      </c>
      <c r="CU40" s="65">
        <f t="shared" si="10"/>
        <v>5000</v>
      </c>
      <c r="CV40" s="65">
        <f t="shared" si="10"/>
        <v>20468.599999999999</v>
      </c>
      <c r="CW40" s="43">
        <f t="shared" si="4"/>
        <v>322793500.57025784</v>
      </c>
    </row>
    <row r="41" spans="2:101" ht="15.75" thickBot="1" x14ac:dyDescent="0.3"/>
    <row r="42" spans="2:101" x14ac:dyDescent="0.25">
      <c r="C42" s="67" t="s">
        <v>130</v>
      </c>
      <c r="D42" s="68">
        <f>+D37+D39</f>
        <v>10316.704760000001</v>
      </c>
      <c r="E42" s="68">
        <f>+E37+E39</f>
        <v>5403909.4596899971</v>
      </c>
      <c r="F42" s="69">
        <f>+F37+F39</f>
        <v>2068136.3688300001</v>
      </c>
      <c r="G42" s="88">
        <v>20375.599999999999</v>
      </c>
      <c r="H42" s="88">
        <v>20376.599999999999</v>
      </c>
      <c r="I42" s="88">
        <v>20377.599999999999</v>
      </c>
      <c r="J42" s="88">
        <v>20378.599999999999</v>
      </c>
      <c r="K42" s="88">
        <v>20379.599999999999</v>
      </c>
      <c r="L42" s="88">
        <v>20380.599999999999</v>
      </c>
      <c r="M42" s="88">
        <v>20381.599999999999</v>
      </c>
      <c r="N42" s="88">
        <v>20382.599999999999</v>
      </c>
      <c r="O42" s="88">
        <v>20383.599999999999</v>
      </c>
      <c r="P42" s="88">
        <v>20384.599999999999</v>
      </c>
      <c r="Q42" s="88">
        <v>20385.599999999999</v>
      </c>
      <c r="R42" s="88">
        <v>20386.599999999999</v>
      </c>
      <c r="S42" s="88">
        <v>20387.599999999999</v>
      </c>
      <c r="T42" s="88">
        <v>20388.599999999999</v>
      </c>
      <c r="U42" s="88">
        <v>20389.599999999999</v>
      </c>
      <c r="V42" s="88">
        <v>20390.599999999999</v>
      </c>
      <c r="W42" s="88">
        <v>20391.599999999999</v>
      </c>
      <c r="X42" s="88">
        <v>20392.599999999999</v>
      </c>
      <c r="Y42" s="88">
        <v>20393.599999999999</v>
      </c>
      <c r="Z42" s="88">
        <v>20394.599999999999</v>
      </c>
      <c r="AA42" s="88">
        <v>20395.599999999999</v>
      </c>
      <c r="AB42" s="88">
        <v>20396.599999999999</v>
      </c>
      <c r="AC42" s="88">
        <v>20397.599999999999</v>
      </c>
      <c r="AD42" s="88">
        <v>20398.599999999999</v>
      </c>
      <c r="AE42" s="88">
        <v>20399.599999999999</v>
      </c>
      <c r="AF42" s="88">
        <v>20400.599999999999</v>
      </c>
      <c r="AG42" s="88">
        <v>20401.599999999999</v>
      </c>
      <c r="AH42" s="88">
        <v>20402.599999999999</v>
      </c>
      <c r="AI42" s="88">
        <v>20403.599999999999</v>
      </c>
      <c r="AJ42" s="88">
        <v>20404.599999999999</v>
      </c>
      <c r="AK42" s="88">
        <v>20405.599999999999</v>
      </c>
      <c r="AL42" s="88">
        <v>20406.599999999999</v>
      </c>
      <c r="AM42" s="88">
        <v>20407.599999999999</v>
      </c>
      <c r="AN42" s="88">
        <v>20408.599999999999</v>
      </c>
      <c r="AO42" s="88">
        <v>20409.599999999999</v>
      </c>
      <c r="AP42" s="88">
        <v>20410.599999999999</v>
      </c>
      <c r="AQ42" s="88">
        <v>20411.599999999999</v>
      </c>
      <c r="AR42" s="88">
        <v>20412.599999999999</v>
      </c>
      <c r="AS42" s="88">
        <v>20413.599999999999</v>
      </c>
      <c r="AT42" s="88">
        <v>20414.599999999999</v>
      </c>
      <c r="AU42" s="88">
        <v>20415.599999999999</v>
      </c>
      <c r="AV42" s="88">
        <v>20416.599999999999</v>
      </c>
      <c r="AW42" s="88">
        <v>20417.599999999999</v>
      </c>
      <c r="AX42" s="88">
        <v>20418.599999999999</v>
      </c>
      <c r="AY42" s="88">
        <v>20419.599999999999</v>
      </c>
      <c r="AZ42" s="88">
        <v>20420.599999999999</v>
      </c>
      <c r="BA42" s="88">
        <v>20421.599999999999</v>
      </c>
      <c r="BB42" s="88">
        <v>20422.599999999999</v>
      </c>
      <c r="BC42" s="88">
        <v>20423.599999999999</v>
      </c>
      <c r="BD42" s="88">
        <v>20424.599999999999</v>
      </c>
      <c r="BE42" s="88">
        <v>20425.599999999999</v>
      </c>
      <c r="BF42" s="88">
        <v>20426.599999999999</v>
      </c>
      <c r="BG42" s="88">
        <v>20427.599999999999</v>
      </c>
      <c r="BH42" s="88">
        <v>20428.599999999999</v>
      </c>
      <c r="BI42" s="88">
        <v>20429.599999999999</v>
      </c>
      <c r="BJ42" s="88">
        <v>20430.599999999999</v>
      </c>
      <c r="BK42" s="88">
        <v>20431.599999999999</v>
      </c>
      <c r="BL42" s="88">
        <v>20432.599999999999</v>
      </c>
      <c r="BM42" s="88">
        <v>20433.599999999999</v>
      </c>
      <c r="BN42" s="88">
        <v>20434.599999999999</v>
      </c>
      <c r="BO42" s="88">
        <v>20435.599999999999</v>
      </c>
      <c r="BP42" s="88">
        <v>20436.599999999999</v>
      </c>
      <c r="BQ42" s="88">
        <v>20437.599999999999</v>
      </c>
      <c r="BR42" s="88">
        <v>20438.599999999999</v>
      </c>
      <c r="BS42" s="88">
        <v>20439.599999999999</v>
      </c>
      <c r="BT42" s="88">
        <v>20440.599999999999</v>
      </c>
      <c r="BU42" s="88">
        <v>20441.599999999999</v>
      </c>
      <c r="BV42" s="88">
        <v>20442.599999999999</v>
      </c>
      <c r="BW42" s="88">
        <v>20443.599999999999</v>
      </c>
      <c r="BX42" s="88">
        <v>20444.599999999999</v>
      </c>
      <c r="BY42" s="88">
        <v>20445.599999999999</v>
      </c>
      <c r="BZ42" s="88">
        <v>20446.599999999999</v>
      </c>
      <c r="CA42" s="88">
        <v>20447.599999999999</v>
      </c>
      <c r="CB42" s="88">
        <v>20448.599999999999</v>
      </c>
      <c r="CC42" s="88">
        <v>20449.599999999999</v>
      </c>
      <c r="CD42" s="88">
        <v>20450.599999999999</v>
      </c>
      <c r="CE42" s="88">
        <v>20451.599999999999</v>
      </c>
      <c r="CF42" s="88">
        <v>20452.599999999999</v>
      </c>
      <c r="CG42" s="88">
        <v>20453.599999999999</v>
      </c>
      <c r="CH42" s="88">
        <v>20454.599999999999</v>
      </c>
      <c r="CI42" s="88">
        <v>20455.599999999999</v>
      </c>
      <c r="CJ42" s="88">
        <v>20456.599999999999</v>
      </c>
      <c r="CK42" s="88">
        <v>20457.599999999999</v>
      </c>
      <c r="CL42" s="88">
        <v>20458.599999999999</v>
      </c>
      <c r="CM42" s="88">
        <v>20459.599999999999</v>
      </c>
      <c r="CN42" s="88">
        <v>20460.599999999999</v>
      </c>
      <c r="CO42" s="88">
        <v>20461.599999999999</v>
      </c>
      <c r="CP42" s="88">
        <v>20462.599999999999</v>
      </c>
      <c r="CQ42" s="88">
        <v>20463.599999999999</v>
      </c>
      <c r="CR42" s="88">
        <v>20464.599999999999</v>
      </c>
      <c r="CS42" s="88">
        <v>20465.599999999999</v>
      </c>
      <c r="CT42" s="88">
        <v>20466.599999999999</v>
      </c>
      <c r="CU42" s="88">
        <v>20467.599999999999</v>
      </c>
      <c r="CV42" s="88">
        <v>20468.599999999999</v>
      </c>
    </row>
    <row r="43" spans="2:101" x14ac:dyDescent="0.25">
      <c r="C43" s="70" t="s">
        <v>131</v>
      </c>
      <c r="D43" s="71">
        <v>10316.70464</v>
      </c>
      <c r="E43" s="71">
        <v>5403909.4589299997</v>
      </c>
      <c r="F43" s="71">
        <v>2068136.3682299999</v>
      </c>
      <c r="G43" s="66"/>
      <c r="H43" s="66"/>
      <c r="CT43" s="66"/>
      <c r="CU43" s="66"/>
      <c r="CV43" s="66"/>
    </row>
    <row r="44" spans="2:101" ht="15.75" thickBot="1" x14ac:dyDescent="0.3">
      <c r="C44" s="73" t="s">
        <v>132</v>
      </c>
      <c r="D44" s="74">
        <f>+D42-D43</f>
        <v>1.2000000060652383E-4</v>
      </c>
      <c r="E44" s="74">
        <f>+E42-E43</f>
        <v>7.599974051117897E-4</v>
      </c>
      <c r="F44" s="75">
        <f>+F42-F43</f>
        <v>6.0000014491379261E-4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</row>
    <row r="45" spans="2:101" x14ac:dyDescent="0.25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</row>
    <row r="46" spans="2:101" x14ac:dyDescent="0.25">
      <c r="D46" s="10">
        <v>9610</v>
      </c>
      <c r="E46" s="10">
        <v>8623054267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2:101" x14ac:dyDescent="0.25">
      <c r="D47" s="10">
        <v>8236</v>
      </c>
      <c r="E47" s="10">
        <v>7780087699</v>
      </c>
      <c r="I47" s="66" t="s">
        <v>133</v>
      </c>
      <c r="AL47" s="76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</row>
    <row r="48" spans="2:101" x14ac:dyDescent="0.25">
      <c r="D48" s="10">
        <v>9594</v>
      </c>
      <c r="E48" s="77">
        <v>2465935406</v>
      </c>
      <c r="AL48" s="76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</row>
    <row r="49" spans="2:97" x14ac:dyDescent="0.25">
      <c r="C49" s="78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</row>
    <row r="50" spans="2:97" x14ac:dyDescent="0.25"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/>
    </row>
    <row r="51" spans="2:97" x14ac:dyDescent="0.25">
      <c r="CS51"/>
    </row>
    <row r="52" spans="2:97" x14ac:dyDescent="0.25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/>
    </row>
    <row r="53" spans="2:97" x14ac:dyDescent="0.25">
      <c r="CS53"/>
    </row>
    <row r="54" spans="2:97" x14ac:dyDescent="0.25">
      <c r="CS54"/>
    </row>
    <row r="55" spans="2:97" x14ac:dyDescent="0.25">
      <c r="CS55"/>
    </row>
    <row r="58" spans="2:97" x14ac:dyDescent="0.25">
      <c r="B58" s="66"/>
      <c r="C58" s="66"/>
      <c r="D58" s="66"/>
      <c r="E58" s="66"/>
      <c r="F58" s="66"/>
      <c r="G58" s="66"/>
      <c r="H58" s="66"/>
      <c r="CM58"/>
      <c r="CN58"/>
      <c r="CO58"/>
      <c r="CP58"/>
      <c r="CQ58"/>
      <c r="CR58"/>
    </row>
    <row r="59" spans="2:97" x14ac:dyDescent="0.25">
      <c r="B59" s="66"/>
      <c r="C59" s="66"/>
      <c r="D59" s="66"/>
      <c r="E59" s="66"/>
      <c r="F59" s="66"/>
      <c r="G59" s="66"/>
      <c r="H59" s="66"/>
      <c r="CM59"/>
      <c r="CN59"/>
      <c r="CO59"/>
      <c r="CP59"/>
      <c r="CQ59"/>
      <c r="CR59"/>
    </row>
    <row r="60" spans="2:97" x14ac:dyDescent="0.25">
      <c r="B60" s="66"/>
      <c r="C60" s="66"/>
      <c r="D60" s="66"/>
      <c r="E60" s="66"/>
      <c r="F60" s="66"/>
      <c r="G60" s="66"/>
      <c r="H60" s="66"/>
      <c r="CM60"/>
      <c r="CN60"/>
      <c r="CO60"/>
      <c r="CP60"/>
      <c r="CQ60"/>
      <c r="CR60"/>
    </row>
    <row r="61" spans="2:97" x14ac:dyDescent="0.25">
      <c r="B61" s="66"/>
      <c r="C61" s="66"/>
      <c r="D61" s="66"/>
      <c r="E61" s="66"/>
      <c r="F61" s="66"/>
      <c r="G61" s="66"/>
      <c r="H61" s="66"/>
      <c r="CM61"/>
      <c r="CN61"/>
      <c r="CO61"/>
      <c r="CP61"/>
      <c r="CQ61"/>
      <c r="CR61"/>
    </row>
    <row r="62" spans="2:97" x14ac:dyDescent="0.25">
      <c r="B62" s="66"/>
      <c r="C62" s="66"/>
      <c r="D62" s="66"/>
      <c r="E62" s="66"/>
      <c r="F62" s="66"/>
      <c r="G62" s="66"/>
      <c r="H62" s="66"/>
      <c r="CM62"/>
      <c r="CN62"/>
      <c r="CO62"/>
      <c r="CP62"/>
      <c r="CQ62"/>
      <c r="CR62"/>
    </row>
    <row r="63" spans="2:97" x14ac:dyDescent="0.25">
      <c r="B63" s="66"/>
      <c r="C63" s="66"/>
      <c r="D63" s="66"/>
      <c r="E63" s="66"/>
      <c r="F63" s="66"/>
      <c r="G63" s="66"/>
      <c r="H63" s="66"/>
      <c r="CM63"/>
      <c r="CN63"/>
      <c r="CO63"/>
      <c r="CP63"/>
      <c r="CQ63"/>
      <c r="CR63"/>
    </row>
  </sheetData>
  <mergeCells count="1">
    <mergeCell ref="AP2:AP3"/>
  </mergeCells>
  <pageMargins left="0.7" right="0.7" top="0.75" bottom="0.75" header="0.3" footer="0.3"/>
  <pageSetup orientation="portrait" r:id="rId1"/>
  <customProperties>
    <customPr name="QAA_DRILLPATH_NODE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CW63"/>
  <sheetViews>
    <sheetView zoomScale="112" zoomScaleNormal="112" workbookViewId="0">
      <selection activeCell="E11" sqref="E11"/>
    </sheetView>
  </sheetViews>
  <sheetFormatPr baseColWidth="10" defaultRowHeight="15" outlineLevelCol="2" x14ac:dyDescent="0.25"/>
  <cols>
    <col min="1" max="1" width="8.5703125" style="10" customWidth="1"/>
    <col min="2" max="2" width="10" style="10" bestFit="1" customWidth="1"/>
    <col min="3" max="3" width="43" style="10" bestFit="1" customWidth="1"/>
    <col min="4" max="5" width="19.42578125" style="10" bestFit="1" customWidth="1"/>
    <col min="6" max="6" width="21.85546875" style="10" bestFit="1" customWidth="1"/>
    <col min="7" max="7" width="19.5703125" style="10" customWidth="1" outlineLevel="1"/>
    <col min="8" max="8" width="17.85546875" style="10" customWidth="1" outlineLevel="1"/>
    <col min="9" max="9" width="17.85546875" style="66" bestFit="1" customWidth="1"/>
    <col min="10" max="10" width="17.85546875" style="66" customWidth="1" outlineLevel="2"/>
    <col min="11" max="13" width="16.42578125" style="66" customWidth="1" outlineLevel="2"/>
    <col min="14" max="14" width="18.85546875" style="66" customWidth="1" outlineLevel="2"/>
    <col min="15" max="15" width="21" style="66" customWidth="1" outlineLevel="2"/>
    <col min="16" max="17" width="14.140625" style="66" customWidth="1" outlineLevel="2"/>
    <col min="18" max="18" width="16.42578125" style="66" customWidth="1" outlineLevel="2"/>
    <col min="19" max="25" width="18.42578125" style="66" customWidth="1" outlineLevel="2"/>
    <col min="26" max="26" width="18.85546875" style="66" customWidth="1" outlineLevel="2"/>
    <col min="27" max="27" width="21" style="66" customWidth="1" outlineLevel="2"/>
    <col min="28" max="29" width="14.5703125" style="66" customWidth="1" outlineLevel="2"/>
    <col min="30" max="30" width="16.42578125" style="66" customWidth="1" outlineLevel="2"/>
    <col min="31" max="31" width="18.42578125" style="66" customWidth="1" outlineLevel="2"/>
    <col min="32" max="32" width="18.140625" style="66" customWidth="1" outlineLevel="2"/>
    <col min="33" max="33" width="20.140625" style="66" customWidth="1" outlineLevel="2"/>
    <col min="34" max="37" width="14.5703125" style="66" customWidth="1" outlineLevel="2"/>
    <col min="38" max="38" width="14.42578125" style="66" bestFit="1" customWidth="1"/>
    <col min="39" max="40" width="13.42578125" style="66" bestFit="1" customWidth="1"/>
    <col min="41" max="41" width="12.42578125" style="66" bestFit="1" customWidth="1"/>
    <col min="42" max="42" width="17.140625" style="66" bestFit="1" customWidth="1"/>
    <col min="43" max="43" width="17.140625" style="66" customWidth="1"/>
    <col min="44" max="48" width="17.42578125" style="66" customWidth="1" outlineLevel="1"/>
    <col min="49" max="49" width="15.140625" style="66" customWidth="1" outlineLevel="1"/>
    <col min="50" max="50" width="9.85546875" style="66" customWidth="1" outlineLevel="1"/>
    <col min="51" max="51" width="12.5703125" style="66" customWidth="1" outlineLevel="1"/>
    <col min="52" max="52" width="14.42578125" style="66" customWidth="1" outlineLevel="1"/>
    <col min="53" max="53" width="15.140625" style="66" customWidth="1" outlineLevel="1"/>
    <col min="54" max="55" width="11.85546875" style="66" customWidth="1" outlineLevel="1"/>
    <col min="56" max="56" width="12.5703125" style="66" customWidth="1" outlineLevel="1"/>
    <col min="57" max="59" width="16.5703125" style="66" customWidth="1" outlineLevel="1"/>
    <col min="60" max="60" width="15.140625" style="66" customWidth="1" outlineLevel="1"/>
    <col min="61" max="62" width="13.5703125" style="66" customWidth="1" outlineLevel="1"/>
    <col min="63" max="63" width="14.42578125" style="66" customWidth="1" outlineLevel="1"/>
    <col min="64" max="64" width="19.5703125" style="66" customWidth="1" outlineLevel="1"/>
    <col min="65" max="66" width="17.85546875" style="66" customWidth="1" outlineLevel="1"/>
    <col min="67" max="67" width="12.85546875" style="66" customWidth="1" outlineLevel="1"/>
    <col min="68" max="68" width="13.5703125" style="66" customWidth="1" outlineLevel="1"/>
    <col min="69" max="69" width="18.85546875" style="66" customWidth="1" outlineLevel="1"/>
    <col min="70" max="70" width="20.140625" style="66" customWidth="1" outlineLevel="1"/>
    <col min="71" max="73" width="20.140625" style="66" bestFit="1" customWidth="1"/>
    <col min="74" max="76" width="17.42578125" style="66" bestFit="1" customWidth="1"/>
    <col min="77" max="77" width="15.140625" style="66" bestFit="1" customWidth="1"/>
    <col min="78" max="79" width="14.42578125" style="66" bestFit="1" customWidth="1"/>
    <col min="80" max="80" width="15.140625" style="66" bestFit="1" customWidth="1"/>
    <col min="81" max="82" width="15" style="66" bestFit="1" customWidth="1"/>
    <col min="83" max="83" width="15.140625" style="66" bestFit="1" customWidth="1"/>
    <col min="84" max="84" width="11.7109375" style="66" bestFit="1" customWidth="1"/>
    <col min="85" max="85" width="12.5703125" style="66" bestFit="1" customWidth="1"/>
    <col min="86" max="86" width="16.5703125" style="66" bestFit="1" customWidth="1"/>
    <col min="87" max="88" width="19.7109375" style="66" bestFit="1" customWidth="1"/>
    <col min="89" max="89" width="15.5703125" style="66" customWidth="1"/>
    <col min="90" max="90" width="11.28515625" style="66" customWidth="1"/>
    <col min="91" max="91" width="17.85546875" style="66" bestFit="1" customWidth="1"/>
    <col min="92" max="92" width="14.42578125" style="66" customWidth="1"/>
    <col min="93" max="93" width="14.28515625" style="66" bestFit="1" customWidth="1"/>
    <col min="94" max="95" width="19.7109375" style="66" bestFit="1" customWidth="1"/>
    <col min="96" max="96" width="16.5703125" style="66" bestFit="1" customWidth="1"/>
    <col min="97" max="97" width="22" style="66" bestFit="1" customWidth="1"/>
    <col min="98" max="98" width="12" bestFit="1" customWidth="1"/>
    <col min="99" max="99" width="11.5703125" bestFit="1" customWidth="1"/>
    <col min="100" max="100" width="12" bestFit="1" customWidth="1"/>
    <col min="101" max="101" width="15.28515625" bestFit="1" customWidth="1"/>
  </cols>
  <sheetData>
    <row r="1" spans="1:101" ht="28.5" x14ac:dyDescent="0.45">
      <c r="A1" s="1"/>
      <c r="B1" s="1"/>
      <c r="C1" s="1"/>
      <c r="D1" s="2"/>
      <c r="E1" s="3"/>
      <c r="F1" s="3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5"/>
      <c r="AN1" s="5"/>
      <c r="AO1" s="5"/>
      <c r="AP1" s="5"/>
      <c r="AQ1" s="5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6"/>
      <c r="BM1" s="4"/>
      <c r="BN1" s="4"/>
      <c r="BO1" s="4"/>
      <c r="BP1" s="4"/>
      <c r="BQ1" s="4"/>
      <c r="BR1" s="7"/>
      <c r="BS1" s="7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8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spans="1:101" ht="15" customHeight="1" x14ac:dyDescent="0.25">
      <c r="D2" s="11" t="s">
        <v>0</v>
      </c>
      <c r="E2" s="11" t="s">
        <v>1</v>
      </c>
      <c r="F2" s="11" t="s">
        <v>2</v>
      </c>
      <c r="G2" s="12" t="s">
        <v>3</v>
      </c>
      <c r="H2" s="12" t="s">
        <v>4</v>
      </c>
      <c r="I2" s="13" t="s">
        <v>5</v>
      </c>
      <c r="J2" s="12" t="s">
        <v>6</v>
      </c>
      <c r="K2" s="12" t="s">
        <v>0</v>
      </c>
      <c r="L2" s="12" t="s">
        <v>1</v>
      </c>
      <c r="M2" s="12" t="s">
        <v>2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12" t="s">
        <v>12</v>
      </c>
      <c r="T2" s="16" t="s">
        <v>7</v>
      </c>
      <c r="U2" s="16" t="s">
        <v>8</v>
      </c>
      <c r="V2" s="16" t="s">
        <v>134</v>
      </c>
      <c r="W2" s="16" t="s">
        <v>135</v>
      </c>
      <c r="X2" s="16" t="s">
        <v>11</v>
      </c>
      <c r="Y2" s="16" t="s">
        <v>12</v>
      </c>
      <c r="Z2" s="12" t="s">
        <v>7</v>
      </c>
      <c r="AA2" s="12" t="s">
        <v>8</v>
      </c>
      <c r="AB2" s="12" t="s">
        <v>9</v>
      </c>
      <c r="AC2" s="12" t="s">
        <v>10</v>
      </c>
      <c r="AD2" s="12" t="s">
        <v>11</v>
      </c>
      <c r="AE2" s="12" t="s">
        <v>12</v>
      </c>
      <c r="AF2" s="12" t="s">
        <v>13</v>
      </c>
      <c r="AG2" s="12" t="s">
        <v>14</v>
      </c>
      <c r="AH2" s="12" t="s">
        <v>15</v>
      </c>
      <c r="AI2" s="12" t="s">
        <v>16</v>
      </c>
      <c r="AJ2" s="12" t="s">
        <v>17</v>
      </c>
      <c r="AK2" s="12" t="s">
        <v>18</v>
      </c>
      <c r="AL2" s="14" t="s">
        <v>19</v>
      </c>
      <c r="AM2" s="14" t="s">
        <v>20</v>
      </c>
      <c r="AN2" s="15" t="s">
        <v>21</v>
      </c>
      <c r="AO2" s="15" t="s">
        <v>22</v>
      </c>
      <c r="AP2" s="89" t="s">
        <v>23</v>
      </c>
      <c r="AQ2" s="83"/>
      <c r="AR2" s="16" t="s">
        <v>0</v>
      </c>
      <c r="AS2" s="16" t="s">
        <v>24</v>
      </c>
      <c r="AT2" s="12" t="s">
        <v>5</v>
      </c>
      <c r="AU2" s="12" t="s">
        <v>2</v>
      </c>
      <c r="AV2" s="12" t="s">
        <v>19</v>
      </c>
      <c r="AW2" s="12" t="s">
        <v>0</v>
      </c>
      <c r="AX2" s="12" t="s">
        <v>24</v>
      </c>
      <c r="AY2" s="12" t="s">
        <v>2</v>
      </c>
      <c r="AZ2" s="12" t="s">
        <v>19</v>
      </c>
      <c r="BA2" s="12" t="s">
        <v>0</v>
      </c>
      <c r="BB2" s="12" t="s">
        <v>24</v>
      </c>
      <c r="BC2" s="12" t="s">
        <v>5</v>
      </c>
      <c r="BD2" s="12" t="s">
        <v>2</v>
      </c>
      <c r="BE2" s="12" t="s">
        <v>0</v>
      </c>
      <c r="BF2" s="12" t="s">
        <v>24</v>
      </c>
      <c r="BG2" s="17" t="s">
        <v>2</v>
      </c>
      <c r="BH2" s="17" t="s">
        <v>0</v>
      </c>
      <c r="BI2" s="17" t="s">
        <v>24</v>
      </c>
      <c r="BJ2" s="17" t="s">
        <v>2</v>
      </c>
      <c r="BK2" s="17" t="s">
        <v>19</v>
      </c>
      <c r="BL2" s="18" t="s">
        <v>3</v>
      </c>
      <c r="BM2" s="18" t="s">
        <v>4</v>
      </c>
      <c r="BN2" s="18" t="s">
        <v>6</v>
      </c>
      <c r="BO2" s="18" t="s">
        <v>25</v>
      </c>
      <c r="BP2" s="18" t="s">
        <v>26</v>
      </c>
      <c r="BQ2" s="18" t="s">
        <v>27</v>
      </c>
      <c r="BR2" s="14" t="s">
        <v>28</v>
      </c>
      <c r="BS2" s="14" t="s">
        <v>10</v>
      </c>
      <c r="BT2" s="14" t="s">
        <v>29</v>
      </c>
      <c r="BU2" s="14" t="s">
        <v>12</v>
      </c>
      <c r="BV2" s="14" t="s">
        <v>0</v>
      </c>
      <c r="BW2" s="14" t="s">
        <v>1</v>
      </c>
      <c r="BX2" s="14" t="s">
        <v>2</v>
      </c>
      <c r="BY2" s="14" t="s">
        <v>0</v>
      </c>
      <c r="BZ2" s="14" t="s">
        <v>1</v>
      </c>
      <c r="CA2" s="14" t="s">
        <v>2</v>
      </c>
      <c r="CB2" s="14" t="s">
        <v>0</v>
      </c>
      <c r="CC2" s="14" t="s">
        <v>1</v>
      </c>
      <c r="CD2" s="14" t="s">
        <v>2</v>
      </c>
      <c r="CE2" s="14" t="s">
        <v>0</v>
      </c>
      <c r="CF2" s="14" t="s">
        <v>1</v>
      </c>
      <c r="CG2" s="14" t="s">
        <v>2</v>
      </c>
      <c r="CH2" s="14" t="s">
        <v>2</v>
      </c>
      <c r="CI2" s="14" t="s">
        <v>1</v>
      </c>
      <c r="CJ2" s="14" t="s">
        <v>2</v>
      </c>
      <c r="CK2" s="14" t="s">
        <v>1</v>
      </c>
      <c r="CL2" s="14" t="s">
        <v>1</v>
      </c>
      <c r="CM2" s="14" t="s">
        <v>1</v>
      </c>
      <c r="CN2" s="14" t="s">
        <v>1</v>
      </c>
      <c r="CO2" s="14" t="s">
        <v>1</v>
      </c>
      <c r="CP2" s="14" t="s">
        <v>1</v>
      </c>
      <c r="CQ2" s="14" t="s">
        <v>1</v>
      </c>
      <c r="CR2" s="19" t="s">
        <v>30</v>
      </c>
      <c r="CS2" s="85" t="s">
        <v>136</v>
      </c>
      <c r="CT2" s="85" t="s">
        <v>135</v>
      </c>
      <c r="CU2" s="85" t="s">
        <v>29</v>
      </c>
      <c r="CV2" s="85" t="s">
        <v>12</v>
      </c>
      <c r="CW2" s="20" t="s">
        <v>31</v>
      </c>
    </row>
    <row r="3" spans="1:101" ht="60" x14ac:dyDescent="0.25">
      <c r="D3" s="21" t="s">
        <v>32</v>
      </c>
      <c r="E3" s="21" t="s">
        <v>32</v>
      </c>
      <c r="F3" s="21" t="s">
        <v>32</v>
      </c>
      <c r="G3" s="22" t="s">
        <v>32</v>
      </c>
      <c r="H3" s="22" t="s">
        <v>32</v>
      </c>
      <c r="I3" s="23" t="s">
        <v>32</v>
      </c>
      <c r="J3" s="22" t="s">
        <v>32</v>
      </c>
      <c r="K3" s="22" t="s">
        <v>33</v>
      </c>
      <c r="L3" s="22" t="s">
        <v>33</v>
      </c>
      <c r="M3" s="22" t="s">
        <v>33</v>
      </c>
      <c r="N3" s="22" t="s">
        <v>34</v>
      </c>
      <c r="O3" s="22" t="s">
        <v>34</v>
      </c>
      <c r="P3" s="22" t="s">
        <v>34</v>
      </c>
      <c r="Q3" s="22" t="s">
        <v>34</v>
      </c>
      <c r="R3" s="22" t="s">
        <v>34</v>
      </c>
      <c r="S3" s="22" t="s">
        <v>34</v>
      </c>
      <c r="T3" s="24" t="s">
        <v>137</v>
      </c>
      <c r="U3" s="24" t="s">
        <v>137</v>
      </c>
      <c r="V3" s="24" t="s">
        <v>137</v>
      </c>
      <c r="W3" s="24" t="s">
        <v>137</v>
      </c>
      <c r="X3" s="24" t="s">
        <v>137</v>
      </c>
      <c r="Y3" s="24" t="s">
        <v>137</v>
      </c>
      <c r="Z3" s="22" t="s">
        <v>35</v>
      </c>
      <c r="AA3" s="22" t="s">
        <v>35</v>
      </c>
      <c r="AB3" s="22" t="s">
        <v>35</v>
      </c>
      <c r="AC3" s="22" t="s">
        <v>35</v>
      </c>
      <c r="AD3" s="22" t="s">
        <v>35</v>
      </c>
      <c r="AE3" s="22" t="s">
        <v>35</v>
      </c>
      <c r="AF3" s="22" t="s">
        <v>35</v>
      </c>
      <c r="AG3" s="22" t="s">
        <v>35</v>
      </c>
      <c r="AH3" s="22" t="s">
        <v>35</v>
      </c>
      <c r="AI3" s="22" t="s">
        <v>35</v>
      </c>
      <c r="AJ3" s="22" t="s">
        <v>35</v>
      </c>
      <c r="AK3" s="22" t="s">
        <v>35</v>
      </c>
      <c r="AL3" s="23" t="s">
        <v>36</v>
      </c>
      <c r="AM3" s="23" t="s">
        <v>36</v>
      </c>
      <c r="AN3" s="23"/>
      <c r="AO3" s="23"/>
      <c r="AP3" s="90"/>
      <c r="AQ3" s="84" t="s">
        <v>37</v>
      </c>
      <c r="AR3" s="24" t="s">
        <v>38</v>
      </c>
      <c r="AS3" s="24" t="s">
        <v>38</v>
      </c>
      <c r="AT3" s="22" t="s">
        <v>38</v>
      </c>
      <c r="AU3" s="22" t="s">
        <v>38</v>
      </c>
      <c r="AV3" s="22" t="s">
        <v>38</v>
      </c>
      <c r="AW3" s="22" t="s">
        <v>39</v>
      </c>
      <c r="AX3" s="22" t="s">
        <v>39</v>
      </c>
      <c r="AY3" s="22" t="s">
        <v>39</v>
      </c>
      <c r="AZ3" s="22" t="s">
        <v>39</v>
      </c>
      <c r="BA3" s="22" t="s">
        <v>40</v>
      </c>
      <c r="BB3" s="22" t="s">
        <v>40</v>
      </c>
      <c r="BC3" s="22" t="s">
        <v>40</v>
      </c>
      <c r="BD3" s="22" t="s">
        <v>40</v>
      </c>
      <c r="BE3" s="22" t="s">
        <v>41</v>
      </c>
      <c r="BF3" s="22" t="s">
        <v>41</v>
      </c>
      <c r="BG3" s="22" t="s">
        <v>41</v>
      </c>
      <c r="BH3" s="22" t="s">
        <v>42</v>
      </c>
      <c r="BI3" s="22" t="s">
        <v>42</v>
      </c>
      <c r="BJ3" s="22" t="s">
        <v>42</v>
      </c>
      <c r="BK3" s="22" t="s">
        <v>42</v>
      </c>
      <c r="BL3" s="24" t="s">
        <v>32</v>
      </c>
      <c r="BM3" s="24" t="s">
        <v>32</v>
      </c>
      <c r="BN3" s="24" t="s">
        <v>32</v>
      </c>
      <c r="BO3" s="25" t="s">
        <v>4</v>
      </c>
      <c r="BP3" s="25" t="s">
        <v>4</v>
      </c>
      <c r="BQ3" s="25" t="s">
        <v>4</v>
      </c>
      <c r="BR3" s="84" t="s">
        <v>43</v>
      </c>
      <c r="BS3" s="84" t="s">
        <v>43</v>
      </c>
      <c r="BT3" s="84" t="s">
        <v>43</v>
      </c>
      <c r="BU3" s="84" t="s">
        <v>43</v>
      </c>
      <c r="BV3" s="84" t="s">
        <v>38</v>
      </c>
      <c r="BW3" s="84" t="s">
        <v>38</v>
      </c>
      <c r="BX3" s="84" t="s">
        <v>38</v>
      </c>
      <c r="BY3" s="84" t="s">
        <v>42</v>
      </c>
      <c r="BZ3" s="84" t="s">
        <v>42</v>
      </c>
      <c r="CA3" s="84" t="s">
        <v>42</v>
      </c>
      <c r="CB3" s="84" t="s">
        <v>44</v>
      </c>
      <c r="CC3" s="84" t="s">
        <v>44</v>
      </c>
      <c r="CD3" s="84" t="s">
        <v>44</v>
      </c>
      <c r="CE3" s="84" t="s">
        <v>45</v>
      </c>
      <c r="CF3" s="84" t="s">
        <v>45</v>
      </c>
      <c r="CG3" s="84" t="s">
        <v>45</v>
      </c>
      <c r="CH3" s="84" t="s">
        <v>41</v>
      </c>
      <c r="CI3" s="84" t="s">
        <v>46</v>
      </c>
      <c r="CJ3" s="84" t="s">
        <v>46</v>
      </c>
      <c r="CK3" s="26" t="s">
        <v>47</v>
      </c>
      <c r="CL3" s="26" t="s">
        <v>47</v>
      </c>
      <c r="CM3" s="26" t="s">
        <v>32</v>
      </c>
      <c r="CN3" s="26" t="s">
        <v>42</v>
      </c>
      <c r="CO3" s="26" t="s">
        <v>48</v>
      </c>
      <c r="CP3" s="26" t="s">
        <v>46</v>
      </c>
      <c r="CQ3" s="26" t="s">
        <v>46</v>
      </c>
      <c r="CR3" s="86" t="s">
        <v>49</v>
      </c>
      <c r="CS3" s="87" t="s">
        <v>138</v>
      </c>
      <c r="CT3" s="87" t="s">
        <v>138</v>
      </c>
      <c r="CU3" s="87" t="s">
        <v>138</v>
      </c>
      <c r="CV3" s="87" t="s">
        <v>138</v>
      </c>
      <c r="CW3" s="27"/>
    </row>
    <row r="4" spans="1:101" x14ac:dyDescent="0.25">
      <c r="A4" s="28"/>
      <c r="B4" s="29" t="s">
        <v>50</v>
      </c>
      <c r="C4" s="30" t="s">
        <v>51</v>
      </c>
      <c r="D4" s="31" t="s">
        <v>52</v>
      </c>
      <c r="E4" s="31" t="s">
        <v>53</v>
      </c>
      <c r="F4" s="31" t="s">
        <v>54</v>
      </c>
      <c r="G4" s="32">
        <v>482800001265</v>
      </c>
      <c r="H4" s="32">
        <v>482800001273</v>
      </c>
      <c r="I4" s="32">
        <v>482800002024</v>
      </c>
      <c r="J4" s="32">
        <v>482800001257</v>
      </c>
      <c r="K4" s="32" t="s">
        <v>55</v>
      </c>
      <c r="L4" s="32" t="s">
        <v>56</v>
      </c>
      <c r="M4" s="32" t="s">
        <v>57</v>
      </c>
      <c r="N4" s="32">
        <v>36203301</v>
      </c>
      <c r="O4" s="32">
        <v>36203301</v>
      </c>
      <c r="P4" s="32">
        <v>36203328</v>
      </c>
      <c r="Q4" s="32">
        <v>36203328</v>
      </c>
      <c r="R4" s="32">
        <v>36025015</v>
      </c>
      <c r="S4" s="32">
        <v>36025015</v>
      </c>
      <c r="T4" s="32"/>
      <c r="U4" s="32"/>
      <c r="V4" s="32"/>
      <c r="W4" s="32"/>
      <c r="X4" s="32"/>
      <c r="Y4" s="32"/>
      <c r="Z4" s="32">
        <v>865784010</v>
      </c>
      <c r="AA4" s="32">
        <v>865784010</v>
      </c>
      <c r="AB4" s="32">
        <v>865804010</v>
      </c>
      <c r="AC4" s="32">
        <v>865804010</v>
      </c>
      <c r="AD4" s="32">
        <v>865794010</v>
      </c>
      <c r="AE4" s="32">
        <v>865794010</v>
      </c>
      <c r="AF4" s="32" t="s">
        <v>58</v>
      </c>
      <c r="AG4" s="32" t="s">
        <v>58</v>
      </c>
      <c r="AH4" s="32" t="s">
        <v>59</v>
      </c>
      <c r="AI4" s="32" t="s">
        <v>59</v>
      </c>
      <c r="AJ4" s="32" t="s">
        <v>60</v>
      </c>
      <c r="AK4" s="32" t="s">
        <v>60</v>
      </c>
      <c r="AL4" s="33"/>
      <c r="AM4" s="33"/>
      <c r="AN4" s="33"/>
      <c r="AO4" s="33"/>
      <c r="AP4" s="33"/>
      <c r="AQ4" s="33">
        <v>3642</v>
      </c>
      <c r="AR4" s="33" t="s">
        <v>61</v>
      </c>
      <c r="AS4" s="33" t="s">
        <v>62</v>
      </c>
      <c r="AT4" s="33" t="s">
        <v>63</v>
      </c>
      <c r="AU4" s="33" t="s">
        <v>64</v>
      </c>
      <c r="AV4" s="33" t="s">
        <v>65</v>
      </c>
      <c r="AW4" s="33" t="s">
        <v>66</v>
      </c>
      <c r="AX4" s="33" t="s">
        <v>67</v>
      </c>
      <c r="AY4" s="33" t="s">
        <v>68</v>
      </c>
      <c r="AZ4" s="33" t="s">
        <v>69</v>
      </c>
      <c r="BA4" s="33" t="s">
        <v>70</v>
      </c>
      <c r="BB4" s="33" t="s">
        <v>71</v>
      </c>
      <c r="BC4" s="33" t="s">
        <v>72</v>
      </c>
      <c r="BD4" s="33" t="s">
        <v>73</v>
      </c>
      <c r="BE4" s="33" t="s">
        <v>74</v>
      </c>
      <c r="BF4" s="33" t="s">
        <v>75</v>
      </c>
      <c r="BG4" s="33" t="s">
        <v>76</v>
      </c>
      <c r="BH4" s="33" t="s">
        <v>77</v>
      </c>
      <c r="BI4" s="33" t="s">
        <v>78</v>
      </c>
      <c r="BJ4" s="33" t="s">
        <v>79</v>
      </c>
      <c r="BK4" s="33" t="s">
        <v>80</v>
      </c>
      <c r="BL4" s="34">
        <v>482800007882</v>
      </c>
      <c r="BM4" s="34">
        <v>482800007908</v>
      </c>
      <c r="BN4" s="34">
        <v>482800007890</v>
      </c>
      <c r="BO4" s="34">
        <v>482800010001</v>
      </c>
      <c r="BP4" s="34">
        <v>482800010019</v>
      </c>
      <c r="BQ4" s="34">
        <v>482800010027</v>
      </c>
      <c r="BR4" s="33">
        <v>36024995</v>
      </c>
      <c r="BS4" s="33">
        <v>36024995</v>
      </c>
      <c r="BT4" s="33">
        <v>36903922</v>
      </c>
      <c r="BU4" s="33">
        <v>36903922</v>
      </c>
      <c r="BV4" s="33">
        <v>36294346</v>
      </c>
      <c r="BW4" s="33" t="s">
        <v>81</v>
      </c>
      <c r="BX4" s="33">
        <v>36294353</v>
      </c>
      <c r="BY4" s="33" t="s">
        <v>82</v>
      </c>
      <c r="BZ4" s="33" t="s">
        <v>83</v>
      </c>
      <c r="CA4" s="33" t="s">
        <v>84</v>
      </c>
      <c r="CB4" s="33" t="s">
        <v>85</v>
      </c>
      <c r="CC4" s="33" t="s">
        <v>86</v>
      </c>
      <c r="CD4" s="33" t="s">
        <v>87</v>
      </c>
      <c r="CE4" s="33" t="s">
        <v>88</v>
      </c>
      <c r="CF4" s="33" t="s">
        <v>89</v>
      </c>
      <c r="CG4" s="33" t="s">
        <v>90</v>
      </c>
      <c r="CH4" s="33" t="s">
        <v>91</v>
      </c>
      <c r="CI4" s="33">
        <v>221816614</v>
      </c>
      <c r="CJ4" s="33">
        <v>221816598</v>
      </c>
      <c r="CK4" s="33">
        <v>60193029</v>
      </c>
      <c r="CL4" s="33">
        <v>60193401</v>
      </c>
      <c r="CM4" s="33">
        <v>1011143807</v>
      </c>
      <c r="CN4" s="33">
        <v>4801736642</v>
      </c>
      <c r="CO4" s="33">
        <v>65005340</v>
      </c>
      <c r="CP4" s="33">
        <v>288086051</v>
      </c>
      <c r="CQ4" s="33">
        <v>288049109</v>
      </c>
      <c r="CR4" s="33">
        <v>411166042</v>
      </c>
      <c r="CS4" s="33">
        <v>865804015</v>
      </c>
      <c r="CT4" s="33">
        <v>865804015</v>
      </c>
      <c r="CU4" s="33">
        <v>865794015</v>
      </c>
      <c r="CV4" s="33">
        <v>865794015</v>
      </c>
      <c r="CW4" s="35"/>
    </row>
    <row r="5" spans="1:101" x14ac:dyDescent="0.25">
      <c r="B5" s="36"/>
      <c r="C5" s="37" t="s">
        <v>92</v>
      </c>
      <c r="D5" s="38"/>
      <c r="E5" s="38" t="s">
        <v>93</v>
      </c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9"/>
      <c r="AI5" s="39"/>
      <c r="AJ5" s="39"/>
      <c r="AK5" s="39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>
        <v>4.2602200000000003</v>
      </c>
      <c r="BT5" s="37"/>
      <c r="BU5" s="37">
        <f>+BS5</f>
        <v>4.2602200000000003</v>
      </c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40"/>
    </row>
    <row r="6" spans="1:101" x14ac:dyDescent="0.25">
      <c r="B6" s="36"/>
      <c r="C6" s="37" t="s">
        <v>94</v>
      </c>
      <c r="D6" s="37">
        <f>+D7-D8</f>
        <v>-17898.298820000491</v>
      </c>
      <c r="E6" s="37">
        <f>+E7-E8</f>
        <v>1083575.3689754456</v>
      </c>
      <c r="F6" s="37">
        <f>+F7-F8</f>
        <v>315015.62780848984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9"/>
      <c r="AI6" s="39"/>
      <c r="AJ6" s="39"/>
      <c r="AK6" s="39"/>
      <c r="AL6" s="37">
        <f t="shared" ref="AL6:BQ6" si="0">+AL7-AL8</f>
        <v>-2294.8089900761843</v>
      </c>
      <c r="AM6" s="37">
        <f t="shared" si="0"/>
        <v>74747.417256467044</v>
      </c>
      <c r="AN6" s="37">
        <f t="shared" si="0"/>
        <v>51810.216029999778</v>
      </c>
      <c r="AO6" s="37">
        <f t="shared" si="0"/>
        <v>72041.187878560275</v>
      </c>
      <c r="AP6" s="37">
        <f t="shared" si="0"/>
        <v>-3526191.7845085971</v>
      </c>
      <c r="AQ6" s="37">
        <f t="shared" si="0"/>
        <v>-388772.88971216069</v>
      </c>
      <c r="AR6" s="37">
        <f t="shared" si="0"/>
        <v>0</v>
      </c>
      <c r="AS6" s="37">
        <f t="shared" si="0"/>
        <v>0</v>
      </c>
      <c r="AT6" s="37">
        <f t="shared" si="0"/>
        <v>0</v>
      </c>
      <c r="AU6" s="37">
        <f t="shared" si="0"/>
        <v>0</v>
      </c>
      <c r="AV6" s="37">
        <f t="shared" si="0"/>
        <v>0</v>
      </c>
      <c r="AW6" s="37">
        <f t="shared" si="0"/>
        <v>0</v>
      </c>
      <c r="AX6" s="37">
        <f t="shared" si="0"/>
        <v>0</v>
      </c>
      <c r="AY6" s="37">
        <f t="shared" si="0"/>
        <v>0</v>
      </c>
      <c r="AZ6" s="37">
        <f t="shared" si="0"/>
        <v>0</v>
      </c>
      <c r="BA6" s="37">
        <f t="shared" si="0"/>
        <v>0</v>
      </c>
      <c r="BB6" s="37">
        <f t="shared" si="0"/>
        <v>0</v>
      </c>
      <c r="BC6" s="37">
        <f t="shared" si="0"/>
        <v>0</v>
      </c>
      <c r="BD6" s="37">
        <f t="shared" si="0"/>
        <v>0</v>
      </c>
      <c r="BE6" s="37">
        <f t="shared" si="0"/>
        <v>0</v>
      </c>
      <c r="BF6" s="37">
        <f t="shared" si="0"/>
        <v>0</v>
      </c>
      <c r="BG6" s="37">
        <f t="shared" si="0"/>
        <v>0</v>
      </c>
      <c r="BH6" s="37">
        <f t="shared" si="0"/>
        <v>0</v>
      </c>
      <c r="BI6" s="37">
        <f t="shared" si="0"/>
        <v>0</v>
      </c>
      <c r="BJ6" s="37">
        <f t="shared" si="0"/>
        <v>0</v>
      </c>
      <c r="BK6" s="37">
        <f t="shared" si="0"/>
        <v>0</v>
      </c>
      <c r="BL6" s="37">
        <f t="shared" si="0"/>
        <v>0</v>
      </c>
      <c r="BM6" s="37">
        <f t="shared" si="0"/>
        <v>0</v>
      </c>
      <c r="BN6" s="37">
        <f t="shared" si="0"/>
        <v>0</v>
      </c>
      <c r="BO6" s="37">
        <f t="shared" si="0"/>
        <v>0</v>
      </c>
      <c r="BP6" s="37">
        <f t="shared" si="0"/>
        <v>0</v>
      </c>
      <c r="BQ6" s="37">
        <f t="shared" si="0"/>
        <v>0</v>
      </c>
      <c r="BR6" s="37"/>
      <c r="BS6" s="37"/>
      <c r="BT6" s="37"/>
      <c r="BU6" s="37"/>
      <c r="BV6" s="37">
        <f>+BV7-BV8-422.17</f>
        <v>-422.17</v>
      </c>
      <c r="BW6" s="37">
        <f t="shared" ref="BW6:CR6" si="1">+BW7-BW8</f>
        <v>0</v>
      </c>
      <c r="BX6" s="37">
        <f t="shared" si="1"/>
        <v>0</v>
      </c>
      <c r="BY6" s="37">
        <f t="shared" si="1"/>
        <v>2476.2117599999765</v>
      </c>
      <c r="BZ6" s="37">
        <f t="shared" si="1"/>
        <v>415488.38061000034</v>
      </c>
      <c r="CA6" s="37">
        <f t="shared" si="1"/>
        <v>131885.21870000008</v>
      </c>
      <c r="CB6" s="37">
        <f t="shared" si="1"/>
        <v>-2.4000000121304765E-4</v>
      </c>
      <c r="CC6" s="37">
        <f t="shared" si="1"/>
        <v>-4.1799998143687844E-3</v>
      </c>
      <c r="CD6" s="37">
        <f>+[1]Otrosbancos!$G$29</f>
        <v>0</v>
      </c>
      <c r="CE6" s="37">
        <f t="shared" si="1"/>
        <v>488.65000000000146</v>
      </c>
      <c r="CF6" s="37">
        <f t="shared" si="1"/>
        <v>9940.6230000001378</v>
      </c>
      <c r="CG6" s="37">
        <f t="shared" si="1"/>
        <v>21447.524000000005</v>
      </c>
      <c r="CH6" s="37">
        <f t="shared" si="1"/>
        <v>0</v>
      </c>
      <c r="CI6" s="37">
        <f t="shared" si="1"/>
        <v>792.31704999995418</v>
      </c>
      <c r="CJ6" s="37">
        <f t="shared" si="1"/>
        <v>13315.182000000001</v>
      </c>
      <c r="CK6" s="37">
        <f t="shared" si="1"/>
        <v>0</v>
      </c>
      <c r="CL6" s="37">
        <f t="shared" si="1"/>
        <v>0</v>
      </c>
      <c r="CM6" s="37">
        <f t="shared" si="1"/>
        <v>-1.4999999257270247E-4</v>
      </c>
      <c r="CN6" s="37">
        <f t="shared" si="1"/>
        <v>-2.9699999140575528E-3</v>
      </c>
      <c r="CO6" s="37">
        <f t="shared" si="1"/>
        <v>4.6400002902373672E-3</v>
      </c>
      <c r="CP6" s="37">
        <f t="shared" si="1"/>
        <v>-2.7600005269050598E-3</v>
      </c>
      <c r="CQ6" s="37">
        <f t="shared" si="1"/>
        <v>216.65003000001889</v>
      </c>
      <c r="CR6" s="37">
        <f t="shared" si="1"/>
        <v>0</v>
      </c>
      <c r="CS6" s="37">
        <f>+CS7-CS8</f>
        <v>-5000</v>
      </c>
      <c r="CT6" s="37">
        <f>+CT7-CT8</f>
        <v>-20468.599999999999</v>
      </c>
      <c r="CU6" s="37">
        <f>+CU7-CU8</f>
        <v>-5000</v>
      </c>
      <c r="CV6" s="37">
        <f>+CV7-CV8</f>
        <v>-20468.599999999999</v>
      </c>
      <c r="CW6" s="37"/>
    </row>
    <row r="7" spans="1:101" x14ac:dyDescent="0.25">
      <c r="A7" s="41"/>
      <c r="B7" s="42"/>
      <c r="C7" s="43" t="s">
        <v>95</v>
      </c>
      <c r="D7" s="43">
        <f>+'[1]Cap,Bol,Cls'!$G$4</f>
        <v>549889.30007999996</v>
      </c>
      <c r="E7" s="43">
        <f>+'[1]Cap,Bol,Cls'!$G$13</f>
        <v>20485260.556699999</v>
      </c>
      <c r="F7" s="43">
        <f>+'[1]Cap,Bol,Cls'!$G$30</f>
        <v>7953615.9201300004</v>
      </c>
      <c r="G7" s="43">
        <f>+G8</f>
        <v>0</v>
      </c>
      <c r="H7" s="43">
        <f>+H8</f>
        <v>0</v>
      </c>
      <c r="I7" s="43">
        <f>+'[1]Cap,Bol,Cls'!$G$24</f>
        <v>112746.13691</v>
      </c>
      <c r="J7" s="43">
        <f>+J8</f>
        <v>0</v>
      </c>
      <c r="K7" s="43">
        <f>+K8</f>
        <v>106454.34580214307</v>
      </c>
      <c r="L7" s="43">
        <f>+L8</f>
        <v>110041.76400926732</v>
      </c>
      <c r="M7" s="43">
        <f>+M8</f>
        <v>483420.57703086629</v>
      </c>
      <c r="N7" s="43">
        <f>+N8</f>
        <v>177310.5199999999</v>
      </c>
      <c r="O7" s="43">
        <f t="shared" ref="O7:AK7" si="2">+O8</f>
        <v>743248.15264999995</v>
      </c>
      <c r="P7" s="43">
        <f t="shared" si="2"/>
        <v>21294313.440000005</v>
      </c>
      <c r="Q7" s="43">
        <f t="shared" si="2"/>
        <v>90230524.103991985</v>
      </c>
      <c r="R7" s="43">
        <f t="shared" si="2"/>
        <v>279495.42</v>
      </c>
      <c r="S7" s="43">
        <f t="shared" si="2"/>
        <v>1469079.3272040994</v>
      </c>
      <c r="T7" s="43"/>
      <c r="U7" s="43"/>
      <c r="V7" s="43"/>
      <c r="W7" s="43"/>
      <c r="X7" s="43"/>
      <c r="Y7" s="43"/>
      <c r="Z7" s="43">
        <f t="shared" si="2"/>
        <v>9662.5274983807467</v>
      </c>
      <c r="AA7" s="43">
        <f t="shared" si="2"/>
        <v>40503.29</v>
      </c>
      <c r="AB7" s="43">
        <f t="shared" si="2"/>
        <v>7542.7499999967404</v>
      </c>
      <c r="AC7" s="43">
        <f t="shared" si="2"/>
        <v>31617.62</v>
      </c>
      <c r="AD7" s="43">
        <f t="shared" si="2"/>
        <v>5155</v>
      </c>
      <c r="AE7" s="43">
        <f t="shared" si="2"/>
        <v>21608.68</v>
      </c>
      <c r="AF7" s="43">
        <f t="shared" si="2"/>
        <v>7956.8699999451637</v>
      </c>
      <c r="AG7" s="43">
        <f t="shared" si="2"/>
        <v>33353.53</v>
      </c>
      <c r="AH7" s="43">
        <f t="shared" si="2"/>
        <v>202018.84999999718</v>
      </c>
      <c r="AI7" s="43">
        <f t="shared" si="2"/>
        <v>846664.08869630005</v>
      </c>
      <c r="AJ7" s="43">
        <f t="shared" si="2"/>
        <v>673596.71999999823</v>
      </c>
      <c r="AK7" s="43">
        <f t="shared" si="2"/>
        <v>2823324.1679230896</v>
      </c>
      <c r="AL7" s="43">
        <f>+[1]Inversoras!$G$56</f>
        <v>37305937.555849999</v>
      </c>
      <c r="AM7" s="43">
        <f>+[1]Inversoras!$G$57</f>
        <v>59231746.217070006</v>
      </c>
      <c r="AN7" s="43">
        <f>+[1]Inversoras!$G$58</f>
        <v>6451807.0359700006</v>
      </c>
      <c r="AO7" s="43">
        <f>+[1]Inversoras!$G$59</f>
        <v>882007.60201000003</v>
      </c>
      <c r="AP7" s="43">
        <f>+[1]Inversoras!$G$60</f>
        <v>8564689.3907599989</v>
      </c>
      <c r="AQ7" s="43">
        <f>+[1]Inversoras!$G$61</f>
        <v>1778540.4343600001</v>
      </c>
      <c r="AR7" s="43">
        <f>+AR8</f>
        <v>33752.683643993005</v>
      </c>
      <c r="AS7" s="43">
        <f t="shared" ref="AS7:BQ7" si="3">+AS8</f>
        <v>6.2719079996137461</v>
      </c>
      <c r="AT7" s="43">
        <f t="shared" si="3"/>
        <v>11.210432002509913</v>
      </c>
      <c r="AU7" s="43">
        <f t="shared" si="3"/>
        <v>70709.869203997281</v>
      </c>
      <c r="AV7" s="43">
        <f t="shared" si="3"/>
        <v>523662.90839880263</v>
      </c>
      <c r="AW7" s="43">
        <f t="shared" si="3"/>
        <v>85667.9885699968</v>
      </c>
      <c r="AX7" s="43">
        <f t="shared" si="3"/>
        <v>1041.3974240010875</v>
      </c>
      <c r="AY7" s="43">
        <f t="shared" si="3"/>
        <v>17450.753311997978</v>
      </c>
      <c r="AZ7" s="43">
        <f t="shared" si="3"/>
        <v>23267.345377323236</v>
      </c>
      <c r="BA7" s="43">
        <f t="shared" si="3"/>
        <v>202018.6947240069</v>
      </c>
      <c r="BB7" s="43">
        <f t="shared" si="3"/>
        <v>69957.911219991147</v>
      </c>
      <c r="BC7" s="43">
        <f t="shared" si="3"/>
        <v>266866.44484799867</v>
      </c>
      <c r="BD7" s="43">
        <f t="shared" si="3"/>
        <v>17050.961599989834</v>
      </c>
      <c r="BE7" s="43">
        <f t="shared" si="3"/>
        <v>256586.81289368056</v>
      </c>
      <c r="BF7" s="43">
        <f t="shared" si="3"/>
        <v>321949.5492303599</v>
      </c>
      <c r="BG7" s="43">
        <f t="shared" si="3"/>
        <v>35109.232018882758</v>
      </c>
      <c r="BH7" s="43">
        <f t="shared" si="3"/>
        <v>27273.514880002102</v>
      </c>
      <c r="BI7" s="43">
        <f t="shared" si="3"/>
        <v>630661.83776839031</v>
      </c>
      <c r="BJ7" s="43">
        <f t="shared" si="3"/>
        <v>197783.28604456017</v>
      </c>
      <c r="BK7" s="43">
        <f t="shared" si="3"/>
        <v>2996991.4511160119</v>
      </c>
      <c r="BL7" s="43">
        <f t="shared" si="3"/>
        <v>112740.82959244607</v>
      </c>
      <c r="BM7" s="43">
        <f t="shared" si="3"/>
        <v>1068824.8513871511</v>
      </c>
      <c r="BN7" s="43">
        <f t="shared" si="3"/>
        <v>4097700.945617381</v>
      </c>
      <c r="BO7" s="43">
        <f t="shared" si="3"/>
        <v>3.4691202304202307E-3</v>
      </c>
      <c r="BP7" s="43">
        <f t="shared" si="3"/>
        <v>255.20714932906549</v>
      </c>
      <c r="BQ7" s="43">
        <f t="shared" si="3"/>
        <v>4.0128798844989433E-3</v>
      </c>
      <c r="BR7" s="43">
        <f>+[1]Otrosbancos!$G$49</f>
        <v>2723100.65</v>
      </c>
      <c r="BS7" s="43">
        <f>+BS8</f>
        <v>11426987.824417591</v>
      </c>
      <c r="BT7" s="43">
        <f>+[1]Otrosbancos!$G$51</f>
        <v>407611.79</v>
      </c>
      <c r="BU7" s="43">
        <f>+BU8</f>
        <v>1697061.5471122912</v>
      </c>
      <c r="BV7" s="43">
        <f>+BV8+BV5</f>
        <v>8400.1908600000006</v>
      </c>
      <c r="BW7" s="43">
        <f>+BW8+BW5</f>
        <v>1150441.2159900006</v>
      </c>
      <c r="BX7" s="43">
        <f>+BX8+BX5</f>
        <v>12663.664475599246</v>
      </c>
      <c r="BY7" s="43">
        <f>+[1]Otrosbancos!$G$5</f>
        <v>674234.40399999998</v>
      </c>
      <c r="BZ7" s="43">
        <f>+[1]Otrosbancos!$G$10</f>
        <v>7281871.057</v>
      </c>
      <c r="CA7" s="43">
        <f>+[1]Otrosbancos!$G$15</f>
        <v>4609117.5435499996</v>
      </c>
      <c r="CB7" s="43">
        <f>+[1]Otrosbancos!$G$23</f>
        <v>18618.565999999999</v>
      </c>
      <c r="CC7" s="43">
        <f>+[1]Otrosbancos!$G$26</f>
        <v>881986.64800000004</v>
      </c>
      <c r="CD7" s="43">
        <f>+[1]Otrosbancos!$G$29</f>
        <v>0</v>
      </c>
      <c r="CE7" s="43">
        <f>+[1]Otrosbancos!$G$33</f>
        <v>22129.573</v>
      </c>
      <c r="CF7" s="43">
        <f>+[1]Otrosbancos!$G$37</f>
        <v>1236631.8045900001</v>
      </c>
      <c r="CG7" s="43">
        <f>+[1]Otrosbancos!$G$41</f>
        <v>184196.101</v>
      </c>
      <c r="CH7" s="43">
        <f>+[1]Otrosbancos!$G$46</f>
        <v>2.9318200000000001</v>
      </c>
      <c r="CI7" s="43">
        <f>+[1]Otrosbancos!$G$54</f>
        <v>898996.723</v>
      </c>
      <c r="CJ7" s="43">
        <f>+[1]Otrosbancos!$G$56</f>
        <v>84653.464999999997</v>
      </c>
      <c r="CK7" s="43">
        <f>+[1]Liberty!$G$3</f>
        <v>0</v>
      </c>
      <c r="CL7" s="43">
        <f>+[1]Liberty!$G$4</f>
        <v>0</v>
      </c>
      <c r="CM7" s="43">
        <f>+[1]Liberty!$G$6</f>
        <v>79545.214000000007</v>
      </c>
      <c r="CN7" s="43">
        <f>+[1]Liberty!$G$8</f>
        <v>662749.23600000003</v>
      </c>
      <c r="CO7" s="43">
        <f>+[1]Liberty!$G$10</f>
        <v>736440.24595999997</v>
      </c>
      <c r="CP7" s="43">
        <f>+[1]Liberty!$G$12</f>
        <v>9152723.6699999999</v>
      </c>
      <c r="CQ7" s="43">
        <f>+[1]Liberty!$G$13</f>
        <v>378135.14942999999</v>
      </c>
      <c r="CR7" s="43">
        <f>+[1]Otrosbancos!$G$58</f>
        <v>2701872.3746799999</v>
      </c>
      <c r="CS7" s="43">
        <v>0</v>
      </c>
      <c r="CT7" s="43">
        <v>0</v>
      </c>
      <c r="CU7" s="43">
        <v>0</v>
      </c>
      <c r="CV7" s="43">
        <v>0</v>
      </c>
      <c r="CW7" s="43">
        <f>SUM(D7:CV7)</f>
        <v>321000645.45037371</v>
      </c>
    </row>
    <row r="8" spans="1:101" x14ac:dyDescent="0.25">
      <c r="A8" s="41"/>
      <c r="B8" s="44" t="s">
        <v>96</v>
      </c>
      <c r="C8" s="45" t="s">
        <v>97</v>
      </c>
      <c r="D8" s="45">
        <f>+'May, 08'!D40</f>
        <v>567787.59890000045</v>
      </c>
      <c r="E8" s="45">
        <f>+'May, 08'!E40</f>
        <v>19401685.187724553</v>
      </c>
      <c r="F8" s="45">
        <f>+'May, 08'!F40</f>
        <v>7638600.2923215106</v>
      </c>
      <c r="G8" s="45">
        <f>+'May, 08'!G40</f>
        <v>0</v>
      </c>
      <c r="H8" s="45">
        <f>+'May, 08'!H40</f>
        <v>0</v>
      </c>
      <c r="I8" s="45">
        <f>+'May, 08'!I40</f>
        <v>112746.84326999425</v>
      </c>
      <c r="J8" s="45">
        <f>+'May, 08'!J40</f>
        <v>0</v>
      </c>
      <c r="K8" s="45">
        <f>+'May, 08'!K40</f>
        <v>106454.34580214307</v>
      </c>
      <c r="L8" s="45">
        <f>+'May, 08'!L40</f>
        <v>110041.76400926732</v>
      </c>
      <c r="M8" s="45">
        <f>+'May, 08'!M40</f>
        <v>483420.57703086629</v>
      </c>
      <c r="N8" s="45">
        <f>+'May, 08'!N40</f>
        <v>177310.5199999999</v>
      </c>
      <c r="O8" s="45">
        <f>+'May, 08'!O40</f>
        <v>743248.15264999995</v>
      </c>
      <c r="P8" s="45">
        <f>+'May, 08'!P40</f>
        <v>21294313.440000005</v>
      </c>
      <c r="Q8" s="45">
        <f>+'May, 08'!Q40</f>
        <v>90230524.103991985</v>
      </c>
      <c r="R8" s="45">
        <f>+'May, 08'!R40</f>
        <v>279495.42</v>
      </c>
      <c r="S8" s="45">
        <f>+'May, 08'!S40</f>
        <v>1469079.3272040994</v>
      </c>
      <c r="T8" s="45">
        <f>+'May, 08'!T40</f>
        <v>0</v>
      </c>
      <c r="U8" s="45">
        <f>+'May, 08'!U40</f>
        <v>0</v>
      </c>
      <c r="V8" s="45">
        <f>+'May, 08'!V40</f>
        <v>0</v>
      </c>
      <c r="W8" s="45">
        <f>+'May, 08'!W40</f>
        <v>0</v>
      </c>
      <c r="X8" s="45">
        <f>+'May, 08'!X40</f>
        <v>0</v>
      </c>
      <c r="Y8" s="45">
        <f>+'May, 08'!Y40</f>
        <v>0</v>
      </c>
      <c r="Z8" s="45">
        <f>+'May, 08'!Z40</f>
        <v>9662.5274983807467</v>
      </c>
      <c r="AA8" s="45">
        <f>+'May, 08'!AA40</f>
        <v>40503.29</v>
      </c>
      <c r="AB8" s="45">
        <f>+'May, 08'!AB40</f>
        <v>7542.7499999967404</v>
      </c>
      <c r="AC8" s="45">
        <f>+'May, 08'!AC40</f>
        <v>31617.62</v>
      </c>
      <c r="AD8" s="45">
        <f>+'May, 08'!AD40</f>
        <v>5155</v>
      </c>
      <c r="AE8" s="45">
        <f>+'May, 08'!AE40</f>
        <v>21608.68</v>
      </c>
      <c r="AF8" s="45">
        <f>+'May, 08'!AF40</f>
        <v>7956.8699999451637</v>
      </c>
      <c r="AG8" s="45">
        <f>+'May, 08'!AG40</f>
        <v>33353.53</v>
      </c>
      <c r="AH8" s="45">
        <f>+'May, 08'!AH40</f>
        <v>202018.84999999718</v>
      </c>
      <c r="AI8" s="45">
        <f>+'May, 08'!AI40</f>
        <v>846664.08869630005</v>
      </c>
      <c r="AJ8" s="45">
        <f>+'May, 08'!AJ40</f>
        <v>673596.71999999823</v>
      </c>
      <c r="AK8" s="45">
        <f>+'May, 08'!AK40</f>
        <v>2823324.1679230896</v>
      </c>
      <c r="AL8" s="45">
        <f>+'May, 08'!AL40</f>
        <v>37308232.364840075</v>
      </c>
      <c r="AM8" s="45">
        <f>+'May, 08'!AM40</f>
        <v>59156998.799813539</v>
      </c>
      <c r="AN8" s="45">
        <f>+'May, 08'!AN40</f>
        <v>6399996.8199400008</v>
      </c>
      <c r="AO8" s="45">
        <f>+'May, 08'!AO40</f>
        <v>809966.41413143976</v>
      </c>
      <c r="AP8" s="45">
        <f>+'May, 08'!AP40</f>
        <v>12090881.175268596</v>
      </c>
      <c r="AQ8" s="45">
        <f>+'May, 08'!AQ40</f>
        <v>2167313.3240721608</v>
      </c>
      <c r="AR8" s="45">
        <f>+'May, 08'!AR40</f>
        <v>33752.683643993005</v>
      </c>
      <c r="AS8" s="45">
        <f>+'May, 08'!AS40</f>
        <v>6.2719079996137461</v>
      </c>
      <c r="AT8" s="45">
        <f>+'May, 08'!AT40</f>
        <v>11.210432002509913</v>
      </c>
      <c r="AU8" s="45">
        <f>+'May, 08'!AU40</f>
        <v>70709.869203997281</v>
      </c>
      <c r="AV8" s="45">
        <f>+'May, 08'!AV40</f>
        <v>523662.90839880263</v>
      </c>
      <c r="AW8" s="45">
        <f>+'May, 08'!AW40</f>
        <v>85667.9885699968</v>
      </c>
      <c r="AX8" s="45">
        <f>+'May, 08'!AX40</f>
        <v>1041.3974240010875</v>
      </c>
      <c r="AY8" s="45">
        <f>+'May, 08'!AY40</f>
        <v>17450.753311997978</v>
      </c>
      <c r="AZ8" s="45">
        <f>+'May, 08'!AZ40</f>
        <v>23267.345377323236</v>
      </c>
      <c r="BA8" s="45">
        <f>+'May, 08'!BA40</f>
        <v>202018.6947240069</v>
      </c>
      <c r="BB8" s="45">
        <f>+'May, 08'!BB40</f>
        <v>69957.911219991147</v>
      </c>
      <c r="BC8" s="45">
        <f>+'May, 08'!BC40</f>
        <v>266866.44484799867</v>
      </c>
      <c r="BD8" s="45">
        <f>+'May, 08'!BD40</f>
        <v>17050.961599989834</v>
      </c>
      <c r="BE8" s="45">
        <f>+'May, 08'!BE40</f>
        <v>256586.81289368056</v>
      </c>
      <c r="BF8" s="45">
        <f>+'May, 08'!BF40</f>
        <v>321949.5492303599</v>
      </c>
      <c r="BG8" s="45">
        <f>+'May, 08'!BG40</f>
        <v>35109.232018882758</v>
      </c>
      <c r="BH8" s="45">
        <f>+'May, 08'!BH40</f>
        <v>27273.514880002102</v>
      </c>
      <c r="BI8" s="45">
        <f>+'May, 08'!BI40</f>
        <v>630661.83776839031</v>
      </c>
      <c r="BJ8" s="45">
        <f>+'May, 08'!BJ40</f>
        <v>197783.28604456017</v>
      </c>
      <c r="BK8" s="45">
        <f>+'May, 08'!BK40</f>
        <v>2996991.4511160119</v>
      </c>
      <c r="BL8" s="45">
        <f>+'May, 08'!BL40</f>
        <v>112740.82959244607</v>
      </c>
      <c r="BM8" s="45">
        <f>+'May, 08'!BM40</f>
        <v>1068824.8513871511</v>
      </c>
      <c r="BN8" s="45">
        <f>+'May, 08'!BN40</f>
        <v>4097700.945617381</v>
      </c>
      <c r="BO8" s="45">
        <f>+'May, 08'!BO40</f>
        <v>3.4691202304202307E-3</v>
      </c>
      <c r="BP8" s="45">
        <f>+'May, 08'!BP40</f>
        <v>255.20714932906549</v>
      </c>
      <c r="BQ8" s="45">
        <f>+'May, 08'!BQ40</f>
        <v>4.0128798844989433E-3</v>
      </c>
      <c r="BR8" s="45">
        <f>+'May, 08'!BR40</f>
        <v>2723100.6460000034</v>
      </c>
      <c r="BS8" s="45">
        <f>+'May, 08'!BS40</f>
        <v>11426987.824417591</v>
      </c>
      <c r="BT8" s="45">
        <f>+'May, 08'!BT40</f>
        <v>407611.79493201897</v>
      </c>
      <c r="BU8" s="45">
        <f>+'May, 08'!BU40</f>
        <v>1697061.5471122912</v>
      </c>
      <c r="BV8" s="45">
        <f>+'May, 08'!BV40</f>
        <v>8400.1908600000006</v>
      </c>
      <c r="BW8" s="45">
        <f>+'May, 08'!BW40</f>
        <v>1150441.2159900006</v>
      </c>
      <c r="BX8" s="45">
        <f>+'May, 08'!BX40</f>
        <v>12663.664475599246</v>
      </c>
      <c r="BY8" s="45">
        <f>+'May, 08'!BY40</f>
        <v>671758.19224</v>
      </c>
      <c r="BZ8" s="45">
        <f>+'May, 08'!BZ40</f>
        <v>6866382.6763899997</v>
      </c>
      <c r="CA8" s="45">
        <f>+'May, 08'!CA40</f>
        <v>4477232.3248499995</v>
      </c>
      <c r="CB8" s="45">
        <f>+'May, 08'!CB40</f>
        <v>18618.56624</v>
      </c>
      <c r="CC8" s="45">
        <f>+'May, 08'!CC40</f>
        <v>881986.65217999986</v>
      </c>
      <c r="CD8" s="45">
        <f>+'May, 08'!CD40</f>
        <v>0</v>
      </c>
      <c r="CE8" s="45">
        <f>+'May, 08'!CE40</f>
        <v>21640.922999999999</v>
      </c>
      <c r="CF8" s="45">
        <f>+'May, 08'!CF40</f>
        <v>1226691.1815899999</v>
      </c>
      <c r="CG8" s="45">
        <f>+'May, 08'!CG40</f>
        <v>162748.57699999999</v>
      </c>
      <c r="CH8" s="45">
        <f>+'May, 08'!CH40</f>
        <v>2.9318200000000001</v>
      </c>
      <c r="CI8" s="45">
        <f>+'May, 08'!CI40</f>
        <v>898204.40595000004</v>
      </c>
      <c r="CJ8" s="45">
        <f>+'May, 08'!CJ40</f>
        <v>71338.282999999996</v>
      </c>
      <c r="CK8" s="45">
        <f>+'May, 08'!CK40</f>
        <v>0</v>
      </c>
      <c r="CL8" s="45">
        <f>+'May, 08'!CL40</f>
        <v>0</v>
      </c>
      <c r="CM8" s="45">
        <f>+'May, 08'!CM40</f>
        <v>79545.21415</v>
      </c>
      <c r="CN8" s="45">
        <f>+'May, 08'!CN40</f>
        <v>662749.23896999995</v>
      </c>
      <c r="CO8" s="45">
        <f>+'May, 08'!CO40</f>
        <v>736440.24131999968</v>
      </c>
      <c r="CP8" s="45">
        <f>+'May, 08'!CP40</f>
        <v>9152723.6727600005</v>
      </c>
      <c r="CQ8" s="45">
        <f>+'May, 08'!CQ40</f>
        <v>377918.49939999997</v>
      </c>
      <c r="CR8" s="45">
        <f>+'May, 08'!CR40</f>
        <v>2701872.374679999</v>
      </c>
      <c r="CS8" s="45">
        <f>+'May, 08'!CS40</f>
        <v>5000</v>
      </c>
      <c r="CT8" s="45">
        <f>+'May, 08'!CT40</f>
        <v>20468.599999999999</v>
      </c>
      <c r="CU8" s="45">
        <f>+'May, 08'!CU40</f>
        <v>5000</v>
      </c>
      <c r="CV8" s="45">
        <f>+'May, 08'!CV40</f>
        <v>20468.599999999999</v>
      </c>
      <c r="CW8" s="43">
        <f t="shared" ref="CW8:CW40" si="4">SUM(D8:CV8)</f>
        <v>322793500.57025784</v>
      </c>
    </row>
    <row r="9" spans="1:101" x14ac:dyDescent="0.25">
      <c r="B9" s="46" t="s">
        <v>96</v>
      </c>
      <c r="C9" s="47" t="s">
        <v>98</v>
      </c>
      <c r="D9" s="47">
        <v>4140</v>
      </c>
      <c r="E9" s="48">
        <v>13422520.62212</v>
      </c>
      <c r="F9" s="48">
        <v>8782691.5394800007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>
        <v>18211.174480000001</v>
      </c>
      <c r="AM9" s="47">
        <v>0</v>
      </c>
      <c r="AN9" s="47">
        <v>336963.288</v>
      </c>
      <c r="AO9" s="47">
        <v>344815.27100000001</v>
      </c>
      <c r="AP9" s="47">
        <v>3536937.0129999998</v>
      </c>
      <c r="AQ9" s="47">
        <v>326745.81248000002</v>
      </c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>
        <v>4291.5829999999996</v>
      </c>
      <c r="BX9" s="47"/>
      <c r="BY9" s="47">
        <f>IF(BY6&gt;0,BY6,0)</f>
        <v>2476.2117599999765</v>
      </c>
      <c r="BZ9" s="47">
        <f>IF(BZ6&gt;0,BZ6,0)</f>
        <v>415488.38061000034</v>
      </c>
      <c r="CA9" s="47">
        <f>IF(CA6&gt;0,CA6,0)</f>
        <v>131885.21870000008</v>
      </c>
      <c r="CB9" s="47"/>
      <c r="CC9" s="47"/>
      <c r="CD9" s="47"/>
      <c r="CE9" s="47">
        <f>IF(CE6&gt;0,CE6,0)</f>
        <v>488.65000000000146</v>
      </c>
      <c r="CF9" s="47">
        <f>IF(CF6&gt;0,CF6,0)</f>
        <v>9940.6230000001378</v>
      </c>
      <c r="CG9" s="47">
        <f>IF(CG6&gt;0,CG6,0)</f>
        <v>21447.524000000005</v>
      </c>
      <c r="CH9" s="47"/>
      <c r="CI9" s="47">
        <f>IF(CI6&gt;0,CI6,0)</f>
        <v>792.31704999995418</v>
      </c>
      <c r="CJ9" s="47">
        <f>IF(CJ6&gt;0,CJ6,0)</f>
        <v>13315.182000000001</v>
      </c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3">
        <f t="shared" si="4"/>
        <v>27373150.410679996</v>
      </c>
    </row>
    <row r="10" spans="1:101" x14ac:dyDescent="0.25">
      <c r="B10" s="46" t="s">
        <v>99</v>
      </c>
      <c r="C10" s="47" t="s">
        <v>100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>
        <v>0</v>
      </c>
      <c r="AM10" s="47">
        <v>0</v>
      </c>
      <c r="AN10" s="47">
        <v>0</v>
      </c>
      <c r="AO10" s="47">
        <v>0</v>
      </c>
      <c r="AP10" s="47">
        <v>0</v>
      </c>
      <c r="AQ10" s="47">
        <v>0</v>
      </c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>
        <v>-10.776999999999999</v>
      </c>
      <c r="BX10" s="47"/>
      <c r="BY10" s="47">
        <f>IF(BY6&lt;0,BY6,0)</f>
        <v>0</v>
      </c>
      <c r="BZ10" s="47">
        <f>IF(BZ6&lt;0,BZ6,0)</f>
        <v>0</v>
      </c>
      <c r="CA10" s="47">
        <f>IF(CA6&lt;0,CA6,0)</f>
        <v>0</v>
      </c>
      <c r="CB10" s="47"/>
      <c r="CC10" s="47"/>
      <c r="CD10" s="47"/>
      <c r="CE10" s="47">
        <f>IF(CE6&lt;0,CE6,0)</f>
        <v>0</v>
      </c>
      <c r="CF10" s="47">
        <f>IF(CF6&lt;0,CF6,0)</f>
        <v>0</v>
      </c>
      <c r="CG10" s="47">
        <f>IF(CG6&lt;0,CG6,0)</f>
        <v>0</v>
      </c>
      <c r="CH10" s="47"/>
      <c r="CI10" s="47">
        <f>IF(CI6&lt;0,CI6,0)</f>
        <v>0</v>
      </c>
      <c r="CJ10" s="47">
        <f>IF(CJ6&lt;0,CJ6,0)</f>
        <v>0</v>
      </c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3">
        <f t="shared" si="4"/>
        <v>-10.776999999999999</v>
      </c>
    </row>
    <row r="11" spans="1:101" x14ac:dyDescent="0.25">
      <c r="A11" s="41"/>
      <c r="B11" s="49" t="s">
        <v>99</v>
      </c>
      <c r="C11" s="50" t="s">
        <v>101</v>
      </c>
      <c r="D11" s="50">
        <v>0</v>
      </c>
      <c r="E11" s="50">
        <v>-7716.8243199996896</v>
      </c>
      <c r="F11" s="50">
        <v>-4869.8016000003799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>
        <f>+[1]Otrosbancos!$G$6+[1]Otrosbancos!$G$7</f>
        <v>-90.460999999999999</v>
      </c>
      <c r="BZ11" s="50">
        <f>+[1]Otrosbancos!$G$11+[1]Otrosbancos!$G$12</f>
        <v>-1119454.1680000001</v>
      </c>
      <c r="CA11" s="50">
        <f>+[1]Otrosbancos!$G$16+[1]Otrosbancos!$G$17</f>
        <v>-2954078.923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43">
        <f t="shared" si="4"/>
        <v>-4086210.1779200002</v>
      </c>
    </row>
    <row r="12" spans="1:101" x14ac:dyDescent="0.25">
      <c r="B12" s="46" t="s">
        <v>96</v>
      </c>
      <c r="C12" s="47" t="s">
        <v>102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1"/>
      <c r="AS12" s="51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3">
        <f t="shared" si="4"/>
        <v>0</v>
      </c>
    </row>
    <row r="13" spans="1:101" x14ac:dyDescent="0.25">
      <c r="B13" s="46" t="s">
        <v>96</v>
      </c>
      <c r="C13" s="47" t="s">
        <v>103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51"/>
      <c r="AS13" s="51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3">
        <f t="shared" si="4"/>
        <v>0</v>
      </c>
    </row>
    <row r="14" spans="1:101" x14ac:dyDescent="0.25">
      <c r="B14" s="46" t="s">
        <v>96</v>
      </c>
      <c r="C14" s="47" t="s">
        <v>104</v>
      </c>
      <c r="D14" s="47"/>
      <c r="E14" s="47"/>
      <c r="F14" s="47">
        <v>194237.99299999999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51"/>
      <c r="AS14" s="51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3">
        <f t="shared" si="4"/>
        <v>194237.99299999999</v>
      </c>
    </row>
    <row r="15" spans="1:101" x14ac:dyDescent="0.25">
      <c r="B15" s="46" t="s">
        <v>96</v>
      </c>
      <c r="C15" s="47" t="s">
        <v>105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>
        <v>71005.666899999997</v>
      </c>
      <c r="AM15" s="47">
        <v>105065.77617</v>
      </c>
      <c r="AN15" s="47">
        <v>12333.28455</v>
      </c>
      <c r="AO15" s="47">
        <v>1586.2429299999999</v>
      </c>
      <c r="AP15" s="47">
        <v>17698.682830000002</v>
      </c>
      <c r="AQ15" s="47">
        <v>3667.6505699999998</v>
      </c>
      <c r="AR15" s="51"/>
      <c r="AS15" s="51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3">
        <f t="shared" si="4"/>
        <v>211357.30395</v>
      </c>
    </row>
    <row r="16" spans="1:101" x14ac:dyDescent="0.25">
      <c r="B16" s="46" t="s">
        <v>96</v>
      </c>
      <c r="C16" s="47" t="s">
        <v>106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51"/>
      <c r="AS16" s="51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3">
        <f t="shared" si="4"/>
        <v>0</v>
      </c>
    </row>
    <row r="17" spans="1:101" x14ac:dyDescent="0.25">
      <c r="B17" s="46" t="s">
        <v>99</v>
      </c>
      <c r="C17" s="47" t="s">
        <v>107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51"/>
      <c r="AS17" s="51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>
        <v>-361082.94</v>
      </c>
      <c r="BU17" s="47">
        <f>+BT17*BU5</f>
        <v>-1538292.7626468001</v>
      </c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3">
        <f t="shared" si="4"/>
        <v>-1899375.7026468001</v>
      </c>
    </row>
    <row r="18" spans="1:101" x14ac:dyDescent="0.25">
      <c r="B18" s="46" t="s">
        <v>96</v>
      </c>
      <c r="C18" s="47" t="s">
        <v>108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1"/>
      <c r="AS18" s="51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3">
        <f t="shared" si="4"/>
        <v>0</v>
      </c>
    </row>
    <row r="19" spans="1:101" x14ac:dyDescent="0.25">
      <c r="B19" s="46" t="s">
        <v>99</v>
      </c>
      <c r="C19" s="47" t="s">
        <v>109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51"/>
      <c r="AS19" s="51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3">
        <f t="shared" si="4"/>
        <v>0</v>
      </c>
    </row>
    <row r="20" spans="1:101" x14ac:dyDescent="0.25">
      <c r="B20" s="46" t="s">
        <v>99</v>
      </c>
      <c r="C20" s="47" t="s">
        <v>110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>
        <v>0</v>
      </c>
      <c r="AM20" s="47">
        <v>0</v>
      </c>
      <c r="AN20" s="47">
        <v>0</v>
      </c>
      <c r="AO20" s="47">
        <v>0</v>
      </c>
      <c r="AP20" s="47">
        <v>-1960000</v>
      </c>
      <c r="AQ20" s="47">
        <v>0</v>
      </c>
      <c r="AR20" s="51"/>
      <c r="AS20" s="51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3">
        <f t="shared" si="4"/>
        <v>-1960000</v>
      </c>
    </row>
    <row r="21" spans="1:101" x14ac:dyDescent="0.25">
      <c r="B21" s="46" t="s">
        <v>96</v>
      </c>
      <c r="C21" s="47" t="s">
        <v>111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>
        <v>0</v>
      </c>
      <c r="AM21" s="47">
        <v>0</v>
      </c>
      <c r="AN21" s="47">
        <v>0</v>
      </c>
      <c r="AO21" s="47">
        <v>0</v>
      </c>
      <c r="AP21" s="47">
        <v>1960000</v>
      </c>
      <c r="AQ21" s="47">
        <v>0</v>
      </c>
      <c r="AR21" s="51"/>
      <c r="AS21" s="51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3">
        <f t="shared" si="4"/>
        <v>1960000</v>
      </c>
    </row>
    <row r="22" spans="1:101" x14ac:dyDescent="0.25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>
        <v>0</v>
      </c>
      <c r="AM22" s="47">
        <v>0</v>
      </c>
      <c r="AN22" s="47">
        <v>0</v>
      </c>
      <c r="AO22" s="47">
        <v>0</v>
      </c>
      <c r="AP22" s="47">
        <v>0</v>
      </c>
      <c r="AQ22" s="47">
        <v>0</v>
      </c>
      <c r="AR22" s="51"/>
      <c r="AS22" s="51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3">
        <f t="shared" si="4"/>
        <v>0</v>
      </c>
    </row>
    <row r="23" spans="1:101" x14ac:dyDescent="0.25">
      <c r="B23" s="46" t="s">
        <v>99</v>
      </c>
      <c r="C23" s="47" t="s">
        <v>112</v>
      </c>
      <c r="D23" s="47"/>
      <c r="E23" s="47">
        <v>-7219.5029999999997</v>
      </c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>
        <v>0</v>
      </c>
      <c r="AM23" s="47">
        <v>0</v>
      </c>
      <c r="AN23" s="47">
        <v>0</v>
      </c>
      <c r="AO23" s="47">
        <v>0</v>
      </c>
      <c r="AP23" s="47">
        <v>0</v>
      </c>
      <c r="AQ23" s="47">
        <v>0</v>
      </c>
      <c r="AR23" s="51"/>
      <c r="AS23" s="51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3">
        <f t="shared" si="4"/>
        <v>-7219.5029999999997</v>
      </c>
    </row>
    <row r="24" spans="1:101" x14ac:dyDescent="0.25">
      <c r="B24" s="46" t="s">
        <v>99</v>
      </c>
      <c r="C24" s="47" t="s">
        <v>113</v>
      </c>
      <c r="D24" s="47">
        <f>-259-26.4-6.18</f>
        <v>-291.58</v>
      </c>
      <c r="E24" s="47">
        <f>-259-26.4-4270.5-52.14</f>
        <v>-4608.04</v>
      </c>
      <c r="F24" s="47">
        <f>-63056.706-1050.0727-259-26.4-14764.053-322.32</f>
        <v>-79478.551700000011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>
        <v>-6236.201</v>
      </c>
      <c r="AM24" s="47">
        <v>-1.74</v>
      </c>
      <c r="AN24" s="47">
        <v>-3203.48126</v>
      </c>
      <c r="AO24" s="47">
        <v>-59.842269999999999</v>
      </c>
      <c r="AP24" s="47">
        <v>-28401.356800000001</v>
      </c>
      <c r="AQ24" s="47">
        <v>-2008.10735</v>
      </c>
      <c r="AR24" s="51"/>
      <c r="AS24" s="51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3">
        <f t="shared" si="4"/>
        <v>-124288.90038000001</v>
      </c>
    </row>
    <row r="25" spans="1:101" x14ac:dyDescent="0.25">
      <c r="A25" s="41"/>
      <c r="B25" s="52" t="s">
        <v>99</v>
      </c>
      <c r="C25" s="53" t="s">
        <v>114</v>
      </c>
      <c r="D25" s="53">
        <v>-14412.63718</v>
      </c>
      <c r="E25" s="53">
        <v>-2324783.4164300002</v>
      </c>
      <c r="F25" s="53">
        <v>-9604782.2498899996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>
        <v>-74611.92</v>
      </c>
      <c r="AM25" s="53">
        <v>-1486.905</v>
      </c>
      <c r="AN25" s="53">
        <v>-74035.366999999998</v>
      </c>
      <c r="AO25" s="53">
        <v>-211621.155</v>
      </c>
      <c r="AP25" s="53">
        <v>-6660008.2240000004</v>
      </c>
      <c r="AQ25" s="53">
        <v>-878216.11300000001</v>
      </c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43">
        <f t="shared" si="4"/>
        <v>-19843957.987500001</v>
      </c>
    </row>
    <row r="26" spans="1:101" x14ac:dyDescent="0.25">
      <c r="B26" s="46"/>
      <c r="C26" s="47" t="s">
        <v>115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>
        <v>0</v>
      </c>
      <c r="AM26" s="47">
        <v>0</v>
      </c>
      <c r="AN26" s="47">
        <v>0</v>
      </c>
      <c r="AO26" s="47">
        <v>0</v>
      </c>
      <c r="AP26" s="47">
        <v>0</v>
      </c>
      <c r="AQ26" s="47">
        <v>0</v>
      </c>
      <c r="AR26" s="51"/>
      <c r="AS26" s="51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3">
        <f t="shared" si="4"/>
        <v>0</v>
      </c>
    </row>
    <row r="27" spans="1:101" x14ac:dyDescent="0.25">
      <c r="B27" s="46" t="s">
        <v>99</v>
      </c>
      <c r="C27" s="47" t="s">
        <v>116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51"/>
      <c r="AS27" s="51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3">
        <f t="shared" si="4"/>
        <v>0</v>
      </c>
    </row>
    <row r="28" spans="1:101" x14ac:dyDescent="0.25">
      <c r="B28" s="47" t="s">
        <v>99</v>
      </c>
      <c r="C28" s="47" t="s">
        <v>117</v>
      </c>
      <c r="D28" s="48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51"/>
      <c r="AS28" s="51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3">
        <f t="shared" si="4"/>
        <v>0</v>
      </c>
    </row>
    <row r="29" spans="1:101" x14ac:dyDescent="0.25">
      <c r="B29" s="47"/>
      <c r="C29" s="47" t="s">
        <v>118</v>
      </c>
      <c r="D29" s="48"/>
      <c r="E29" s="47">
        <v>1358.7294400000001</v>
      </c>
      <c r="F29" s="47">
        <v>1857.2829999999999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>
        <v>0</v>
      </c>
      <c r="AM29" s="47">
        <v>0</v>
      </c>
      <c r="AN29" s="47">
        <v>0</v>
      </c>
      <c r="AO29" s="47">
        <v>0</v>
      </c>
      <c r="AP29" s="47">
        <v>0</v>
      </c>
      <c r="AQ29" s="47">
        <v>0</v>
      </c>
      <c r="AR29" s="51"/>
      <c r="AS29" s="51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3">
        <f t="shared" si="4"/>
        <v>3216.01244</v>
      </c>
    </row>
    <row r="30" spans="1:101" x14ac:dyDescent="0.25">
      <c r="B30" s="47"/>
      <c r="C30" s="47" t="s">
        <v>119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51"/>
      <c r="AS30" s="51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3">
        <f t="shared" si="4"/>
        <v>0</v>
      </c>
    </row>
    <row r="31" spans="1:101" x14ac:dyDescent="0.25">
      <c r="B31" s="47" t="s">
        <v>99</v>
      </c>
      <c r="C31" s="47" t="s">
        <v>120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>
        <v>0</v>
      </c>
      <c r="AM31" s="47">
        <v>0</v>
      </c>
      <c r="AN31" s="47">
        <v>0</v>
      </c>
      <c r="AO31" s="47">
        <v>0</v>
      </c>
      <c r="AP31" s="47">
        <v>0</v>
      </c>
      <c r="AQ31" s="47">
        <v>0</v>
      </c>
      <c r="AR31" s="51"/>
      <c r="AS31" s="51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3">
        <f t="shared" si="4"/>
        <v>0</v>
      </c>
    </row>
    <row r="32" spans="1:101" x14ac:dyDescent="0.25">
      <c r="B32" s="47" t="s">
        <v>99</v>
      </c>
      <c r="C32" s="47" t="s">
        <v>121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51"/>
      <c r="AS32" s="51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3">
        <f t="shared" si="4"/>
        <v>0</v>
      </c>
    </row>
    <row r="33" spans="2:101" x14ac:dyDescent="0.25">
      <c r="B33" s="47" t="s">
        <v>99</v>
      </c>
      <c r="C33" s="47" t="s">
        <v>122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>
        <v>0</v>
      </c>
      <c r="AM33" s="47">
        <v>0</v>
      </c>
      <c r="AN33" s="47">
        <v>0</v>
      </c>
      <c r="AO33" s="47">
        <v>0</v>
      </c>
      <c r="AP33" s="47">
        <v>0</v>
      </c>
      <c r="AQ33" s="47">
        <v>0</v>
      </c>
      <c r="AR33" s="51"/>
      <c r="AS33" s="51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3">
        <f t="shared" si="4"/>
        <v>0</v>
      </c>
    </row>
    <row r="34" spans="2:101" x14ac:dyDescent="0.25">
      <c r="B34" s="54" t="s">
        <v>99</v>
      </c>
      <c r="C34" s="55" t="s">
        <v>123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>
        <v>0</v>
      </c>
      <c r="AM34" s="55">
        <v>0</v>
      </c>
      <c r="AN34" s="55">
        <v>0</v>
      </c>
      <c r="AO34" s="55">
        <v>0</v>
      </c>
      <c r="AP34" s="55">
        <v>0</v>
      </c>
      <c r="AQ34" s="55">
        <v>0</v>
      </c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43">
        <f t="shared" si="4"/>
        <v>0</v>
      </c>
    </row>
    <row r="35" spans="2:101" x14ac:dyDescent="0.25">
      <c r="B35" s="54" t="s">
        <v>99</v>
      </c>
      <c r="C35" s="55" t="s">
        <v>124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>
        <v>-323.39246999999898</v>
      </c>
      <c r="AM35" s="55">
        <v>0</v>
      </c>
      <c r="AN35" s="55">
        <v>0</v>
      </c>
      <c r="AO35" s="55">
        <v>-846.72387000000003</v>
      </c>
      <c r="AP35" s="55">
        <v>-26753.27476484</v>
      </c>
      <c r="AQ35" s="55">
        <v>-3520.8967499999999</v>
      </c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43">
        <f t="shared" si="4"/>
        <v>-31444.28785484</v>
      </c>
    </row>
    <row r="36" spans="2:101" ht="15.75" thickBot="1" x14ac:dyDescent="0.3">
      <c r="B36" s="56"/>
      <c r="C36" s="57" t="s">
        <v>125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43">
        <f t="shared" si="4"/>
        <v>0</v>
      </c>
    </row>
    <row r="37" spans="2:101" x14ac:dyDescent="0.25">
      <c r="B37" s="58"/>
      <c r="C37" s="59" t="s">
        <v>126</v>
      </c>
      <c r="D37" s="59">
        <f>SUM(D9:D36)</f>
        <v>-10564.21718</v>
      </c>
      <c r="E37" s="59">
        <f>SUM(E9:E36)</f>
        <v>11079551.567810001</v>
      </c>
      <c r="F37" s="59">
        <f>SUM(F9:F35)</f>
        <v>-710343.78770999773</v>
      </c>
      <c r="G37" s="59">
        <f t="shared" ref="G37:BR37" si="5">SUM(G9:G36)</f>
        <v>0</v>
      </c>
      <c r="H37" s="59">
        <f t="shared" si="5"/>
        <v>0</v>
      </c>
      <c r="I37" s="59">
        <f t="shared" si="5"/>
        <v>0</v>
      </c>
      <c r="J37" s="59">
        <f t="shared" si="5"/>
        <v>0</v>
      </c>
      <c r="K37" s="59">
        <f t="shared" si="5"/>
        <v>0</v>
      </c>
      <c r="L37" s="59">
        <f t="shared" si="5"/>
        <v>0</v>
      </c>
      <c r="M37" s="59">
        <f t="shared" si="5"/>
        <v>0</v>
      </c>
      <c r="N37" s="59">
        <f t="shared" si="5"/>
        <v>0</v>
      </c>
      <c r="O37" s="59">
        <f t="shared" si="5"/>
        <v>0</v>
      </c>
      <c r="P37" s="59">
        <f t="shared" si="5"/>
        <v>0</v>
      </c>
      <c r="Q37" s="59">
        <f t="shared" si="5"/>
        <v>0</v>
      </c>
      <c r="R37" s="59">
        <f t="shared" si="5"/>
        <v>0</v>
      </c>
      <c r="S37" s="59">
        <f t="shared" si="5"/>
        <v>0</v>
      </c>
      <c r="T37" s="59">
        <f t="shared" si="5"/>
        <v>0</v>
      </c>
      <c r="U37" s="59">
        <f t="shared" si="5"/>
        <v>0</v>
      </c>
      <c r="V37" s="59">
        <f t="shared" si="5"/>
        <v>0</v>
      </c>
      <c r="W37" s="59">
        <f t="shared" si="5"/>
        <v>0</v>
      </c>
      <c r="X37" s="59">
        <f t="shared" si="5"/>
        <v>0</v>
      </c>
      <c r="Y37" s="59">
        <f t="shared" si="5"/>
        <v>0</v>
      </c>
      <c r="Z37" s="59">
        <f t="shared" si="5"/>
        <v>0</v>
      </c>
      <c r="AA37" s="59">
        <f t="shared" si="5"/>
        <v>0</v>
      </c>
      <c r="AB37" s="59">
        <f t="shared" si="5"/>
        <v>0</v>
      </c>
      <c r="AC37" s="59">
        <f t="shared" si="5"/>
        <v>0</v>
      </c>
      <c r="AD37" s="59">
        <f t="shared" si="5"/>
        <v>0</v>
      </c>
      <c r="AE37" s="59">
        <f t="shared" si="5"/>
        <v>0</v>
      </c>
      <c r="AF37" s="59">
        <f t="shared" si="5"/>
        <v>0</v>
      </c>
      <c r="AG37" s="59">
        <f t="shared" si="5"/>
        <v>0</v>
      </c>
      <c r="AH37" s="59">
        <f t="shared" si="5"/>
        <v>0</v>
      </c>
      <c r="AI37" s="59">
        <f t="shared" si="5"/>
        <v>0</v>
      </c>
      <c r="AJ37" s="59">
        <f t="shared" si="5"/>
        <v>0</v>
      </c>
      <c r="AK37" s="59">
        <f t="shared" si="5"/>
        <v>0</v>
      </c>
      <c r="AL37" s="59">
        <f t="shared" si="5"/>
        <v>8045.32791</v>
      </c>
      <c r="AM37" s="59">
        <f t="shared" si="5"/>
        <v>103577.13116999999</v>
      </c>
      <c r="AN37" s="59">
        <f t="shared" si="5"/>
        <v>272057.72429000004</v>
      </c>
      <c r="AO37" s="59">
        <f t="shared" si="5"/>
        <v>133873.79279000001</v>
      </c>
      <c r="AP37" s="59">
        <f t="shared" si="5"/>
        <v>-3160527.159734841</v>
      </c>
      <c r="AQ37" s="59">
        <f t="shared" si="5"/>
        <v>-553331.6540499999</v>
      </c>
      <c r="AR37" s="59">
        <f t="shared" si="5"/>
        <v>0</v>
      </c>
      <c r="AS37" s="59">
        <f t="shared" si="5"/>
        <v>0</v>
      </c>
      <c r="AT37" s="59">
        <f t="shared" si="5"/>
        <v>0</v>
      </c>
      <c r="AU37" s="59">
        <f t="shared" si="5"/>
        <v>0</v>
      </c>
      <c r="AV37" s="59">
        <f t="shared" si="5"/>
        <v>0</v>
      </c>
      <c r="AW37" s="59">
        <f t="shared" si="5"/>
        <v>0</v>
      </c>
      <c r="AX37" s="59">
        <f t="shared" si="5"/>
        <v>0</v>
      </c>
      <c r="AY37" s="59">
        <f t="shared" si="5"/>
        <v>0</v>
      </c>
      <c r="AZ37" s="59">
        <f t="shared" si="5"/>
        <v>0</v>
      </c>
      <c r="BA37" s="59">
        <f t="shared" si="5"/>
        <v>0</v>
      </c>
      <c r="BB37" s="59">
        <f t="shared" si="5"/>
        <v>0</v>
      </c>
      <c r="BC37" s="59">
        <f t="shared" si="5"/>
        <v>0</v>
      </c>
      <c r="BD37" s="59">
        <f t="shared" si="5"/>
        <v>0</v>
      </c>
      <c r="BE37" s="59">
        <f t="shared" si="5"/>
        <v>0</v>
      </c>
      <c r="BF37" s="59">
        <f t="shared" si="5"/>
        <v>0</v>
      </c>
      <c r="BG37" s="59">
        <f t="shared" si="5"/>
        <v>0</v>
      </c>
      <c r="BH37" s="59">
        <f t="shared" si="5"/>
        <v>0</v>
      </c>
      <c r="BI37" s="59">
        <f t="shared" si="5"/>
        <v>0</v>
      </c>
      <c r="BJ37" s="59">
        <f t="shared" si="5"/>
        <v>0</v>
      </c>
      <c r="BK37" s="59">
        <f t="shared" si="5"/>
        <v>0</v>
      </c>
      <c r="BL37" s="59">
        <f t="shared" si="5"/>
        <v>0</v>
      </c>
      <c r="BM37" s="59">
        <f t="shared" si="5"/>
        <v>0</v>
      </c>
      <c r="BN37" s="59">
        <f t="shared" si="5"/>
        <v>0</v>
      </c>
      <c r="BO37" s="59">
        <f t="shared" si="5"/>
        <v>0</v>
      </c>
      <c r="BP37" s="59">
        <f t="shared" si="5"/>
        <v>0</v>
      </c>
      <c r="BQ37" s="59">
        <f t="shared" si="5"/>
        <v>0</v>
      </c>
      <c r="BR37" s="59">
        <f t="shared" si="5"/>
        <v>0</v>
      </c>
      <c r="BS37" s="59">
        <f t="shared" ref="BS37:CV37" si="6">SUM(BS9:BS36)</f>
        <v>0</v>
      </c>
      <c r="BT37" s="59">
        <f t="shared" si="6"/>
        <v>-361082.94</v>
      </c>
      <c r="BU37" s="59">
        <f t="shared" si="6"/>
        <v>-1538292.7626468001</v>
      </c>
      <c r="BV37" s="59">
        <f t="shared" si="6"/>
        <v>0</v>
      </c>
      <c r="BW37" s="59">
        <f t="shared" si="6"/>
        <v>4280.8059999999996</v>
      </c>
      <c r="BX37" s="59">
        <f t="shared" si="6"/>
        <v>0</v>
      </c>
      <c r="BY37" s="59">
        <f t="shared" si="6"/>
        <v>2385.7507599999767</v>
      </c>
      <c r="BZ37" s="59">
        <f t="shared" si="6"/>
        <v>-703965.78738999972</v>
      </c>
      <c r="CA37" s="59">
        <f t="shared" si="6"/>
        <v>-2822193.7042999999</v>
      </c>
      <c r="CB37" s="59">
        <f t="shared" si="6"/>
        <v>0</v>
      </c>
      <c r="CC37" s="59">
        <f t="shared" si="6"/>
        <v>0</v>
      </c>
      <c r="CD37" s="59">
        <f t="shared" si="6"/>
        <v>0</v>
      </c>
      <c r="CE37" s="59">
        <f t="shared" si="6"/>
        <v>488.65000000000146</v>
      </c>
      <c r="CF37" s="59">
        <f t="shared" si="6"/>
        <v>9940.6230000001378</v>
      </c>
      <c r="CG37" s="59">
        <f t="shared" si="6"/>
        <v>21447.524000000005</v>
      </c>
      <c r="CH37" s="59">
        <f t="shared" si="6"/>
        <v>0</v>
      </c>
      <c r="CI37" s="59">
        <f t="shared" si="6"/>
        <v>792.31704999995418</v>
      </c>
      <c r="CJ37" s="59">
        <f t="shared" si="6"/>
        <v>13315.182000000001</v>
      </c>
      <c r="CK37" s="59">
        <f t="shared" si="6"/>
        <v>0</v>
      </c>
      <c r="CL37" s="59">
        <f t="shared" si="6"/>
        <v>0</v>
      </c>
      <c r="CM37" s="59">
        <f t="shared" si="6"/>
        <v>0</v>
      </c>
      <c r="CN37" s="59">
        <f t="shared" si="6"/>
        <v>0</v>
      </c>
      <c r="CO37" s="59">
        <f t="shared" si="6"/>
        <v>0</v>
      </c>
      <c r="CP37" s="59">
        <f t="shared" si="6"/>
        <v>0</v>
      </c>
      <c r="CQ37" s="59">
        <f t="shared" si="6"/>
        <v>0</v>
      </c>
      <c r="CR37" s="59">
        <f t="shared" si="6"/>
        <v>0</v>
      </c>
      <c r="CS37" s="59">
        <f t="shared" si="6"/>
        <v>0</v>
      </c>
      <c r="CT37" s="59">
        <f t="shared" si="6"/>
        <v>0</v>
      </c>
      <c r="CU37" s="59">
        <f t="shared" si="6"/>
        <v>0</v>
      </c>
      <c r="CV37" s="59">
        <f t="shared" si="6"/>
        <v>0</v>
      </c>
      <c r="CW37" s="43">
        <f t="shared" si="4"/>
        <v>1789454.3837683615</v>
      </c>
    </row>
    <row r="38" spans="2:101" x14ac:dyDescent="0.25">
      <c r="B38" s="60"/>
      <c r="C38" s="61" t="s">
        <v>127</v>
      </c>
      <c r="D38" s="61">
        <f>+D37+D8</f>
        <v>557223.38172000041</v>
      </c>
      <c r="E38" s="61">
        <f>+E37+E8</f>
        <v>30481236.755534552</v>
      </c>
      <c r="F38" s="61">
        <f>+F37+F8</f>
        <v>6928256.5046115126</v>
      </c>
      <c r="G38" s="61">
        <f t="shared" ref="G38:BR38" si="7">+G37+G8</f>
        <v>0</v>
      </c>
      <c r="H38" s="61">
        <f t="shared" si="7"/>
        <v>0</v>
      </c>
      <c r="I38" s="61">
        <f t="shared" si="7"/>
        <v>112746.84326999425</v>
      </c>
      <c r="J38" s="61">
        <f t="shared" si="7"/>
        <v>0</v>
      </c>
      <c r="K38" s="61">
        <f t="shared" si="7"/>
        <v>106454.34580214307</v>
      </c>
      <c r="L38" s="61">
        <f t="shared" si="7"/>
        <v>110041.76400926732</v>
      </c>
      <c r="M38" s="61">
        <f t="shared" si="7"/>
        <v>483420.57703086629</v>
      </c>
      <c r="N38" s="61">
        <f t="shared" si="7"/>
        <v>177310.5199999999</v>
      </c>
      <c r="O38" s="61">
        <f t="shared" si="7"/>
        <v>743248.15264999995</v>
      </c>
      <c r="P38" s="61">
        <f t="shared" si="7"/>
        <v>21294313.440000005</v>
      </c>
      <c r="Q38" s="61">
        <f t="shared" si="7"/>
        <v>90230524.103991985</v>
      </c>
      <c r="R38" s="61">
        <f t="shared" si="7"/>
        <v>279495.42</v>
      </c>
      <c r="S38" s="61">
        <f t="shared" si="7"/>
        <v>1469079.3272040994</v>
      </c>
      <c r="T38" s="61">
        <f t="shared" si="7"/>
        <v>0</v>
      </c>
      <c r="U38" s="61">
        <f t="shared" si="7"/>
        <v>0</v>
      </c>
      <c r="V38" s="61">
        <f t="shared" si="7"/>
        <v>0</v>
      </c>
      <c r="W38" s="61">
        <f t="shared" si="7"/>
        <v>0</v>
      </c>
      <c r="X38" s="61">
        <f t="shared" si="7"/>
        <v>0</v>
      </c>
      <c r="Y38" s="61">
        <f t="shared" si="7"/>
        <v>0</v>
      </c>
      <c r="Z38" s="61">
        <f t="shared" si="7"/>
        <v>9662.5274983807467</v>
      </c>
      <c r="AA38" s="61">
        <f t="shared" si="7"/>
        <v>40503.29</v>
      </c>
      <c r="AB38" s="61">
        <f t="shared" si="7"/>
        <v>7542.7499999967404</v>
      </c>
      <c r="AC38" s="61">
        <f t="shared" si="7"/>
        <v>31617.62</v>
      </c>
      <c r="AD38" s="61">
        <f t="shared" si="7"/>
        <v>5155</v>
      </c>
      <c r="AE38" s="61">
        <f t="shared" si="7"/>
        <v>21608.68</v>
      </c>
      <c r="AF38" s="61">
        <f t="shared" si="7"/>
        <v>7956.8699999451637</v>
      </c>
      <c r="AG38" s="61">
        <f t="shared" si="7"/>
        <v>33353.53</v>
      </c>
      <c r="AH38" s="61">
        <f t="shared" si="7"/>
        <v>202018.84999999718</v>
      </c>
      <c r="AI38" s="61">
        <f t="shared" si="7"/>
        <v>846664.08869630005</v>
      </c>
      <c r="AJ38" s="61">
        <f t="shared" si="7"/>
        <v>673596.71999999823</v>
      </c>
      <c r="AK38" s="61">
        <f t="shared" si="7"/>
        <v>2823324.1679230896</v>
      </c>
      <c r="AL38" s="61">
        <f t="shared" si="7"/>
        <v>37316277.692750074</v>
      </c>
      <c r="AM38" s="61">
        <f t="shared" si="7"/>
        <v>59260575.930983536</v>
      </c>
      <c r="AN38" s="61">
        <f t="shared" si="7"/>
        <v>6672054.544230001</v>
      </c>
      <c r="AO38" s="61">
        <f t="shared" si="7"/>
        <v>943840.20692143973</v>
      </c>
      <c r="AP38" s="61">
        <f t="shared" si="7"/>
        <v>8930354.0155337546</v>
      </c>
      <c r="AQ38" s="61">
        <f t="shared" si="7"/>
        <v>1613981.6700221607</v>
      </c>
      <c r="AR38" s="61">
        <f t="shared" si="7"/>
        <v>33752.683643993005</v>
      </c>
      <c r="AS38" s="61">
        <f t="shared" si="7"/>
        <v>6.2719079996137461</v>
      </c>
      <c r="AT38" s="61">
        <f t="shared" si="7"/>
        <v>11.210432002509913</v>
      </c>
      <c r="AU38" s="61">
        <f t="shared" si="7"/>
        <v>70709.869203997281</v>
      </c>
      <c r="AV38" s="61">
        <f t="shared" si="7"/>
        <v>523662.90839880263</v>
      </c>
      <c r="AW38" s="61">
        <f t="shared" si="7"/>
        <v>85667.9885699968</v>
      </c>
      <c r="AX38" s="61">
        <f t="shared" si="7"/>
        <v>1041.3974240010875</v>
      </c>
      <c r="AY38" s="61">
        <f t="shared" si="7"/>
        <v>17450.753311997978</v>
      </c>
      <c r="AZ38" s="61">
        <f t="shared" si="7"/>
        <v>23267.345377323236</v>
      </c>
      <c r="BA38" s="61">
        <f t="shared" si="7"/>
        <v>202018.6947240069</v>
      </c>
      <c r="BB38" s="61">
        <f t="shared" si="7"/>
        <v>69957.911219991147</v>
      </c>
      <c r="BC38" s="61">
        <f t="shared" si="7"/>
        <v>266866.44484799867</v>
      </c>
      <c r="BD38" s="61">
        <f t="shared" si="7"/>
        <v>17050.961599989834</v>
      </c>
      <c r="BE38" s="61">
        <f t="shared" si="7"/>
        <v>256586.81289368056</v>
      </c>
      <c r="BF38" s="61">
        <f t="shared" si="7"/>
        <v>321949.5492303599</v>
      </c>
      <c r="BG38" s="61">
        <f t="shared" si="7"/>
        <v>35109.232018882758</v>
      </c>
      <c r="BH38" s="61">
        <f t="shared" si="7"/>
        <v>27273.514880002102</v>
      </c>
      <c r="BI38" s="61">
        <f t="shared" si="7"/>
        <v>630661.83776839031</v>
      </c>
      <c r="BJ38" s="61">
        <f t="shared" si="7"/>
        <v>197783.28604456017</v>
      </c>
      <c r="BK38" s="61">
        <f t="shared" si="7"/>
        <v>2996991.4511160119</v>
      </c>
      <c r="BL38" s="61">
        <f t="shared" si="7"/>
        <v>112740.82959244607</v>
      </c>
      <c r="BM38" s="61">
        <f t="shared" si="7"/>
        <v>1068824.8513871511</v>
      </c>
      <c r="BN38" s="61">
        <f t="shared" si="7"/>
        <v>4097700.945617381</v>
      </c>
      <c r="BO38" s="61">
        <f t="shared" si="7"/>
        <v>3.4691202304202307E-3</v>
      </c>
      <c r="BP38" s="61">
        <f t="shared" si="7"/>
        <v>255.20714932906549</v>
      </c>
      <c r="BQ38" s="61">
        <f t="shared" si="7"/>
        <v>4.0128798844989433E-3</v>
      </c>
      <c r="BR38" s="61">
        <f t="shared" si="7"/>
        <v>2723100.6460000034</v>
      </c>
      <c r="BS38" s="61">
        <f t="shared" ref="BS38:CV38" si="8">+BS37+BS8</f>
        <v>11426987.824417591</v>
      </c>
      <c r="BT38" s="61">
        <f t="shared" si="8"/>
        <v>46528.854932018963</v>
      </c>
      <c r="BU38" s="61">
        <f t="shared" si="8"/>
        <v>158768.78446549107</v>
      </c>
      <c r="BV38" s="61">
        <f t="shared" si="8"/>
        <v>8400.1908600000006</v>
      </c>
      <c r="BW38" s="61">
        <f t="shared" si="8"/>
        <v>1154722.0219900007</v>
      </c>
      <c r="BX38" s="61">
        <f t="shared" si="8"/>
        <v>12663.664475599246</v>
      </c>
      <c r="BY38" s="61">
        <f t="shared" si="8"/>
        <v>674143.94299999997</v>
      </c>
      <c r="BZ38" s="61">
        <f t="shared" si="8"/>
        <v>6162416.8890000004</v>
      </c>
      <c r="CA38" s="61">
        <f t="shared" si="8"/>
        <v>1655038.6205499996</v>
      </c>
      <c r="CB38" s="61">
        <f t="shared" si="8"/>
        <v>18618.56624</v>
      </c>
      <c r="CC38" s="61">
        <f t="shared" si="8"/>
        <v>881986.65217999986</v>
      </c>
      <c r="CD38" s="61">
        <f t="shared" si="8"/>
        <v>0</v>
      </c>
      <c r="CE38" s="61">
        <f t="shared" si="8"/>
        <v>22129.573</v>
      </c>
      <c r="CF38" s="61">
        <f t="shared" si="8"/>
        <v>1236631.8045900001</v>
      </c>
      <c r="CG38" s="61">
        <f t="shared" si="8"/>
        <v>184196.101</v>
      </c>
      <c r="CH38" s="61">
        <f t="shared" si="8"/>
        <v>2.9318200000000001</v>
      </c>
      <c r="CI38" s="61">
        <f t="shared" si="8"/>
        <v>898996.723</v>
      </c>
      <c r="CJ38" s="61">
        <f t="shared" si="8"/>
        <v>84653.464999999997</v>
      </c>
      <c r="CK38" s="61">
        <f t="shared" si="8"/>
        <v>0</v>
      </c>
      <c r="CL38" s="61">
        <f t="shared" si="8"/>
        <v>0</v>
      </c>
      <c r="CM38" s="61">
        <f t="shared" si="8"/>
        <v>79545.21415</v>
      </c>
      <c r="CN38" s="61">
        <f t="shared" si="8"/>
        <v>662749.23896999995</v>
      </c>
      <c r="CO38" s="61">
        <f t="shared" si="8"/>
        <v>736440.24131999968</v>
      </c>
      <c r="CP38" s="61">
        <f t="shared" si="8"/>
        <v>9152723.6727600005</v>
      </c>
      <c r="CQ38" s="61">
        <f t="shared" si="8"/>
        <v>377918.49939999997</v>
      </c>
      <c r="CR38" s="61">
        <f t="shared" si="8"/>
        <v>2701872.374679999</v>
      </c>
      <c r="CS38" s="61">
        <f t="shared" si="8"/>
        <v>5000</v>
      </c>
      <c r="CT38" s="61">
        <f t="shared" si="8"/>
        <v>20468.599999999999</v>
      </c>
      <c r="CU38" s="61">
        <f t="shared" si="8"/>
        <v>5000</v>
      </c>
      <c r="CV38" s="61">
        <f t="shared" si="8"/>
        <v>20468.599999999999</v>
      </c>
      <c r="CW38" s="43">
        <f t="shared" si="4"/>
        <v>324582954.95402616</v>
      </c>
    </row>
    <row r="39" spans="2:101" x14ac:dyDescent="0.25">
      <c r="B39" s="62"/>
      <c r="C39" s="63" t="s">
        <v>128</v>
      </c>
      <c r="D39" s="63">
        <v>-3000</v>
      </c>
      <c r="E39" s="63">
        <v>-16063387.5887</v>
      </c>
      <c r="F39" s="63">
        <v>2430000</v>
      </c>
      <c r="G39" s="63">
        <v>0</v>
      </c>
      <c r="H39" s="63">
        <v>0</v>
      </c>
      <c r="I39" s="63">
        <v>19.394439999999999</v>
      </c>
      <c r="J39" s="63">
        <v>0</v>
      </c>
      <c r="K39" s="63">
        <v>37255.048770000001</v>
      </c>
      <c r="L39" s="63">
        <v>180605.00629399827</v>
      </c>
      <c r="M39" s="63">
        <v>-337534.96126999985</v>
      </c>
      <c r="N39" s="63">
        <v>0</v>
      </c>
      <c r="O39" s="63">
        <v>0</v>
      </c>
      <c r="P39" s="63">
        <v>6830702.46</v>
      </c>
      <c r="Q39" s="63">
        <v>29109748.9341412</v>
      </c>
      <c r="R39" s="63">
        <v>700021.27</v>
      </c>
      <c r="S39" s="63">
        <v>2968090.6148794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-30120000</v>
      </c>
      <c r="AM39" s="63">
        <v>0</v>
      </c>
      <c r="AN39" s="63">
        <v>0</v>
      </c>
      <c r="AO39" s="63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99.433999999999997</v>
      </c>
      <c r="BB39" s="63">
        <v>34.437000000000005</v>
      </c>
      <c r="BC39" s="63">
        <v>131.36599999999999</v>
      </c>
      <c r="BD39" s="63">
        <v>8.3919999999999995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8500000</v>
      </c>
      <c r="BL39" s="63">
        <v>19.393329999999999</v>
      </c>
      <c r="BM39" s="63">
        <v>183.85834</v>
      </c>
      <c r="BN39" s="63">
        <v>704.88351999999998</v>
      </c>
      <c r="BO39" s="63">
        <v>0</v>
      </c>
      <c r="BP39" s="63">
        <v>4.7200000000000006E-2</v>
      </c>
      <c r="BQ39" s="63">
        <v>0</v>
      </c>
      <c r="BR39" s="63">
        <v>0</v>
      </c>
      <c r="BS39" s="63">
        <v>0</v>
      </c>
      <c r="BT39" s="63">
        <v>300000</v>
      </c>
      <c r="BU39" s="63">
        <v>1272000</v>
      </c>
      <c r="BV39" s="63">
        <v>0</v>
      </c>
      <c r="BW39" s="63">
        <v>0</v>
      </c>
      <c r="BX39" s="63">
        <v>0</v>
      </c>
      <c r="BY39" s="63">
        <v>0</v>
      </c>
      <c r="BZ39" s="63">
        <v>0</v>
      </c>
      <c r="CA39" s="63">
        <v>4000000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43">
        <f t="shared" si="4"/>
        <v>9805701.9899445996</v>
      </c>
    </row>
    <row r="40" spans="2:101" ht="15.75" thickBot="1" x14ac:dyDescent="0.3">
      <c r="B40" s="64"/>
      <c r="C40" s="65" t="s">
        <v>129</v>
      </c>
      <c r="D40" s="65">
        <f>+D39+D38</f>
        <v>554223.38172000041</v>
      </c>
      <c r="E40" s="65">
        <f>+E39+E38</f>
        <v>14417849.166834552</v>
      </c>
      <c r="F40" s="65">
        <f>+F39+F38</f>
        <v>9358256.5046115126</v>
      </c>
      <c r="G40" s="65">
        <f t="shared" ref="G40:BR40" si="9">+G39+G38</f>
        <v>0</v>
      </c>
      <c r="H40" s="65">
        <f t="shared" si="9"/>
        <v>0</v>
      </c>
      <c r="I40" s="65">
        <f t="shared" si="9"/>
        <v>112766.23770999425</v>
      </c>
      <c r="J40" s="65">
        <f t="shared" si="9"/>
        <v>0</v>
      </c>
      <c r="K40" s="65">
        <f t="shared" si="9"/>
        <v>143709.39457214306</v>
      </c>
      <c r="L40" s="65">
        <f t="shared" si="9"/>
        <v>290646.7703032656</v>
      </c>
      <c r="M40" s="65">
        <f t="shared" si="9"/>
        <v>145885.61576086644</v>
      </c>
      <c r="N40" s="65">
        <f t="shared" si="9"/>
        <v>177310.5199999999</v>
      </c>
      <c r="O40" s="65">
        <f t="shared" si="9"/>
        <v>743248.15264999995</v>
      </c>
      <c r="P40" s="65">
        <f t="shared" si="9"/>
        <v>28125015.900000006</v>
      </c>
      <c r="Q40" s="65">
        <f t="shared" si="9"/>
        <v>119340273.03813319</v>
      </c>
      <c r="R40" s="65">
        <f t="shared" si="9"/>
        <v>979516.69</v>
      </c>
      <c r="S40" s="65">
        <f t="shared" si="9"/>
        <v>4437169.9420834994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9662.5274983807467</v>
      </c>
      <c r="AA40" s="65">
        <f t="shared" si="9"/>
        <v>40503.29</v>
      </c>
      <c r="AB40" s="65">
        <f t="shared" si="9"/>
        <v>7542.7499999967404</v>
      </c>
      <c r="AC40" s="65">
        <f t="shared" si="9"/>
        <v>31617.62</v>
      </c>
      <c r="AD40" s="65">
        <f t="shared" si="9"/>
        <v>5155</v>
      </c>
      <c r="AE40" s="65">
        <f t="shared" si="9"/>
        <v>21608.68</v>
      </c>
      <c r="AF40" s="65">
        <f t="shared" si="9"/>
        <v>7956.8699999451637</v>
      </c>
      <c r="AG40" s="65">
        <f t="shared" si="9"/>
        <v>33353.53</v>
      </c>
      <c r="AH40" s="65">
        <f t="shared" si="9"/>
        <v>202018.84999999718</v>
      </c>
      <c r="AI40" s="65">
        <f t="shared" si="9"/>
        <v>846664.08869630005</v>
      </c>
      <c r="AJ40" s="65">
        <f t="shared" si="9"/>
        <v>673596.71999999823</v>
      </c>
      <c r="AK40" s="65">
        <f t="shared" si="9"/>
        <v>2823324.1679230896</v>
      </c>
      <c r="AL40" s="65">
        <f t="shared" si="9"/>
        <v>7196277.692750074</v>
      </c>
      <c r="AM40" s="65">
        <f t="shared" si="9"/>
        <v>59260575.930983536</v>
      </c>
      <c r="AN40" s="65">
        <f t="shared" si="9"/>
        <v>6672054.544230001</v>
      </c>
      <c r="AO40" s="65">
        <f t="shared" si="9"/>
        <v>943840.20692143973</v>
      </c>
      <c r="AP40" s="65">
        <f t="shared" si="9"/>
        <v>8930354.0155337546</v>
      </c>
      <c r="AQ40" s="65">
        <f t="shared" si="9"/>
        <v>1613981.6700221607</v>
      </c>
      <c r="AR40" s="65">
        <f t="shared" si="9"/>
        <v>33752.683643993005</v>
      </c>
      <c r="AS40" s="65">
        <f t="shared" si="9"/>
        <v>6.2719079996137461</v>
      </c>
      <c r="AT40" s="65">
        <f t="shared" si="9"/>
        <v>11.210432002509913</v>
      </c>
      <c r="AU40" s="65">
        <f t="shared" si="9"/>
        <v>70709.869203997281</v>
      </c>
      <c r="AV40" s="65">
        <f t="shared" si="9"/>
        <v>523662.90839880263</v>
      </c>
      <c r="AW40" s="65">
        <f t="shared" si="9"/>
        <v>85667.9885699968</v>
      </c>
      <c r="AX40" s="65">
        <f t="shared" si="9"/>
        <v>1041.3974240010875</v>
      </c>
      <c r="AY40" s="65">
        <f t="shared" si="9"/>
        <v>17450.753311997978</v>
      </c>
      <c r="AZ40" s="65">
        <f t="shared" si="9"/>
        <v>23267.345377323236</v>
      </c>
      <c r="BA40" s="65">
        <f t="shared" si="9"/>
        <v>202118.12872400691</v>
      </c>
      <c r="BB40" s="65">
        <f t="shared" si="9"/>
        <v>69992.348219991152</v>
      </c>
      <c r="BC40" s="65">
        <f t="shared" si="9"/>
        <v>266997.81084799865</v>
      </c>
      <c r="BD40" s="65">
        <f t="shared" si="9"/>
        <v>17059.353599989834</v>
      </c>
      <c r="BE40" s="65">
        <f t="shared" si="9"/>
        <v>256586.81289368056</v>
      </c>
      <c r="BF40" s="65">
        <f t="shared" si="9"/>
        <v>321949.5492303599</v>
      </c>
      <c r="BG40" s="65">
        <f t="shared" si="9"/>
        <v>35109.232018882758</v>
      </c>
      <c r="BH40" s="65">
        <f t="shared" si="9"/>
        <v>27273.514880002102</v>
      </c>
      <c r="BI40" s="65">
        <f t="shared" si="9"/>
        <v>630661.83776839031</v>
      </c>
      <c r="BJ40" s="65">
        <f t="shared" si="9"/>
        <v>197783.28604456017</v>
      </c>
      <c r="BK40" s="65">
        <f t="shared" si="9"/>
        <v>11496991.451116012</v>
      </c>
      <c r="BL40" s="65">
        <f t="shared" si="9"/>
        <v>112760.22292244608</v>
      </c>
      <c r="BM40" s="65">
        <f t="shared" si="9"/>
        <v>1069008.7097271511</v>
      </c>
      <c r="BN40" s="65">
        <f t="shared" si="9"/>
        <v>4098405.8291373812</v>
      </c>
      <c r="BO40" s="65">
        <f t="shared" si="9"/>
        <v>3.4691202304202307E-3</v>
      </c>
      <c r="BP40" s="65">
        <f t="shared" si="9"/>
        <v>255.25434932906549</v>
      </c>
      <c r="BQ40" s="65">
        <f t="shared" si="9"/>
        <v>4.0128798844989433E-3</v>
      </c>
      <c r="BR40" s="65">
        <f t="shared" si="9"/>
        <v>2723100.6460000034</v>
      </c>
      <c r="BS40" s="65">
        <f t="shared" ref="BS40:CV40" si="10">+BS39+BS38</f>
        <v>11426987.824417591</v>
      </c>
      <c r="BT40" s="65">
        <f t="shared" si="10"/>
        <v>346528.85493201896</v>
      </c>
      <c r="BU40" s="65">
        <f t="shared" si="10"/>
        <v>1430768.7844654911</v>
      </c>
      <c r="BV40" s="65">
        <f t="shared" si="10"/>
        <v>8400.1908600000006</v>
      </c>
      <c r="BW40" s="65">
        <f t="shared" si="10"/>
        <v>1154722.0219900007</v>
      </c>
      <c r="BX40" s="65">
        <f t="shared" si="10"/>
        <v>12663.664475599246</v>
      </c>
      <c r="BY40" s="65">
        <f t="shared" si="10"/>
        <v>674143.94299999997</v>
      </c>
      <c r="BZ40" s="65">
        <f t="shared" si="10"/>
        <v>6162416.8890000004</v>
      </c>
      <c r="CA40" s="65">
        <f t="shared" si="10"/>
        <v>5655038.6205499992</v>
      </c>
      <c r="CB40" s="65">
        <f t="shared" si="10"/>
        <v>18618.56624</v>
      </c>
      <c r="CC40" s="65">
        <f t="shared" si="10"/>
        <v>881986.65217999986</v>
      </c>
      <c r="CD40" s="65">
        <f t="shared" si="10"/>
        <v>0</v>
      </c>
      <c r="CE40" s="65">
        <f t="shared" si="10"/>
        <v>22129.573</v>
      </c>
      <c r="CF40" s="65">
        <f t="shared" si="10"/>
        <v>1236631.8045900001</v>
      </c>
      <c r="CG40" s="65">
        <f t="shared" si="10"/>
        <v>184196.101</v>
      </c>
      <c r="CH40" s="65">
        <f>+CH39+CH38</f>
        <v>2.9318200000000001</v>
      </c>
      <c r="CI40" s="65">
        <f t="shared" si="10"/>
        <v>898996.723</v>
      </c>
      <c r="CJ40" s="65">
        <f t="shared" si="10"/>
        <v>84653.464999999997</v>
      </c>
      <c r="CK40" s="65">
        <f t="shared" si="10"/>
        <v>0</v>
      </c>
      <c r="CL40" s="65">
        <f t="shared" si="10"/>
        <v>0</v>
      </c>
      <c r="CM40" s="65">
        <f t="shared" si="10"/>
        <v>79545.21415</v>
      </c>
      <c r="CN40" s="65">
        <f t="shared" si="10"/>
        <v>662749.23896999995</v>
      </c>
      <c r="CO40" s="65">
        <f t="shared" si="10"/>
        <v>736440.24131999968</v>
      </c>
      <c r="CP40" s="65">
        <f t="shared" si="10"/>
        <v>9152723.6727600005</v>
      </c>
      <c r="CQ40" s="65">
        <f t="shared" si="10"/>
        <v>377918.49939999997</v>
      </c>
      <c r="CR40" s="65">
        <f t="shared" si="10"/>
        <v>2701872.374679999</v>
      </c>
      <c r="CS40" s="65">
        <f t="shared" si="10"/>
        <v>5000</v>
      </c>
      <c r="CT40" s="65">
        <f t="shared" si="10"/>
        <v>20468.599999999999</v>
      </c>
      <c r="CU40" s="65">
        <f t="shared" si="10"/>
        <v>5000</v>
      </c>
      <c r="CV40" s="65">
        <f t="shared" si="10"/>
        <v>20468.599999999999</v>
      </c>
      <c r="CW40" s="43">
        <f t="shared" si="4"/>
        <v>334388656.94397062</v>
      </c>
    </row>
    <row r="41" spans="2:101" ht="15.75" thickBot="1" x14ac:dyDescent="0.3"/>
    <row r="42" spans="2:101" x14ac:dyDescent="0.25">
      <c r="C42" s="67" t="s">
        <v>130</v>
      </c>
      <c r="D42" s="68">
        <f>+D37+D39</f>
        <v>-13564.21718</v>
      </c>
      <c r="E42" s="68">
        <f>+E37+E39</f>
        <v>-4983836.0208899993</v>
      </c>
      <c r="F42" s="69">
        <f>+F37+F39</f>
        <v>1719656.2122900023</v>
      </c>
      <c r="G42" s="88">
        <v>20375.599999999999</v>
      </c>
      <c r="H42" s="88">
        <v>20376.599999999999</v>
      </c>
      <c r="I42" s="88">
        <v>20377.599999999999</v>
      </c>
      <c r="J42" s="88">
        <v>20378.599999999999</v>
      </c>
      <c r="K42" s="88">
        <v>20379.599999999999</v>
      </c>
      <c r="L42" s="88">
        <v>20380.599999999999</v>
      </c>
      <c r="M42" s="88">
        <v>20381.599999999999</v>
      </c>
      <c r="N42" s="88">
        <v>20382.599999999999</v>
      </c>
      <c r="O42" s="88">
        <v>20383.599999999999</v>
      </c>
      <c r="P42" s="88">
        <v>20384.599999999999</v>
      </c>
      <c r="Q42" s="88">
        <v>20385.599999999999</v>
      </c>
      <c r="R42" s="88">
        <v>20386.599999999999</v>
      </c>
      <c r="S42" s="88">
        <v>20387.599999999999</v>
      </c>
      <c r="T42" s="88">
        <v>20388.599999999999</v>
      </c>
      <c r="U42" s="88">
        <v>20389.599999999999</v>
      </c>
      <c r="V42" s="88">
        <v>20390.599999999999</v>
      </c>
      <c r="W42" s="88">
        <v>20391.599999999999</v>
      </c>
      <c r="X42" s="88">
        <v>20392.599999999999</v>
      </c>
      <c r="Y42" s="88">
        <v>20393.599999999999</v>
      </c>
      <c r="Z42" s="88">
        <v>20394.599999999999</v>
      </c>
      <c r="AA42" s="88">
        <v>20395.599999999999</v>
      </c>
      <c r="AB42" s="88">
        <v>20396.599999999999</v>
      </c>
      <c r="AC42" s="88">
        <v>20397.599999999999</v>
      </c>
      <c r="AD42" s="88">
        <v>20398.599999999999</v>
      </c>
      <c r="AE42" s="88">
        <v>20399.599999999999</v>
      </c>
      <c r="AF42" s="88">
        <v>20400.599999999999</v>
      </c>
      <c r="AG42" s="88">
        <v>20401.599999999999</v>
      </c>
      <c r="AH42" s="88">
        <v>20402.599999999999</v>
      </c>
      <c r="AI42" s="88">
        <v>20403.599999999999</v>
      </c>
      <c r="AJ42" s="88">
        <v>20404.599999999999</v>
      </c>
      <c r="AK42" s="88">
        <v>20405.599999999999</v>
      </c>
      <c r="AL42" s="88">
        <v>20406.599999999999</v>
      </c>
      <c r="AM42" s="88">
        <v>20407.599999999999</v>
      </c>
      <c r="AN42" s="88">
        <v>20408.599999999999</v>
      </c>
      <c r="AO42" s="88">
        <v>20409.599999999999</v>
      </c>
      <c r="AP42" s="88">
        <v>20410.599999999999</v>
      </c>
      <c r="AQ42" s="88">
        <v>20411.599999999999</v>
      </c>
      <c r="AR42" s="88">
        <v>20412.599999999999</v>
      </c>
      <c r="AS42" s="88">
        <v>20413.599999999999</v>
      </c>
      <c r="AT42" s="88">
        <v>20414.599999999999</v>
      </c>
      <c r="AU42" s="88">
        <v>20415.599999999999</v>
      </c>
      <c r="AV42" s="88">
        <v>20416.599999999999</v>
      </c>
      <c r="AW42" s="88">
        <v>20417.599999999999</v>
      </c>
      <c r="AX42" s="88">
        <v>20418.599999999999</v>
      </c>
      <c r="AY42" s="88">
        <v>20419.599999999999</v>
      </c>
      <c r="AZ42" s="88">
        <v>20420.599999999999</v>
      </c>
      <c r="BA42" s="88">
        <v>20421.599999999999</v>
      </c>
      <c r="BB42" s="88">
        <v>20422.599999999999</v>
      </c>
      <c r="BC42" s="88">
        <v>20423.599999999999</v>
      </c>
      <c r="BD42" s="88">
        <v>20424.599999999999</v>
      </c>
      <c r="BE42" s="88">
        <v>20425.599999999999</v>
      </c>
      <c r="BF42" s="88">
        <v>20426.599999999999</v>
      </c>
      <c r="BG42" s="88">
        <v>20427.599999999999</v>
      </c>
      <c r="BH42" s="88">
        <v>20428.599999999999</v>
      </c>
      <c r="BI42" s="88">
        <v>20429.599999999999</v>
      </c>
      <c r="BJ42" s="88">
        <v>20430.599999999999</v>
      </c>
      <c r="BK42" s="88">
        <v>20431.599999999999</v>
      </c>
      <c r="BL42" s="88">
        <v>20432.599999999999</v>
      </c>
      <c r="BM42" s="88">
        <v>20433.599999999999</v>
      </c>
      <c r="BN42" s="88">
        <v>20434.599999999999</v>
      </c>
      <c r="BO42" s="88">
        <v>20435.599999999999</v>
      </c>
      <c r="BP42" s="88">
        <v>20436.599999999999</v>
      </c>
      <c r="BQ42" s="88">
        <v>20437.599999999999</v>
      </c>
      <c r="BR42" s="88">
        <v>20438.599999999999</v>
      </c>
      <c r="BS42" s="88">
        <v>20439.599999999999</v>
      </c>
      <c r="BT42" s="88">
        <v>20440.599999999999</v>
      </c>
      <c r="BU42" s="88">
        <v>20441.599999999999</v>
      </c>
      <c r="BV42" s="88">
        <v>20442.599999999999</v>
      </c>
      <c r="BW42" s="88">
        <v>20443.599999999999</v>
      </c>
      <c r="BX42" s="88">
        <v>20444.599999999999</v>
      </c>
      <c r="BY42" s="88">
        <v>20445.599999999999</v>
      </c>
      <c r="BZ42" s="88">
        <v>20446.599999999999</v>
      </c>
      <c r="CA42" s="88">
        <v>20447.599999999999</v>
      </c>
      <c r="CB42" s="88">
        <v>20448.599999999999</v>
      </c>
      <c r="CC42" s="88">
        <v>20449.599999999999</v>
      </c>
      <c r="CD42" s="88">
        <v>20450.599999999999</v>
      </c>
      <c r="CE42" s="88">
        <v>20451.599999999999</v>
      </c>
      <c r="CF42" s="88">
        <v>20452.599999999999</v>
      </c>
      <c r="CG42" s="88">
        <v>20453.599999999999</v>
      </c>
      <c r="CH42" s="88">
        <v>20454.599999999999</v>
      </c>
      <c r="CI42" s="88">
        <v>20455.599999999999</v>
      </c>
      <c r="CJ42" s="88">
        <v>20456.599999999999</v>
      </c>
      <c r="CK42" s="88">
        <v>20457.599999999999</v>
      </c>
      <c r="CL42" s="88">
        <v>20458.599999999999</v>
      </c>
      <c r="CM42" s="88">
        <v>20459.599999999999</v>
      </c>
      <c r="CN42" s="88">
        <v>20460.599999999999</v>
      </c>
      <c r="CO42" s="88">
        <v>20461.599999999999</v>
      </c>
      <c r="CP42" s="88">
        <v>20462.599999999999</v>
      </c>
      <c r="CQ42" s="88">
        <v>20463.599999999999</v>
      </c>
      <c r="CR42" s="88">
        <v>20464.599999999999</v>
      </c>
      <c r="CS42" s="88">
        <v>20465.599999999999</v>
      </c>
      <c r="CT42" s="88">
        <v>20466.599999999999</v>
      </c>
      <c r="CU42" s="88">
        <v>20467.599999999999</v>
      </c>
      <c r="CV42" s="88">
        <v>20468.599999999999</v>
      </c>
    </row>
    <row r="43" spans="2:101" x14ac:dyDescent="0.25">
      <c r="C43" s="70" t="s">
        <v>131</v>
      </c>
      <c r="D43" s="71">
        <v>-13564.214840000001</v>
      </c>
      <c r="E43" s="71">
        <v>-4983836.0185599998</v>
      </c>
      <c r="F43" s="71">
        <v>1719656.2143999999</v>
      </c>
      <c r="G43" s="66"/>
      <c r="H43" s="66"/>
      <c r="CT43" s="66"/>
      <c r="CU43" s="66"/>
      <c r="CV43" s="66"/>
    </row>
    <row r="44" spans="2:101" ht="15.75" thickBot="1" x14ac:dyDescent="0.3">
      <c r="C44" s="73" t="s">
        <v>132</v>
      </c>
      <c r="D44" s="74">
        <f>+D42-D43</f>
        <v>-2.3399999990942888E-3</v>
      </c>
      <c r="E44" s="74">
        <f>+E42-E43</f>
        <v>-2.3299995809793472E-3</v>
      </c>
      <c r="F44" s="75">
        <f>+F42-F43</f>
        <v>-2.1099976729601622E-3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</row>
    <row r="45" spans="2:101" x14ac:dyDescent="0.25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</row>
    <row r="46" spans="2:101" x14ac:dyDescent="0.25">
      <c r="D46" s="10">
        <v>9610</v>
      </c>
      <c r="E46" s="10">
        <v>4543162728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2:101" x14ac:dyDescent="0.25">
      <c r="D47" s="10">
        <v>8236</v>
      </c>
      <c r="E47" s="10">
        <v>5601538628.1199999</v>
      </c>
      <c r="I47" s="66" t="s">
        <v>133</v>
      </c>
      <c r="AL47" s="76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</row>
    <row r="48" spans="2:101" x14ac:dyDescent="0.25">
      <c r="D48" s="10">
        <v>9594</v>
      </c>
      <c r="E48" s="77">
        <v>2378033579</v>
      </c>
      <c r="AL48" s="76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</row>
    <row r="49" spans="2:97" x14ac:dyDescent="0.25">
      <c r="C49" s="78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</row>
    <row r="50" spans="2:97" x14ac:dyDescent="0.25"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/>
    </row>
    <row r="51" spans="2:97" x14ac:dyDescent="0.25">
      <c r="CS51"/>
    </row>
    <row r="52" spans="2:97" x14ac:dyDescent="0.25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/>
    </row>
    <row r="53" spans="2:97" x14ac:dyDescent="0.25">
      <c r="CS53"/>
    </row>
    <row r="54" spans="2:97" x14ac:dyDescent="0.25">
      <c r="CS54"/>
    </row>
    <row r="55" spans="2:97" x14ac:dyDescent="0.25">
      <c r="CS55"/>
    </row>
    <row r="58" spans="2:97" x14ac:dyDescent="0.25">
      <c r="B58" s="66"/>
      <c r="C58" s="66"/>
      <c r="D58" s="66"/>
      <c r="E58" s="66"/>
      <c r="F58" s="66"/>
      <c r="G58" s="66"/>
      <c r="H58" s="66"/>
      <c r="CM58"/>
      <c r="CN58"/>
      <c r="CO58"/>
      <c r="CP58"/>
      <c r="CQ58"/>
      <c r="CR58"/>
    </row>
    <row r="59" spans="2:97" x14ac:dyDescent="0.25">
      <c r="B59" s="66"/>
      <c r="C59" s="66"/>
      <c r="D59" s="66"/>
      <c r="E59" s="66"/>
      <c r="F59" s="66"/>
      <c r="G59" s="66"/>
      <c r="H59" s="66"/>
      <c r="CM59"/>
      <c r="CN59"/>
      <c r="CO59"/>
      <c r="CP59"/>
      <c r="CQ59"/>
      <c r="CR59"/>
    </row>
    <row r="60" spans="2:97" x14ac:dyDescent="0.25">
      <c r="B60" s="66"/>
      <c r="C60" s="66"/>
      <c r="D60" s="66"/>
      <c r="E60" s="66"/>
      <c r="F60" s="66"/>
      <c r="G60" s="66"/>
      <c r="H60" s="66"/>
      <c r="CM60"/>
      <c r="CN60"/>
      <c r="CO60"/>
      <c r="CP60"/>
      <c r="CQ60"/>
      <c r="CR60"/>
    </row>
    <row r="61" spans="2:97" x14ac:dyDescent="0.25">
      <c r="B61" s="66"/>
      <c r="C61" s="66"/>
      <c r="D61" s="66"/>
      <c r="E61" s="66"/>
      <c r="F61" s="66"/>
      <c r="G61" s="66"/>
      <c r="H61" s="66"/>
      <c r="CM61"/>
      <c r="CN61"/>
      <c r="CO61"/>
      <c r="CP61"/>
      <c r="CQ61"/>
      <c r="CR61"/>
    </row>
    <row r="62" spans="2:97" x14ac:dyDescent="0.25">
      <c r="B62" s="66"/>
      <c r="C62" s="66"/>
      <c r="D62" s="66"/>
      <c r="E62" s="66"/>
      <c r="F62" s="66"/>
      <c r="G62" s="66"/>
      <c r="H62" s="66"/>
      <c r="CM62"/>
      <c r="CN62"/>
      <c r="CO62"/>
      <c r="CP62"/>
      <c r="CQ62"/>
      <c r="CR62"/>
    </row>
    <row r="63" spans="2:97" x14ac:dyDescent="0.25">
      <c r="B63" s="66"/>
      <c r="C63" s="66"/>
      <c r="D63" s="66"/>
      <c r="E63" s="66"/>
      <c r="F63" s="66"/>
      <c r="G63" s="66"/>
      <c r="H63" s="66"/>
      <c r="CM63"/>
      <c r="CN63"/>
      <c r="CO63"/>
      <c r="CP63"/>
      <c r="CQ63"/>
      <c r="CR63"/>
    </row>
  </sheetData>
  <mergeCells count="1">
    <mergeCell ref="AP2:AP3"/>
  </mergeCells>
  <pageMargins left="0.7" right="0.7" top="0.75" bottom="0.75" header="0.3" footer="0.3"/>
  <pageSetup orientation="portrait" r:id="rId1"/>
  <customProperties>
    <customPr name="QAA_DRILLPATH_NODE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63"/>
  <sheetViews>
    <sheetView zoomScale="112" zoomScaleNormal="112" workbookViewId="0">
      <selection activeCell="BS5" sqref="BS5"/>
    </sheetView>
  </sheetViews>
  <sheetFormatPr baseColWidth="10" defaultRowHeight="15" outlineLevelCol="2" x14ac:dyDescent="0.25"/>
  <cols>
    <col min="1" max="1" width="8.5703125" style="10" customWidth="1"/>
    <col min="2" max="2" width="10" style="10" bestFit="1" customWidth="1"/>
    <col min="3" max="3" width="43" style="10" bestFit="1" customWidth="1"/>
    <col min="4" max="5" width="19.42578125" style="10" bestFit="1" customWidth="1"/>
    <col min="6" max="6" width="21.85546875" style="10" bestFit="1" customWidth="1"/>
    <col min="7" max="7" width="19.5703125" style="10" customWidth="1" outlineLevel="1"/>
    <col min="8" max="8" width="17.85546875" style="10" customWidth="1" outlineLevel="1"/>
    <col min="9" max="9" width="17.85546875" style="66" bestFit="1" customWidth="1"/>
    <col min="10" max="10" width="17.85546875" style="66" customWidth="1" outlineLevel="2"/>
    <col min="11" max="13" width="16.42578125" style="66" customWidth="1" outlineLevel="2"/>
    <col min="14" max="14" width="18.85546875" style="66" customWidth="1" outlineLevel="2"/>
    <col min="15" max="15" width="21" style="66" customWidth="1" outlineLevel="2"/>
    <col min="16" max="17" width="14.140625" style="66" customWidth="1" outlineLevel="2"/>
    <col min="18" max="18" width="16.42578125" style="66" customWidth="1" outlineLevel="2"/>
    <col min="19" max="25" width="18.42578125" style="66" customWidth="1" outlineLevel="2"/>
    <col min="26" max="26" width="18.85546875" style="66" customWidth="1" outlineLevel="2"/>
    <col min="27" max="27" width="21" style="66" customWidth="1" outlineLevel="2"/>
    <col min="28" max="29" width="14.5703125" style="66" customWidth="1" outlineLevel="2"/>
    <col min="30" max="30" width="16.42578125" style="66" customWidth="1" outlineLevel="2"/>
    <col min="31" max="31" width="18.42578125" style="66" customWidth="1" outlineLevel="2"/>
    <col min="32" max="32" width="18.140625" style="66" customWidth="1" outlineLevel="2"/>
    <col min="33" max="33" width="20.140625" style="66" customWidth="1" outlineLevel="2"/>
    <col min="34" max="37" width="14.5703125" style="66" customWidth="1" outlineLevel="2"/>
    <col min="38" max="38" width="14.42578125" style="66" bestFit="1" customWidth="1"/>
    <col min="39" max="40" width="13.42578125" style="66" bestFit="1" customWidth="1"/>
    <col min="41" max="41" width="12.42578125" style="66" bestFit="1" customWidth="1"/>
    <col min="42" max="42" width="17.140625" style="66" bestFit="1" customWidth="1"/>
    <col min="43" max="43" width="17.140625" style="66" customWidth="1"/>
    <col min="44" max="48" width="17.42578125" style="66" customWidth="1" outlineLevel="1"/>
    <col min="49" max="49" width="15.140625" style="66" customWidth="1" outlineLevel="1"/>
    <col min="50" max="50" width="9.85546875" style="66" customWidth="1" outlineLevel="1"/>
    <col min="51" max="51" width="12.5703125" style="66" customWidth="1" outlineLevel="1"/>
    <col min="52" max="52" width="14.42578125" style="66" customWidth="1" outlineLevel="1"/>
    <col min="53" max="53" width="15.140625" style="66" customWidth="1" outlineLevel="1"/>
    <col min="54" max="55" width="11.85546875" style="66" customWidth="1" outlineLevel="1"/>
    <col min="56" max="56" width="12.5703125" style="66" customWidth="1" outlineLevel="1"/>
    <col min="57" max="59" width="16.5703125" style="66" customWidth="1" outlineLevel="1"/>
    <col min="60" max="60" width="15.140625" style="66" customWidth="1" outlineLevel="1"/>
    <col min="61" max="62" width="13.5703125" style="66" customWidth="1" outlineLevel="1"/>
    <col min="63" max="63" width="14.42578125" style="66" customWidth="1" outlineLevel="1"/>
    <col min="64" max="64" width="19.5703125" style="66" customWidth="1" outlineLevel="1"/>
    <col min="65" max="66" width="17.85546875" style="66" customWidth="1" outlineLevel="1"/>
    <col min="67" max="67" width="12.85546875" style="66" customWidth="1" outlineLevel="1"/>
    <col min="68" max="68" width="13.5703125" style="66" customWidth="1" outlineLevel="1"/>
    <col min="69" max="69" width="18.85546875" style="66" customWidth="1" outlineLevel="1"/>
    <col min="70" max="70" width="20.140625" style="66" customWidth="1" outlineLevel="1"/>
    <col min="71" max="73" width="20.140625" style="66" bestFit="1" customWidth="1"/>
    <col min="74" max="76" width="17.42578125" style="66" bestFit="1" customWidth="1"/>
    <col min="77" max="77" width="15.140625" style="66" bestFit="1" customWidth="1"/>
    <col min="78" max="79" width="14.42578125" style="66" bestFit="1" customWidth="1"/>
    <col min="80" max="80" width="15.140625" style="66" bestFit="1" customWidth="1"/>
    <col min="81" max="82" width="15" style="66" bestFit="1" customWidth="1"/>
    <col min="83" max="83" width="15.140625" style="66" bestFit="1" customWidth="1"/>
    <col min="84" max="84" width="11.7109375" style="66" bestFit="1" customWidth="1"/>
    <col min="85" max="85" width="12.5703125" style="66" bestFit="1" customWidth="1"/>
    <col min="86" max="86" width="16.5703125" style="66" bestFit="1" customWidth="1"/>
    <col min="87" max="88" width="19.7109375" style="66" bestFit="1" customWidth="1"/>
    <col min="89" max="89" width="15.5703125" style="66" customWidth="1"/>
    <col min="90" max="90" width="11.28515625" style="66" customWidth="1"/>
    <col min="91" max="91" width="17.85546875" style="66" bestFit="1" customWidth="1"/>
    <col min="92" max="92" width="14.42578125" style="66" customWidth="1"/>
    <col min="93" max="93" width="14.28515625" style="66" bestFit="1" customWidth="1"/>
    <col min="94" max="95" width="19.7109375" style="66" bestFit="1" customWidth="1"/>
    <col min="96" max="96" width="16.5703125" style="66" bestFit="1" customWidth="1"/>
    <col min="97" max="97" width="22" style="66" bestFit="1" customWidth="1"/>
    <col min="98" max="98" width="12" bestFit="1" customWidth="1"/>
    <col min="99" max="99" width="11.5703125" bestFit="1" customWidth="1"/>
    <col min="100" max="100" width="12" bestFit="1" customWidth="1"/>
    <col min="101" max="101" width="15.28515625" bestFit="1" customWidth="1"/>
  </cols>
  <sheetData>
    <row r="1" spans="1:101" ht="28.5" x14ac:dyDescent="0.45">
      <c r="A1" s="1"/>
      <c r="B1" s="1"/>
      <c r="C1" s="1"/>
      <c r="D1" s="2"/>
      <c r="E1" s="3"/>
      <c r="F1" s="3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5"/>
      <c r="AN1" s="5"/>
      <c r="AO1" s="5"/>
      <c r="AP1" s="5"/>
      <c r="AQ1" s="5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6"/>
      <c r="BM1" s="4"/>
      <c r="BN1" s="4"/>
      <c r="BO1" s="4"/>
      <c r="BP1" s="4"/>
      <c r="BQ1" s="4"/>
      <c r="BR1" s="7"/>
      <c r="BS1" s="7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8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spans="1:101" ht="15" customHeight="1" x14ac:dyDescent="0.25">
      <c r="D2" s="11" t="s">
        <v>0</v>
      </c>
      <c r="E2" s="11" t="s">
        <v>1</v>
      </c>
      <c r="F2" s="11" t="s">
        <v>2</v>
      </c>
      <c r="G2" s="12" t="s">
        <v>3</v>
      </c>
      <c r="H2" s="12" t="s">
        <v>4</v>
      </c>
      <c r="I2" s="13" t="s">
        <v>5</v>
      </c>
      <c r="J2" s="12" t="s">
        <v>6</v>
      </c>
      <c r="K2" s="12" t="s">
        <v>0</v>
      </c>
      <c r="L2" s="12" t="s">
        <v>1</v>
      </c>
      <c r="M2" s="12" t="s">
        <v>2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12" t="s">
        <v>12</v>
      </c>
      <c r="T2" s="16" t="s">
        <v>7</v>
      </c>
      <c r="U2" s="16" t="s">
        <v>8</v>
      </c>
      <c r="V2" s="16" t="s">
        <v>134</v>
      </c>
      <c r="W2" s="16" t="s">
        <v>135</v>
      </c>
      <c r="X2" s="16" t="s">
        <v>11</v>
      </c>
      <c r="Y2" s="16" t="s">
        <v>12</v>
      </c>
      <c r="Z2" s="12" t="s">
        <v>7</v>
      </c>
      <c r="AA2" s="12" t="s">
        <v>8</v>
      </c>
      <c r="AB2" s="12" t="s">
        <v>9</v>
      </c>
      <c r="AC2" s="12" t="s">
        <v>10</v>
      </c>
      <c r="AD2" s="12" t="s">
        <v>11</v>
      </c>
      <c r="AE2" s="12" t="s">
        <v>12</v>
      </c>
      <c r="AF2" s="12" t="s">
        <v>13</v>
      </c>
      <c r="AG2" s="12" t="s">
        <v>14</v>
      </c>
      <c r="AH2" s="12" t="s">
        <v>15</v>
      </c>
      <c r="AI2" s="12" t="s">
        <v>16</v>
      </c>
      <c r="AJ2" s="12" t="s">
        <v>17</v>
      </c>
      <c r="AK2" s="12" t="s">
        <v>18</v>
      </c>
      <c r="AL2" s="14" t="s">
        <v>19</v>
      </c>
      <c r="AM2" s="14" t="s">
        <v>20</v>
      </c>
      <c r="AN2" s="15" t="s">
        <v>21</v>
      </c>
      <c r="AO2" s="15" t="s">
        <v>22</v>
      </c>
      <c r="AP2" s="89" t="s">
        <v>23</v>
      </c>
      <c r="AQ2" s="83"/>
      <c r="AR2" s="16" t="s">
        <v>0</v>
      </c>
      <c r="AS2" s="16" t="s">
        <v>24</v>
      </c>
      <c r="AT2" s="12" t="s">
        <v>5</v>
      </c>
      <c r="AU2" s="12" t="s">
        <v>2</v>
      </c>
      <c r="AV2" s="12" t="s">
        <v>19</v>
      </c>
      <c r="AW2" s="12" t="s">
        <v>0</v>
      </c>
      <c r="AX2" s="12" t="s">
        <v>24</v>
      </c>
      <c r="AY2" s="12" t="s">
        <v>2</v>
      </c>
      <c r="AZ2" s="12" t="s">
        <v>19</v>
      </c>
      <c r="BA2" s="12" t="s">
        <v>0</v>
      </c>
      <c r="BB2" s="12" t="s">
        <v>24</v>
      </c>
      <c r="BC2" s="12" t="s">
        <v>5</v>
      </c>
      <c r="BD2" s="12" t="s">
        <v>2</v>
      </c>
      <c r="BE2" s="12" t="s">
        <v>0</v>
      </c>
      <c r="BF2" s="12" t="s">
        <v>24</v>
      </c>
      <c r="BG2" s="17" t="s">
        <v>2</v>
      </c>
      <c r="BH2" s="17" t="s">
        <v>0</v>
      </c>
      <c r="BI2" s="17" t="s">
        <v>24</v>
      </c>
      <c r="BJ2" s="17" t="s">
        <v>2</v>
      </c>
      <c r="BK2" s="17" t="s">
        <v>19</v>
      </c>
      <c r="BL2" s="18" t="s">
        <v>3</v>
      </c>
      <c r="BM2" s="18" t="s">
        <v>4</v>
      </c>
      <c r="BN2" s="18" t="s">
        <v>6</v>
      </c>
      <c r="BO2" s="18" t="s">
        <v>25</v>
      </c>
      <c r="BP2" s="18" t="s">
        <v>26</v>
      </c>
      <c r="BQ2" s="18" t="s">
        <v>27</v>
      </c>
      <c r="BR2" s="14" t="s">
        <v>28</v>
      </c>
      <c r="BS2" s="14" t="s">
        <v>10</v>
      </c>
      <c r="BT2" s="14" t="s">
        <v>29</v>
      </c>
      <c r="BU2" s="14" t="s">
        <v>12</v>
      </c>
      <c r="BV2" s="14" t="s">
        <v>0</v>
      </c>
      <c r="BW2" s="14" t="s">
        <v>1</v>
      </c>
      <c r="BX2" s="14" t="s">
        <v>2</v>
      </c>
      <c r="BY2" s="14" t="s">
        <v>0</v>
      </c>
      <c r="BZ2" s="14" t="s">
        <v>1</v>
      </c>
      <c r="CA2" s="14" t="s">
        <v>2</v>
      </c>
      <c r="CB2" s="14" t="s">
        <v>0</v>
      </c>
      <c r="CC2" s="14" t="s">
        <v>1</v>
      </c>
      <c r="CD2" s="14" t="s">
        <v>2</v>
      </c>
      <c r="CE2" s="14" t="s">
        <v>0</v>
      </c>
      <c r="CF2" s="14" t="s">
        <v>1</v>
      </c>
      <c r="CG2" s="14" t="s">
        <v>2</v>
      </c>
      <c r="CH2" s="14" t="s">
        <v>2</v>
      </c>
      <c r="CI2" s="14" t="s">
        <v>1</v>
      </c>
      <c r="CJ2" s="14" t="s">
        <v>2</v>
      </c>
      <c r="CK2" s="14" t="s">
        <v>1</v>
      </c>
      <c r="CL2" s="14" t="s">
        <v>1</v>
      </c>
      <c r="CM2" s="14" t="s">
        <v>1</v>
      </c>
      <c r="CN2" s="14" t="s">
        <v>1</v>
      </c>
      <c r="CO2" s="14" t="s">
        <v>1</v>
      </c>
      <c r="CP2" s="14" t="s">
        <v>1</v>
      </c>
      <c r="CQ2" s="14" t="s">
        <v>1</v>
      </c>
      <c r="CR2" s="19" t="s">
        <v>30</v>
      </c>
      <c r="CS2" s="85" t="s">
        <v>136</v>
      </c>
      <c r="CT2" s="85" t="s">
        <v>135</v>
      </c>
      <c r="CU2" s="85" t="s">
        <v>29</v>
      </c>
      <c r="CV2" s="85" t="s">
        <v>12</v>
      </c>
      <c r="CW2" s="20" t="s">
        <v>31</v>
      </c>
    </row>
    <row r="3" spans="1:101" ht="60" x14ac:dyDescent="0.25">
      <c r="D3" s="21" t="s">
        <v>32</v>
      </c>
      <c r="E3" s="21" t="s">
        <v>32</v>
      </c>
      <c r="F3" s="21" t="s">
        <v>32</v>
      </c>
      <c r="G3" s="22" t="s">
        <v>32</v>
      </c>
      <c r="H3" s="22" t="s">
        <v>32</v>
      </c>
      <c r="I3" s="23" t="s">
        <v>32</v>
      </c>
      <c r="J3" s="22" t="s">
        <v>32</v>
      </c>
      <c r="K3" s="22" t="s">
        <v>33</v>
      </c>
      <c r="L3" s="22" t="s">
        <v>33</v>
      </c>
      <c r="M3" s="22" t="s">
        <v>33</v>
      </c>
      <c r="N3" s="22" t="s">
        <v>34</v>
      </c>
      <c r="O3" s="22" t="s">
        <v>34</v>
      </c>
      <c r="P3" s="22" t="s">
        <v>34</v>
      </c>
      <c r="Q3" s="22" t="s">
        <v>34</v>
      </c>
      <c r="R3" s="22" t="s">
        <v>34</v>
      </c>
      <c r="S3" s="22" t="s">
        <v>34</v>
      </c>
      <c r="T3" s="24" t="s">
        <v>137</v>
      </c>
      <c r="U3" s="24" t="s">
        <v>137</v>
      </c>
      <c r="V3" s="24" t="s">
        <v>137</v>
      </c>
      <c r="W3" s="24" t="s">
        <v>137</v>
      </c>
      <c r="X3" s="24" t="s">
        <v>137</v>
      </c>
      <c r="Y3" s="24" t="s">
        <v>137</v>
      </c>
      <c r="Z3" s="22" t="s">
        <v>35</v>
      </c>
      <c r="AA3" s="22" t="s">
        <v>35</v>
      </c>
      <c r="AB3" s="22" t="s">
        <v>35</v>
      </c>
      <c r="AC3" s="22" t="s">
        <v>35</v>
      </c>
      <c r="AD3" s="22" t="s">
        <v>35</v>
      </c>
      <c r="AE3" s="22" t="s">
        <v>35</v>
      </c>
      <c r="AF3" s="22" t="s">
        <v>35</v>
      </c>
      <c r="AG3" s="22" t="s">
        <v>35</v>
      </c>
      <c r="AH3" s="22" t="s">
        <v>35</v>
      </c>
      <c r="AI3" s="22" t="s">
        <v>35</v>
      </c>
      <c r="AJ3" s="22" t="s">
        <v>35</v>
      </c>
      <c r="AK3" s="22" t="s">
        <v>35</v>
      </c>
      <c r="AL3" s="23" t="s">
        <v>36</v>
      </c>
      <c r="AM3" s="23" t="s">
        <v>36</v>
      </c>
      <c r="AN3" s="23"/>
      <c r="AO3" s="23"/>
      <c r="AP3" s="90"/>
      <c r="AQ3" s="84" t="s">
        <v>37</v>
      </c>
      <c r="AR3" s="24" t="s">
        <v>38</v>
      </c>
      <c r="AS3" s="24" t="s">
        <v>38</v>
      </c>
      <c r="AT3" s="22" t="s">
        <v>38</v>
      </c>
      <c r="AU3" s="22" t="s">
        <v>38</v>
      </c>
      <c r="AV3" s="22" t="s">
        <v>38</v>
      </c>
      <c r="AW3" s="22" t="s">
        <v>39</v>
      </c>
      <c r="AX3" s="22" t="s">
        <v>39</v>
      </c>
      <c r="AY3" s="22" t="s">
        <v>39</v>
      </c>
      <c r="AZ3" s="22" t="s">
        <v>39</v>
      </c>
      <c r="BA3" s="22" t="s">
        <v>40</v>
      </c>
      <c r="BB3" s="22" t="s">
        <v>40</v>
      </c>
      <c r="BC3" s="22" t="s">
        <v>40</v>
      </c>
      <c r="BD3" s="22" t="s">
        <v>40</v>
      </c>
      <c r="BE3" s="22" t="s">
        <v>41</v>
      </c>
      <c r="BF3" s="22" t="s">
        <v>41</v>
      </c>
      <c r="BG3" s="22" t="s">
        <v>41</v>
      </c>
      <c r="BH3" s="22" t="s">
        <v>42</v>
      </c>
      <c r="BI3" s="22" t="s">
        <v>42</v>
      </c>
      <c r="BJ3" s="22" t="s">
        <v>42</v>
      </c>
      <c r="BK3" s="22" t="s">
        <v>42</v>
      </c>
      <c r="BL3" s="24" t="s">
        <v>32</v>
      </c>
      <c r="BM3" s="24" t="s">
        <v>32</v>
      </c>
      <c r="BN3" s="24" t="s">
        <v>32</v>
      </c>
      <c r="BO3" s="25" t="s">
        <v>4</v>
      </c>
      <c r="BP3" s="25" t="s">
        <v>4</v>
      </c>
      <c r="BQ3" s="25" t="s">
        <v>4</v>
      </c>
      <c r="BR3" s="84" t="s">
        <v>43</v>
      </c>
      <c r="BS3" s="84" t="s">
        <v>43</v>
      </c>
      <c r="BT3" s="84" t="s">
        <v>43</v>
      </c>
      <c r="BU3" s="84" t="s">
        <v>43</v>
      </c>
      <c r="BV3" s="84" t="s">
        <v>38</v>
      </c>
      <c r="BW3" s="84" t="s">
        <v>38</v>
      </c>
      <c r="BX3" s="84" t="s">
        <v>38</v>
      </c>
      <c r="BY3" s="84" t="s">
        <v>42</v>
      </c>
      <c r="BZ3" s="84" t="s">
        <v>42</v>
      </c>
      <c r="CA3" s="84" t="s">
        <v>42</v>
      </c>
      <c r="CB3" s="84" t="s">
        <v>44</v>
      </c>
      <c r="CC3" s="84" t="s">
        <v>44</v>
      </c>
      <c r="CD3" s="84" t="s">
        <v>44</v>
      </c>
      <c r="CE3" s="84" t="s">
        <v>45</v>
      </c>
      <c r="CF3" s="84" t="s">
        <v>45</v>
      </c>
      <c r="CG3" s="84" t="s">
        <v>45</v>
      </c>
      <c r="CH3" s="84" t="s">
        <v>41</v>
      </c>
      <c r="CI3" s="84" t="s">
        <v>46</v>
      </c>
      <c r="CJ3" s="84" t="s">
        <v>46</v>
      </c>
      <c r="CK3" s="26" t="s">
        <v>47</v>
      </c>
      <c r="CL3" s="26" t="s">
        <v>47</v>
      </c>
      <c r="CM3" s="26" t="s">
        <v>32</v>
      </c>
      <c r="CN3" s="26" t="s">
        <v>42</v>
      </c>
      <c r="CO3" s="26" t="s">
        <v>48</v>
      </c>
      <c r="CP3" s="26" t="s">
        <v>46</v>
      </c>
      <c r="CQ3" s="26" t="s">
        <v>46</v>
      </c>
      <c r="CR3" s="86" t="s">
        <v>49</v>
      </c>
      <c r="CS3" s="87" t="s">
        <v>138</v>
      </c>
      <c r="CT3" s="87" t="s">
        <v>138</v>
      </c>
      <c r="CU3" s="87" t="s">
        <v>138</v>
      </c>
      <c r="CV3" s="87" t="s">
        <v>138</v>
      </c>
      <c r="CW3" s="27"/>
    </row>
    <row r="4" spans="1:101" x14ac:dyDescent="0.25">
      <c r="A4" s="28"/>
      <c r="B4" s="29" t="s">
        <v>50</v>
      </c>
      <c r="C4" s="30" t="s">
        <v>51</v>
      </c>
      <c r="D4" s="31" t="s">
        <v>52</v>
      </c>
      <c r="E4" s="31" t="s">
        <v>53</v>
      </c>
      <c r="F4" s="31" t="s">
        <v>54</v>
      </c>
      <c r="G4" s="32">
        <v>482800001265</v>
      </c>
      <c r="H4" s="32">
        <v>482800001273</v>
      </c>
      <c r="I4" s="32">
        <v>482800002024</v>
      </c>
      <c r="J4" s="32">
        <v>482800001257</v>
      </c>
      <c r="K4" s="32" t="s">
        <v>55</v>
      </c>
      <c r="L4" s="32" t="s">
        <v>56</v>
      </c>
      <c r="M4" s="32" t="s">
        <v>57</v>
      </c>
      <c r="N4" s="32">
        <v>36203301</v>
      </c>
      <c r="O4" s="32">
        <v>36203301</v>
      </c>
      <c r="P4" s="32">
        <v>36203328</v>
      </c>
      <c r="Q4" s="32">
        <v>36203328</v>
      </c>
      <c r="R4" s="32">
        <v>36025015</v>
      </c>
      <c r="S4" s="32">
        <v>36025015</v>
      </c>
      <c r="T4" s="32"/>
      <c r="U4" s="32"/>
      <c r="V4" s="32"/>
      <c r="W4" s="32"/>
      <c r="X4" s="32"/>
      <c r="Y4" s="32"/>
      <c r="Z4" s="32">
        <v>865784010</v>
      </c>
      <c r="AA4" s="32">
        <v>865784010</v>
      </c>
      <c r="AB4" s="32">
        <v>865804010</v>
      </c>
      <c r="AC4" s="32">
        <v>865804010</v>
      </c>
      <c r="AD4" s="32">
        <v>865794010</v>
      </c>
      <c r="AE4" s="32">
        <v>865794010</v>
      </c>
      <c r="AF4" s="32" t="s">
        <v>58</v>
      </c>
      <c r="AG4" s="32" t="s">
        <v>58</v>
      </c>
      <c r="AH4" s="32" t="s">
        <v>59</v>
      </c>
      <c r="AI4" s="32" t="s">
        <v>59</v>
      </c>
      <c r="AJ4" s="32" t="s">
        <v>60</v>
      </c>
      <c r="AK4" s="32" t="s">
        <v>60</v>
      </c>
      <c r="AL4" s="33"/>
      <c r="AM4" s="33"/>
      <c r="AN4" s="33"/>
      <c r="AO4" s="33"/>
      <c r="AP4" s="33"/>
      <c r="AQ4" s="33">
        <v>3642</v>
      </c>
      <c r="AR4" s="33" t="s">
        <v>61</v>
      </c>
      <c r="AS4" s="33" t="s">
        <v>62</v>
      </c>
      <c r="AT4" s="33" t="s">
        <v>63</v>
      </c>
      <c r="AU4" s="33" t="s">
        <v>64</v>
      </c>
      <c r="AV4" s="33" t="s">
        <v>65</v>
      </c>
      <c r="AW4" s="33" t="s">
        <v>66</v>
      </c>
      <c r="AX4" s="33" t="s">
        <v>67</v>
      </c>
      <c r="AY4" s="33" t="s">
        <v>68</v>
      </c>
      <c r="AZ4" s="33" t="s">
        <v>69</v>
      </c>
      <c r="BA4" s="33" t="s">
        <v>70</v>
      </c>
      <c r="BB4" s="33" t="s">
        <v>71</v>
      </c>
      <c r="BC4" s="33" t="s">
        <v>72</v>
      </c>
      <c r="BD4" s="33" t="s">
        <v>73</v>
      </c>
      <c r="BE4" s="33" t="s">
        <v>74</v>
      </c>
      <c r="BF4" s="33" t="s">
        <v>75</v>
      </c>
      <c r="BG4" s="33" t="s">
        <v>76</v>
      </c>
      <c r="BH4" s="33" t="s">
        <v>77</v>
      </c>
      <c r="BI4" s="33" t="s">
        <v>78</v>
      </c>
      <c r="BJ4" s="33" t="s">
        <v>79</v>
      </c>
      <c r="BK4" s="33" t="s">
        <v>80</v>
      </c>
      <c r="BL4" s="34">
        <v>482800007882</v>
      </c>
      <c r="BM4" s="34">
        <v>482800007908</v>
      </c>
      <c r="BN4" s="34">
        <v>482800007890</v>
      </c>
      <c r="BO4" s="34">
        <v>482800010001</v>
      </c>
      <c r="BP4" s="34">
        <v>482800010019</v>
      </c>
      <c r="BQ4" s="34">
        <v>482800010027</v>
      </c>
      <c r="BR4" s="33">
        <v>36024995</v>
      </c>
      <c r="BS4" s="33">
        <v>36024995</v>
      </c>
      <c r="BT4" s="33">
        <v>36903922</v>
      </c>
      <c r="BU4" s="33">
        <v>36903922</v>
      </c>
      <c r="BV4" s="33">
        <v>36294346</v>
      </c>
      <c r="BW4" s="33" t="s">
        <v>81</v>
      </c>
      <c r="BX4" s="33">
        <v>36294353</v>
      </c>
      <c r="BY4" s="33" t="s">
        <v>82</v>
      </c>
      <c r="BZ4" s="33" t="s">
        <v>83</v>
      </c>
      <c r="CA4" s="33" t="s">
        <v>84</v>
      </c>
      <c r="CB4" s="33" t="s">
        <v>85</v>
      </c>
      <c r="CC4" s="33" t="s">
        <v>86</v>
      </c>
      <c r="CD4" s="33" t="s">
        <v>87</v>
      </c>
      <c r="CE4" s="33" t="s">
        <v>88</v>
      </c>
      <c r="CF4" s="33" t="s">
        <v>89</v>
      </c>
      <c r="CG4" s="33" t="s">
        <v>90</v>
      </c>
      <c r="CH4" s="33" t="s">
        <v>91</v>
      </c>
      <c r="CI4" s="33">
        <v>221816614</v>
      </c>
      <c r="CJ4" s="33">
        <v>221816598</v>
      </c>
      <c r="CK4" s="33">
        <v>60193029</v>
      </c>
      <c r="CL4" s="33">
        <v>60193401</v>
      </c>
      <c r="CM4" s="33">
        <v>1011143807</v>
      </c>
      <c r="CN4" s="33">
        <v>4801736642</v>
      </c>
      <c r="CO4" s="33">
        <v>65005340</v>
      </c>
      <c r="CP4" s="33">
        <v>288086051</v>
      </c>
      <c r="CQ4" s="33">
        <v>288049109</v>
      </c>
      <c r="CR4" s="33">
        <v>411166042</v>
      </c>
      <c r="CS4" s="33">
        <v>865804015</v>
      </c>
      <c r="CT4" s="33">
        <v>865804015</v>
      </c>
      <c r="CU4" s="33">
        <v>865794015</v>
      </c>
      <c r="CV4" s="33">
        <v>865794015</v>
      </c>
      <c r="CW4" s="35"/>
    </row>
    <row r="5" spans="1:101" x14ac:dyDescent="0.25">
      <c r="B5" s="36"/>
      <c r="C5" s="37" t="s">
        <v>92</v>
      </c>
      <c r="D5" s="38"/>
      <c r="E5" s="38" t="s">
        <v>93</v>
      </c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9"/>
      <c r="AI5" s="39"/>
      <c r="AJ5" s="39"/>
      <c r="AK5" s="39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>
        <v>4.2392300000000001</v>
      </c>
      <c r="BT5" s="37"/>
      <c r="BU5" s="37">
        <f>+BS5</f>
        <v>4.2392300000000001</v>
      </c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40"/>
    </row>
    <row r="6" spans="1:101" x14ac:dyDescent="0.25">
      <c r="B6" s="36"/>
      <c r="C6" s="37" t="s">
        <v>94</v>
      </c>
      <c r="D6" s="37">
        <f>+D7-D8</f>
        <v>-17911.75388000044</v>
      </c>
      <c r="E6" s="37">
        <f>+E7-E8</f>
        <v>476826.12656544894</v>
      </c>
      <c r="F6" s="37">
        <f>+F7-F8</f>
        <v>-478081.10973151214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9"/>
      <c r="AI6" s="39"/>
      <c r="AJ6" s="39"/>
      <c r="AK6" s="39"/>
      <c r="AL6" s="37">
        <f t="shared" ref="AL6:BQ6" si="0">+AL7-AL8</f>
        <v>-6941.1132600745186</v>
      </c>
      <c r="AM6" s="37">
        <f t="shared" si="0"/>
        <v>-346.50613354146481</v>
      </c>
      <c r="AN6" s="37">
        <f t="shared" si="0"/>
        <v>-18.246810001321137</v>
      </c>
      <c r="AO6" s="37">
        <f t="shared" si="0"/>
        <v>17.756558560300618</v>
      </c>
      <c r="AP6" s="37">
        <f t="shared" si="0"/>
        <v>2755.098066246137</v>
      </c>
      <c r="AQ6" s="37">
        <f t="shared" si="0"/>
        <v>-109.30674216081388</v>
      </c>
      <c r="AR6" s="37">
        <f t="shared" si="0"/>
        <v>0</v>
      </c>
      <c r="AS6" s="37">
        <f t="shared" si="0"/>
        <v>0</v>
      </c>
      <c r="AT6" s="37">
        <f t="shared" si="0"/>
        <v>0</v>
      </c>
      <c r="AU6" s="37">
        <f t="shared" si="0"/>
        <v>0</v>
      </c>
      <c r="AV6" s="37">
        <f t="shared" si="0"/>
        <v>0</v>
      </c>
      <c r="AW6" s="37">
        <f t="shared" si="0"/>
        <v>0</v>
      </c>
      <c r="AX6" s="37">
        <f t="shared" si="0"/>
        <v>0</v>
      </c>
      <c r="AY6" s="37">
        <f t="shared" si="0"/>
        <v>0</v>
      </c>
      <c r="AZ6" s="37">
        <f t="shared" si="0"/>
        <v>0</v>
      </c>
      <c r="BA6" s="37">
        <f t="shared" si="0"/>
        <v>0</v>
      </c>
      <c r="BB6" s="37">
        <f t="shared" si="0"/>
        <v>0</v>
      </c>
      <c r="BC6" s="37">
        <f t="shared" si="0"/>
        <v>0</v>
      </c>
      <c r="BD6" s="37">
        <f t="shared" si="0"/>
        <v>0</v>
      </c>
      <c r="BE6" s="37">
        <f t="shared" si="0"/>
        <v>0</v>
      </c>
      <c r="BF6" s="37">
        <f t="shared" si="0"/>
        <v>0</v>
      </c>
      <c r="BG6" s="37">
        <f t="shared" si="0"/>
        <v>0</v>
      </c>
      <c r="BH6" s="37">
        <f t="shared" si="0"/>
        <v>0</v>
      </c>
      <c r="BI6" s="37">
        <f t="shared" si="0"/>
        <v>0</v>
      </c>
      <c r="BJ6" s="37">
        <f t="shared" si="0"/>
        <v>0</v>
      </c>
      <c r="BK6" s="37">
        <f t="shared" si="0"/>
        <v>0</v>
      </c>
      <c r="BL6" s="37">
        <f t="shared" si="0"/>
        <v>0</v>
      </c>
      <c r="BM6" s="37">
        <f t="shared" si="0"/>
        <v>0</v>
      </c>
      <c r="BN6" s="37">
        <f t="shared" si="0"/>
        <v>0</v>
      </c>
      <c r="BO6" s="37">
        <f t="shared" si="0"/>
        <v>0</v>
      </c>
      <c r="BP6" s="37">
        <f t="shared" si="0"/>
        <v>0</v>
      </c>
      <c r="BQ6" s="37">
        <f t="shared" si="0"/>
        <v>0</v>
      </c>
      <c r="BR6" s="37"/>
      <c r="BS6" s="37"/>
      <c r="BT6" s="37"/>
      <c r="BU6" s="37"/>
      <c r="BV6" s="37">
        <f>+BV7-BV8-422.17</f>
        <v>-422.17</v>
      </c>
      <c r="BW6" s="37">
        <f t="shared" ref="BW6:CR6" si="1">+BW7-BW8</f>
        <v>0</v>
      </c>
      <c r="BX6" s="37">
        <f t="shared" si="1"/>
        <v>0</v>
      </c>
      <c r="BY6" s="37">
        <f t="shared" si="1"/>
        <v>455.97600000002421</v>
      </c>
      <c r="BZ6" s="37">
        <f t="shared" si="1"/>
        <v>-519527.05300000031</v>
      </c>
      <c r="CA6" s="37">
        <f t="shared" si="1"/>
        <v>127427.97945000045</v>
      </c>
      <c r="CB6" s="37">
        <f t="shared" si="1"/>
        <v>-2.4000000121304765E-4</v>
      </c>
      <c r="CC6" s="37">
        <f t="shared" si="1"/>
        <v>-4.1799998143687844E-3</v>
      </c>
      <c r="CD6" s="37">
        <f>+[1]Otrosbancos!$H$29</f>
        <v>0</v>
      </c>
      <c r="CE6" s="37">
        <f t="shared" si="1"/>
        <v>0</v>
      </c>
      <c r="CF6" s="37">
        <f t="shared" si="1"/>
        <v>44966.905999999959</v>
      </c>
      <c r="CG6" s="37">
        <f t="shared" si="1"/>
        <v>0</v>
      </c>
      <c r="CH6" s="37">
        <f t="shared" si="1"/>
        <v>0</v>
      </c>
      <c r="CI6" s="37">
        <f t="shared" si="1"/>
        <v>1713.0540000000037</v>
      </c>
      <c r="CJ6" s="37">
        <f t="shared" si="1"/>
        <v>52747.194000000018</v>
      </c>
      <c r="CK6" s="37">
        <f t="shared" si="1"/>
        <v>0</v>
      </c>
      <c r="CL6" s="37">
        <f t="shared" si="1"/>
        <v>0</v>
      </c>
      <c r="CM6" s="37">
        <f t="shared" si="1"/>
        <v>-1.4999999257270247E-4</v>
      </c>
      <c r="CN6" s="37">
        <f t="shared" si="1"/>
        <v>-2.9699999140575528E-3</v>
      </c>
      <c r="CO6" s="37">
        <f t="shared" si="1"/>
        <v>4.6400002902373672E-3</v>
      </c>
      <c r="CP6" s="37">
        <f t="shared" si="1"/>
        <v>-2.7600005269050598E-3</v>
      </c>
      <c r="CQ6" s="37">
        <f t="shared" si="1"/>
        <v>216.65003000001889</v>
      </c>
      <c r="CR6" s="37">
        <f t="shared" si="1"/>
        <v>0</v>
      </c>
      <c r="CS6" s="37">
        <f>+CS7-CS8</f>
        <v>-5000</v>
      </c>
      <c r="CT6" s="37">
        <f>+CT7-CT8</f>
        <v>-20468.599999999999</v>
      </c>
      <c r="CU6" s="37">
        <f>+CU7-CU8</f>
        <v>-5000</v>
      </c>
      <c r="CV6" s="37">
        <f>+CV7-CV8</f>
        <v>-20468.599999999999</v>
      </c>
      <c r="CW6" s="37"/>
    </row>
    <row r="7" spans="1:101" x14ac:dyDescent="0.25">
      <c r="A7" s="41"/>
      <c r="B7" s="42"/>
      <c r="C7" s="43" t="s">
        <v>95</v>
      </c>
      <c r="D7" s="43">
        <f>+'[1]Cap,Bol,Cls'!$H$4</f>
        <v>536311.62783999997</v>
      </c>
      <c r="E7" s="43">
        <f>+'[1]Cap,Bol,Cls'!$H$13</f>
        <v>14894675.293400001</v>
      </c>
      <c r="F7" s="43">
        <f>+'[1]Cap,Bol,Cls'!$H$30</f>
        <v>8880175.3948800005</v>
      </c>
      <c r="G7" s="43">
        <f>+G8</f>
        <v>0</v>
      </c>
      <c r="H7" s="43">
        <f>+H8</f>
        <v>0</v>
      </c>
      <c r="I7" s="43">
        <f>+'[1]Cap,Bol,Cls'!$H$24</f>
        <v>112804.34077</v>
      </c>
      <c r="J7" s="43">
        <f>+J8</f>
        <v>0</v>
      </c>
      <c r="K7" s="43">
        <f>+K8</f>
        <v>143709.39457214306</v>
      </c>
      <c r="L7" s="43">
        <f>+L8</f>
        <v>290646.7703032656</v>
      </c>
      <c r="M7" s="43">
        <f>+M8</f>
        <v>145885.61576086644</v>
      </c>
      <c r="N7" s="43">
        <f>+N8</f>
        <v>177310.5199999999</v>
      </c>
      <c r="O7" s="43">
        <f t="shared" ref="O7:AK7" si="2">+O8</f>
        <v>743248.15264999995</v>
      </c>
      <c r="P7" s="43">
        <f t="shared" si="2"/>
        <v>28125015.900000006</v>
      </c>
      <c r="Q7" s="43">
        <f t="shared" si="2"/>
        <v>119340273.03813319</v>
      </c>
      <c r="R7" s="43">
        <f t="shared" si="2"/>
        <v>979516.69</v>
      </c>
      <c r="S7" s="43">
        <f t="shared" si="2"/>
        <v>4437169.9420834994</v>
      </c>
      <c r="T7" s="43"/>
      <c r="U7" s="43"/>
      <c r="V7" s="43"/>
      <c r="W7" s="43"/>
      <c r="X7" s="43"/>
      <c r="Y7" s="43"/>
      <c r="Z7" s="43">
        <f t="shared" si="2"/>
        <v>9662.5274983807467</v>
      </c>
      <c r="AA7" s="43">
        <f t="shared" si="2"/>
        <v>40503.29</v>
      </c>
      <c r="AB7" s="43">
        <f t="shared" si="2"/>
        <v>7542.7499999967404</v>
      </c>
      <c r="AC7" s="43">
        <f t="shared" si="2"/>
        <v>31617.62</v>
      </c>
      <c r="AD7" s="43">
        <f t="shared" si="2"/>
        <v>5155</v>
      </c>
      <c r="AE7" s="43">
        <f t="shared" si="2"/>
        <v>21608.68</v>
      </c>
      <c r="AF7" s="43">
        <f t="shared" si="2"/>
        <v>7956.8699999451637</v>
      </c>
      <c r="AG7" s="43">
        <f t="shared" si="2"/>
        <v>33353.53</v>
      </c>
      <c r="AH7" s="43">
        <f t="shared" si="2"/>
        <v>202018.84999999718</v>
      </c>
      <c r="AI7" s="43">
        <f t="shared" si="2"/>
        <v>846664.08869630005</v>
      </c>
      <c r="AJ7" s="43">
        <f t="shared" si="2"/>
        <v>673596.71999999823</v>
      </c>
      <c r="AK7" s="43">
        <f t="shared" si="2"/>
        <v>2823324.1679230896</v>
      </c>
      <c r="AL7" s="43">
        <f>+[1]Inversoras!$H$56</f>
        <v>7189336.5794899995</v>
      </c>
      <c r="AM7" s="43">
        <f>+[1]Inversoras!$H$57</f>
        <v>59260229.424849994</v>
      </c>
      <c r="AN7" s="43">
        <f>+[1]Inversoras!$H$58</f>
        <v>6672036.2974199997</v>
      </c>
      <c r="AO7" s="43">
        <f>+[1]Inversoras!$H$59</f>
        <v>943857.96348000003</v>
      </c>
      <c r="AP7" s="43">
        <f>+[1]Inversoras!$H$60</f>
        <v>8933109.1136000007</v>
      </c>
      <c r="AQ7" s="43">
        <f>+[1]Inversoras!$H$61</f>
        <v>1613872.3632799999</v>
      </c>
      <c r="AR7" s="43">
        <f>+AR8</f>
        <v>33752.683643993005</v>
      </c>
      <c r="AS7" s="43">
        <f t="shared" ref="AS7:BQ7" si="3">+AS8</f>
        <v>6.2719079996137461</v>
      </c>
      <c r="AT7" s="43">
        <f t="shared" si="3"/>
        <v>11.210432002509913</v>
      </c>
      <c r="AU7" s="43">
        <f t="shared" si="3"/>
        <v>70709.869203997281</v>
      </c>
      <c r="AV7" s="43">
        <f t="shared" si="3"/>
        <v>523662.90839880263</v>
      </c>
      <c r="AW7" s="43">
        <f t="shared" si="3"/>
        <v>85667.9885699968</v>
      </c>
      <c r="AX7" s="43">
        <f t="shared" si="3"/>
        <v>1041.3974240010875</v>
      </c>
      <c r="AY7" s="43">
        <f t="shared" si="3"/>
        <v>17450.753311997978</v>
      </c>
      <c r="AZ7" s="43">
        <f t="shared" si="3"/>
        <v>23267.345377323236</v>
      </c>
      <c r="BA7" s="43">
        <f t="shared" si="3"/>
        <v>202118.12872400691</v>
      </c>
      <c r="BB7" s="43">
        <f t="shared" si="3"/>
        <v>69992.348219991152</v>
      </c>
      <c r="BC7" s="43">
        <f t="shared" si="3"/>
        <v>266997.81084799865</v>
      </c>
      <c r="BD7" s="43">
        <f t="shared" si="3"/>
        <v>17059.353599989834</v>
      </c>
      <c r="BE7" s="43">
        <f t="shared" si="3"/>
        <v>256586.81289368056</v>
      </c>
      <c r="BF7" s="43">
        <f t="shared" si="3"/>
        <v>321949.5492303599</v>
      </c>
      <c r="BG7" s="43">
        <f t="shared" si="3"/>
        <v>35109.232018882758</v>
      </c>
      <c r="BH7" s="43">
        <f t="shared" si="3"/>
        <v>27273.514880002102</v>
      </c>
      <c r="BI7" s="43">
        <f t="shared" si="3"/>
        <v>630661.83776839031</v>
      </c>
      <c r="BJ7" s="43">
        <f t="shared" si="3"/>
        <v>197783.28604456017</v>
      </c>
      <c r="BK7" s="43">
        <f t="shared" si="3"/>
        <v>11496991.451116012</v>
      </c>
      <c r="BL7" s="43">
        <f t="shared" si="3"/>
        <v>112760.22292244608</v>
      </c>
      <c r="BM7" s="43">
        <f t="shared" si="3"/>
        <v>1069008.7097271511</v>
      </c>
      <c r="BN7" s="43">
        <f t="shared" si="3"/>
        <v>4098405.8291373812</v>
      </c>
      <c r="BO7" s="43">
        <f t="shared" si="3"/>
        <v>3.4691202304202307E-3</v>
      </c>
      <c r="BP7" s="43">
        <f t="shared" si="3"/>
        <v>255.25434932906549</v>
      </c>
      <c r="BQ7" s="43">
        <f t="shared" si="3"/>
        <v>4.0128798844989433E-3</v>
      </c>
      <c r="BR7" s="43">
        <f>+[1]Otrosbancos!$H$49</f>
        <v>2723100.65</v>
      </c>
      <c r="BS7" s="43">
        <f>+BS8</f>
        <v>11426987.824417591</v>
      </c>
      <c r="BT7" s="43">
        <f>+[1]Otrosbancos!$H$51</f>
        <v>346528.85</v>
      </c>
      <c r="BU7" s="43">
        <f>+BU8</f>
        <v>1430768.7844654911</v>
      </c>
      <c r="BV7" s="43">
        <f>+BV8+BV5</f>
        <v>8400.1908600000006</v>
      </c>
      <c r="BW7" s="43">
        <f>+BW8+BW5</f>
        <v>1154722.0219900007</v>
      </c>
      <c r="BX7" s="43">
        <f>+BX8+BX5</f>
        <v>12663.664475599246</v>
      </c>
      <c r="BY7" s="43">
        <f>+[1]Otrosbancos!$H$5</f>
        <v>674599.91899999999</v>
      </c>
      <c r="BZ7" s="43">
        <f>+[1]Otrosbancos!$H$10</f>
        <v>5642889.8360000001</v>
      </c>
      <c r="CA7" s="43">
        <f>+[1]Otrosbancos!$H$15</f>
        <v>5782466.5999999996</v>
      </c>
      <c r="CB7" s="43">
        <f>+[1]Otrosbancos!$H$23</f>
        <v>18618.565999999999</v>
      </c>
      <c r="CC7" s="43">
        <f>+[1]Otrosbancos!$H$26</f>
        <v>881986.64800000004</v>
      </c>
      <c r="CD7" s="43">
        <f>+[1]Otrosbancos!$H$29</f>
        <v>0</v>
      </c>
      <c r="CE7" s="43">
        <f>+[1]Otrosbancos!$H$33</f>
        <v>22129.573</v>
      </c>
      <c r="CF7" s="43">
        <f>+[1]Otrosbancos!$H$37</f>
        <v>1281598.71059</v>
      </c>
      <c r="CG7" s="43">
        <f>+[1]Otrosbancos!$H$41</f>
        <v>184196.101</v>
      </c>
      <c r="CH7" s="43">
        <f>+[1]Otrosbancos!$H$46</f>
        <v>2.9318200000000001</v>
      </c>
      <c r="CI7" s="43">
        <f>+[1]Otrosbancos!$H$54</f>
        <v>900709.777</v>
      </c>
      <c r="CJ7" s="43">
        <f>+[1]Otrosbancos!$H$56</f>
        <v>137400.65900000001</v>
      </c>
      <c r="CK7" s="43">
        <f>+[1]Liberty!$H$3</f>
        <v>0</v>
      </c>
      <c r="CL7" s="43">
        <f>+[1]Liberty!$H$4</f>
        <v>0</v>
      </c>
      <c r="CM7" s="43">
        <f>+[1]Liberty!$H$6</f>
        <v>79545.214000000007</v>
      </c>
      <c r="CN7" s="43">
        <f>+[1]Liberty!$H$8</f>
        <v>662749.23600000003</v>
      </c>
      <c r="CO7" s="43">
        <f>+[1]Liberty!$H$10</f>
        <v>736440.24595999997</v>
      </c>
      <c r="CP7" s="43">
        <f>+[1]Liberty!$H$12</f>
        <v>9152723.6699999999</v>
      </c>
      <c r="CQ7" s="43">
        <f>+[1]Liberty!$H$13</f>
        <v>378135.14942999999</v>
      </c>
      <c r="CR7" s="43">
        <f>+[1]Otrosbancos!$H$58</f>
        <v>2701872.3746799999</v>
      </c>
      <c r="CS7" s="43">
        <v>0</v>
      </c>
      <c r="CT7" s="43">
        <v>0</v>
      </c>
      <c r="CU7" s="43">
        <v>0</v>
      </c>
      <c r="CV7" s="43">
        <v>0</v>
      </c>
      <c r="CW7" s="43">
        <f>SUM(D7:CV7)</f>
        <v>334021949.49155152</v>
      </c>
    </row>
    <row r="8" spans="1:101" x14ac:dyDescent="0.25">
      <c r="A8" s="41"/>
      <c r="B8" s="44" t="s">
        <v>96</v>
      </c>
      <c r="C8" s="45" t="s">
        <v>97</v>
      </c>
      <c r="D8" s="45">
        <f>+'May, 09'!D40</f>
        <v>554223.38172000041</v>
      </c>
      <c r="E8" s="45">
        <f>+'May, 09'!E40</f>
        <v>14417849.166834552</v>
      </c>
      <c r="F8" s="45">
        <f>+'May, 09'!F40</f>
        <v>9358256.5046115126</v>
      </c>
      <c r="G8" s="45">
        <f>+'May, 09'!G40</f>
        <v>0</v>
      </c>
      <c r="H8" s="45">
        <f>+'May, 09'!H40</f>
        <v>0</v>
      </c>
      <c r="I8" s="45">
        <f>+'May, 09'!I40</f>
        <v>112766.23770999425</v>
      </c>
      <c r="J8" s="45">
        <f>+'May, 09'!J40</f>
        <v>0</v>
      </c>
      <c r="K8" s="45">
        <f>+'May, 09'!K40</f>
        <v>143709.39457214306</v>
      </c>
      <c r="L8" s="45">
        <f>+'May, 09'!L40</f>
        <v>290646.7703032656</v>
      </c>
      <c r="M8" s="45">
        <f>+'May, 09'!M40</f>
        <v>145885.61576086644</v>
      </c>
      <c r="N8" s="45">
        <f>+'May, 09'!N40</f>
        <v>177310.5199999999</v>
      </c>
      <c r="O8" s="45">
        <f>+'May, 09'!O40</f>
        <v>743248.15264999995</v>
      </c>
      <c r="P8" s="45">
        <f>+'May, 09'!P40</f>
        <v>28125015.900000006</v>
      </c>
      <c r="Q8" s="45">
        <f>+'May, 09'!Q40</f>
        <v>119340273.03813319</v>
      </c>
      <c r="R8" s="45">
        <f>+'May, 09'!R40</f>
        <v>979516.69</v>
      </c>
      <c r="S8" s="45">
        <f>+'May, 09'!S40</f>
        <v>4437169.9420834994</v>
      </c>
      <c r="T8" s="45">
        <f>+'May, 09'!T40</f>
        <v>0</v>
      </c>
      <c r="U8" s="45">
        <f>+'May, 09'!U40</f>
        <v>0</v>
      </c>
      <c r="V8" s="45">
        <f>+'May, 09'!V40</f>
        <v>0</v>
      </c>
      <c r="W8" s="45">
        <f>+'May, 09'!W40</f>
        <v>0</v>
      </c>
      <c r="X8" s="45">
        <f>+'May, 09'!X40</f>
        <v>0</v>
      </c>
      <c r="Y8" s="45">
        <f>+'May, 09'!Y40</f>
        <v>0</v>
      </c>
      <c r="Z8" s="45">
        <f>+'May, 09'!Z40</f>
        <v>9662.5274983807467</v>
      </c>
      <c r="AA8" s="45">
        <f>+'May, 09'!AA40</f>
        <v>40503.29</v>
      </c>
      <c r="AB8" s="45">
        <f>+'May, 09'!AB40</f>
        <v>7542.7499999967404</v>
      </c>
      <c r="AC8" s="45">
        <f>+'May, 09'!AC40</f>
        <v>31617.62</v>
      </c>
      <c r="AD8" s="45">
        <f>+'May, 09'!AD40</f>
        <v>5155</v>
      </c>
      <c r="AE8" s="45">
        <f>+'May, 09'!AE40</f>
        <v>21608.68</v>
      </c>
      <c r="AF8" s="45">
        <f>+'May, 09'!AF40</f>
        <v>7956.8699999451637</v>
      </c>
      <c r="AG8" s="45">
        <f>+'May, 09'!AG40</f>
        <v>33353.53</v>
      </c>
      <c r="AH8" s="45">
        <f>+'May, 09'!AH40</f>
        <v>202018.84999999718</v>
      </c>
      <c r="AI8" s="45">
        <f>+'May, 09'!AI40</f>
        <v>846664.08869630005</v>
      </c>
      <c r="AJ8" s="45">
        <f>+'May, 09'!AJ40</f>
        <v>673596.71999999823</v>
      </c>
      <c r="AK8" s="45">
        <f>+'May, 09'!AK40</f>
        <v>2823324.1679230896</v>
      </c>
      <c r="AL8" s="45">
        <f>+'May, 09'!AL40</f>
        <v>7196277.692750074</v>
      </c>
      <c r="AM8" s="45">
        <f>+'May, 09'!AM40</f>
        <v>59260575.930983536</v>
      </c>
      <c r="AN8" s="45">
        <f>+'May, 09'!AN40</f>
        <v>6672054.544230001</v>
      </c>
      <c r="AO8" s="45">
        <f>+'May, 09'!AO40</f>
        <v>943840.20692143973</v>
      </c>
      <c r="AP8" s="45">
        <f>+'May, 09'!AP40</f>
        <v>8930354.0155337546</v>
      </c>
      <c r="AQ8" s="45">
        <f>+'May, 09'!AQ40</f>
        <v>1613981.6700221607</v>
      </c>
      <c r="AR8" s="45">
        <f>+'May, 09'!AR40</f>
        <v>33752.683643993005</v>
      </c>
      <c r="AS8" s="45">
        <f>+'May, 09'!AS40</f>
        <v>6.2719079996137461</v>
      </c>
      <c r="AT8" s="45">
        <f>+'May, 09'!AT40</f>
        <v>11.210432002509913</v>
      </c>
      <c r="AU8" s="45">
        <f>+'May, 09'!AU40</f>
        <v>70709.869203997281</v>
      </c>
      <c r="AV8" s="45">
        <f>+'May, 09'!AV40</f>
        <v>523662.90839880263</v>
      </c>
      <c r="AW8" s="45">
        <f>+'May, 09'!AW40</f>
        <v>85667.9885699968</v>
      </c>
      <c r="AX8" s="45">
        <f>+'May, 09'!AX40</f>
        <v>1041.3974240010875</v>
      </c>
      <c r="AY8" s="45">
        <f>+'May, 09'!AY40</f>
        <v>17450.753311997978</v>
      </c>
      <c r="AZ8" s="45">
        <f>+'May, 09'!AZ40</f>
        <v>23267.345377323236</v>
      </c>
      <c r="BA8" s="45">
        <f>+'May, 09'!BA40</f>
        <v>202118.12872400691</v>
      </c>
      <c r="BB8" s="45">
        <f>+'May, 09'!BB40</f>
        <v>69992.348219991152</v>
      </c>
      <c r="BC8" s="45">
        <f>+'May, 09'!BC40</f>
        <v>266997.81084799865</v>
      </c>
      <c r="BD8" s="45">
        <f>+'May, 09'!BD40</f>
        <v>17059.353599989834</v>
      </c>
      <c r="BE8" s="45">
        <f>+'May, 09'!BE40</f>
        <v>256586.81289368056</v>
      </c>
      <c r="BF8" s="45">
        <f>+'May, 09'!BF40</f>
        <v>321949.5492303599</v>
      </c>
      <c r="BG8" s="45">
        <f>+'May, 09'!BG40</f>
        <v>35109.232018882758</v>
      </c>
      <c r="BH8" s="45">
        <f>+'May, 09'!BH40</f>
        <v>27273.514880002102</v>
      </c>
      <c r="BI8" s="45">
        <f>+'May, 09'!BI40</f>
        <v>630661.83776839031</v>
      </c>
      <c r="BJ8" s="45">
        <f>+'May, 09'!BJ40</f>
        <v>197783.28604456017</v>
      </c>
      <c r="BK8" s="45">
        <f>+'May, 09'!BK40</f>
        <v>11496991.451116012</v>
      </c>
      <c r="BL8" s="45">
        <f>+'May, 09'!BL40</f>
        <v>112760.22292244608</v>
      </c>
      <c r="BM8" s="45">
        <f>+'May, 09'!BM40</f>
        <v>1069008.7097271511</v>
      </c>
      <c r="BN8" s="45">
        <f>+'May, 09'!BN40</f>
        <v>4098405.8291373812</v>
      </c>
      <c r="BO8" s="45">
        <f>+'May, 09'!BO40</f>
        <v>3.4691202304202307E-3</v>
      </c>
      <c r="BP8" s="45">
        <f>+'May, 09'!BP40</f>
        <v>255.25434932906549</v>
      </c>
      <c r="BQ8" s="45">
        <f>+'May, 09'!BQ40</f>
        <v>4.0128798844989433E-3</v>
      </c>
      <c r="BR8" s="45">
        <f>+'May, 09'!BR40</f>
        <v>2723100.6460000034</v>
      </c>
      <c r="BS8" s="45">
        <f>+'May, 09'!BS40</f>
        <v>11426987.824417591</v>
      </c>
      <c r="BT8" s="45">
        <f>+'May, 09'!BT40</f>
        <v>346528.85493201896</v>
      </c>
      <c r="BU8" s="45">
        <f>+'May, 09'!BU40</f>
        <v>1430768.7844654911</v>
      </c>
      <c r="BV8" s="45">
        <f>+'May, 09'!BV40</f>
        <v>8400.1908600000006</v>
      </c>
      <c r="BW8" s="45">
        <f>+'May, 09'!BW40</f>
        <v>1154722.0219900007</v>
      </c>
      <c r="BX8" s="45">
        <f>+'May, 09'!BX40</f>
        <v>12663.664475599246</v>
      </c>
      <c r="BY8" s="45">
        <f>+'May, 09'!BY40</f>
        <v>674143.94299999997</v>
      </c>
      <c r="BZ8" s="45">
        <f>+'May, 09'!BZ40</f>
        <v>6162416.8890000004</v>
      </c>
      <c r="CA8" s="45">
        <f>+'May, 09'!CA40</f>
        <v>5655038.6205499992</v>
      </c>
      <c r="CB8" s="45">
        <f>+'May, 09'!CB40</f>
        <v>18618.56624</v>
      </c>
      <c r="CC8" s="45">
        <f>+'May, 09'!CC40</f>
        <v>881986.65217999986</v>
      </c>
      <c r="CD8" s="45">
        <f>+'May, 09'!CD40</f>
        <v>0</v>
      </c>
      <c r="CE8" s="45">
        <f>+'May, 09'!CE40</f>
        <v>22129.573</v>
      </c>
      <c r="CF8" s="45">
        <f>+'May, 09'!CF40</f>
        <v>1236631.8045900001</v>
      </c>
      <c r="CG8" s="45">
        <f>+'May, 09'!CG40</f>
        <v>184196.101</v>
      </c>
      <c r="CH8" s="45">
        <f>+'May, 09'!CH40</f>
        <v>2.9318200000000001</v>
      </c>
      <c r="CI8" s="45">
        <f>+'May, 09'!CI40</f>
        <v>898996.723</v>
      </c>
      <c r="CJ8" s="45">
        <f>+'May, 09'!CJ40</f>
        <v>84653.464999999997</v>
      </c>
      <c r="CK8" s="45">
        <f>+'May, 09'!CK40</f>
        <v>0</v>
      </c>
      <c r="CL8" s="45">
        <f>+'May, 09'!CL40</f>
        <v>0</v>
      </c>
      <c r="CM8" s="45">
        <f>+'May, 09'!CM40</f>
        <v>79545.21415</v>
      </c>
      <c r="CN8" s="45">
        <f>+'May, 09'!CN40</f>
        <v>662749.23896999995</v>
      </c>
      <c r="CO8" s="45">
        <f>+'May, 09'!CO40</f>
        <v>736440.24131999968</v>
      </c>
      <c r="CP8" s="45">
        <f>+'May, 09'!CP40</f>
        <v>9152723.6727600005</v>
      </c>
      <c r="CQ8" s="45">
        <f>+'May, 09'!CQ40</f>
        <v>377918.49939999997</v>
      </c>
      <c r="CR8" s="45">
        <f>+'May, 09'!CR40</f>
        <v>2701872.374679999</v>
      </c>
      <c r="CS8" s="45">
        <f>+'May, 09'!CS40</f>
        <v>5000</v>
      </c>
      <c r="CT8" s="45">
        <f>+'May, 09'!CT40</f>
        <v>20468.599999999999</v>
      </c>
      <c r="CU8" s="45">
        <f>+'May, 09'!CU40</f>
        <v>5000</v>
      </c>
      <c r="CV8" s="45">
        <f>+'May, 09'!CV40</f>
        <v>20468.599999999999</v>
      </c>
      <c r="CW8" s="43">
        <f t="shared" ref="CW8:CW40" si="4">SUM(D8:CV8)</f>
        <v>334388656.94397062</v>
      </c>
    </row>
    <row r="9" spans="1:101" x14ac:dyDescent="0.25">
      <c r="B9" s="46" t="s">
        <v>96</v>
      </c>
      <c r="C9" s="47" t="s">
        <v>98</v>
      </c>
      <c r="D9" s="47">
        <v>4660</v>
      </c>
      <c r="E9" s="48">
        <v>10445973.47775</v>
      </c>
      <c r="F9" s="48">
        <v>6070683.6032699998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>
        <v>563.55700000000002</v>
      </c>
      <c r="BX9" s="47"/>
      <c r="BY9" s="47">
        <f>IF(BY6&gt;0,BY6,0)</f>
        <v>455.97600000002421</v>
      </c>
      <c r="BZ9" s="47">
        <f>IF(BZ6&gt;0,BZ6,0)</f>
        <v>0</v>
      </c>
      <c r="CA9" s="47">
        <f>IF(CA6&gt;0,CA6,0)</f>
        <v>127427.97945000045</v>
      </c>
      <c r="CB9" s="47"/>
      <c r="CC9" s="47">
        <v>3135.0160000000001</v>
      </c>
      <c r="CD9" s="47"/>
      <c r="CE9" s="47">
        <f>IF(CE6&gt;0,CE6,0)</f>
        <v>0</v>
      </c>
      <c r="CF9" s="47">
        <f>IF(CF6&gt;0,CF6,0)</f>
        <v>44966.905999999959</v>
      </c>
      <c r="CG9" s="47">
        <f>IF(CG6&gt;0,CG6,0)</f>
        <v>0</v>
      </c>
      <c r="CH9" s="47"/>
      <c r="CI9" s="47">
        <f>IF(CI6&gt;0,CI6,0)</f>
        <v>1713.0540000000037</v>
      </c>
      <c r="CJ9" s="47">
        <f>IF(CJ6&gt;0,CJ6,0)</f>
        <v>52747.194000000018</v>
      </c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3">
        <f t="shared" si="4"/>
        <v>16752326.76347</v>
      </c>
    </row>
    <row r="10" spans="1:101" x14ac:dyDescent="0.25">
      <c r="B10" s="46" t="s">
        <v>99</v>
      </c>
      <c r="C10" s="47" t="s">
        <v>100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>
        <v>-10.776999999999999</v>
      </c>
      <c r="BX10" s="47"/>
      <c r="BY10" s="47">
        <f>IF(BY6&lt;0,BY6,0)</f>
        <v>0</v>
      </c>
      <c r="BZ10" s="47">
        <f>IF(BZ6&lt;0,BZ6,0)</f>
        <v>-519527.05300000031</v>
      </c>
      <c r="CA10" s="47">
        <f>IF(CA6&lt;0,CA6,0)</f>
        <v>0</v>
      </c>
      <c r="CB10" s="47"/>
      <c r="CC10" s="47"/>
      <c r="CD10" s="47"/>
      <c r="CE10" s="47">
        <f>IF(CE6&lt;0,CE6,0)</f>
        <v>0</v>
      </c>
      <c r="CF10" s="47">
        <f>IF(CF6&lt;0,CF6,0)</f>
        <v>0</v>
      </c>
      <c r="CG10" s="47">
        <f>IF(CG6&lt;0,CG6,0)</f>
        <v>0</v>
      </c>
      <c r="CH10" s="47"/>
      <c r="CI10" s="47">
        <f>IF(CI6&lt;0,CI6,0)</f>
        <v>0</v>
      </c>
      <c r="CJ10" s="47">
        <f>IF(CJ6&lt;0,CJ6,0)</f>
        <v>0</v>
      </c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3">
        <f t="shared" si="4"/>
        <v>-519537.83000000031</v>
      </c>
    </row>
    <row r="11" spans="1:101" x14ac:dyDescent="0.25">
      <c r="A11" s="41"/>
      <c r="B11" s="49" t="s">
        <v>99</v>
      </c>
      <c r="C11" s="50" t="s">
        <v>101</v>
      </c>
      <c r="D11" s="50">
        <v>-3.012</v>
      </c>
      <c r="E11" s="50">
        <v>-34586.089180000301</v>
      </c>
      <c r="F11" s="50">
        <v>-12636.1863700008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>
        <f>+[1]Otrosbancos!$H$6+[1]Otrosbancos!$H$7</f>
        <v>-15395.960000000001</v>
      </c>
      <c r="BZ11" s="50">
        <f>+[1]Otrosbancos!$H$11+[1]Otrosbancos!$H$12</f>
        <v>-7135843.4279999994</v>
      </c>
      <c r="CA11" s="50">
        <f>+[1]Otrosbancos!$H$16+[1]Otrosbancos!$H$17</f>
        <v>-2836889.1490000002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43">
        <f t="shared" si="4"/>
        <v>-10035353.824550001</v>
      </c>
    </row>
    <row r="12" spans="1:101" x14ac:dyDescent="0.25">
      <c r="B12" s="46" t="s">
        <v>96</v>
      </c>
      <c r="C12" s="47" t="s">
        <v>102</v>
      </c>
      <c r="D12" s="47"/>
      <c r="E12" s="47">
        <v>200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1"/>
      <c r="AS12" s="51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3">
        <f t="shared" si="4"/>
        <v>200</v>
      </c>
    </row>
    <row r="13" spans="1:101" x14ac:dyDescent="0.25">
      <c r="B13" s="46" t="s">
        <v>96</v>
      </c>
      <c r="C13" s="47" t="s">
        <v>103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51"/>
      <c r="AS13" s="51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3">
        <f t="shared" si="4"/>
        <v>0</v>
      </c>
    </row>
    <row r="14" spans="1:101" x14ac:dyDescent="0.25">
      <c r="B14" s="46" t="s">
        <v>96</v>
      </c>
      <c r="C14" s="47" t="s">
        <v>104</v>
      </c>
      <c r="D14" s="47"/>
      <c r="E14" s="47"/>
      <c r="F14" s="47">
        <v>175413.27499999999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51"/>
      <c r="AS14" s="51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3">
        <f t="shared" si="4"/>
        <v>175413.27499999999</v>
      </c>
    </row>
    <row r="15" spans="1:101" x14ac:dyDescent="0.25">
      <c r="B15" s="46" t="s">
        <v>96</v>
      </c>
      <c r="C15" s="47" t="s">
        <v>105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51"/>
      <c r="AS15" s="51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3">
        <f t="shared" si="4"/>
        <v>0</v>
      </c>
    </row>
    <row r="16" spans="1:101" x14ac:dyDescent="0.25">
      <c r="B16" s="46" t="s">
        <v>96</v>
      </c>
      <c r="C16" s="47" t="s">
        <v>106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51"/>
      <c r="AS16" s="51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3">
        <f t="shared" si="4"/>
        <v>0</v>
      </c>
    </row>
    <row r="17" spans="1:101" x14ac:dyDescent="0.25">
      <c r="B17" s="46" t="s">
        <v>99</v>
      </c>
      <c r="C17" s="47" t="s">
        <v>107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51"/>
      <c r="AS17" s="51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3">
        <f t="shared" si="4"/>
        <v>0</v>
      </c>
    </row>
    <row r="18" spans="1:101" x14ac:dyDescent="0.25">
      <c r="B18" s="46" t="s">
        <v>96</v>
      </c>
      <c r="C18" s="47" t="s">
        <v>108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1"/>
      <c r="AS18" s="51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3">
        <f t="shared" si="4"/>
        <v>0</v>
      </c>
    </row>
    <row r="19" spans="1:101" x14ac:dyDescent="0.25">
      <c r="B19" s="46" t="s">
        <v>99</v>
      </c>
      <c r="C19" s="47" t="s">
        <v>109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51"/>
      <c r="AS19" s="51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3">
        <f t="shared" si="4"/>
        <v>0</v>
      </c>
    </row>
    <row r="20" spans="1:101" x14ac:dyDescent="0.25">
      <c r="B20" s="46" t="s">
        <v>99</v>
      </c>
      <c r="C20" s="47" t="s">
        <v>110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51"/>
      <c r="AS20" s="51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3">
        <f t="shared" si="4"/>
        <v>0</v>
      </c>
    </row>
    <row r="21" spans="1:101" x14ac:dyDescent="0.25">
      <c r="B21" s="46" t="s">
        <v>96</v>
      </c>
      <c r="C21" s="47" t="s">
        <v>111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51"/>
      <c r="AS21" s="51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3">
        <f t="shared" si="4"/>
        <v>0</v>
      </c>
    </row>
    <row r="22" spans="1:101" x14ac:dyDescent="0.25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51"/>
      <c r="AS22" s="51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3">
        <f t="shared" si="4"/>
        <v>0</v>
      </c>
    </row>
    <row r="23" spans="1:101" x14ac:dyDescent="0.25">
      <c r="B23" s="46" t="s">
        <v>99</v>
      </c>
      <c r="C23" s="47" t="s">
        <v>112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51"/>
      <c r="AS23" s="51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3">
        <f t="shared" si="4"/>
        <v>0</v>
      </c>
    </row>
    <row r="24" spans="1:101" x14ac:dyDescent="0.25">
      <c r="B24" s="46" t="s">
        <v>99</v>
      </c>
      <c r="C24" s="47" t="s">
        <v>113</v>
      </c>
      <c r="D24" s="47">
        <v>-0.08</v>
      </c>
      <c r="E24" s="47">
        <f>-35587.5-4394-1547-5694-29893.5-11388-1423.5-4270.5-1423.5-8541-5694-2847-2847-493.77</f>
        <v>-116044.27</v>
      </c>
      <c r="F24" s="47">
        <f>-14782.561-114.74</f>
        <v>-14897.300999999999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51"/>
      <c r="AS24" s="51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3">
        <f t="shared" si="4"/>
        <v>-130941.65100000001</v>
      </c>
    </row>
    <row r="25" spans="1:101" x14ac:dyDescent="0.25">
      <c r="A25" s="41"/>
      <c r="B25" s="52" t="s">
        <v>99</v>
      </c>
      <c r="C25" s="53" t="s">
        <v>114</v>
      </c>
      <c r="D25" s="53">
        <v>-18041.690439999998</v>
      </c>
      <c r="E25" s="53">
        <v>-1203286.7970199999</v>
      </c>
      <c r="F25" s="53">
        <v>-3979660.07241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43">
        <f t="shared" si="4"/>
        <v>-5200988.55987</v>
      </c>
    </row>
    <row r="26" spans="1:101" x14ac:dyDescent="0.25">
      <c r="B26" s="46"/>
      <c r="C26" s="47" t="s">
        <v>115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51"/>
      <c r="AS26" s="51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3">
        <f t="shared" si="4"/>
        <v>0</v>
      </c>
    </row>
    <row r="27" spans="1:101" x14ac:dyDescent="0.25">
      <c r="B27" s="46" t="s">
        <v>99</v>
      </c>
      <c r="C27" s="47" t="s">
        <v>116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51"/>
      <c r="AS27" s="51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3">
        <f t="shared" si="4"/>
        <v>0</v>
      </c>
    </row>
    <row r="28" spans="1:101" x14ac:dyDescent="0.25">
      <c r="B28" s="47" t="s">
        <v>99</v>
      </c>
      <c r="C28" s="47" t="s">
        <v>117</v>
      </c>
      <c r="D28" s="48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51"/>
      <c r="AS28" s="51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3">
        <f t="shared" si="4"/>
        <v>0</v>
      </c>
    </row>
    <row r="29" spans="1:101" x14ac:dyDescent="0.25">
      <c r="B29" s="47"/>
      <c r="C29" s="47" t="s">
        <v>118</v>
      </c>
      <c r="D29" s="48"/>
      <c r="E29" s="47">
        <v>4027.2910000000002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51"/>
      <c r="AS29" s="51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3">
        <f t="shared" si="4"/>
        <v>4027.2910000000002</v>
      </c>
    </row>
    <row r="30" spans="1:101" x14ac:dyDescent="0.25">
      <c r="B30" s="47"/>
      <c r="C30" s="47" t="s">
        <v>119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51"/>
      <c r="AS30" s="51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3">
        <f t="shared" si="4"/>
        <v>0</v>
      </c>
    </row>
    <row r="31" spans="1:101" x14ac:dyDescent="0.25">
      <c r="B31" s="47" t="s">
        <v>99</v>
      </c>
      <c r="C31" s="47" t="s">
        <v>120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51"/>
      <c r="AS31" s="51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3">
        <f t="shared" si="4"/>
        <v>0</v>
      </c>
    </row>
    <row r="32" spans="1:101" x14ac:dyDescent="0.25">
      <c r="B32" s="47" t="s">
        <v>99</v>
      </c>
      <c r="C32" s="47" t="s">
        <v>121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51"/>
      <c r="AS32" s="51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3">
        <f t="shared" si="4"/>
        <v>0</v>
      </c>
    </row>
    <row r="33" spans="2:101" x14ac:dyDescent="0.25">
      <c r="B33" s="47" t="s">
        <v>99</v>
      </c>
      <c r="C33" s="47" t="s">
        <v>122</v>
      </c>
      <c r="D33" s="47">
        <v>-20</v>
      </c>
      <c r="E33" s="47">
        <v>-7891</v>
      </c>
      <c r="F33" s="47">
        <f>-3906-9996</f>
        <v>-13902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51"/>
      <c r="AS33" s="51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3">
        <f t="shared" si="4"/>
        <v>-21813</v>
      </c>
    </row>
    <row r="34" spans="2:101" x14ac:dyDescent="0.25">
      <c r="B34" s="54" t="s">
        <v>99</v>
      </c>
      <c r="C34" s="55" t="s">
        <v>123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43">
        <f t="shared" si="4"/>
        <v>0</v>
      </c>
    </row>
    <row r="35" spans="2:101" x14ac:dyDescent="0.25">
      <c r="B35" s="54" t="s">
        <v>99</v>
      </c>
      <c r="C35" s="55" t="s">
        <v>124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43">
        <f t="shared" si="4"/>
        <v>0</v>
      </c>
    </row>
    <row r="36" spans="2:101" ht="15.75" thickBot="1" x14ac:dyDescent="0.3">
      <c r="B36" s="56"/>
      <c r="C36" s="57" t="s">
        <v>125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43">
        <f t="shared" si="4"/>
        <v>0</v>
      </c>
    </row>
    <row r="37" spans="2:101" x14ac:dyDescent="0.25">
      <c r="B37" s="58"/>
      <c r="C37" s="59" t="s">
        <v>126</v>
      </c>
      <c r="D37" s="59">
        <f>SUM(D9:D36)</f>
        <v>-13404.782439999999</v>
      </c>
      <c r="E37" s="59">
        <f>SUM(E9:E36)</f>
        <v>9088392.6125499997</v>
      </c>
      <c r="F37" s="59">
        <f>SUM(F9:F35)</f>
        <v>2225001.318489999</v>
      </c>
      <c r="G37" s="59">
        <f t="shared" ref="G37:BR37" si="5">SUM(G9:G36)</f>
        <v>0</v>
      </c>
      <c r="H37" s="59">
        <f t="shared" si="5"/>
        <v>0</v>
      </c>
      <c r="I37" s="59">
        <f t="shared" si="5"/>
        <v>0</v>
      </c>
      <c r="J37" s="59">
        <f t="shared" si="5"/>
        <v>0</v>
      </c>
      <c r="K37" s="59">
        <f t="shared" si="5"/>
        <v>0</v>
      </c>
      <c r="L37" s="59">
        <f t="shared" si="5"/>
        <v>0</v>
      </c>
      <c r="M37" s="59">
        <f t="shared" si="5"/>
        <v>0</v>
      </c>
      <c r="N37" s="59">
        <f t="shared" si="5"/>
        <v>0</v>
      </c>
      <c r="O37" s="59">
        <f t="shared" si="5"/>
        <v>0</v>
      </c>
      <c r="P37" s="59">
        <f t="shared" si="5"/>
        <v>0</v>
      </c>
      <c r="Q37" s="59">
        <f t="shared" si="5"/>
        <v>0</v>
      </c>
      <c r="R37" s="59">
        <f t="shared" si="5"/>
        <v>0</v>
      </c>
      <c r="S37" s="59">
        <f t="shared" si="5"/>
        <v>0</v>
      </c>
      <c r="T37" s="59">
        <f t="shared" si="5"/>
        <v>0</v>
      </c>
      <c r="U37" s="59">
        <f t="shared" si="5"/>
        <v>0</v>
      </c>
      <c r="V37" s="59">
        <f t="shared" si="5"/>
        <v>0</v>
      </c>
      <c r="W37" s="59">
        <f t="shared" si="5"/>
        <v>0</v>
      </c>
      <c r="X37" s="59">
        <f t="shared" si="5"/>
        <v>0</v>
      </c>
      <c r="Y37" s="59">
        <f t="shared" si="5"/>
        <v>0</v>
      </c>
      <c r="Z37" s="59">
        <f t="shared" si="5"/>
        <v>0</v>
      </c>
      <c r="AA37" s="59">
        <f t="shared" si="5"/>
        <v>0</v>
      </c>
      <c r="AB37" s="59">
        <f t="shared" si="5"/>
        <v>0</v>
      </c>
      <c r="AC37" s="59">
        <f t="shared" si="5"/>
        <v>0</v>
      </c>
      <c r="AD37" s="59">
        <f t="shared" si="5"/>
        <v>0</v>
      </c>
      <c r="AE37" s="59">
        <f t="shared" si="5"/>
        <v>0</v>
      </c>
      <c r="AF37" s="59">
        <f t="shared" si="5"/>
        <v>0</v>
      </c>
      <c r="AG37" s="59">
        <f t="shared" si="5"/>
        <v>0</v>
      </c>
      <c r="AH37" s="59">
        <f t="shared" si="5"/>
        <v>0</v>
      </c>
      <c r="AI37" s="59">
        <f t="shared" si="5"/>
        <v>0</v>
      </c>
      <c r="AJ37" s="59">
        <f t="shared" si="5"/>
        <v>0</v>
      </c>
      <c r="AK37" s="59">
        <f t="shared" si="5"/>
        <v>0</v>
      </c>
      <c r="AL37" s="59">
        <f t="shared" si="5"/>
        <v>0</v>
      </c>
      <c r="AM37" s="59">
        <f t="shared" si="5"/>
        <v>0</v>
      </c>
      <c r="AN37" s="59">
        <f t="shared" si="5"/>
        <v>0</v>
      </c>
      <c r="AO37" s="59">
        <f t="shared" si="5"/>
        <v>0</v>
      </c>
      <c r="AP37" s="59">
        <f t="shared" si="5"/>
        <v>0</v>
      </c>
      <c r="AQ37" s="59">
        <f t="shared" si="5"/>
        <v>0</v>
      </c>
      <c r="AR37" s="59">
        <f t="shared" si="5"/>
        <v>0</v>
      </c>
      <c r="AS37" s="59">
        <f t="shared" si="5"/>
        <v>0</v>
      </c>
      <c r="AT37" s="59">
        <f t="shared" si="5"/>
        <v>0</v>
      </c>
      <c r="AU37" s="59">
        <f t="shared" si="5"/>
        <v>0</v>
      </c>
      <c r="AV37" s="59">
        <f t="shared" si="5"/>
        <v>0</v>
      </c>
      <c r="AW37" s="59">
        <f t="shared" si="5"/>
        <v>0</v>
      </c>
      <c r="AX37" s="59">
        <f t="shared" si="5"/>
        <v>0</v>
      </c>
      <c r="AY37" s="59">
        <f t="shared" si="5"/>
        <v>0</v>
      </c>
      <c r="AZ37" s="59">
        <f t="shared" si="5"/>
        <v>0</v>
      </c>
      <c r="BA37" s="59">
        <f t="shared" si="5"/>
        <v>0</v>
      </c>
      <c r="BB37" s="59">
        <f t="shared" si="5"/>
        <v>0</v>
      </c>
      <c r="BC37" s="59">
        <f t="shared" si="5"/>
        <v>0</v>
      </c>
      <c r="BD37" s="59">
        <f t="shared" si="5"/>
        <v>0</v>
      </c>
      <c r="BE37" s="59">
        <f t="shared" si="5"/>
        <v>0</v>
      </c>
      <c r="BF37" s="59">
        <f t="shared" si="5"/>
        <v>0</v>
      </c>
      <c r="BG37" s="59">
        <f t="shared" si="5"/>
        <v>0</v>
      </c>
      <c r="BH37" s="59">
        <f t="shared" si="5"/>
        <v>0</v>
      </c>
      <c r="BI37" s="59">
        <f t="shared" si="5"/>
        <v>0</v>
      </c>
      <c r="BJ37" s="59">
        <f t="shared" si="5"/>
        <v>0</v>
      </c>
      <c r="BK37" s="59">
        <f t="shared" si="5"/>
        <v>0</v>
      </c>
      <c r="BL37" s="59">
        <f t="shared" si="5"/>
        <v>0</v>
      </c>
      <c r="BM37" s="59">
        <f t="shared" si="5"/>
        <v>0</v>
      </c>
      <c r="BN37" s="59">
        <f t="shared" si="5"/>
        <v>0</v>
      </c>
      <c r="BO37" s="59">
        <f t="shared" si="5"/>
        <v>0</v>
      </c>
      <c r="BP37" s="59">
        <f t="shared" si="5"/>
        <v>0</v>
      </c>
      <c r="BQ37" s="59">
        <f t="shared" si="5"/>
        <v>0</v>
      </c>
      <c r="BR37" s="59">
        <f t="shared" si="5"/>
        <v>0</v>
      </c>
      <c r="BS37" s="59">
        <f t="shared" ref="BS37:CV37" si="6">SUM(BS9:BS36)</f>
        <v>0</v>
      </c>
      <c r="BT37" s="59">
        <f t="shared" si="6"/>
        <v>0</v>
      </c>
      <c r="BU37" s="59">
        <f t="shared" si="6"/>
        <v>0</v>
      </c>
      <c r="BV37" s="59">
        <f t="shared" si="6"/>
        <v>0</v>
      </c>
      <c r="BW37" s="59">
        <f t="shared" si="6"/>
        <v>552.78</v>
      </c>
      <c r="BX37" s="59">
        <f t="shared" si="6"/>
        <v>0</v>
      </c>
      <c r="BY37" s="59">
        <f t="shared" si="6"/>
        <v>-14939.983999999977</v>
      </c>
      <c r="BZ37" s="59">
        <f t="shared" si="6"/>
        <v>-7655370.4809999997</v>
      </c>
      <c r="CA37" s="59">
        <f t="shared" si="6"/>
        <v>-2709461.1695499998</v>
      </c>
      <c r="CB37" s="59">
        <f t="shared" si="6"/>
        <v>0</v>
      </c>
      <c r="CC37" s="59">
        <f t="shared" si="6"/>
        <v>3135.0160000000001</v>
      </c>
      <c r="CD37" s="59">
        <f t="shared" si="6"/>
        <v>0</v>
      </c>
      <c r="CE37" s="59">
        <f t="shared" si="6"/>
        <v>0</v>
      </c>
      <c r="CF37" s="59">
        <f t="shared" si="6"/>
        <v>44966.905999999959</v>
      </c>
      <c r="CG37" s="59">
        <f t="shared" si="6"/>
        <v>0</v>
      </c>
      <c r="CH37" s="59">
        <f t="shared" si="6"/>
        <v>0</v>
      </c>
      <c r="CI37" s="59">
        <f t="shared" si="6"/>
        <v>1713.0540000000037</v>
      </c>
      <c r="CJ37" s="59">
        <f t="shared" si="6"/>
        <v>52747.194000000018</v>
      </c>
      <c r="CK37" s="59">
        <f t="shared" si="6"/>
        <v>0</v>
      </c>
      <c r="CL37" s="59">
        <f t="shared" si="6"/>
        <v>0</v>
      </c>
      <c r="CM37" s="59">
        <f t="shared" si="6"/>
        <v>0</v>
      </c>
      <c r="CN37" s="59">
        <f t="shared" si="6"/>
        <v>0</v>
      </c>
      <c r="CO37" s="59">
        <f t="shared" si="6"/>
        <v>0</v>
      </c>
      <c r="CP37" s="59">
        <f t="shared" si="6"/>
        <v>0</v>
      </c>
      <c r="CQ37" s="59">
        <f t="shared" si="6"/>
        <v>0</v>
      </c>
      <c r="CR37" s="59">
        <f t="shared" si="6"/>
        <v>0</v>
      </c>
      <c r="CS37" s="59">
        <f t="shared" si="6"/>
        <v>0</v>
      </c>
      <c r="CT37" s="59">
        <f t="shared" si="6"/>
        <v>0</v>
      </c>
      <c r="CU37" s="59">
        <f t="shared" si="6"/>
        <v>0</v>
      </c>
      <c r="CV37" s="59">
        <f t="shared" si="6"/>
        <v>0</v>
      </c>
      <c r="CW37" s="43">
        <f t="shared" si="4"/>
        <v>1023332.4640499996</v>
      </c>
    </row>
    <row r="38" spans="2:101" x14ac:dyDescent="0.25">
      <c r="B38" s="60"/>
      <c r="C38" s="61" t="s">
        <v>127</v>
      </c>
      <c r="D38" s="61">
        <f>+D37+D8</f>
        <v>540818.59928000043</v>
      </c>
      <c r="E38" s="61">
        <f>+E37+E8</f>
        <v>23506241.779384553</v>
      </c>
      <c r="F38" s="61">
        <f>+F37+F8</f>
        <v>11583257.823101511</v>
      </c>
      <c r="G38" s="61">
        <f t="shared" ref="G38:BR38" si="7">+G37+G8</f>
        <v>0</v>
      </c>
      <c r="H38" s="61">
        <f t="shared" si="7"/>
        <v>0</v>
      </c>
      <c r="I38" s="61">
        <f t="shared" si="7"/>
        <v>112766.23770999425</v>
      </c>
      <c r="J38" s="61">
        <f t="shared" si="7"/>
        <v>0</v>
      </c>
      <c r="K38" s="61">
        <f t="shared" si="7"/>
        <v>143709.39457214306</v>
      </c>
      <c r="L38" s="61">
        <f t="shared" si="7"/>
        <v>290646.7703032656</v>
      </c>
      <c r="M38" s="61">
        <f t="shared" si="7"/>
        <v>145885.61576086644</v>
      </c>
      <c r="N38" s="61">
        <f t="shared" si="7"/>
        <v>177310.5199999999</v>
      </c>
      <c r="O38" s="61">
        <f t="shared" si="7"/>
        <v>743248.15264999995</v>
      </c>
      <c r="P38" s="61">
        <f t="shared" si="7"/>
        <v>28125015.900000006</v>
      </c>
      <c r="Q38" s="61">
        <f t="shared" si="7"/>
        <v>119340273.03813319</v>
      </c>
      <c r="R38" s="61">
        <f t="shared" si="7"/>
        <v>979516.69</v>
      </c>
      <c r="S38" s="61">
        <f t="shared" si="7"/>
        <v>4437169.9420834994</v>
      </c>
      <c r="T38" s="61">
        <f t="shared" si="7"/>
        <v>0</v>
      </c>
      <c r="U38" s="61">
        <f t="shared" si="7"/>
        <v>0</v>
      </c>
      <c r="V38" s="61">
        <f t="shared" si="7"/>
        <v>0</v>
      </c>
      <c r="W38" s="61">
        <f t="shared" si="7"/>
        <v>0</v>
      </c>
      <c r="X38" s="61">
        <f t="shared" si="7"/>
        <v>0</v>
      </c>
      <c r="Y38" s="61">
        <f t="shared" si="7"/>
        <v>0</v>
      </c>
      <c r="Z38" s="61">
        <f t="shared" si="7"/>
        <v>9662.5274983807467</v>
      </c>
      <c r="AA38" s="61">
        <f t="shared" si="7"/>
        <v>40503.29</v>
      </c>
      <c r="AB38" s="61">
        <f t="shared" si="7"/>
        <v>7542.7499999967404</v>
      </c>
      <c r="AC38" s="61">
        <f t="shared" si="7"/>
        <v>31617.62</v>
      </c>
      <c r="AD38" s="61">
        <f t="shared" si="7"/>
        <v>5155</v>
      </c>
      <c r="AE38" s="61">
        <f t="shared" si="7"/>
        <v>21608.68</v>
      </c>
      <c r="AF38" s="61">
        <f t="shared" si="7"/>
        <v>7956.8699999451637</v>
      </c>
      <c r="AG38" s="61">
        <f t="shared" si="7"/>
        <v>33353.53</v>
      </c>
      <c r="AH38" s="61">
        <f t="shared" si="7"/>
        <v>202018.84999999718</v>
      </c>
      <c r="AI38" s="61">
        <f t="shared" si="7"/>
        <v>846664.08869630005</v>
      </c>
      <c r="AJ38" s="61">
        <f t="shared" si="7"/>
        <v>673596.71999999823</v>
      </c>
      <c r="AK38" s="61">
        <f t="shared" si="7"/>
        <v>2823324.1679230896</v>
      </c>
      <c r="AL38" s="61">
        <f t="shared" si="7"/>
        <v>7196277.692750074</v>
      </c>
      <c r="AM38" s="61">
        <f t="shared" si="7"/>
        <v>59260575.930983536</v>
      </c>
      <c r="AN38" s="61">
        <f t="shared" si="7"/>
        <v>6672054.544230001</v>
      </c>
      <c r="AO38" s="61">
        <f t="shared" si="7"/>
        <v>943840.20692143973</v>
      </c>
      <c r="AP38" s="61">
        <f t="shared" si="7"/>
        <v>8930354.0155337546</v>
      </c>
      <c r="AQ38" s="61">
        <f t="shared" si="7"/>
        <v>1613981.6700221607</v>
      </c>
      <c r="AR38" s="61">
        <f t="shared" si="7"/>
        <v>33752.683643993005</v>
      </c>
      <c r="AS38" s="61">
        <f t="shared" si="7"/>
        <v>6.2719079996137461</v>
      </c>
      <c r="AT38" s="61">
        <f t="shared" si="7"/>
        <v>11.210432002509913</v>
      </c>
      <c r="AU38" s="61">
        <f t="shared" si="7"/>
        <v>70709.869203997281</v>
      </c>
      <c r="AV38" s="61">
        <f t="shared" si="7"/>
        <v>523662.90839880263</v>
      </c>
      <c r="AW38" s="61">
        <f t="shared" si="7"/>
        <v>85667.9885699968</v>
      </c>
      <c r="AX38" s="61">
        <f t="shared" si="7"/>
        <v>1041.3974240010875</v>
      </c>
      <c r="AY38" s="61">
        <f t="shared" si="7"/>
        <v>17450.753311997978</v>
      </c>
      <c r="AZ38" s="61">
        <f t="shared" si="7"/>
        <v>23267.345377323236</v>
      </c>
      <c r="BA38" s="61">
        <f t="shared" si="7"/>
        <v>202118.12872400691</v>
      </c>
      <c r="BB38" s="61">
        <f t="shared" si="7"/>
        <v>69992.348219991152</v>
      </c>
      <c r="BC38" s="61">
        <f t="shared" si="7"/>
        <v>266997.81084799865</v>
      </c>
      <c r="BD38" s="61">
        <f t="shared" si="7"/>
        <v>17059.353599989834</v>
      </c>
      <c r="BE38" s="61">
        <f t="shared" si="7"/>
        <v>256586.81289368056</v>
      </c>
      <c r="BF38" s="61">
        <f t="shared" si="7"/>
        <v>321949.5492303599</v>
      </c>
      <c r="BG38" s="61">
        <f t="shared" si="7"/>
        <v>35109.232018882758</v>
      </c>
      <c r="BH38" s="61">
        <f t="shared" si="7"/>
        <v>27273.514880002102</v>
      </c>
      <c r="BI38" s="61">
        <f t="shared" si="7"/>
        <v>630661.83776839031</v>
      </c>
      <c r="BJ38" s="61">
        <f t="shared" si="7"/>
        <v>197783.28604456017</v>
      </c>
      <c r="BK38" s="61">
        <f t="shared" si="7"/>
        <v>11496991.451116012</v>
      </c>
      <c r="BL38" s="61">
        <f t="shared" si="7"/>
        <v>112760.22292244608</v>
      </c>
      <c r="BM38" s="61">
        <f t="shared" si="7"/>
        <v>1069008.7097271511</v>
      </c>
      <c r="BN38" s="61">
        <f t="shared" si="7"/>
        <v>4098405.8291373812</v>
      </c>
      <c r="BO38" s="61">
        <f t="shared" si="7"/>
        <v>3.4691202304202307E-3</v>
      </c>
      <c r="BP38" s="61">
        <f t="shared" si="7"/>
        <v>255.25434932906549</v>
      </c>
      <c r="BQ38" s="61">
        <f t="shared" si="7"/>
        <v>4.0128798844989433E-3</v>
      </c>
      <c r="BR38" s="61">
        <f t="shared" si="7"/>
        <v>2723100.6460000034</v>
      </c>
      <c r="BS38" s="61">
        <f t="shared" ref="BS38:CV38" si="8">+BS37+BS8</f>
        <v>11426987.824417591</v>
      </c>
      <c r="BT38" s="61">
        <f t="shared" si="8"/>
        <v>346528.85493201896</v>
      </c>
      <c r="BU38" s="61">
        <f t="shared" si="8"/>
        <v>1430768.7844654911</v>
      </c>
      <c r="BV38" s="61">
        <f t="shared" si="8"/>
        <v>8400.1908600000006</v>
      </c>
      <c r="BW38" s="61">
        <f t="shared" si="8"/>
        <v>1155274.8019900008</v>
      </c>
      <c r="BX38" s="61">
        <f t="shared" si="8"/>
        <v>12663.664475599246</v>
      </c>
      <c r="BY38" s="61">
        <f t="shared" si="8"/>
        <v>659203.95900000003</v>
      </c>
      <c r="BZ38" s="61">
        <f t="shared" si="8"/>
        <v>-1492953.5919999992</v>
      </c>
      <c r="CA38" s="61">
        <f t="shared" si="8"/>
        <v>2945577.4509999994</v>
      </c>
      <c r="CB38" s="61">
        <f t="shared" si="8"/>
        <v>18618.56624</v>
      </c>
      <c r="CC38" s="61">
        <f t="shared" si="8"/>
        <v>885121.6681799998</v>
      </c>
      <c r="CD38" s="61">
        <f t="shared" si="8"/>
        <v>0</v>
      </c>
      <c r="CE38" s="61">
        <f t="shared" si="8"/>
        <v>22129.573</v>
      </c>
      <c r="CF38" s="61">
        <f t="shared" si="8"/>
        <v>1281598.71059</v>
      </c>
      <c r="CG38" s="61">
        <f t="shared" si="8"/>
        <v>184196.101</v>
      </c>
      <c r="CH38" s="61">
        <f t="shared" si="8"/>
        <v>2.9318200000000001</v>
      </c>
      <c r="CI38" s="61">
        <f t="shared" si="8"/>
        <v>900709.777</v>
      </c>
      <c r="CJ38" s="61">
        <f t="shared" si="8"/>
        <v>137400.65900000001</v>
      </c>
      <c r="CK38" s="61">
        <f t="shared" si="8"/>
        <v>0</v>
      </c>
      <c r="CL38" s="61">
        <f t="shared" si="8"/>
        <v>0</v>
      </c>
      <c r="CM38" s="61">
        <f t="shared" si="8"/>
        <v>79545.21415</v>
      </c>
      <c r="CN38" s="61">
        <f t="shared" si="8"/>
        <v>662749.23896999995</v>
      </c>
      <c r="CO38" s="61">
        <f t="shared" si="8"/>
        <v>736440.24131999968</v>
      </c>
      <c r="CP38" s="61">
        <f t="shared" si="8"/>
        <v>9152723.6727600005</v>
      </c>
      <c r="CQ38" s="61">
        <f t="shared" si="8"/>
        <v>377918.49939999997</v>
      </c>
      <c r="CR38" s="61">
        <f t="shared" si="8"/>
        <v>2701872.374679999</v>
      </c>
      <c r="CS38" s="61">
        <f t="shared" si="8"/>
        <v>5000</v>
      </c>
      <c r="CT38" s="61">
        <f t="shared" si="8"/>
        <v>20468.599999999999</v>
      </c>
      <c r="CU38" s="61">
        <f t="shared" si="8"/>
        <v>5000</v>
      </c>
      <c r="CV38" s="61">
        <f t="shared" si="8"/>
        <v>20468.599999999999</v>
      </c>
      <c r="CW38" s="43">
        <f t="shared" si="4"/>
        <v>335411989.40802068</v>
      </c>
    </row>
    <row r="39" spans="2:101" x14ac:dyDescent="0.25">
      <c r="B39" s="62"/>
      <c r="C39" s="63" t="s">
        <v>128</v>
      </c>
      <c r="D39" s="63">
        <v>14000</v>
      </c>
      <c r="E39" s="63">
        <v>-12786173.256449999</v>
      </c>
      <c r="F39" s="63">
        <v>-5133000</v>
      </c>
      <c r="G39" s="63">
        <v>0</v>
      </c>
      <c r="H39" s="63">
        <v>0</v>
      </c>
      <c r="I39" s="63">
        <v>58.203859999999999</v>
      </c>
      <c r="J39" s="63">
        <v>0</v>
      </c>
      <c r="K39" s="63">
        <v>0</v>
      </c>
      <c r="L39" s="63">
        <v>-46174.363739081251</v>
      </c>
      <c r="M39" s="63">
        <v>894746.85448400001</v>
      </c>
      <c r="N39" s="63">
        <v>0</v>
      </c>
      <c r="O39" s="63">
        <v>0</v>
      </c>
      <c r="P39" s="63">
        <v>3074190.2800000003</v>
      </c>
      <c r="Q39" s="63">
        <v>13032199.660684399</v>
      </c>
      <c r="R39" s="63">
        <v>5786.12</v>
      </c>
      <c r="S39" s="63">
        <v>24528.693487599925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33.158999999999999</v>
      </c>
      <c r="BB39" s="63">
        <v>11.482999999999999</v>
      </c>
      <c r="BC39" s="63">
        <v>43.803000000000004</v>
      </c>
      <c r="BD39" s="63">
        <v>2.798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58.201509999999999</v>
      </c>
      <c r="BM39" s="63">
        <v>551.76512000000002</v>
      </c>
      <c r="BN39" s="63">
        <v>2115.37907</v>
      </c>
      <c r="BO39" s="63">
        <v>0</v>
      </c>
      <c r="BP39" s="63">
        <v>0.15166000000000002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0</v>
      </c>
      <c r="BX39" s="63">
        <v>0</v>
      </c>
      <c r="BY39" s="63">
        <v>0</v>
      </c>
      <c r="BZ39" s="63">
        <v>3380000</v>
      </c>
      <c r="CA39" s="63">
        <v>4300000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43">
        <f t="shared" si="4"/>
        <v>6762978.9326869212</v>
      </c>
    </row>
    <row r="40" spans="2:101" ht="15.75" thickBot="1" x14ac:dyDescent="0.3">
      <c r="B40" s="64"/>
      <c r="C40" s="65" t="s">
        <v>129</v>
      </c>
      <c r="D40" s="65">
        <f>+D39+D38</f>
        <v>554818.59928000043</v>
      </c>
      <c r="E40" s="65">
        <f>+E39+E38</f>
        <v>10720068.522934554</v>
      </c>
      <c r="F40" s="65">
        <f>+F39+F38</f>
        <v>6450257.8231015112</v>
      </c>
      <c r="G40" s="65">
        <f t="shared" ref="G40:BR40" si="9">+G39+G38</f>
        <v>0</v>
      </c>
      <c r="H40" s="65">
        <f t="shared" si="9"/>
        <v>0</v>
      </c>
      <c r="I40" s="65">
        <f t="shared" si="9"/>
        <v>112824.44156999425</v>
      </c>
      <c r="J40" s="65">
        <f t="shared" si="9"/>
        <v>0</v>
      </c>
      <c r="K40" s="65">
        <f t="shared" si="9"/>
        <v>143709.39457214306</v>
      </c>
      <c r="L40" s="65">
        <f t="shared" si="9"/>
        <v>244472.40656418435</v>
      </c>
      <c r="M40" s="65">
        <f t="shared" si="9"/>
        <v>1040632.4702448664</v>
      </c>
      <c r="N40" s="65">
        <f t="shared" si="9"/>
        <v>177310.5199999999</v>
      </c>
      <c r="O40" s="65">
        <f t="shared" si="9"/>
        <v>743248.15264999995</v>
      </c>
      <c r="P40" s="65">
        <f t="shared" si="9"/>
        <v>31199206.180000007</v>
      </c>
      <c r="Q40" s="65">
        <f t="shared" si="9"/>
        <v>132372472.69881758</v>
      </c>
      <c r="R40" s="65">
        <f t="shared" si="9"/>
        <v>985302.80999999994</v>
      </c>
      <c r="S40" s="65">
        <f t="shared" si="9"/>
        <v>4461698.6355710989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9662.5274983807467</v>
      </c>
      <c r="AA40" s="65">
        <f t="shared" si="9"/>
        <v>40503.29</v>
      </c>
      <c r="AB40" s="65">
        <f t="shared" si="9"/>
        <v>7542.7499999967404</v>
      </c>
      <c r="AC40" s="65">
        <f t="shared" si="9"/>
        <v>31617.62</v>
      </c>
      <c r="AD40" s="65">
        <f t="shared" si="9"/>
        <v>5155</v>
      </c>
      <c r="AE40" s="65">
        <f t="shared" si="9"/>
        <v>21608.68</v>
      </c>
      <c r="AF40" s="65">
        <f t="shared" si="9"/>
        <v>7956.8699999451637</v>
      </c>
      <c r="AG40" s="65">
        <f t="shared" si="9"/>
        <v>33353.53</v>
      </c>
      <c r="AH40" s="65">
        <f t="shared" si="9"/>
        <v>202018.84999999718</v>
      </c>
      <c r="AI40" s="65">
        <f t="shared" si="9"/>
        <v>846664.08869630005</v>
      </c>
      <c r="AJ40" s="65">
        <f t="shared" si="9"/>
        <v>673596.71999999823</v>
      </c>
      <c r="AK40" s="65">
        <f t="shared" si="9"/>
        <v>2823324.1679230896</v>
      </c>
      <c r="AL40" s="65">
        <f t="shared" si="9"/>
        <v>7196277.692750074</v>
      </c>
      <c r="AM40" s="65">
        <f t="shared" si="9"/>
        <v>59260575.930983536</v>
      </c>
      <c r="AN40" s="65">
        <f t="shared" si="9"/>
        <v>6672054.544230001</v>
      </c>
      <c r="AO40" s="65">
        <f t="shared" si="9"/>
        <v>943840.20692143973</v>
      </c>
      <c r="AP40" s="65">
        <f t="shared" si="9"/>
        <v>8930354.0155337546</v>
      </c>
      <c r="AQ40" s="65">
        <f t="shared" si="9"/>
        <v>1613981.6700221607</v>
      </c>
      <c r="AR40" s="65">
        <f t="shared" si="9"/>
        <v>33752.683643993005</v>
      </c>
      <c r="AS40" s="65">
        <f t="shared" si="9"/>
        <v>6.2719079996137461</v>
      </c>
      <c r="AT40" s="65">
        <f t="shared" si="9"/>
        <v>11.210432002509913</v>
      </c>
      <c r="AU40" s="65">
        <f t="shared" si="9"/>
        <v>70709.869203997281</v>
      </c>
      <c r="AV40" s="65">
        <f t="shared" si="9"/>
        <v>523662.90839880263</v>
      </c>
      <c r="AW40" s="65">
        <f t="shared" si="9"/>
        <v>85667.9885699968</v>
      </c>
      <c r="AX40" s="65">
        <f t="shared" si="9"/>
        <v>1041.3974240010875</v>
      </c>
      <c r="AY40" s="65">
        <f t="shared" si="9"/>
        <v>17450.753311997978</v>
      </c>
      <c r="AZ40" s="65">
        <f t="shared" si="9"/>
        <v>23267.345377323236</v>
      </c>
      <c r="BA40" s="65">
        <f t="shared" si="9"/>
        <v>202151.28772400692</v>
      </c>
      <c r="BB40" s="65">
        <f t="shared" si="9"/>
        <v>70003.831219991145</v>
      </c>
      <c r="BC40" s="65">
        <f t="shared" si="9"/>
        <v>267041.61384799867</v>
      </c>
      <c r="BD40" s="65">
        <f t="shared" si="9"/>
        <v>17062.151599989833</v>
      </c>
      <c r="BE40" s="65">
        <f t="shared" si="9"/>
        <v>256586.81289368056</v>
      </c>
      <c r="BF40" s="65">
        <f t="shared" si="9"/>
        <v>321949.5492303599</v>
      </c>
      <c r="BG40" s="65">
        <f t="shared" si="9"/>
        <v>35109.232018882758</v>
      </c>
      <c r="BH40" s="65">
        <f t="shared" si="9"/>
        <v>27273.514880002102</v>
      </c>
      <c r="BI40" s="65">
        <f t="shared" si="9"/>
        <v>630661.83776839031</v>
      </c>
      <c r="BJ40" s="65">
        <f t="shared" si="9"/>
        <v>197783.28604456017</v>
      </c>
      <c r="BK40" s="65">
        <f t="shared" si="9"/>
        <v>11496991.451116012</v>
      </c>
      <c r="BL40" s="65">
        <f t="shared" si="9"/>
        <v>112818.42443244607</v>
      </c>
      <c r="BM40" s="65">
        <f t="shared" si="9"/>
        <v>1069560.4748471512</v>
      </c>
      <c r="BN40" s="65">
        <f t="shared" si="9"/>
        <v>4100521.208207381</v>
      </c>
      <c r="BO40" s="65">
        <f t="shared" si="9"/>
        <v>3.4691202304202307E-3</v>
      </c>
      <c r="BP40" s="65">
        <f t="shared" si="9"/>
        <v>255.40600932906548</v>
      </c>
      <c r="BQ40" s="65">
        <f t="shared" si="9"/>
        <v>4.0128798844989433E-3</v>
      </c>
      <c r="BR40" s="65">
        <f t="shared" si="9"/>
        <v>2723100.6460000034</v>
      </c>
      <c r="BS40" s="65">
        <f t="shared" ref="BS40:CV40" si="10">+BS39+BS38</f>
        <v>11426987.824417591</v>
      </c>
      <c r="BT40" s="65">
        <f t="shared" si="10"/>
        <v>346528.85493201896</v>
      </c>
      <c r="BU40" s="65">
        <f t="shared" si="10"/>
        <v>1430768.7844654911</v>
      </c>
      <c r="BV40" s="65">
        <f t="shared" si="10"/>
        <v>8400.1908600000006</v>
      </c>
      <c r="BW40" s="65">
        <f t="shared" si="10"/>
        <v>1155274.8019900008</v>
      </c>
      <c r="BX40" s="65">
        <f t="shared" si="10"/>
        <v>12663.664475599246</v>
      </c>
      <c r="BY40" s="65">
        <f t="shared" si="10"/>
        <v>659203.95900000003</v>
      </c>
      <c r="BZ40" s="65">
        <f t="shared" si="10"/>
        <v>1887046.4080000008</v>
      </c>
      <c r="CA40" s="65">
        <f t="shared" si="10"/>
        <v>7245577.4509999994</v>
      </c>
      <c r="CB40" s="65">
        <f t="shared" si="10"/>
        <v>18618.56624</v>
      </c>
      <c r="CC40" s="65">
        <f t="shared" si="10"/>
        <v>885121.6681799998</v>
      </c>
      <c r="CD40" s="65">
        <f t="shared" si="10"/>
        <v>0</v>
      </c>
      <c r="CE40" s="65">
        <f t="shared" si="10"/>
        <v>22129.573</v>
      </c>
      <c r="CF40" s="65">
        <f t="shared" si="10"/>
        <v>1281598.71059</v>
      </c>
      <c r="CG40" s="65">
        <f t="shared" si="10"/>
        <v>184196.101</v>
      </c>
      <c r="CH40" s="65">
        <f>+CH39+CH38</f>
        <v>2.9318200000000001</v>
      </c>
      <c r="CI40" s="65">
        <f t="shared" si="10"/>
        <v>900709.777</v>
      </c>
      <c r="CJ40" s="65">
        <f t="shared" si="10"/>
        <v>137400.65900000001</v>
      </c>
      <c r="CK40" s="65">
        <f t="shared" si="10"/>
        <v>0</v>
      </c>
      <c r="CL40" s="65">
        <f t="shared" si="10"/>
        <v>0</v>
      </c>
      <c r="CM40" s="65">
        <f t="shared" si="10"/>
        <v>79545.21415</v>
      </c>
      <c r="CN40" s="65">
        <f t="shared" si="10"/>
        <v>662749.23896999995</v>
      </c>
      <c r="CO40" s="65">
        <f t="shared" si="10"/>
        <v>736440.24131999968</v>
      </c>
      <c r="CP40" s="65">
        <f t="shared" si="10"/>
        <v>9152723.6727600005</v>
      </c>
      <c r="CQ40" s="65">
        <f t="shared" si="10"/>
        <v>377918.49939999997</v>
      </c>
      <c r="CR40" s="65">
        <f t="shared" si="10"/>
        <v>2701872.374679999</v>
      </c>
      <c r="CS40" s="65">
        <f t="shared" si="10"/>
        <v>5000</v>
      </c>
      <c r="CT40" s="65">
        <f t="shared" si="10"/>
        <v>20468.599999999999</v>
      </c>
      <c r="CU40" s="65">
        <f t="shared" si="10"/>
        <v>5000</v>
      </c>
      <c r="CV40" s="65">
        <f t="shared" si="10"/>
        <v>20468.599999999999</v>
      </c>
      <c r="CW40" s="43">
        <f t="shared" si="4"/>
        <v>342174968.34070754</v>
      </c>
    </row>
    <row r="41" spans="2:101" ht="15.75" thickBot="1" x14ac:dyDescent="0.3"/>
    <row r="42" spans="2:101" x14ac:dyDescent="0.25">
      <c r="C42" s="67" t="s">
        <v>130</v>
      </c>
      <c r="D42" s="68">
        <f>+D37+D39</f>
        <v>595.21756000000096</v>
      </c>
      <c r="E42" s="68">
        <f>+E37+E39</f>
        <v>-3697780.6438999996</v>
      </c>
      <c r="F42" s="69">
        <f>+F37+F39</f>
        <v>-2907998.681510001</v>
      </c>
      <c r="G42" s="88">
        <v>20375.599999999999</v>
      </c>
      <c r="H42" s="88">
        <v>20376.599999999999</v>
      </c>
      <c r="I42" s="88">
        <v>20377.599999999999</v>
      </c>
      <c r="J42" s="88">
        <v>20378.599999999999</v>
      </c>
      <c r="K42" s="88">
        <v>20379.599999999999</v>
      </c>
      <c r="L42" s="88">
        <v>20380.599999999999</v>
      </c>
      <c r="M42" s="88">
        <v>20381.599999999999</v>
      </c>
      <c r="N42" s="88">
        <v>20382.599999999999</v>
      </c>
      <c r="O42" s="88">
        <v>20383.599999999999</v>
      </c>
      <c r="P42" s="88">
        <v>20384.599999999999</v>
      </c>
      <c r="Q42" s="88">
        <v>20385.599999999999</v>
      </c>
      <c r="R42" s="88">
        <v>20386.599999999999</v>
      </c>
      <c r="S42" s="88">
        <v>20387.599999999999</v>
      </c>
      <c r="T42" s="88">
        <v>20388.599999999999</v>
      </c>
      <c r="U42" s="88">
        <v>20389.599999999999</v>
      </c>
      <c r="V42" s="88">
        <v>20390.599999999999</v>
      </c>
      <c r="W42" s="88">
        <v>20391.599999999999</v>
      </c>
      <c r="X42" s="88">
        <v>20392.599999999999</v>
      </c>
      <c r="Y42" s="88">
        <v>20393.599999999999</v>
      </c>
      <c r="Z42" s="88">
        <v>20394.599999999999</v>
      </c>
      <c r="AA42" s="88">
        <v>20395.599999999999</v>
      </c>
      <c r="AB42" s="88">
        <v>20396.599999999999</v>
      </c>
      <c r="AC42" s="88">
        <v>20397.599999999999</v>
      </c>
      <c r="AD42" s="88">
        <v>20398.599999999999</v>
      </c>
      <c r="AE42" s="88">
        <v>20399.599999999999</v>
      </c>
      <c r="AF42" s="88">
        <v>20400.599999999999</v>
      </c>
      <c r="AG42" s="88">
        <v>20401.599999999999</v>
      </c>
      <c r="AH42" s="88">
        <v>20402.599999999999</v>
      </c>
      <c r="AI42" s="88">
        <v>20403.599999999999</v>
      </c>
      <c r="AJ42" s="88">
        <v>20404.599999999999</v>
      </c>
      <c r="AK42" s="88">
        <v>20405.599999999999</v>
      </c>
      <c r="AL42" s="88">
        <v>20406.599999999999</v>
      </c>
      <c r="AM42" s="88">
        <v>20407.599999999999</v>
      </c>
      <c r="AN42" s="88">
        <v>20408.599999999999</v>
      </c>
      <c r="AO42" s="88">
        <v>20409.599999999999</v>
      </c>
      <c r="AP42" s="88">
        <v>20410.599999999999</v>
      </c>
      <c r="AQ42" s="88">
        <v>20411.599999999999</v>
      </c>
      <c r="AR42" s="88">
        <v>20412.599999999999</v>
      </c>
      <c r="AS42" s="88">
        <v>20413.599999999999</v>
      </c>
      <c r="AT42" s="88">
        <v>20414.599999999999</v>
      </c>
      <c r="AU42" s="88">
        <v>20415.599999999999</v>
      </c>
      <c r="AV42" s="88">
        <v>20416.599999999999</v>
      </c>
      <c r="AW42" s="88">
        <v>20417.599999999999</v>
      </c>
      <c r="AX42" s="88">
        <v>20418.599999999999</v>
      </c>
      <c r="AY42" s="88">
        <v>20419.599999999999</v>
      </c>
      <c r="AZ42" s="88">
        <v>20420.599999999999</v>
      </c>
      <c r="BA42" s="88">
        <v>20421.599999999999</v>
      </c>
      <c r="BB42" s="88">
        <v>20422.599999999999</v>
      </c>
      <c r="BC42" s="88">
        <v>20423.599999999999</v>
      </c>
      <c r="BD42" s="88">
        <v>20424.599999999999</v>
      </c>
      <c r="BE42" s="88">
        <v>20425.599999999999</v>
      </c>
      <c r="BF42" s="88">
        <v>20426.599999999999</v>
      </c>
      <c r="BG42" s="88">
        <v>20427.599999999999</v>
      </c>
      <c r="BH42" s="88">
        <v>20428.599999999999</v>
      </c>
      <c r="BI42" s="88">
        <v>20429.599999999999</v>
      </c>
      <c r="BJ42" s="88">
        <v>20430.599999999999</v>
      </c>
      <c r="BK42" s="88">
        <v>20431.599999999999</v>
      </c>
      <c r="BL42" s="88">
        <v>20432.599999999999</v>
      </c>
      <c r="BM42" s="88">
        <v>20433.599999999999</v>
      </c>
      <c r="BN42" s="88">
        <v>20434.599999999999</v>
      </c>
      <c r="BO42" s="88">
        <v>20435.599999999999</v>
      </c>
      <c r="BP42" s="88">
        <v>20436.599999999999</v>
      </c>
      <c r="BQ42" s="88">
        <v>20437.599999999999</v>
      </c>
      <c r="BR42" s="88">
        <v>20438.599999999999</v>
      </c>
      <c r="BS42" s="88">
        <v>20439.599999999999</v>
      </c>
      <c r="BT42" s="88">
        <v>20440.599999999999</v>
      </c>
      <c r="BU42" s="88">
        <v>20441.599999999999</v>
      </c>
      <c r="BV42" s="88">
        <v>20442.599999999999</v>
      </c>
      <c r="BW42" s="88">
        <v>20443.599999999999</v>
      </c>
      <c r="BX42" s="88">
        <v>20444.599999999999</v>
      </c>
      <c r="BY42" s="88">
        <v>20445.599999999999</v>
      </c>
      <c r="BZ42" s="88">
        <v>20446.599999999999</v>
      </c>
      <c r="CA42" s="88">
        <v>20447.599999999999</v>
      </c>
      <c r="CB42" s="88">
        <v>20448.599999999999</v>
      </c>
      <c r="CC42" s="88">
        <v>20449.599999999999</v>
      </c>
      <c r="CD42" s="88">
        <v>20450.599999999999</v>
      </c>
      <c r="CE42" s="88">
        <v>20451.599999999999</v>
      </c>
      <c r="CF42" s="88">
        <v>20452.599999999999</v>
      </c>
      <c r="CG42" s="88">
        <v>20453.599999999999</v>
      </c>
      <c r="CH42" s="88">
        <v>20454.599999999999</v>
      </c>
      <c r="CI42" s="88">
        <v>20455.599999999999</v>
      </c>
      <c r="CJ42" s="88">
        <v>20456.599999999999</v>
      </c>
      <c r="CK42" s="88">
        <v>20457.599999999999</v>
      </c>
      <c r="CL42" s="88">
        <v>20458.599999999999</v>
      </c>
      <c r="CM42" s="88">
        <v>20459.599999999999</v>
      </c>
      <c r="CN42" s="88">
        <v>20460.599999999999</v>
      </c>
      <c r="CO42" s="88">
        <v>20461.599999999999</v>
      </c>
      <c r="CP42" s="88">
        <v>20462.599999999999</v>
      </c>
      <c r="CQ42" s="88">
        <v>20463.599999999999</v>
      </c>
      <c r="CR42" s="88">
        <v>20464.599999999999</v>
      </c>
      <c r="CS42" s="88">
        <v>20465.599999999999</v>
      </c>
      <c r="CT42" s="88">
        <v>20466.599999999999</v>
      </c>
      <c r="CU42" s="88">
        <v>20467.599999999999</v>
      </c>
      <c r="CV42" s="88">
        <v>20468.599999999999</v>
      </c>
    </row>
    <row r="43" spans="2:101" x14ac:dyDescent="0.25">
      <c r="C43" s="70" t="s">
        <v>131</v>
      </c>
      <c r="D43" s="71">
        <v>595.21755999999903</v>
      </c>
      <c r="E43" s="71">
        <v>-3697780.6398999998</v>
      </c>
      <c r="F43" s="71">
        <v>-2907998.6797500001</v>
      </c>
      <c r="G43" s="66"/>
      <c r="H43" s="66"/>
      <c r="CT43" s="66"/>
      <c r="CU43" s="66"/>
      <c r="CV43" s="66"/>
    </row>
    <row r="44" spans="2:101" ht="15.75" thickBot="1" x14ac:dyDescent="0.3">
      <c r="C44" s="73" t="s">
        <v>132</v>
      </c>
      <c r="D44" s="74">
        <f>+D42-D43</f>
        <v>1.9326762412674725E-12</v>
      </c>
      <c r="E44" s="74">
        <f>+E42-E43</f>
        <v>-3.9999997243285179E-3</v>
      </c>
      <c r="F44" s="75">
        <f>+F42-F43</f>
        <v>-1.760000828653574E-3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</row>
    <row r="45" spans="2:101" x14ac:dyDescent="0.25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</row>
    <row r="46" spans="2:101" x14ac:dyDescent="0.25">
      <c r="D46" s="10">
        <v>9610</v>
      </c>
      <c r="E46" s="10">
        <v>5433991625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2:101" x14ac:dyDescent="0.25">
      <c r="D47" s="10">
        <v>8236</v>
      </c>
      <c r="E47" s="10">
        <v>3163481275</v>
      </c>
      <c r="I47" s="66" t="s">
        <v>133</v>
      </c>
      <c r="AL47" s="76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</row>
    <row r="48" spans="2:101" x14ac:dyDescent="0.25">
      <c r="D48" s="10">
        <v>9594</v>
      </c>
      <c r="E48" s="77">
        <v>1815791494.75</v>
      </c>
      <c r="AL48" s="76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</row>
    <row r="49" spans="2:97" x14ac:dyDescent="0.25">
      <c r="C49" s="78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</row>
    <row r="50" spans="2:97" x14ac:dyDescent="0.25"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/>
    </row>
    <row r="51" spans="2:97" x14ac:dyDescent="0.25">
      <c r="CS51"/>
    </row>
    <row r="52" spans="2:97" x14ac:dyDescent="0.25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/>
    </row>
    <row r="53" spans="2:97" x14ac:dyDescent="0.25">
      <c r="CS53"/>
    </row>
    <row r="54" spans="2:97" x14ac:dyDescent="0.25">
      <c r="CS54"/>
    </row>
    <row r="55" spans="2:97" x14ac:dyDescent="0.25">
      <c r="CS55"/>
    </row>
    <row r="58" spans="2:97" x14ac:dyDescent="0.25">
      <c r="B58" s="66"/>
      <c r="C58" s="66"/>
      <c r="D58" s="66"/>
      <c r="E58" s="66"/>
      <c r="F58" s="66"/>
      <c r="G58" s="66"/>
      <c r="H58" s="66"/>
      <c r="CM58"/>
      <c r="CN58"/>
      <c r="CO58"/>
      <c r="CP58"/>
      <c r="CQ58"/>
      <c r="CR58"/>
    </row>
    <row r="59" spans="2:97" x14ac:dyDescent="0.25">
      <c r="B59" s="66"/>
      <c r="C59" s="66"/>
      <c r="D59" s="66"/>
      <c r="E59" s="66"/>
      <c r="F59" s="66"/>
      <c r="G59" s="66"/>
      <c r="H59" s="66"/>
      <c r="CM59"/>
      <c r="CN59"/>
      <c r="CO59"/>
      <c r="CP59"/>
      <c r="CQ59"/>
      <c r="CR59"/>
    </row>
    <row r="60" spans="2:97" x14ac:dyDescent="0.25">
      <c r="B60" s="66"/>
      <c r="C60" s="66"/>
      <c r="D60" s="66"/>
      <c r="E60" s="66"/>
      <c r="F60" s="66"/>
      <c r="G60" s="66"/>
      <c r="H60" s="66"/>
      <c r="CM60"/>
      <c r="CN60"/>
      <c r="CO60"/>
      <c r="CP60"/>
      <c r="CQ60"/>
      <c r="CR60"/>
    </row>
    <row r="61" spans="2:97" x14ac:dyDescent="0.25">
      <c r="B61" s="66"/>
      <c r="C61" s="66"/>
      <c r="D61" s="66"/>
      <c r="E61" s="66"/>
      <c r="F61" s="66"/>
      <c r="G61" s="66"/>
      <c r="H61" s="66"/>
      <c r="CM61"/>
      <c r="CN61"/>
      <c r="CO61"/>
      <c r="CP61"/>
      <c r="CQ61"/>
      <c r="CR61"/>
    </row>
    <row r="62" spans="2:97" x14ac:dyDescent="0.25">
      <c r="B62" s="66"/>
      <c r="C62" s="66"/>
      <c r="D62" s="66"/>
      <c r="E62" s="66"/>
      <c r="F62" s="66"/>
      <c r="G62" s="66"/>
      <c r="H62" s="66"/>
      <c r="CM62"/>
      <c r="CN62"/>
      <c r="CO62"/>
      <c r="CP62"/>
      <c r="CQ62"/>
      <c r="CR62"/>
    </row>
    <row r="63" spans="2:97" x14ac:dyDescent="0.25">
      <c r="B63" s="66"/>
      <c r="C63" s="66"/>
      <c r="D63" s="66"/>
      <c r="E63" s="66"/>
      <c r="F63" s="66"/>
      <c r="G63" s="66"/>
      <c r="H63" s="66"/>
      <c r="CM63"/>
      <c r="CN63"/>
      <c r="CO63"/>
      <c r="CP63"/>
      <c r="CQ63"/>
      <c r="CR63"/>
    </row>
  </sheetData>
  <mergeCells count="1">
    <mergeCell ref="AP2:AP3"/>
  </mergeCells>
  <pageMargins left="0.7" right="0.7" top="0.75" bottom="0.75" header="0.3" footer="0.3"/>
  <pageSetup orientation="portrait" r:id="rId1"/>
  <customProperties>
    <customPr name="QAA_DRILLPATH_NODE_ID" r:id="rId2"/>
  </customProperties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3"/>
  <sheetViews>
    <sheetView zoomScale="112" zoomScaleNormal="112" workbookViewId="0">
      <selection activeCell="BU18" sqref="BU18"/>
    </sheetView>
  </sheetViews>
  <sheetFormatPr baseColWidth="10" defaultRowHeight="15" outlineLevelCol="2" x14ac:dyDescent="0.25"/>
  <cols>
    <col min="1" max="1" width="8.5703125" style="10" customWidth="1"/>
    <col min="2" max="2" width="10" style="10" bestFit="1" customWidth="1"/>
    <col min="3" max="3" width="43" style="10" bestFit="1" customWidth="1"/>
    <col min="4" max="5" width="19.42578125" style="10" bestFit="1" customWidth="1"/>
    <col min="6" max="6" width="21.85546875" style="10" bestFit="1" customWidth="1"/>
    <col min="7" max="7" width="19.5703125" style="10" customWidth="1" outlineLevel="1"/>
    <col min="8" max="8" width="17.85546875" style="10" customWidth="1" outlineLevel="1"/>
    <col min="9" max="9" width="17.85546875" style="66" bestFit="1" customWidth="1"/>
    <col min="10" max="10" width="17.85546875" style="66" customWidth="1" outlineLevel="2"/>
    <col min="11" max="13" width="16.42578125" style="66" customWidth="1" outlineLevel="2"/>
    <col min="14" max="14" width="18.85546875" style="66" customWidth="1" outlineLevel="2"/>
    <col min="15" max="15" width="21" style="66" customWidth="1" outlineLevel="2"/>
    <col min="16" max="17" width="14.140625" style="66" customWidth="1" outlineLevel="2"/>
    <col min="18" max="18" width="16.42578125" style="66" customWidth="1" outlineLevel="2"/>
    <col min="19" max="25" width="18.42578125" style="66" customWidth="1" outlineLevel="2"/>
    <col min="26" max="26" width="18.85546875" style="66" customWidth="1" outlineLevel="2"/>
    <col min="27" max="27" width="21" style="66" customWidth="1" outlineLevel="2"/>
    <col min="28" max="29" width="14.5703125" style="66" customWidth="1" outlineLevel="2"/>
    <col min="30" max="30" width="16.42578125" style="66" customWidth="1" outlineLevel="2"/>
    <col min="31" max="31" width="18.42578125" style="66" customWidth="1" outlineLevel="2"/>
    <col min="32" max="32" width="18.140625" style="66" customWidth="1" outlineLevel="2"/>
    <col min="33" max="33" width="20.140625" style="66" customWidth="1" outlineLevel="2"/>
    <col min="34" max="37" width="14.5703125" style="66" customWidth="1" outlineLevel="2"/>
    <col min="38" max="38" width="14.42578125" style="66" bestFit="1" customWidth="1"/>
    <col min="39" max="40" width="13.42578125" style="66" bestFit="1" customWidth="1"/>
    <col min="41" max="41" width="12.42578125" style="66" bestFit="1" customWidth="1"/>
    <col min="42" max="42" width="17.140625" style="66" bestFit="1" customWidth="1"/>
    <col min="43" max="43" width="17.140625" style="66" customWidth="1"/>
    <col min="44" max="48" width="17.42578125" style="66" customWidth="1" outlineLevel="1"/>
    <col min="49" max="49" width="15.140625" style="66" customWidth="1" outlineLevel="1"/>
    <col min="50" max="50" width="9.85546875" style="66" customWidth="1" outlineLevel="1"/>
    <col min="51" max="51" width="12.5703125" style="66" customWidth="1" outlineLevel="1"/>
    <col min="52" max="52" width="14.42578125" style="66" customWidth="1" outlineLevel="1"/>
    <col min="53" max="53" width="15.140625" style="66" customWidth="1" outlineLevel="1"/>
    <col min="54" max="55" width="11.85546875" style="66" customWidth="1" outlineLevel="1"/>
    <col min="56" max="56" width="12.5703125" style="66" customWidth="1" outlineLevel="1"/>
    <col min="57" max="59" width="16.5703125" style="66" customWidth="1" outlineLevel="1"/>
    <col min="60" max="60" width="15.140625" style="66" customWidth="1" outlineLevel="1"/>
    <col min="61" max="62" width="13.5703125" style="66" customWidth="1" outlineLevel="1"/>
    <col min="63" max="63" width="14.42578125" style="66" customWidth="1" outlineLevel="1"/>
    <col min="64" max="64" width="19.5703125" style="66" customWidth="1" outlineLevel="1"/>
    <col min="65" max="66" width="17.85546875" style="66" customWidth="1" outlineLevel="1"/>
    <col min="67" max="67" width="12.85546875" style="66" customWidth="1" outlineLevel="1"/>
    <col min="68" max="68" width="13.5703125" style="66" customWidth="1" outlineLevel="1"/>
    <col min="69" max="69" width="18.85546875" style="66" customWidth="1" outlineLevel="1"/>
    <col min="70" max="70" width="20.140625" style="66" customWidth="1" outlineLevel="1"/>
    <col min="71" max="73" width="20.140625" style="66" bestFit="1" customWidth="1"/>
    <col min="74" max="76" width="17.42578125" style="66" bestFit="1" customWidth="1"/>
    <col min="77" max="77" width="15.140625" style="66" bestFit="1" customWidth="1"/>
    <col min="78" max="79" width="14.42578125" style="66" bestFit="1" customWidth="1"/>
    <col min="80" max="80" width="15.140625" style="66" bestFit="1" customWidth="1"/>
    <col min="81" max="82" width="15" style="66" bestFit="1" customWidth="1"/>
    <col min="83" max="83" width="15.140625" style="66" bestFit="1" customWidth="1"/>
    <col min="84" max="84" width="10.42578125" style="66" bestFit="1" customWidth="1"/>
    <col min="85" max="85" width="12.5703125" style="66" bestFit="1" customWidth="1"/>
    <col min="86" max="86" width="16.5703125" style="66" bestFit="1" customWidth="1"/>
    <col min="87" max="88" width="19.7109375" style="66" bestFit="1" customWidth="1"/>
    <col min="89" max="89" width="15.5703125" style="66" customWidth="1"/>
    <col min="90" max="90" width="11.28515625" style="66" customWidth="1"/>
    <col min="91" max="91" width="17.85546875" style="66" bestFit="1" customWidth="1"/>
    <col min="92" max="92" width="14.42578125" style="66" customWidth="1"/>
    <col min="93" max="93" width="14.28515625" style="66" bestFit="1" customWidth="1"/>
    <col min="94" max="95" width="19.7109375" style="66" bestFit="1" customWidth="1"/>
    <col min="96" max="96" width="16.5703125" style="66" bestFit="1" customWidth="1"/>
    <col min="97" max="97" width="22" style="66" bestFit="1" customWidth="1"/>
    <col min="98" max="98" width="12" bestFit="1" customWidth="1"/>
    <col min="99" max="99" width="11.5703125" bestFit="1" customWidth="1"/>
    <col min="100" max="100" width="12" bestFit="1" customWidth="1"/>
    <col min="101" max="101" width="15.28515625" bestFit="1" customWidth="1"/>
  </cols>
  <sheetData>
    <row r="1" spans="1:101" ht="28.5" x14ac:dyDescent="0.45">
      <c r="A1" s="1"/>
      <c r="B1" s="1"/>
      <c r="C1" s="1"/>
      <c r="D1" s="2"/>
      <c r="E1" s="3"/>
      <c r="F1" s="3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5"/>
      <c r="AN1" s="5"/>
      <c r="AO1" s="5"/>
      <c r="AP1" s="5"/>
      <c r="AQ1" s="5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6"/>
      <c r="BM1" s="4"/>
      <c r="BN1" s="4"/>
      <c r="BO1" s="4"/>
      <c r="BP1" s="4"/>
      <c r="BQ1" s="4"/>
      <c r="BR1" s="7"/>
      <c r="BS1" s="7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8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spans="1:101" ht="15" customHeight="1" x14ac:dyDescent="0.25">
      <c r="D2" s="11" t="s">
        <v>0</v>
      </c>
      <c r="E2" s="11" t="s">
        <v>1</v>
      </c>
      <c r="F2" s="11" t="s">
        <v>2</v>
      </c>
      <c r="G2" s="12" t="s">
        <v>3</v>
      </c>
      <c r="H2" s="12" t="s">
        <v>4</v>
      </c>
      <c r="I2" s="13" t="s">
        <v>5</v>
      </c>
      <c r="J2" s="12" t="s">
        <v>6</v>
      </c>
      <c r="K2" s="12" t="s">
        <v>0</v>
      </c>
      <c r="L2" s="12" t="s">
        <v>1</v>
      </c>
      <c r="M2" s="12" t="s">
        <v>2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12" t="s">
        <v>12</v>
      </c>
      <c r="T2" s="16" t="s">
        <v>7</v>
      </c>
      <c r="U2" s="16" t="s">
        <v>8</v>
      </c>
      <c r="V2" s="16" t="s">
        <v>134</v>
      </c>
      <c r="W2" s="16" t="s">
        <v>135</v>
      </c>
      <c r="X2" s="16" t="s">
        <v>11</v>
      </c>
      <c r="Y2" s="16" t="s">
        <v>12</v>
      </c>
      <c r="Z2" s="12" t="s">
        <v>7</v>
      </c>
      <c r="AA2" s="12" t="s">
        <v>8</v>
      </c>
      <c r="AB2" s="12" t="s">
        <v>9</v>
      </c>
      <c r="AC2" s="12" t="s">
        <v>10</v>
      </c>
      <c r="AD2" s="12" t="s">
        <v>11</v>
      </c>
      <c r="AE2" s="12" t="s">
        <v>12</v>
      </c>
      <c r="AF2" s="12" t="s">
        <v>13</v>
      </c>
      <c r="AG2" s="12" t="s">
        <v>14</v>
      </c>
      <c r="AH2" s="12" t="s">
        <v>15</v>
      </c>
      <c r="AI2" s="12" t="s">
        <v>16</v>
      </c>
      <c r="AJ2" s="12" t="s">
        <v>17</v>
      </c>
      <c r="AK2" s="12" t="s">
        <v>18</v>
      </c>
      <c r="AL2" s="14" t="s">
        <v>19</v>
      </c>
      <c r="AM2" s="14" t="s">
        <v>20</v>
      </c>
      <c r="AN2" s="15" t="s">
        <v>21</v>
      </c>
      <c r="AO2" s="15" t="s">
        <v>22</v>
      </c>
      <c r="AP2" s="89" t="s">
        <v>23</v>
      </c>
      <c r="AQ2" s="83"/>
      <c r="AR2" s="16" t="s">
        <v>0</v>
      </c>
      <c r="AS2" s="16" t="s">
        <v>24</v>
      </c>
      <c r="AT2" s="12" t="s">
        <v>5</v>
      </c>
      <c r="AU2" s="12" t="s">
        <v>2</v>
      </c>
      <c r="AV2" s="12" t="s">
        <v>19</v>
      </c>
      <c r="AW2" s="12" t="s">
        <v>0</v>
      </c>
      <c r="AX2" s="12" t="s">
        <v>24</v>
      </c>
      <c r="AY2" s="12" t="s">
        <v>2</v>
      </c>
      <c r="AZ2" s="12" t="s">
        <v>19</v>
      </c>
      <c r="BA2" s="12" t="s">
        <v>0</v>
      </c>
      <c r="BB2" s="12" t="s">
        <v>24</v>
      </c>
      <c r="BC2" s="12" t="s">
        <v>5</v>
      </c>
      <c r="BD2" s="12" t="s">
        <v>2</v>
      </c>
      <c r="BE2" s="12" t="s">
        <v>0</v>
      </c>
      <c r="BF2" s="12" t="s">
        <v>24</v>
      </c>
      <c r="BG2" s="17" t="s">
        <v>2</v>
      </c>
      <c r="BH2" s="17" t="s">
        <v>0</v>
      </c>
      <c r="BI2" s="17" t="s">
        <v>24</v>
      </c>
      <c r="BJ2" s="17" t="s">
        <v>2</v>
      </c>
      <c r="BK2" s="17" t="s">
        <v>19</v>
      </c>
      <c r="BL2" s="18" t="s">
        <v>3</v>
      </c>
      <c r="BM2" s="18" t="s">
        <v>4</v>
      </c>
      <c r="BN2" s="18" t="s">
        <v>6</v>
      </c>
      <c r="BO2" s="18" t="s">
        <v>25</v>
      </c>
      <c r="BP2" s="18" t="s">
        <v>26</v>
      </c>
      <c r="BQ2" s="18" t="s">
        <v>27</v>
      </c>
      <c r="BR2" s="14" t="s">
        <v>28</v>
      </c>
      <c r="BS2" s="14" t="s">
        <v>10</v>
      </c>
      <c r="BT2" s="14" t="s">
        <v>29</v>
      </c>
      <c r="BU2" s="14" t="s">
        <v>12</v>
      </c>
      <c r="BV2" s="14" t="s">
        <v>0</v>
      </c>
      <c r="BW2" s="14" t="s">
        <v>1</v>
      </c>
      <c r="BX2" s="14" t="s">
        <v>2</v>
      </c>
      <c r="BY2" s="14" t="s">
        <v>0</v>
      </c>
      <c r="BZ2" s="14" t="s">
        <v>1</v>
      </c>
      <c r="CA2" s="14" t="s">
        <v>2</v>
      </c>
      <c r="CB2" s="14" t="s">
        <v>0</v>
      </c>
      <c r="CC2" s="14" t="s">
        <v>1</v>
      </c>
      <c r="CD2" s="14" t="s">
        <v>2</v>
      </c>
      <c r="CE2" s="14" t="s">
        <v>0</v>
      </c>
      <c r="CF2" s="14" t="s">
        <v>1</v>
      </c>
      <c r="CG2" s="14" t="s">
        <v>2</v>
      </c>
      <c r="CH2" s="14" t="s">
        <v>2</v>
      </c>
      <c r="CI2" s="14" t="s">
        <v>1</v>
      </c>
      <c r="CJ2" s="14" t="s">
        <v>2</v>
      </c>
      <c r="CK2" s="14" t="s">
        <v>1</v>
      </c>
      <c r="CL2" s="14" t="s">
        <v>1</v>
      </c>
      <c r="CM2" s="14" t="s">
        <v>1</v>
      </c>
      <c r="CN2" s="14" t="s">
        <v>1</v>
      </c>
      <c r="CO2" s="14" t="s">
        <v>1</v>
      </c>
      <c r="CP2" s="14" t="s">
        <v>1</v>
      </c>
      <c r="CQ2" s="14" t="s">
        <v>1</v>
      </c>
      <c r="CR2" s="19" t="s">
        <v>30</v>
      </c>
      <c r="CS2" s="85" t="s">
        <v>136</v>
      </c>
      <c r="CT2" s="85" t="s">
        <v>135</v>
      </c>
      <c r="CU2" s="85" t="s">
        <v>29</v>
      </c>
      <c r="CV2" s="85" t="s">
        <v>12</v>
      </c>
      <c r="CW2" s="20" t="s">
        <v>31</v>
      </c>
    </row>
    <row r="3" spans="1:101" ht="60" x14ac:dyDescent="0.25">
      <c r="D3" s="21" t="s">
        <v>32</v>
      </c>
      <c r="E3" s="21" t="s">
        <v>32</v>
      </c>
      <c r="F3" s="21" t="s">
        <v>32</v>
      </c>
      <c r="G3" s="22" t="s">
        <v>32</v>
      </c>
      <c r="H3" s="22" t="s">
        <v>32</v>
      </c>
      <c r="I3" s="23" t="s">
        <v>32</v>
      </c>
      <c r="J3" s="22" t="s">
        <v>32</v>
      </c>
      <c r="K3" s="22" t="s">
        <v>33</v>
      </c>
      <c r="L3" s="22" t="s">
        <v>33</v>
      </c>
      <c r="M3" s="22" t="s">
        <v>33</v>
      </c>
      <c r="N3" s="22" t="s">
        <v>34</v>
      </c>
      <c r="O3" s="22" t="s">
        <v>34</v>
      </c>
      <c r="P3" s="22" t="s">
        <v>34</v>
      </c>
      <c r="Q3" s="22" t="s">
        <v>34</v>
      </c>
      <c r="R3" s="22" t="s">
        <v>34</v>
      </c>
      <c r="S3" s="22" t="s">
        <v>34</v>
      </c>
      <c r="T3" s="24" t="s">
        <v>137</v>
      </c>
      <c r="U3" s="24" t="s">
        <v>137</v>
      </c>
      <c r="V3" s="24" t="s">
        <v>137</v>
      </c>
      <c r="W3" s="24" t="s">
        <v>137</v>
      </c>
      <c r="X3" s="24" t="s">
        <v>137</v>
      </c>
      <c r="Y3" s="24" t="s">
        <v>137</v>
      </c>
      <c r="Z3" s="22" t="s">
        <v>35</v>
      </c>
      <c r="AA3" s="22" t="s">
        <v>35</v>
      </c>
      <c r="AB3" s="22" t="s">
        <v>35</v>
      </c>
      <c r="AC3" s="22" t="s">
        <v>35</v>
      </c>
      <c r="AD3" s="22" t="s">
        <v>35</v>
      </c>
      <c r="AE3" s="22" t="s">
        <v>35</v>
      </c>
      <c r="AF3" s="22" t="s">
        <v>35</v>
      </c>
      <c r="AG3" s="22" t="s">
        <v>35</v>
      </c>
      <c r="AH3" s="22" t="s">
        <v>35</v>
      </c>
      <c r="AI3" s="22" t="s">
        <v>35</v>
      </c>
      <c r="AJ3" s="22" t="s">
        <v>35</v>
      </c>
      <c r="AK3" s="22" t="s">
        <v>35</v>
      </c>
      <c r="AL3" s="23" t="s">
        <v>36</v>
      </c>
      <c r="AM3" s="23" t="s">
        <v>36</v>
      </c>
      <c r="AN3" s="23"/>
      <c r="AO3" s="23"/>
      <c r="AP3" s="90"/>
      <c r="AQ3" s="84" t="s">
        <v>37</v>
      </c>
      <c r="AR3" s="24" t="s">
        <v>38</v>
      </c>
      <c r="AS3" s="24" t="s">
        <v>38</v>
      </c>
      <c r="AT3" s="22" t="s">
        <v>38</v>
      </c>
      <c r="AU3" s="22" t="s">
        <v>38</v>
      </c>
      <c r="AV3" s="22" t="s">
        <v>38</v>
      </c>
      <c r="AW3" s="22" t="s">
        <v>39</v>
      </c>
      <c r="AX3" s="22" t="s">
        <v>39</v>
      </c>
      <c r="AY3" s="22" t="s">
        <v>39</v>
      </c>
      <c r="AZ3" s="22" t="s">
        <v>39</v>
      </c>
      <c r="BA3" s="22" t="s">
        <v>40</v>
      </c>
      <c r="BB3" s="22" t="s">
        <v>40</v>
      </c>
      <c r="BC3" s="22" t="s">
        <v>40</v>
      </c>
      <c r="BD3" s="22" t="s">
        <v>40</v>
      </c>
      <c r="BE3" s="22" t="s">
        <v>41</v>
      </c>
      <c r="BF3" s="22" t="s">
        <v>41</v>
      </c>
      <c r="BG3" s="22" t="s">
        <v>41</v>
      </c>
      <c r="BH3" s="22" t="s">
        <v>42</v>
      </c>
      <c r="BI3" s="22" t="s">
        <v>42</v>
      </c>
      <c r="BJ3" s="22" t="s">
        <v>42</v>
      </c>
      <c r="BK3" s="22" t="s">
        <v>42</v>
      </c>
      <c r="BL3" s="24" t="s">
        <v>32</v>
      </c>
      <c r="BM3" s="24" t="s">
        <v>32</v>
      </c>
      <c r="BN3" s="24" t="s">
        <v>32</v>
      </c>
      <c r="BO3" s="25" t="s">
        <v>4</v>
      </c>
      <c r="BP3" s="25" t="s">
        <v>4</v>
      </c>
      <c r="BQ3" s="25" t="s">
        <v>4</v>
      </c>
      <c r="BR3" s="84" t="s">
        <v>43</v>
      </c>
      <c r="BS3" s="84" t="s">
        <v>43</v>
      </c>
      <c r="BT3" s="84" t="s">
        <v>43</v>
      </c>
      <c r="BU3" s="84" t="s">
        <v>43</v>
      </c>
      <c r="BV3" s="84" t="s">
        <v>38</v>
      </c>
      <c r="BW3" s="84" t="s">
        <v>38</v>
      </c>
      <c r="BX3" s="84" t="s">
        <v>38</v>
      </c>
      <c r="BY3" s="84" t="s">
        <v>42</v>
      </c>
      <c r="BZ3" s="84" t="s">
        <v>42</v>
      </c>
      <c r="CA3" s="84" t="s">
        <v>42</v>
      </c>
      <c r="CB3" s="84" t="s">
        <v>44</v>
      </c>
      <c r="CC3" s="84" t="s">
        <v>44</v>
      </c>
      <c r="CD3" s="84" t="s">
        <v>44</v>
      </c>
      <c r="CE3" s="84" t="s">
        <v>45</v>
      </c>
      <c r="CF3" s="84" t="s">
        <v>45</v>
      </c>
      <c r="CG3" s="84" t="s">
        <v>45</v>
      </c>
      <c r="CH3" s="84" t="s">
        <v>41</v>
      </c>
      <c r="CI3" s="84" t="s">
        <v>46</v>
      </c>
      <c r="CJ3" s="84" t="s">
        <v>46</v>
      </c>
      <c r="CK3" s="26" t="s">
        <v>47</v>
      </c>
      <c r="CL3" s="26" t="s">
        <v>47</v>
      </c>
      <c r="CM3" s="26" t="s">
        <v>32</v>
      </c>
      <c r="CN3" s="26" t="s">
        <v>42</v>
      </c>
      <c r="CO3" s="26" t="s">
        <v>48</v>
      </c>
      <c r="CP3" s="26" t="s">
        <v>46</v>
      </c>
      <c r="CQ3" s="26" t="s">
        <v>46</v>
      </c>
      <c r="CR3" s="86" t="s">
        <v>49</v>
      </c>
      <c r="CS3" s="87" t="s">
        <v>138</v>
      </c>
      <c r="CT3" s="87" t="s">
        <v>138</v>
      </c>
      <c r="CU3" s="87" t="s">
        <v>138</v>
      </c>
      <c r="CV3" s="87" t="s">
        <v>138</v>
      </c>
      <c r="CW3" s="27"/>
    </row>
    <row r="4" spans="1:101" x14ac:dyDescent="0.25">
      <c r="A4" s="28"/>
      <c r="B4" s="29" t="s">
        <v>50</v>
      </c>
      <c r="C4" s="30" t="s">
        <v>51</v>
      </c>
      <c r="D4" s="31" t="s">
        <v>52</v>
      </c>
      <c r="E4" s="31" t="s">
        <v>53</v>
      </c>
      <c r="F4" s="31" t="s">
        <v>54</v>
      </c>
      <c r="G4" s="32">
        <v>482800001265</v>
      </c>
      <c r="H4" s="32">
        <v>482800001273</v>
      </c>
      <c r="I4" s="32">
        <v>482800002024</v>
      </c>
      <c r="J4" s="32">
        <v>482800001257</v>
      </c>
      <c r="K4" s="32" t="s">
        <v>55</v>
      </c>
      <c r="L4" s="32" t="s">
        <v>56</v>
      </c>
      <c r="M4" s="32" t="s">
        <v>57</v>
      </c>
      <c r="N4" s="32">
        <v>36203301</v>
      </c>
      <c r="O4" s="32">
        <v>36203301</v>
      </c>
      <c r="P4" s="32">
        <v>36203328</v>
      </c>
      <c r="Q4" s="32">
        <v>36203328</v>
      </c>
      <c r="R4" s="32">
        <v>36025015</v>
      </c>
      <c r="S4" s="32">
        <v>36025015</v>
      </c>
      <c r="T4" s="32"/>
      <c r="U4" s="32"/>
      <c r="V4" s="32"/>
      <c r="W4" s="32"/>
      <c r="X4" s="32"/>
      <c r="Y4" s="32"/>
      <c r="Z4" s="32">
        <v>865784010</v>
      </c>
      <c r="AA4" s="32">
        <v>865784010</v>
      </c>
      <c r="AB4" s="32">
        <v>865804010</v>
      </c>
      <c r="AC4" s="32">
        <v>865804010</v>
      </c>
      <c r="AD4" s="32">
        <v>865794010</v>
      </c>
      <c r="AE4" s="32">
        <v>865794010</v>
      </c>
      <c r="AF4" s="32" t="s">
        <v>58</v>
      </c>
      <c r="AG4" s="32" t="s">
        <v>58</v>
      </c>
      <c r="AH4" s="32" t="s">
        <v>59</v>
      </c>
      <c r="AI4" s="32" t="s">
        <v>59</v>
      </c>
      <c r="AJ4" s="32" t="s">
        <v>60</v>
      </c>
      <c r="AK4" s="32" t="s">
        <v>60</v>
      </c>
      <c r="AL4" s="33"/>
      <c r="AM4" s="33"/>
      <c r="AN4" s="33"/>
      <c r="AO4" s="33"/>
      <c r="AP4" s="33"/>
      <c r="AQ4" s="33">
        <v>3642</v>
      </c>
      <c r="AR4" s="33" t="s">
        <v>61</v>
      </c>
      <c r="AS4" s="33" t="s">
        <v>62</v>
      </c>
      <c r="AT4" s="33" t="s">
        <v>63</v>
      </c>
      <c r="AU4" s="33" t="s">
        <v>64</v>
      </c>
      <c r="AV4" s="33" t="s">
        <v>65</v>
      </c>
      <c r="AW4" s="33" t="s">
        <v>66</v>
      </c>
      <c r="AX4" s="33" t="s">
        <v>67</v>
      </c>
      <c r="AY4" s="33" t="s">
        <v>68</v>
      </c>
      <c r="AZ4" s="33" t="s">
        <v>69</v>
      </c>
      <c r="BA4" s="33" t="s">
        <v>70</v>
      </c>
      <c r="BB4" s="33" t="s">
        <v>71</v>
      </c>
      <c r="BC4" s="33" t="s">
        <v>72</v>
      </c>
      <c r="BD4" s="33" t="s">
        <v>73</v>
      </c>
      <c r="BE4" s="33" t="s">
        <v>74</v>
      </c>
      <c r="BF4" s="33" t="s">
        <v>75</v>
      </c>
      <c r="BG4" s="33" t="s">
        <v>76</v>
      </c>
      <c r="BH4" s="33" t="s">
        <v>77</v>
      </c>
      <c r="BI4" s="33" t="s">
        <v>78</v>
      </c>
      <c r="BJ4" s="33" t="s">
        <v>79</v>
      </c>
      <c r="BK4" s="33" t="s">
        <v>80</v>
      </c>
      <c r="BL4" s="34">
        <v>482800007882</v>
      </c>
      <c r="BM4" s="34">
        <v>482800007908</v>
      </c>
      <c r="BN4" s="34">
        <v>482800007890</v>
      </c>
      <c r="BO4" s="34">
        <v>482800010001</v>
      </c>
      <c r="BP4" s="34">
        <v>482800010019</v>
      </c>
      <c r="BQ4" s="34">
        <v>482800010027</v>
      </c>
      <c r="BR4" s="33">
        <v>36024995</v>
      </c>
      <c r="BS4" s="33">
        <v>36024995</v>
      </c>
      <c r="BT4" s="33">
        <v>36903922</v>
      </c>
      <c r="BU4" s="33">
        <v>36903922</v>
      </c>
      <c r="BV4" s="33">
        <v>36294346</v>
      </c>
      <c r="BW4" s="33" t="s">
        <v>81</v>
      </c>
      <c r="BX4" s="33">
        <v>36294353</v>
      </c>
      <c r="BY4" s="33" t="s">
        <v>82</v>
      </c>
      <c r="BZ4" s="33" t="s">
        <v>83</v>
      </c>
      <c r="CA4" s="33" t="s">
        <v>84</v>
      </c>
      <c r="CB4" s="33" t="s">
        <v>85</v>
      </c>
      <c r="CC4" s="33" t="s">
        <v>86</v>
      </c>
      <c r="CD4" s="33" t="s">
        <v>87</v>
      </c>
      <c r="CE4" s="33" t="s">
        <v>88</v>
      </c>
      <c r="CF4" s="33" t="s">
        <v>89</v>
      </c>
      <c r="CG4" s="33" t="s">
        <v>90</v>
      </c>
      <c r="CH4" s="33" t="s">
        <v>91</v>
      </c>
      <c r="CI4" s="33">
        <v>221816614</v>
      </c>
      <c r="CJ4" s="33">
        <v>221816598</v>
      </c>
      <c r="CK4" s="33">
        <v>60193029</v>
      </c>
      <c r="CL4" s="33">
        <v>60193401</v>
      </c>
      <c r="CM4" s="33">
        <v>1011143807</v>
      </c>
      <c r="CN4" s="33">
        <v>4801736642</v>
      </c>
      <c r="CO4" s="33">
        <v>65005340</v>
      </c>
      <c r="CP4" s="33">
        <v>288086051</v>
      </c>
      <c r="CQ4" s="33">
        <v>288049109</v>
      </c>
      <c r="CR4" s="33">
        <v>411166042</v>
      </c>
      <c r="CS4" s="33">
        <v>865804015</v>
      </c>
      <c r="CT4" s="33">
        <v>865804015</v>
      </c>
      <c r="CU4" s="33">
        <v>865794015</v>
      </c>
      <c r="CV4" s="33">
        <v>865794015</v>
      </c>
      <c r="CW4" s="35"/>
    </row>
    <row r="5" spans="1:101" x14ac:dyDescent="0.25">
      <c r="B5" s="36"/>
      <c r="C5" s="37" t="s">
        <v>92</v>
      </c>
      <c r="D5" s="38"/>
      <c r="E5" s="38" t="s">
        <v>93</v>
      </c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9"/>
      <c r="AI5" s="39"/>
      <c r="AJ5" s="39"/>
      <c r="AK5" s="39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>
        <v>4.2186000000000003</v>
      </c>
      <c r="BT5" s="37"/>
      <c r="BU5" s="37">
        <f>+BS5</f>
        <v>4.2186000000000003</v>
      </c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40"/>
    </row>
    <row r="6" spans="1:101" x14ac:dyDescent="0.25">
      <c r="B6" s="36"/>
      <c r="C6" s="37" t="s">
        <v>94</v>
      </c>
      <c r="D6" s="37">
        <f>+D7-D8</f>
        <v>-17925.211280000396</v>
      </c>
      <c r="E6" s="37">
        <f>+E7-E8</f>
        <v>1635019.3129754458</v>
      </c>
      <c r="F6" s="37">
        <f>+F7-F8</f>
        <v>540402.82546848897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9"/>
      <c r="AI6" s="39"/>
      <c r="AJ6" s="39"/>
      <c r="AK6" s="39"/>
      <c r="AL6" s="37">
        <f t="shared" ref="AL6:BQ6" si="0">+AL7-AL8</f>
        <v>-5710.4896300742403</v>
      </c>
      <c r="AM6" s="37">
        <f t="shared" si="0"/>
        <v>9151.1642464622855</v>
      </c>
      <c r="AN6" s="37">
        <f t="shared" si="0"/>
        <v>675.42210999876261</v>
      </c>
      <c r="AO6" s="37">
        <f t="shared" si="0"/>
        <v>-127525.44391143974</v>
      </c>
      <c r="AP6" s="37">
        <f t="shared" si="0"/>
        <v>366476.80920624547</v>
      </c>
      <c r="AQ6" s="37">
        <f t="shared" si="0"/>
        <v>11256.895237839315</v>
      </c>
      <c r="AR6" s="37">
        <f t="shared" si="0"/>
        <v>0</v>
      </c>
      <c r="AS6" s="37">
        <f t="shared" si="0"/>
        <v>0</v>
      </c>
      <c r="AT6" s="37">
        <f t="shared" si="0"/>
        <v>0</v>
      </c>
      <c r="AU6" s="37">
        <f t="shared" si="0"/>
        <v>0</v>
      </c>
      <c r="AV6" s="37">
        <f t="shared" si="0"/>
        <v>0</v>
      </c>
      <c r="AW6" s="37">
        <f t="shared" si="0"/>
        <v>0</v>
      </c>
      <c r="AX6" s="37">
        <f t="shared" si="0"/>
        <v>0</v>
      </c>
      <c r="AY6" s="37">
        <f t="shared" si="0"/>
        <v>0</v>
      </c>
      <c r="AZ6" s="37">
        <f t="shared" si="0"/>
        <v>0</v>
      </c>
      <c r="BA6" s="37">
        <f t="shared" si="0"/>
        <v>0</v>
      </c>
      <c r="BB6" s="37">
        <f t="shared" si="0"/>
        <v>0</v>
      </c>
      <c r="BC6" s="37">
        <f t="shared" si="0"/>
        <v>0</v>
      </c>
      <c r="BD6" s="37">
        <f t="shared" si="0"/>
        <v>0</v>
      </c>
      <c r="BE6" s="37">
        <f t="shared" si="0"/>
        <v>0</v>
      </c>
      <c r="BF6" s="37">
        <f t="shared" si="0"/>
        <v>0</v>
      </c>
      <c r="BG6" s="37">
        <f t="shared" si="0"/>
        <v>0</v>
      </c>
      <c r="BH6" s="37">
        <f t="shared" si="0"/>
        <v>0</v>
      </c>
      <c r="BI6" s="37">
        <f t="shared" si="0"/>
        <v>0</v>
      </c>
      <c r="BJ6" s="37">
        <f t="shared" si="0"/>
        <v>0</v>
      </c>
      <c r="BK6" s="37">
        <f t="shared" si="0"/>
        <v>0</v>
      </c>
      <c r="BL6" s="37">
        <f t="shared" si="0"/>
        <v>0</v>
      </c>
      <c r="BM6" s="37">
        <f t="shared" si="0"/>
        <v>0</v>
      </c>
      <c r="BN6" s="37">
        <f t="shared" si="0"/>
        <v>0</v>
      </c>
      <c r="BO6" s="37">
        <f t="shared" si="0"/>
        <v>0</v>
      </c>
      <c r="BP6" s="37">
        <f t="shared" si="0"/>
        <v>0</v>
      </c>
      <c r="BQ6" s="37">
        <f t="shared" si="0"/>
        <v>0</v>
      </c>
      <c r="BR6" s="37"/>
      <c r="BS6" s="37"/>
      <c r="BT6" s="37"/>
      <c r="BU6" s="37"/>
      <c r="BV6" s="37">
        <f>+BV7-BV8-422.17</f>
        <v>-422.17</v>
      </c>
      <c r="BW6" s="37">
        <f t="shared" ref="BW6:CR6" si="1">+BW7-BW8</f>
        <v>0</v>
      </c>
      <c r="BX6" s="37">
        <f t="shared" si="1"/>
        <v>0</v>
      </c>
      <c r="BY6" s="37">
        <f t="shared" si="1"/>
        <v>4431.5189999999711</v>
      </c>
      <c r="BZ6" s="37">
        <f t="shared" si="1"/>
        <v>270692.42899999907</v>
      </c>
      <c r="CA6" s="37">
        <f t="shared" si="1"/>
        <v>214486.62100000028</v>
      </c>
      <c r="CB6" s="37">
        <f t="shared" si="1"/>
        <v>-2.4000000121304765E-4</v>
      </c>
      <c r="CC6" s="37">
        <f t="shared" si="1"/>
        <v>-4.1799998143687844E-3</v>
      </c>
      <c r="CD6" s="37">
        <f>+[1]Otrosbancos!$I$29</f>
        <v>0</v>
      </c>
      <c r="CE6" s="37">
        <f t="shared" si="1"/>
        <v>990.91999999999825</v>
      </c>
      <c r="CF6" s="37">
        <f t="shared" si="1"/>
        <v>33305.800000000047</v>
      </c>
      <c r="CG6" s="37">
        <f t="shared" si="1"/>
        <v>3468.5050000000047</v>
      </c>
      <c r="CH6" s="37">
        <f t="shared" si="1"/>
        <v>0</v>
      </c>
      <c r="CI6" s="37">
        <f t="shared" si="1"/>
        <v>572.19900000002235</v>
      </c>
      <c r="CJ6" s="37">
        <f t="shared" si="1"/>
        <v>6338.2809999999881</v>
      </c>
      <c r="CK6" s="37">
        <f t="shared" si="1"/>
        <v>0</v>
      </c>
      <c r="CL6" s="37">
        <f t="shared" si="1"/>
        <v>0</v>
      </c>
      <c r="CM6" s="37">
        <f t="shared" si="1"/>
        <v>-1.4999999257270247E-4</v>
      </c>
      <c r="CN6" s="37">
        <f t="shared" si="1"/>
        <v>-2.9699999140575528E-3</v>
      </c>
      <c r="CO6" s="37">
        <f t="shared" si="1"/>
        <v>4.6400002902373672E-3</v>
      </c>
      <c r="CP6" s="37">
        <f t="shared" si="1"/>
        <v>-2.7600005269050598E-3</v>
      </c>
      <c r="CQ6" s="37">
        <f t="shared" si="1"/>
        <v>216.65003000001889</v>
      </c>
      <c r="CR6" s="37">
        <f t="shared" si="1"/>
        <v>0</v>
      </c>
      <c r="CS6" s="37">
        <f>+CS7-CS8</f>
        <v>-5000</v>
      </c>
      <c r="CT6" s="37">
        <f>+CT7-CT8</f>
        <v>-20468.599999999999</v>
      </c>
      <c r="CU6" s="37">
        <f>+CU7-CU8</f>
        <v>-5000</v>
      </c>
      <c r="CV6" s="37">
        <f>+CV7-CV8</f>
        <v>-20468.599999999999</v>
      </c>
      <c r="CW6" s="37"/>
    </row>
    <row r="7" spans="1:101" x14ac:dyDescent="0.25">
      <c r="A7" s="41"/>
      <c r="B7" s="42"/>
      <c r="C7" s="43" t="s">
        <v>95</v>
      </c>
      <c r="D7" s="43">
        <f>+'[1]Cap,Bol,Cls'!$I$4</f>
        <v>536893.38800000004</v>
      </c>
      <c r="E7" s="43">
        <f>+'[1]Cap,Bol,Cls'!$I$13</f>
        <v>12355087.83591</v>
      </c>
      <c r="F7" s="43">
        <f>+'[1]Cap,Bol,Cls'!$I$30</f>
        <v>6990660.6485700002</v>
      </c>
      <c r="G7" s="43">
        <f>+G8</f>
        <v>0</v>
      </c>
      <c r="H7" s="43">
        <f>+H8</f>
        <v>0</v>
      </c>
      <c r="I7" s="43">
        <f>+'[1]Cap,Bol,Cls'!$I$24</f>
        <v>112823.74857</v>
      </c>
      <c r="J7" s="43">
        <f>+J8</f>
        <v>0</v>
      </c>
      <c r="K7" s="43">
        <f>+K8</f>
        <v>143709.39457214306</v>
      </c>
      <c r="L7" s="43">
        <f>+L8</f>
        <v>244472.40656418435</v>
      </c>
      <c r="M7" s="43">
        <f>+M8</f>
        <v>1040632.4702448664</v>
      </c>
      <c r="N7" s="43">
        <f>+N8</f>
        <v>177310.5199999999</v>
      </c>
      <c r="O7" s="43">
        <f t="shared" ref="O7:AK7" si="2">+O8</f>
        <v>743248.15264999995</v>
      </c>
      <c r="P7" s="43">
        <f t="shared" si="2"/>
        <v>31199206.180000007</v>
      </c>
      <c r="Q7" s="43">
        <f t="shared" si="2"/>
        <v>132372472.69881758</v>
      </c>
      <c r="R7" s="43">
        <f t="shared" si="2"/>
        <v>985302.80999999994</v>
      </c>
      <c r="S7" s="43">
        <f t="shared" si="2"/>
        <v>4461698.6355710989</v>
      </c>
      <c r="T7" s="43"/>
      <c r="U7" s="43"/>
      <c r="V7" s="43"/>
      <c r="W7" s="43"/>
      <c r="X7" s="43"/>
      <c r="Y7" s="43"/>
      <c r="Z7" s="43">
        <f t="shared" si="2"/>
        <v>9662.5274983807467</v>
      </c>
      <c r="AA7" s="43">
        <f t="shared" si="2"/>
        <v>40503.29</v>
      </c>
      <c r="AB7" s="43">
        <f t="shared" si="2"/>
        <v>7542.7499999967404</v>
      </c>
      <c r="AC7" s="43">
        <f t="shared" si="2"/>
        <v>31617.62</v>
      </c>
      <c r="AD7" s="43">
        <f t="shared" si="2"/>
        <v>5155</v>
      </c>
      <c r="AE7" s="43">
        <f t="shared" si="2"/>
        <v>21608.68</v>
      </c>
      <c r="AF7" s="43">
        <f t="shared" si="2"/>
        <v>7956.8699999451637</v>
      </c>
      <c r="AG7" s="43">
        <f t="shared" si="2"/>
        <v>33353.53</v>
      </c>
      <c r="AH7" s="43">
        <f t="shared" si="2"/>
        <v>202018.84999999718</v>
      </c>
      <c r="AI7" s="43">
        <f t="shared" si="2"/>
        <v>846664.08869630005</v>
      </c>
      <c r="AJ7" s="43">
        <f t="shared" si="2"/>
        <v>673596.71999999823</v>
      </c>
      <c r="AK7" s="43">
        <f t="shared" si="2"/>
        <v>2823324.1679230896</v>
      </c>
      <c r="AL7" s="43">
        <f>+[1]Inversoras!$I$56</f>
        <v>7190567.2031199997</v>
      </c>
      <c r="AM7" s="43">
        <f>+[1]Inversoras!$I$57</f>
        <v>59269727.095229998</v>
      </c>
      <c r="AN7" s="43">
        <f>+[1]Inversoras!$I$58</f>
        <v>6672729.9663399998</v>
      </c>
      <c r="AO7" s="43">
        <f>+[1]Inversoras!$I$59</f>
        <v>816314.76301</v>
      </c>
      <c r="AP7" s="43">
        <f>+[1]Inversoras!$I$60</f>
        <v>9296830.8247400001</v>
      </c>
      <c r="AQ7" s="43">
        <f>+[1]Inversoras!$I$61</f>
        <v>1625238.5652600001</v>
      </c>
      <c r="AR7" s="43">
        <f>+AR8</f>
        <v>33752.683643993005</v>
      </c>
      <c r="AS7" s="43">
        <f t="shared" ref="AS7:BQ7" si="3">+AS8</f>
        <v>6.2719079996137461</v>
      </c>
      <c r="AT7" s="43">
        <f t="shared" si="3"/>
        <v>11.210432002509913</v>
      </c>
      <c r="AU7" s="43">
        <f t="shared" si="3"/>
        <v>70709.869203997281</v>
      </c>
      <c r="AV7" s="43">
        <f t="shared" si="3"/>
        <v>523662.90839880263</v>
      </c>
      <c r="AW7" s="43">
        <f t="shared" si="3"/>
        <v>85667.9885699968</v>
      </c>
      <c r="AX7" s="43">
        <f t="shared" si="3"/>
        <v>1041.3974240010875</v>
      </c>
      <c r="AY7" s="43">
        <f t="shared" si="3"/>
        <v>17450.753311997978</v>
      </c>
      <c r="AZ7" s="43">
        <f t="shared" si="3"/>
        <v>23267.345377323236</v>
      </c>
      <c r="BA7" s="43">
        <f t="shared" si="3"/>
        <v>202151.28772400692</v>
      </c>
      <c r="BB7" s="43">
        <f t="shared" si="3"/>
        <v>70003.831219991145</v>
      </c>
      <c r="BC7" s="43">
        <f t="shared" si="3"/>
        <v>267041.61384799867</v>
      </c>
      <c r="BD7" s="43">
        <f t="shared" si="3"/>
        <v>17062.151599989833</v>
      </c>
      <c r="BE7" s="43">
        <f t="shared" si="3"/>
        <v>256586.81289368056</v>
      </c>
      <c r="BF7" s="43">
        <f t="shared" si="3"/>
        <v>321949.5492303599</v>
      </c>
      <c r="BG7" s="43">
        <f t="shared" si="3"/>
        <v>35109.232018882758</v>
      </c>
      <c r="BH7" s="43">
        <f t="shared" si="3"/>
        <v>27273.514880002102</v>
      </c>
      <c r="BI7" s="43">
        <f t="shared" si="3"/>
        <v>630661.83776839031</v>
      </c>
      <c r="BJ7" s="43">
        <f t="shared" si="3"/>
        <v>197783.28604456017</v>
      </c>
      <c r="BK7" s="43">
        <f t="shared" si="3"/>
        <v>11496991.451116012</v>
      </c>
      <c r="BL7" s="43">
        <f t="shared" si="3"/>
        <v>112818.42443244607</v>
      </c>
      <c r="BM7" s="43">
        <f t="shared" si="3"/>
        <v>1069560.4748471512</v>
      </c>
      <c r="BN7" s="43">
        <f t="shared" si="3"/>
        <v>4100521.208207381</v>
      </c>
      <c r="BO7" s="43">
        <f t="shared" si="3"/>
        <v>3.4691202304202307E-3</v>
      </c>
      <c r="BP7" s="43">
        <f t="shared" si="3"/>
        <v>255.40600932906548</v>
      </c>
      <c r="BQ7" s="43">
        <f t="shared" si="3"/>
        <v>4.0128798844989433E-3</v>
      </c>
      <c r="BR7" s="43">
        <f>+[1]Otrosbancos!$I$49</f>
        <v>2723100.65</v>
      </c>
      <c r="BS7" s="43">
        <f>+BS8</f>
        <v>11426987.824417591</v>
      </c>
      <c r="BT7" s="43">
        <f>+[1]Otrosbancos!$I$51</f>
        <v>346528.85</v>
      </c>
      <c r="BU7" s="43">
        <f>+BU8</f>
        <v>1430768.7844654911</v>
      </c>
      <c r="BV7" s="43">
        <f>+BV8+BV5</f>
        <v>8400.1908600000006</v>
      </c>
      <c r="BW7" s="43">
        <f>+BW8+BW5</f>
        <v>1155274.8019900008</v>
      </c>
      <c r="BX7" s="43">
        <f>+BX8+BX5</f>
        <v>12663.664475599246</v>
      </c>
      <c r="BY7" s="43">
        <f>+[1]Otrosbancos!$I$5</f>
        <v>663635.478</v>
      </c>
      <c r="BZ7" s="43">
        <f>+[1]Otrosbancos!$I$10</f>
        <v>2157738.8369999998</v>
      </c>
      <c r="CA7" s="43">
        <f>+[1]Otrosbancos!$I$15</f>
        <v>7460064.0719999997</v>
      </c>
      <c r="CB7" s="43">
        <f>+[1]Otrosbancos!$I$23</f>
        <v>18618.565999999999</v>
      </c>
      <c r="CC7" s="43">
        <f>+[1]Otrosbancos!$I$26</f>
        <v>885121.66399999999</v>
      </c>
      <c r="CD7" s="43">
        <f>+[1]Otrosbancos!$I$29</f>
        <v>0</v>
      </c>
      <c r="CE7" s="43">
        <f>+[1]Otrosbancos!$I$33</f>
        <v>23120.492999999999</v>
      </c>
      <c r="CF7" s="43">
        <f>+[1]Otrosbancos!$I$37</f>
        <v>1314904.5105900001</v>
      </c>
      <c r="CG7" s="43">
        <f>+[1]Otrosbancos!$I$41</f>
        <v>187664.606</v>
      </c>
      <c r="CH7" s="43">
        <f>+[1]Otrosbancos!$I$46</f>
        <v>2.9318200000000001</v>
      </c>
      <c r="CI7" s="43">
        <f>+[1]Otrosbancos!$I$54</f>
        <v>901281.97600000002</v>
      </c>
      <c r="CJ7" s="43">
        <f>+[1]Otrosbancos!$I$56</f>
        <v>143738.94</v>
      </c>
      <c r="CK7" s="43">
        <f>+[1]Liberty!$I$3</f>
        <v>0</v>
      </c>
      <c r="CL7" s="43">
        <f>+[1]Liberty!$I$4</f>
        <v>0</v>
      </c>
      <c r="CM7" s="43">
        <f>+[1]Liberty!$I$6</f>
        <v>79545.214000000007</v>
      </c>
      <c r="CN7" s="43">
        <f>+[1]Liberty!$I$8</f>
        <v>662749.23600000003</v>
      </c>
      <c r="CO7" s="43">
        <f>+[1]Liberty!$I$10</f>
        <v>736440.24595999997</v>
      </c>
      <c r="CP7" s="43">
        <f>+[1]Liberty!$I$12</f>
        <v>9152723.6699999999</v>
      </c>
      <c r="CQ7" s="43">
        <f>+[1]Liberty!$I$13</f>
        <v>378135.14942999999</v>
      </c>
      <c r="CR7" s="43">
        <f>+[1]Otrosbancos!$I$58</f>
        <v>2701872.3746799999</v>
      </c>
      <c r="CS7" s="43">
        <v>0</v>
      </c>
      <c r="CT7" s="43">
        <v>0</v>
      </c>
      <c r="CU7" s="43">
        <v>0</v>
      </c>
      <c r="CV7" s="43">
        <v>0</v>
      </c>
      <c r="CW7" s="43">
        <f>SUM(D7:CV7)</f>
        <v>345070354.64956832</v>
      </c>
    </row>
    <row r="8" spans="1:101" x14ac:dyDescent="0.25">
      <c r="A8" s="41"/>
      <c r="B8" s="44" t="s">
        <v>96</v>
      </c>
      <c r="C8" s="45" t="s">
        <v>97</v>
      </c>
      <c r="D8" s="45">
        <f>+'May, 12'!D40</f>
        <v>554818.59928000043</v>
      </c>
      <c r="E8" s="45">
        <f>+'May, 12'!E40</f>
        <v>10720068.522934554</v>
      </c>
      <c r="F8" s="45">
        <f>+'May, 12'!F40</f>
        <v>6450257.8231015112</v>
      </c>
      <c r="G8" s="45">
        <f>+'May, 12'!G40</f>
        <v>0</v>
      </c>
      <c r="H8" s="45">
        <f>+'May, 12'!H40</f>
        <v>0</v>
      </c>
      <c r="I8" s="45">
        <f>+'May, 12'!I40</f>
        <v>112824.44156999425</v>
      </c>
      <c r="J8" s="45">
        <f>+'May, 12'!J40</f>
        <v>0</v>
      </c>
      <c r="K8" s="45">
        <f>+'May, 12'!K40</f>
        <v>143709.39457214306</v>
      </c>
      <c r="L8" s="45">
        <f>+'May, 12'!L40</f>
        <v>244472.40656418435</v>
      </c>
      <c r="M8" s="45">
        <f>+'May, 12'!M40</f>
        <v>1040632.4702448664</v>
      </c>
      <c r="N8" s="45">
        <f>+'May, 12'!N40</f>
        <v>177310.5199999999</v>
      </c>
      <c r="O8" s="45">
        <f>+'May, 12'!O40</f>
        <v>743248.15264999995</v>
      </c>
      <c r="P8" s="45">
        <f>+'May, 12'!P40</f>
        <v>31199206.180000007</v>
      </c>
      <c r="Q8" s="45">
        <f>+'May, 12'!Q40</f>
        <v>132372472.69881758</v>
      </c>
      <c r="R8" s="45">
        <f>+'May, 12'!R40</f>
        <v>985302.80999999994</v>
      </c>
      <c r="S8" s="45">
        <f>+'May, 12'!S40</f>
        <v>4461698.6355710989</v>
      </c>
      <c r="T8" s="45">
        <f>+'May, 12'!T40</f>
        <v>0</v>
      </c>
      <c r="U8" s="45">
        <f>+'May, 12'!U40</f>
        <v>0</v>
      </c>
      <c r="V8" s="45">
        <f>+'May, 12'!V40</f>
        <v>0</v>
      </c>
      <c r="W8" s="45">
        <f>+'May, 12'!W40</f>
        <v>0</v>
      </c>
      <c r="X8" s="45">
        <f>+'May, 12'!X40</f>
        <v>0</v>
      </c>
      <c r="Y8" s="45">
        <f>+'May, 12'!Y40</f>
        <v>0</v>
      </c>
      <c r="Z8" s="45">
        <f>+'May, 12'!Z40</f>
        <v>9662.5274983807467</v>
      </c>
      <c r="AA8" s="45">
        <f>+'May, 12'!AA40</f>
        <v>40503.29</v>
      </c>
      <c r="AB8" s="45">
        <f>+'May, 12'!AB40</f>
        <v>7542.7499999967404</v>
      </c>
      <c r="AC8" s="45">
        <f>+'May, 12'!AC40</f>
        <v>31617.62</v>
      </c>
      <c r="AD8" s="45">
        <f>+'May, 12'!AD40</f>
        <v>5155</v>
      </c>
      <c r="AE8" s="45">
        <f>+'May, 12'!AE40</f>
        <v>21608.68</v>
      </c>
      <c r="AF8" s="45">
        <f>+'May, 12'!AF40</f>
        <v>7956.8699999451637</v>
      </c>
      <c r="AG8" s="45">
        <f>+'May, 12'!AG40</f>
        <v>33353.53</v>
      </c>
      <c r="AH8" s="45">
        <f>+'May, 12'!AH40</f>
        <v>202018.84999999718</v>
      </c>
      <c r="AI8" s="45">
        <f>+'May, 12'!AI40</f>
        <v>846664.08869630005</v>
      </c>
      <c r="AJ8" s="45">
        <f>+'May, 12'!AJ40</f>
        <v>673596.71999999823</v>
      </c>
      <c r="AK8" s="45">
        <f>+'May, 12'!AK40</f>
        <v>2823324.1679230896</v>
      </c>
      <c r="AL8" s="45">
        <f>+'May, 12'!AL40</f>
        <v>7196277.692750074</v>
      </c>
      <c r="AM8" s="45">
        <f>+'May, 12'!AM40</f>
        <v>59260575.930983536</v>
      </c>
      <c r="AN8" s="45">
        <f>+'May, 12'!AN40</f>
        <v>6672054.544230001</v>
      </c>
      <c r="AO8" s="45">
        <f>+'May, 12'!AO40</f>
        <v>943840.20692143973</v>
      </c>
      <c r="AP8" s="45">
        <f>+'May, 12'!AP40</f>
        <v>8930354.0155337546</v>
      </c>
      <c r="AQ8" s="45">
        <f>+'May, 12'!AQ40</f>
        <v>1613981.6700221607</v>
      </c>
      <c r="AR8" s="45">
        <f>+'May, 12'!AR40</f>
        <v>33752.683643993005</v>
      </c>
      <c r="AS8" s="45">
        <f>+'May, 12'!AS40</f>
        <v>6.2719079996137461</v>
      </c>
      <c r="AT8" s="45">
        <f>+'May, 12'!AT40</f>
        <v>11.210432002509913</v>
      </c>
      <c r="AU8" s="45">
        <f>+'May, 12'!AU40</f>
        <v>70709.869203997281</v>
      </c>
      <c r="AV8" s="45">
        <f>+'May, 12'!AV40</f>
        <v>523662.90839880263</v>
      </c>
      <c r="AW8" s="45">
        <f>+'May, 12'!AW40</f>
        <v>85667.9885699968</v>
      </c>
      <c r="AX8" s="45">
        <f>+'May, 12'!AX40</f>
        <v>1041.3974240010875</v>
      </c>
      <c r="AY8" s="45">
        <f>+'May, 12'!AY40</f>
        <v>17450.753311997978</v>
      </c>
      <c r="AZ8" s="45">
        <f>+'May, 12'!AZ40</f>
        <v>23267.345377323236</v>
      </c>
      <c r="BA8" s="45">
        <f>+'May, 12'!BA40</f>
        <v>202151.28772400692</v>
      </c>
      <c r="BB8" s="45">
        <f>+'May, 12'!BB40</f>
        <v>70003.831219991145</v>
      </c>
      <c r="BC8" s="45">
        <f>+'May, 12'!BC40</f>
        <v>267041.61384799867</v>
      </c>
      <c r="BD8" s="45">
        <f>+'May, 12'!BD40</f>
        <v>17062.151599989833</v>
      </c>
      <c r="BE8" s="45">
        <f>+'May, 12'!BE40</f>
        <v>256586.81289368056</v>
      </c>
      <c r="BF8" s="45">
        <f>+'May, 12'!BF40</f>
        <v>321949.5492303599</v>
      </c>
      <c r="BG8" s="45">
        <f>+'May, 12'!BG40</f>
        <v>35109.232018882758</v>
      </c>
      <c r="BH8" s="45">
        <f>+'May, 12'!BH40</f>
        <v>27273.514880002102</v>
      </c>
      <c r="BI8" s="45">
        <f>+'May, 12'!BI40</f>
        <v>630661.83776839031</v>
      </c>
      <c r="BJ8" s="45">
        <f>+'May, 12'!BJ40</f>
        <v>197783.28604456017</v>
      </c>
      <c r="BK8" s="45">
        <f>+'May, 12'!BK40</f>
        <v>11496991.451116012</v>
      </c>
      <c r="BL8" s="45">
        <f>+'May, 12'!BL40</f>
        <v>112818.42443244607</v>
      </c>
      <c r="BM8" s="45">
        <f>+'May, 12'!BM40</f>
        <v>1069560.4748471512</v>
      </c>
      <c r="BN8" s="45">
        <f>+'May, 12'!BN40</f>
        <v>4100521.208207381</v>
      </c>
      <c r="BO8" s="45">
        <f>+'May, 12'!BO40</f>
        <v>3.4691202304202307E-3</v>
      </c>
      <c r="BP8" s="45">
        <f>+'May, 12'!BP40</f>
        <v>255.40600932906548</v>
      </c>
      <c r="BQ8" s="45">
        <f>+'May, 12'!BQ40</f>
        <v>4.0128798844989433E-3</v>
      </c>
      <c r="BR8" s="45">
        <f>+'May, 12'!BR40</f>
        <v>2723100.6460000034</v>
      </c>
      <c r="BS8" s="45">
        <f>+'May, 12'!BS40</f>
        <v>11426987.824417591</v>
      </c>
      <c r="BT8" s="45">
        <f>+'May, 12'!BT40</f>
        <v>346528.85493201896</v>
      </c>
      <c r="BU8" s="45">
        <f>+'May, 12'!BU40</f>
        <v>1430768.7844654911</v>
      </c>
      <c r="BV8" s="45">
        <f>+'May, 12'!BV40</f>
        <v>8400.1908600000006</v>
      </c>
      <c r="BW8" s="45">
        <f>+'May, 12'!BW40</f>
        <v>1155274.8019900008</v>
      </c>
      <c r="BX8" s="45">
        <f>+'May, 12'!BX40</f>
        <v>12663.664475599246</v>
      </c>
      <c r="BY8" s="45">
        <f>+'May, 12'!BY40</f>
        <v>659203.95900000003</v>
      </c>
      <c r="BZ8" s="45">
        <f>+'May, 12'!BZ40</f>
        <v>1887046.4080000008</v>
      </c>
      <c r="CA8" s="45">
        <f>+'May, 12'!CA40</f>
        <v>7245577.4509999994</v>
      </c>
      <c r="CB8" s="45">
        <f>+'May, 12'!CB40</f>
        <v>18618.56624</v>
      </c>
      <c r="CC8" s="45">
        <f>+'May, 12'!CC40</f>
        <v>885121.6681799998</v>
      </c>
      <c r="CD8" s="45">
        <f>+'May, 12'!CD40</f>
        <v>0</v>
      </c>
      <c r="CE8" s="45">
        <f>+'May, 12'!CE40</f>
        <v>22129.573</v>
      </c>
      <c r="CF8" s="45">
        <f>+'May, 12'!CF40</f>
        <v>1281598.71059</v>
      </c>
      <c r="CG8" s="45">
        <f>+'May, 12'!CG40</f>
        <v>184196.101</v>
      </c>
      <c r="CH8" s="45">
        <f>+'May, 12'!CH40</f>
        <v>2.9318200000000001</v>
      </c>
      <c r="CI8" s="45">
        <f>+'May, 12'!CI40</f>
        <v>900709.777</v>
      </c>
      <c r="CJ8" s="45">
        <f>+'May, 12'!CJ40</f>
        <v>137400.65900000001</v>
      </c>
      <c r="CK8" s="45">
        <f>+'May, 12'!CK40</f>
        <v>0</v>
      </c>
      <c r="CL8" s="45">
        <f>+'May, 12'!CL40</f>
        <v>0</v>
      </c>
      <c r="CM8" s="45">
        <f>+'May, 12'!CM40</f>
        <v>79545.21415</v>
      </c>
      <c r="CN8" s="45">
        <f>+'May, 12'!CN40</f>
        <v>662749.23896999995</v>
      </c>
      <c r="CO8" s="45">
        <f>+'May, 12'!CO40</f>
        <v>736440.24131999968</v>
      </c>
      <c r="CP8" s="45">
        <f>+'May, 12'!CP40</f>
        <v>9152723.6727600005</v>
      </c>
      <c r="CQ8" s="45">
        <f>+'May, 12'!CQ40</f>
        <v>377918.49939999997</v>
      </c>
      <c r="CR8" s="45">
        <f>+'May, 12'!CR40</f>
        <v>2701872.374679999</v>
      </c>
      <c r="CS8" s="45">
        <f>+'May, 12'!CS40</f>
        <v>5000</v>
      </c>
      <c r="CT8" s="45">
        <f>+'May, 12'!CT40</f>
        <v>20468.599999999999</v>
      </c>
      <c r="CU8" s="45">
        <f>+'May, 12'!CU40</f>
        <v>5000</v>
      </c>
      <c r="CV8" s="45">
        <f>+'May, 12'!CV40</f>
        <v>20468.599999999999</v>
      </c>
      <c r="CW8" s="43">
        <f t="shared" ref="CW8:CW40" si="4">SUM(D8:CV8)</f>
        <v>342174968.34070754</v>
      </c>
    </row>
    <row r="9" spans="1:101" x14ac:dyDescent="0.25">
      <c r="B9" s="46" t="s">
        <v>96</v>
      </c>
      <c r="C9" s="47" t="s">
        <v>98</v>
      </c>
      <c r="D9" s="47">
        <v>2300</v>
      </c>
      <c r="E9" s="48">
        <v>13432952.722999999</v>
      </c>
      <c r="F9" s="48">
        <v>24376359.51839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>
        <v>869.28700000000003</v>
      </c>
      <c r="BX9" s="47"/>
      <c r="BY9" s="47">
        <f>IF(BY6&gt;0,BY6,0)</f>
        <v>4431.5189999999711</v>
      </c>
      <c r="BZ9" s="47">
        <f>IF(BZ6&gt;0,BZ6,0)</f>
        <v>270692.42899999907</v>
      </c>
      <c r="CA9" s="47">
        <f>IF(CA6&gt;0,CA6,0)</f>
        <v>214486.62100000028</v>
      </c>
      <c r="CB9" s="47"/>
      <c r="CC9" s="47"/>
      <c r="CD9" s="47"/>
      <c r="CE9" s="47">
        <f>IF(CE6&gt;0,CE6,0)</f>
        <v>990.91999999999825</v>
      </c>
      <c r="CF9" s="47">
        <f>IF(CF6&gt;0,CF6,0)</f>
        <v>33305.800000000047</v>
      </c>
      <c r="CG9" s="47">
        <f>IF(CG6&gt;0,CG6,0)</f>
        <v>3468.5050000000047</v>
      </c>
      <c r="CH9" s="47"/>
      <c r="CI9" s="47">
        <f>IF(CI6&gt;0,CI6,0)</f>
        <v>572.19900000002235</v>
      </c>
      <c r="CJ9" s="47">
        <f>IF(CJ6&gt;0,CJ6,0)</f>
        <v>6338.2809999999881</v>
      </c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3">
        <f t="shared" si="4"/>
        <v>38346767.802390002</v>
      </c>
    </row>
    <row r="10" spans="1:101" x14ac:dyDescent="0.25">
      <c r="B10" s="46" t="s">
        <v>99</v>
      </c>
      <c r="C10" s="47" t="s">
        <v>100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>
        <v>-10.776999999999999</v>
      </c>
      <c r="BX10" s="47"/>
      <c r="BY10" s="47">
        <f>IF(BY6&lt;0,BY6,0)</f>
        <v>0</v>
      </c>
      <c r="BZ10" s="47">
        <f>IF(BZ6&lt;0,BZ6,0)</f>
        <v>0</v>
      </c>
      <c r="CA10" s="47">
        <f>IF(CA6&lt;0,CA6,0)</f>
        <v>0</v>
      </c>
      <c r="CB10" s="47"/>
      <c r="CC10" s="47"/>
      <c r="CD10" s="47"/>
      <c r="CE10" s="47">
        <f>IF(CE6&lt;0,CE6,0)</f>
        <v>0</v>
      </c>
      <c r="CF10" s="47">
        <f>IF(CF6&lt;0,CF6,0)</f>
        <v>0</v>
      </c>
      <c r="CG10" s="47">
        <f>IF(CG6&lt;0,CG6,0)</f>
        <v>0</v>
      </c>
      <c r="CH10" s="47"/>
      <c r="CI10" s="47">
        <f>IF(CI6&lt;0,CI6,0)</f>
        <v>0</v>
      </c>
      <c r="CJ10" s="47">
        <f>IF(CJ6&lt;0,CJ6,0)</f>
        <v>0</v>
      </c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3">
        <f t="shared" si="4"/>
        <v>-10.776999999999999</v>
      </c>
    </row>
    <row r="11" spans="1:101" x14ac:dyDescent="0.25">
      <c r="A11" s="41"/>
      <c r="B11" s="49" t="s">
        <v>99</v>
      </c>
      <c r="C11" s="50" t="s">
        <v>101</v>
      </c>
      <c r="D11" s="50">
        <v>0</v>
      </c>
      <c r="E11" s="50">
        <v>-2752.9679999999998</v>
      </c>
      <c r="F11" s="50">
        <v>-3832.4687999992402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>
        <f>+[1]Otrosbancos!$I$6+[1]Otrosbancos!$I$7</f>
        <v>-437.99600000000004</v>
      </c>
      <c r="BZ11" s="50">
        <f>+[1]Otrosbancos!$I$11+[1]Otrosbancos!$I$12</f>
        <v>-2795615.68</v>
      </c>
      <c r="CA11" s="50">
        <f>+[1]Otrosbancos!$I$16+[1]Otrosbancos!$I$17</f>
        <v>-1918366.645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43">
        <f t="shared" si="4"/>
        <v>-4721005.7577999998</v>
      </c>
    </row>
    <row r="12" spans="1:101" x14ac:dyDescent="0.25">
      <c r="B12" s="46" t="s">
        <v>96</v>
      </c>
      <c r="C12" s="47" t="s">
        <v>102</v>
      </c>
      <c r="D12" s="47"/>
      <c r="E12" s="47">
        <v>42.1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1"/>
      <c r="AS12" s="51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3">
        <f t="shared" si="4"/>
        <v>42.1</v>
      </c>
    </row>
    <row r="13" spans="1:101" x14ac:dyDescent="0.25">
      <c r="B13" s="46" t="s">
        <v>96</v>
      </c>
      <c r="C13" s="47" t="s">
        <v>103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51"/>
      <c r="AS13" s="51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3">
        <f t="shared" si="4"/>
        <v>0</v>
      </c>
    </row>
    <row r="14" spans="1:101" x14ac:dyDescent="0.25">
      <c r="B14" s="46" t="s">
        <v>96</v>
      </c>
      <c r="C14" s="47" t="s">
        <v>104</v>
      </c>
      <c r="D14" s="47"/>
      <c r="E14" s="47"/>
      <c r="F14" s="47">
        <v>100349.878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51"/>
      <c r="AS14" s="51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3">
        <f t="shared" si="4"/>
        <v>100349.878</v>
      </c>
    </row>
    <row r="15" spans="1:101" x14ac:dyDescent="0.25">
      <c r="B15" s="46" t="s">
        <v>96</v>
      </c>
      <c r="C15" s="47" t="s">
        <v>105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51"/>
      <c r="AS15" s="51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3">
        <f t="shared" si="4"/>
        <v>0</v>
      </c>
    </row>
    <row r="16" spans="1:101" x14ac:dyDescent="0.25">
      <c r="B16" s="46" t="s">
        <v>96</v>
      </c>
      <c r="C16" s="47" t="s">
        <v>106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51"/>
      <c r="AS16" s="51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3">
        <f t="shared" si="4"/>
        <v>0</v>
      </c>
    </row>
    <row r="17" spans="1:101" x14ac:dyDescent="0.25">
      <c r="B17" s="46" t="s">
        <v>99</v>
      </c>
      <c r="C17" s="47" t="s">
        <v>107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51"/>
      <c r="AS17" s="51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>
        <v>-2077476.8300000003</v>
      </c>
      <c r="BS17" s="47">
        <f>+BR17*BS5</f>
        <v>-8764043.7550380025</v>
      </c>
      <c r="BT17" s="47">
        <v>-309864.84999999998</v>
      </c>
      <c r="BU17" s="47">
        <f>+BT17*BU5</f>
        <v>-1307195.8562100001</v>
      </c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3">
        <f t="shared" si="4"/>
        <v>-12458581.291248003</v>
      </c>
    </row>
    <row r="18" spans="1:101" x14ac:dyDescent="0.25">
      <c r="B18" s="46" t="s">
        <v>96</v>
      </c>
      <c r="C18" s="47" t="s">
        <v>108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1"/>
      <c r="AS18" s="51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3">
        <f t="shared" si="4"/>
        <v>0</v>
      </c>
    </row>
    <row r="19" spans="1:101" x14ac:dyDescent="0.25">
      <c r="B19" s="46" t="s">
        <v>99</v>
      </c>
      <c r="C19" s="47" t="s">
        <v>109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51"/>
      <c r="AS19" s="51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3">
        <f t="shared" si="4"/>
        <v>0</v>
      </c>
    </row>
    <row r="20" spans="1:101" x14ac:dyDescent="0.25">
      <c r="B20" s="46" t="s">
        <v>99</v>
      </c>
      <c r="C20" s="47" t="s">
        <v>110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51"/>
      <c r="AS20" s="51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3">
        <f t="shared" si="4"/>
        <v>0</v>
      </c>
    </row>
    <row r="21" spans="1:101" x14ac:dyDescent="0.25">
      <c r="B21" s="46" t="s">
        <v>96</v>
      </c>
      <c r="C21" s="47" t="s">
        <v>111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51"/>
      <c r="AS21" s="51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3">
        <f t="shared" si="4"/>
        <v>0</v>
      </c>
    </row>
    <row r="22" spans="1:101" x14ac:dyDescent="0.25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51"/>
      <c r="AS22" s="51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3">
        <f t="shared" si="4"/>
        <v>0</v>
      </c>
    </row>
    <row r="23" spans="1:101" x14ac:dyDescent="0.25">
      <c r="B23" s="46" t="s">
        <v>99</v>
      </c>
      <c r="C23" s="47" t="s">
        <v>112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51"/>
      <c r="AS23" s="51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3">
        <f t="shared" si="4"/>
        <v>0</v>
      </c>
    </row>
    <row r="24" spans="1:101" x14ac:dyDescent="0.25">
      <c r="B24" s="46" t="s">
        <v>99</v>
      </c>
      <c r="C24" s="47" t="s">
        <v>113</v>
      </c>
      <c r="D24" s="47"/>
      <c r="E24" s="47">
        <f>-9.634-2648.562-4816.97</f>
        <v>-7475.1660000000002</v>
      </c>
      <c r="F24" s="47">
        <f>-50669.85-202.679</f>
        <v>-50872.528999999995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51"/>
      <c r="AS24" s="51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3">
        <f t="shared" si="4"/>
        <v>-58347.694999999992</v>
      </c>
    </row>
    <row r="25" spans="1:101" x14ac:dyDescent="0.25">
      <c r="A25" s="41"/>
      <c r="B25" s="52" t="s">
        <v>99</v>
      </c>
      <c r="C25" s="53" t="s">
        <v>114</v>
      </c>
      <c r="D25" s="53">
        <v>-2908.2450100000001</v>
      </c>
      <c r="E25" s="53">
        <v>-5508210.5358999996</v>
      </c>
      <c r="F25" s="53">
        <v>-4529577.9156999998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43">
        <f t="shared" si="4"/>
        <v>-10040696.69661</v>
      </c>
    </row>
    <row r="26" spans="1:101" x14ac:dyDescent="0.25">
      <c r="B26" s="46"/>
      <c r="C26" s="47" t="s">
        <v>115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51"/>
      <c r="AS26" s="51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3">
        <f t="shared" si="4"/>
        <v>0</v>
      </c>
    </row>
    <row r="27" spans="1:101" x14ac:dyDescent="0.25">
      <c r="B27" s="46" t="s">
        <v>99</v>
      </c>
      <c r="C27" s="47" t="s">
        <v>116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51"/>
      <c r="AS27" s="51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3">
        <f t="shared" si="4"/>
        <v>0</v>
      </c>
    </row>
    <row r="28" spans="1:101" x14ac:dyDescent="0.25">
      <c r="B28" s="47" t="s">
        <v>99</v>
      </c>
      <c r="C28" s="47" t="s">
        <v>117</v>
      </c>
      <c r="D28" s="48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51"/>
      <c r="AS28" s="51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3">
        <f t="shared" si="4"/>
        <v>0</v>
      </c>
    </row>
    <row r="29" spans="1:101" x14ac:dyDescent="0.25">
      <c r="B29" s="47"/>
      <c r="C29" s="47" t="s">
        <v>118</v>
      </c>
      <c r="D29" s="48"/>
      <c r="E29" s="47">
        <v>616.17899999999997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51"/>
      <c r="AS29" s="51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3">
        <f t="shared" si="4"/>
        <v>616.17899999999997</v>
      </c>
    </row>
    <row r="30" spans="1:101" x14ac:dyDescent="0.25">
      <c r="B30" s="47"/>
      <c r="C30" s="47" t="s">
        <v>119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51"/>
      <c r="AS30" s="51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3">
        <f t="shared" si="4"/>
        <v>0</v>
      </c>
    </row>
    <row r="31" spans="1:101" x14ac:dyDescent="0.25">
      <c r="B31" s="47" t="s">
        <v>99</v>
      </c>
      <c r="C31" s="47" t="s">
        <v>120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51"/>
      <c r="AS31" s="51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3">
        <f t="shared" si="4"/>
        <v>0</v>
      </c>
    </row>
    <row r="32" spans="1:101" x14ac:dyDescent="0.25">
      <c r="B32" s="47" t="s">
        <v>99</v>
      </c>
      <c r="C32" s="47" t="s">
        <v>121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51"/>
      <c r="AS32" s="51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3">
        <f t="shared" si="4"/>
        <v>0</v>
      </c>
    </row>
    <row r="33" spans="2:101" x14ac:dyDescent="0.25">
      <c r="B33" s="47" t="s">
        <v>99</v>
      </c>
      <c r="C33" s="47" t="s">
        <v>122</v>
      </c>
      <c r="D33" s="47"/>
      <c r="E33" s="47">
        <f>-7017-1132434-12051-37517-12105</f>
        <v>-1201124</v>
      </c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51"/>
      <c r="AS33" s="51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3">
        <f t="shared" si="4"/>
        <v>-1201124</v>
      </c>
    </row>
    <row r="34" spans="2:101" x14ac:dyDescent="0.25">
      <c r="B34" s="54" t="s">
        <v>99</v>
      </c>
      <c r="C34" s="55" t="s">
        <v>123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43">
        <f t="shared" si="4"/>
        <v>0</v>
      </c>
    </row>
    <row r="35" spans="2:101" x14ac:dyDescent="0.25">
      <c r="B35" s="54" t="s">
        <v>99</v>
      </c>
      <c r="C35" s="55" t="s">
        <v>124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43">
        <f t="shared" si="4"/>
        <v>0</v>
      </c>
    </row>
    <row r="36" spans="2:101" ht="15.75" thickBot="1" x14ac:dyDescent="0.3">
      <c r="B36" s="56"/>
      <c r="C36" s="57" t="s">
        <v>125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43">
        <f t="shared" si="4"/>
        <v>0</v>
      </c>
    </row>
    <row r="37" spans="2:101" x14ac:dyDescent="0.25">
      <c r="B37" s="58"/>
      <c r="C37" s="59" t="s">
        <v>126</v>
      </c>
      <c r="D37" s="59">
        <f>SUM(D9:D36)</f>
        <v>-608.24501000000009</v>
      </c>
      <c r="E37" s="59">
        <f>SUM(E9:E36)</f>
        <v>6714048.3320999993</v>
      </c>
      <c r="F37" s="59">
        <f>SUM(F9:F35)</f>
        <v>19892426.482889999</v>
      </c>
      <c r="G37" s="59">
        <f t="shared" ref="G37:BR37" si="5">SUM(G9:G36)</f>
        <v>0</v>
      </c>
      <c r="H37" s="59">
        <f t="shared" si="5"/>
        <v>0</v>
      </c>
      <c r="I37" s="59">
        <f t="shared" si="5"/>
        <v>0</v>
      </c>
      <c r="J37" s="59">
        <f t="shared" si="5"/>
        <v>0</v>
      </c>
      <c r="K37" s="59">
        <f t="shared" si="5"/>
        <v>0</v>
      </c>
      <c r="L37" s="59">
        <f t="shared" si="5"/>
        <v>0</v>
      </c>
      <c r="M37" s="59">
        <f t="shared" si="5"/>
        <v>0</v>
      </c>
      <c r="N37" s="59">
        <f t="shared" si="5"/>
        <v>0</v>
      </c>
      <c r="O37" s="59">
        <f t="shared" si="5"/>
        <v>0</v>
      </c>
      <c r="P37" s="59">
        <f t="shared" si="5"/>
        <v>0</v>
      </c>
      <c r="Q37" s="59">
        <f t="shared" si="5"/>
        <v>0</v>
      </c>
      <c r="R37" s="59">
        <f t="shared" si="5"/>
        <v>0</v>
      </c>
      <c r="S37" s="59">
        <f t="shared" si="5"/>
        <v>0</v>
      </c>
      <c r="T37" s="59">
        <f t="shared" si="5"/>
        <v>0</v>
      </c>
      <c r="U37" s="59">
        <f t="shared" si="5"/>
        <v>0</v>
      </c>
      <c r="V37" s="59">
        <f t="shared" si="5"/>
        <v>0</v>
      </c>
      <c r="W37" s="59">
        <f t="shared" si="5"/>
        <v>0</v>
      </c>
      <c r="X37" s="59">
        <f t="shared" si="5"/>
        <v>0</v>
      </c>
      <c r="Y37" s="59">
        <f t="shared" si="5"/>
        <v>0</v>
      </c>
      <c r="Z37" s="59">
        <f t="shared" si="5"/>
        <v>0</v>
      </c>
      <c r="AA37" s="59">
        <f t="shared" si="5"/>
        <v>0</v>
      </c>
      <c r="AB37" s="59">
        <f t="shared" si="5"/>
        <v>0</v>
      </c>
      <c r="AC37" s="59">
        <f t="shared" si="5"/>
        <v>0</v>
      </c>
      <c r="AD37" s="59">
        <f t="shared" si="5"/>
        <v>0</v>
      </c>
      <c r="AE37" s="59">
        <f t="shared" si="5"/>
        <v>0</v>
      </c>
      <c r="AF37" s="59">
        <f t="shared" si="5"/>
        <v>0</v>
      </c>
      <c r="AG37" s="59">
        <f t="shared" si="5"/>
        <v>0</v>
      </c>
      <c r="AH37" s="59">
        <f t="shared" si="5"/>
        <v>0</v>
      </c>
      <c r="AI37" s="59">
        <f t="shared" si="5"/>
        <v>0</v>
      </c>
      <c r="AJ37" s="59">
        <f t="shared" si="5"/>
        <v>0</v>
      </c>
      <c r="AK37" s="59">
        <f t="shared" si="5"/>
        <v>0</v>
      </c>
      <c r="AL37" s="59">
        <f t="shared" si="5"/>
        <v>0</v>
      </c>
      <c r="AM37" s="59">
        <f t="shared" si="5"/>
        <v>0</v>
      </c>
      <c r="AN37" s="59">
        <f t="shared" si="5"/>
        <v>0</v>
      </c>
      <c r="AO37" s="59">
        <f t="shared" si="5"/>
        <v>0</v>
      </c>
      <c r="AP37" s="59">
        <f t="shared" si="5"/>
        <v>0</v>
      </c>
      <c r="AQ37" s="59">
        <f t="shared" si="5"/>
        <v>0</v>
      </c>
      <c r="AR37" s="59">
        <f t="shared" si="5"/>
        <v>0</v>
      </c>
      <c r="AS37" s="59">
        <f t="shared" si="5"/>
        <v>0</v>
      </c>
      <c r="AT37" s="59">
        <f t="shared" si="5"/>
        <v>0</v>
      </c>
      <c r="AU37" s="59">
        <f t="shared" si="5"/>
        <v>0</v>
      </c>
      <c r="AV37" s="59">
        <f t="shared" si="5"/>
        <v>0</v>
      </c>
      <c r="AW37" s="59">
        <f t="shared" si="5"/>
        <v>0</v>
      </c>
      <c r="AX37" s="59">
        <f t="shared" si="5"/>
        <v>0</v>
      </c>
      <c r="AY37" s="59">
        <f t="shared" si="5"/>
        <v>0</v>
      </c>
      <c r="AZ37" s="59">
        <f t="shared" si="5"/>
        <v>0</v>
      </c>
      <c r="BA37" s="59">
        <f t="shared" si="5"/>
        <v>0</v>
      </c>
      <c r="BB37" s="59">
        <f t="shared" si="5"/>
        <v>0</v>
      </c>
      <c r="BC37" s="59">
        <f t="shared" si="5"/>
        <v>0</v>
      </c>
      <c r="BD37" s="59">
        <f t="shared" si="5"/>
        <v>0</v>
      </c>
      <c r="BE37" s="59">
        <f t="shared" si="5"/>
        <v>0</v>
      </c>
      <c r="BF37" s="59">
        <f t="shared" si="5"/>
        <v>0</v>
      </c>
      <c r="BG37" s="59">
        <f t="shared" si="5"/>
        <v>0</v>
      </c>
      <c r="BH37" s="59">
        <f t="shared" si="5"/>
        <v>0</v>
      </c>
      <c r="BI37" s="59">
        <f t="shared" si="5"/>
        <v>0</v>
      </c>
      <c r="BJ37" s="59">
        <f t="shared" si="5"/>
        <v>0</v>
      </c>
      <c r="BK37" s="59">
        <f t="shared" si="5"/>
        <v>0</v>
      </c>
      <c r="BL37" s="59">
        <f t="shared" si="5"/>
        <v>0</v>
      </c>
      <c r="BM37" s="59">
        <f t="shared" si="5"/>
        <v>0</v>
      </c>
      <c r="BN37" s="59">
        <f t="shared" si="5"/>
        <v>0</v>
      </c>
      <c r="BO37" s="59">
        <f t="shared" si="5"/>
        <v>0</v>
      </c>
      <c r="BP37" s="59">
        <f t="shared" si="5"/>
        <v>0</v>
      </c>
      <c r="BQ37" s="59">
        <f t="shared" si="5"/>
        <v>0</v>
      </c>
      <c r="BR37" s="59">
        <f t="shared" si="5"/>
        <v>-2077476.8300000003</v>
      </c>
      <c r="BS37" s="59">
        <f t="shared" ref="BS37:CV37" si="6">SUM(BS9:BS36)</f>
        <v>-8764043.7550380025</v>
      </c>
      <c r="BT37" s="59">
        <f t="shared" si="6"/>
        <v>-309864.84999999998</v>
      </c>
      <c r="BU37" s="59">
        <f t="shared" si="6"/>
        <v>-1307195.8562100001</v>
      </c>
      <c r="BV37" s="59">
        <f t="shared" si="6"/>
        <v>0</v>
      </c>
      <c r="BW37" s="59">
        <f t="shared" si="6"/>
        <v>858.51</v>
      </c>
      <c r="BX37" s="59">
        <f t="shared" si="6"/>
        <v>0</v>
      </c>
      <c r="BY37" s="59">
        <f t="shared" si="6"/>
        <v>3993.522999999971</v>
      </c>
      <c r="BZ37" s="59">
        <f t="shared" si="6"/>
        <v>-2524923.2510000011</v>
      </c>
      <c r="CA37" s="59">
        <f t="shared" si="6"/>
        <v>-1703880.0239999997</v>
      </c>
      <c r="CB37" s="59">
        <f t="shared" si="6"/>
        <v>0</v>
      </c>
      <c r="CC37" s="59">
        <f t="shared" si="6"/>
        <v>0</v>
      </c>
      <c r="CD37" s="59">
        <f t="shared" si="6"/>
        <v>0</v>
      </c>
      <c r="CE37" s="59">
        <f t="shared" si="6"/>
        <v>990.91999999999825</v>
      </c>
      <c r="CF37" s="59">
        <f t="shared" si="6"/>
        <v>33305.800000000047</v>
      </c>
      <c r="CG37" s="59">
        <f t="shared" si="6"/>
        <v>3468.5050000000047</v>
      </c>
      <c r="CH37" s="59">
        <f t="shared" si="6"/>
        <v>0</v>
      </c>
      <c r="CI37" s="59">
        <f t="shared" si="6"/>
        <v>572.19900000002235</v>
      </c>
      <c r="CJ37" s="59">
        <f t="shared" si="6"/>
        <v>6338.2809999999881</v>
      </c>
      <c r="CK37" s="59">
        <f t="shared" si="6"/>
        <v>0</v>
      </c>
      <c r="CL37" s="59">
        <f t="shared" si="6"/>
        <v>0</v>
      </c>
      <c r="CM37" s="59">
        <f t="shared" si="6"/>
        <v>0</v>
      </c>
      <c r="CN37" s="59">
        <f t="shared" si="6"/>
        <v>0</v>
      </c>
      <c r="CO37" s="59">
        <f t="shared" si="6"/>
        <v>0</v>
      </c>
      <c r="CP37" s="59">
        <f t="shared" si="6"/>
        <v>0</v>
      </c>
      <c r="CQ37" s="59">
        <f t="shared" si="6"/>
        <v>0</v>
      </c>
      <c r="CR37" s="59">
        <f t="shared" si="6"/>
        <v>0</v>
      </c>
      <c r="CS37" s="59">
        <f t="shared" si="6"/>
        <v>0</v>
      </c>
      <c r="CT37" s="59">
        <f t="shared" si="6"/>
        <v>0</v>
      </c>
      <c r="CU37" s="59">
        <f t="shared" si="6"/>
        <v>0</v>
      </c>
      <c r="CV37" s="59">
        <f t="shared" si="6"/>
        <v>0</v>
      </c>
      <c r="CW37" s="43">
        <f t="shared" si="4"/>
        <v>9968009.7417319939</v>
      </c>
    </row>
    <row r="38" spans="2:101" x14ac:dyDescent="0.25">
      <c r="B38" s="60"/>
      <c r="C38" s="61" t="s">
        <v>127</v>
      </c>
      <c r="D38" s="61">
        <f>+D37+D8</f>
        <v>554210.35427000048</v>
      </c>
      <c r="E38" s="61">
        <f>+E37+E8</f>
        <v>17434116.855034553</v>
      </c>
      <c r="F38" s="61">
        <f>+F37+F8</f>
        <v>26342684.305991508</v>
      </c>
      <c r="G38" s="61">
        <f t="shared" ref="G38:BR38" si="7">+G37+G8</f>
        <v>0</v>
      </c>
      <c r="H38" s="61">
        <f t="shared" si="7"/>
        <v>0</v>
      </c>
      <c r="I38" s="61">
        <f t="shared" si="7"/>
        <v>112824.44156999425</v>
      </c>
      <c r="J38" s="61">
        <f t="shared" si="7"/>
        <v>0</v>
      </c>
      <c r="K38" s="61">
        <f t="shared" si="7"/>
        <v>143709.39457214306</v>
      </c>
      <c r="L38" s="61">
        <f t="shared" si="7"/>
        <v>244472.40656418435</v>
      </c>
      <c r="M38" s="61">
        <f t="shared" si="7"/>
        <v>1040632.4702448664</v>
      </c>
      <c r="N38" s="61">
        <f t="shared" si="7"/>
        <v>177310.5199999999</v>
      </c>
      <c r="O38" s="61">
        <f t="shared" si="7"/>
        <v>743248.15264999995</v>
      </c>
      <c r="P38" s="61">
        <f t="shared" si="7"/>
        <v>31199206.180000007</v>
      </c>
      <c r="Q38" s="61">
        <f t="shared" si="7"/>
        <v>132372472.69881758</v>
      </c>
      <c r="R38" s="61">
        <f t="shared" si="7"/>
        <v>985302.80999999994</v>
      </c>
      <c r="S38" s="61">
        <f t="shared" si="7"/>
        <v>4461698.6355710989</v>
      </c>
      <c r="T38" s="61">
        <f t="shared" si="7"/>
        <v>0</v>
      </c>
      <c r="U38" s="61">
        <f t="shared" si="7"/>
        <v>0</v>
      </c>
      <c r="V38" s="61">
        <f t="shared" si="7"/>
        <v>0</v>
      </c>
      <c r="W38" s="61">
        <f t="shared" si="7"/>
        <v>0</v>
      </c>
      <c r="X38" s="61">
        <f t="shared" si="7"/>
        <v>0</v>
      </c>
      <c r="Y38" s="61">
        <f t="shared" si="7"/>
        <v>0</v>
      </c>
      <c r="Z38" s="61">
        <f t="shared" si="7"/>
        <v>9662.5274983807467</v>
      </c>
      <c r="AA38" s="61">
        <f t="shared" si="7"/>
        <v>40503.29</v>
      </c>
      <c r="AB38" s="61">
        <f t="shared" si="7"/>
        <v>7542.7499999967404</v>
      </c>
      <c r="AC38" s="61">
        <f t="shared" si="7"/>
        <v>31617.62</v>
      </c>
      <c r="AD38" s="61">
        <f t="shared" si="7"/>
        <v>5155</v>
      </c>
      <c r="AE38" s="61">
        <f t="shared" si="7"/>
        <v>21608.68</v>
      </c>
      <c r="AF38" s="61">
        <f t="shared" si="7"/>
        <v>7956.8699999451637</v>
      </c>
      <c r="AG38" s="61">
        <f t="shared" si="7"/>
        <v>33353.53</v>
      </c>
      <c r="AH38" s="61">
        <f t="shared" si="7"/>
        <v>202018.84999999718</v>
      </c>
      <c r="AI38" s="61">
        <f t="shared" si="7"/>
        <v>846664.08869630005</v>
      </c>
      <c r="AJ38" s="61">
        <f t="shared" si="7"/>
        <v>673596.71999999823</v>
      </c>
      <c r="AK38" s="61">
        <f t="shared" si="7"/>
        <v>2823324.1679230896</v>
      </c>
      <c r="AL38" s="61">
        <f t="shared" si="7"/>
        <v>7196277.692750074</v>
      </c>
      <c r="AM38" s="61">
        <f t="shared" si="7"/>
        <v>59260575.930983536</v>
      </c>
      <c r="AN38" s="61">
        <f t="shared" si="7"/>
        <v>6672054.544230001</v>
      </c>
      <c r="AO38" s="61">
        <f t="shared" si="7"/>
        <v>943840.20692143973</v>
      </c>
      <c r="AP38" s="61">
        <f t="shared" si="7"/>
        <v>8930354.0155337546</v>
      </c>
      <c r="AQ38" s="61">
        <f t="shared" si="7"/>
        <v>1613981.6700221607</v>
      </c>
      <c r="AR38" s="61">
        <f t="shared" si="7"/>
        <v>33752.683643993005</v>
      </c>
      <c r="AS38" s="61">
        <f t="shared" si="7"/>
        <v>6.2719079996137461</v>
      </c>
      <c r="AT38" s="61">
        <f t="shared" si="7"/>
        <v>11.210432002509913</v>
      </c>
      <c r="AU38" s="61">
        <f t="shared" si="7"/>
        <v>70709.869203997281</v>
      </c>
      <c r="AV38" s="61">
        <f t="shared" si="7"/>
        <v>523662.90839880263</v>
      </c>
      <c r="AW38" s="61">
        <f t="shared" si="7"/>
        <v>85667.9885699968</v>
      </c>
      <c r="AX38" s="61">
        <f t="shared" si="7"/>
        <v>1041.3974240010875</v>
      </c>
      <c r="AY38" s="61">
        <f t="shared" si="7"/>
        <v>17450.753311997978</v>
      </c>
      <c r="AZ38" s="61">
        <f t="shared" si="7"/>
        <v>23267.345377323236</v>
      </c>
      <c r="BA38" s="61">
        <f t="shared" si="7"/>
        <v>202151.28772400692</v>
      </c>
      <c r="BB38" s="61">
        <f t="shared" si="7"/>
        <v>70003.831219991145</v>
      </c>
      <c r="BC38" s="61">
        <f t="shared" si="7"/>
        <v>267041.61384799867</v>
      </c>
      <c r="BD38" s="61">
        <f t="shared" si="7"/>
        <v>17062.151599989833</v>
      </c>
      <c r="BE38" s="61">
        <f t="shared" si="7"/>
        <v>256586.81289368056</v>
      </c>
      <c r="BF38" s="61">
        <f t="shared" si="7"/>
        <v>321949.5492303599</v>
      </c>
      <c r="BG38" s="61">
        <f t="shared" si="7"/>
        <v>35109.232018882758</v>
      </c>
      <c r="BH38" s="61">
        <f t="shared" si="7"/>
        <v>27273.514880002102</v>
      </c>
      <c r="BI38" s="61">
        <f t="shared" si="7"/>
        <v>630661.83776839031</v>
      </c>
      <c r="BJ38" s="61">
        <f t="shared" si="7"/>
        <v>197783.28604456017</v>
      </c>
      <c r="BK38" s="61">
        <f t="shared" si="7"/>
        <v>11496991.451116012</v>
      </c>
      <c r="BL38" s="61">
        <f t="shared" si="7"/>
        <v>112818.42443244607</v>
      </c>
      <c r="BM38" s="61">
        <f t="shared" si="7"/>
        <v>1069560.4748471512</v>
      </c>
      <c r="BN38" s="61">
        <f t="shared" si="7"/>
        <v>4100521.208207381</v>
      </c>
      <c r="BO38" s="61">
        <f t="shared" si="7"/>
        <v>3.4691202304202307E-3</v>
      </c>
      <c r="BP38" s="61">
        <f t="shared" si="7"/>
        <v>255.40600932906548</v>
      </c>
      <c r="BQ38" s="61">
        <f t="shared" si="7"/>
        <v>4.0128798844989433E-3</v>
      </c>
      <c r="BR38" s="61">
        <f t="shared" si="7"/>
        <v>645623.81600000313</v>
      </c>
      <c r="BS38" s="61">
        <f t="shared" ref="BS38:CV38" si="8">+BS37+BS8</f>
        <v>2662944.0693795886</v>
      </c>
      <c r="BT38" s="61">
        <f t="shared" si="8"/>
        <v>36664.004932018986</v>
      </c>
      <c r="BU38" s="61">
        <f t="shared" si="8"/>
        <v>123572.92825549096</v>
      </c>
      <c r="BV38" s="61">
        <f t="shared" si="8"/>
        <v>8400.1908600000006</v>
      </c>
      <c r="BW38" s="61">
        <f t="shared" si="8"/>
        <v>1156133.3119900008</v>
      </c>
      <c r="BX38" s="61">
        <f t="shared" si="8"/>
        <v>12663.664475599246</v>
      </c>
      <c r="BY38" s="61">
        <f t="shared" si="8"/>
        <v>663197.48199999996</v>
      </c>
      <c r="BZ38" s="61">
        <f t="shared" si="8"/>
        <v>-637876.84300000034</v>
      </c>
      <c r="CA38" s="61">
        <f t="shared" si="8"/>
        <v>5541697.4269999992</v>
      </c>
      <c r="CB38" s="61">
        <f t="shared" si="8"/>
        <v>18618.56624</v>
      </c>
      <c r="CC38" s="61">
        <f t="shared" si="8"/>
        <v>885121.6681799998</v>
      </c>
      <c r="CD38" s="61">
        <f t="shared" si="8"/>
        <v>0</v>
      </c>
      <c r="CE38" s="61">
        <f t="shared" si="8"/>
        <v>23120.492999999999</v>
      </c>
      <c r="CF38" s="61">
        <f t="shared" si="8"/>
        <v>1314904.5105900001</v>
      </c>
      <c r="CG38" s="61">
        <f t="shared" si="8"/>
        <v>187664.606</v>
      </c>
      <c r="CH38" s="61">
        <f t="shared" si="8"/>
        <v>2.9318200000000001</v>
      </c>
      <c r="CI38" s="61">
        <f t="shared" si="8"/>
        <v>901281.97600000002</v>
      </c>
      <c r="CJ38" s="61">
        <f t="shared" si="8"/>
        <v>143738.94</v>
      </c>
      <c r="CK38" s="61">
        <f t="shared" si="8"/>
        <v>0</v>
      </c>
      <c r="CL38" s="61">
        <f t="shared" si="8"/>
        <v>0</v>
      </c>
      <c r="CM38" s="61">
        <f t="shared" si="8"/>
        <v>79545.21415</v>
      </c>
      <c r="CN38" s="61">
        <f t="shared" si="8"/>
        <v>662749.23896999995</v>
      </c>
      <c r="CO38" s="61">
        <f t="shared" si="8"/>
        <v>736440.24131999968</v>
      </c>
      <c r="CP38" s="61">
        <f t="shared" si="8"/>
        <v>9152723.6727600005</v>
      </c>
      <c r="CQ38" s="61">
        <f t="shared" si="8"/>
        <v>377918.49939999997</v>
      </c>
      <c r="CR38" s="61">
        <f t="shared" si="8"/>
        <v>2701872.374679999</v>
      </c>
      <c r="CS38" s="61">
        <f t="shared" si="8"/>
        <v>5000</v>
      </c>
      <c r="CT38" s="61">
        <f t="shared" si="8"/>
        <v>20468.599999999999</v>
      </c>
      <c r="CU38" s="61">
        <f t="shared" si="8"/>
        <v>5000</v>
      </c>
      <c r="CV38" s="61">
        <f t="shared" si="8"/>
        <v>20468.599999999999</v>
      </c>
      <c r="CW38" s="43">
        <f t="shared" si="4"/>
        <v>352142978.08243948</v>
      </c>
    </row>
    <row r="39" spans="2:101" x14ac:dyDescent="0.25">
      <c r="B39" s="62"/>
      <c r="C39" s="63" t="s">
        <v>128</v>
      </c>
      <c r="D39" s="63">
        <v>0</v>
      </c>
      <c r="E39" s="63">
        <v>-3428884.6107800002</v>
      </c>
      <c r="F39" s="63">
        <v>-2523000</v>
      </c>
      <c r="G39" s="63">
        <v>0</v>
      </c>
      <c r="H39" s="63">
        <v>0</v>
      </c>
      <c r="I39" s="63">
        <v>19.404210000000003</v>
      </c>
      <c r="J39" s="63">
        <v>0</v>
      </c>
      <c r="K39" s="63">
        <v>0</v>
      </c>
      <c r="L39" s="63">
        <v>-37082.311497355709</v>
      </c>
      <c r="M39" s="63">
        <v>-181543.28</v>
      </c>
      <c r="N39" s="63">
        <v>0</v>
      </c>
      <c r="O39" s="63">
        <v>0</v>
      </c>
      <c r="P39" s="63">
        <v>-10950174.759999998</v>
      </c>
      <c r="Q39" s="63">
        <v>-46194407.242536008</v>
      </c>
      <c r="R39" s="63">
        <v>8863.73</v>
      </c>
      <c r="S39" s="63">
        <v>37392.531377999861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33.164999999999999</v>
      </c>
      <c r="BB39" s="63">
        <v>11.484999999999999</v>
      </c>
      <c r="BC39" s="63">
        <v>43.809999999999995</v>
      </c>
      <c r="BD39" s="63">
        <v>2.7989999999999999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19.40409</v>
      </c>
      <c r="BM39" s="63">
        <v>183.95339999999999</v>
      </c>
      <c r="BN39" s="63">
        <v>705.24779999999998</v>
      </c>
      <c r="BO39" s="63">
        <v>0</v>
      </c>
      <c r="BP39" s="63">
        <v>4.7229999999999994E-2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0</v>
      </c>
      <c r="BX39" s="63">
        <v>0</v>
      </c>
      <c r="BY39" s="63">
        <v>0</v>
      </c>
      <c r="BZ39" s="63">
        <v>5400000</v>
      </c>
      <c r="CA39" s="63">
        <v>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43">
        <f t="shared" si="4"/>
        <v>-57867816.627705358</v>
      </c>
    </row>
    <row r="40" spans="2:101" ht="15.75" thickBot="1" x14ac:dyDescent="0.3">
      <c r="B40" s="64"/>
      <c r="C40" s="65" t="s">
        <v>129</v>
      </c>
      <c r="D40" s="65">
        <f>+D39+D38</f>
        <v>554210.35427000048</v>
      </c>
      <c r="E40" s="65">
        <f>+E39+E38</f>
        <v>14005232.244254552</v>
      </c>
      <c r="F40" s="65">
        <f>+F39+F38</f>
        <v>23819684.305991508</v>
      </c>
      <c r="G40" s="65">
        <f t="shared" ref="G40:BR40" si="9">+G39+G38</f>
        <v>0</v>
      </c>
      <c r="H40" s="65">
        <f t="shared" si="9"/>
        <v>0</v>
      </c>
      <c r="I40" s="65">
        <f t="shared" si="9"/>
        <v>112843.84577999424</v>
      </c>
      <c r="J40" s="65">
        <f t="shared" si="9"/>
        <v>0</v>
      </c>
      <c r="K40" s="65">
        <f t="shared" si="9"/>
        <v>143709.39457214306</v>
      </c>
      <c r="L40" s="65">
        <f t="shared" si="9"/>
        <v>207390.09506682865</v>
      </c>
      <c r="M40" s="65">
        <f t="shared" si="9"/>
        <v>859089.19024486642</v>
      </c>
      <c r="N40" s="65">
        <f t="shared" si="9"/>
        <v>177310.5199999999</v>
      </c>
      <c r="O40" s="65">
        <f t="shared" si="9"/>
        <v>743248.15264999995</v>
      </c>
      <c r="P40" s="65">
        <f t="shared" si="9"/>
        <v>20249031.420000009</v>
      </c>
      <c r="Q40" s="65">
        <f t="shared" si="9"/>
        <v>86178065.456281573</v>
      </c>
      <c r="R40" s="65">
        <f t="shared" si="9"/>
        <v>994166.53999999992</v>
      </c>
      <c r="S40" s="65">
        <f t="shared" si="9"/>
        <v>4499091.1669490989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9662.5274983807467</v>
      </c>
      <c r="AA40" s="65">
        <f t="shared" si="9"/>
        <v>40503.29</v>
      </c>
      <c r="AB40" s="65">
        <f t="shared" si="9"/>
        <v>7542.7499999967404</v>
      </c>
      <c r="AC40" s="65">
        <f t="shared" si="9"/>
        <v>31617.62</v>
      </c>
      <c r="AD40" s="65">
        <f t="shared" si="9"/>
        <v>5155</v>
      </c>
      <c r="AE40" s="65">
        <f t="shared" si="9"/>
        <v>21608.68</v>
      </c>
      <c r="AF40" s="65">
        <f t="shared" si="9"/>
        <v>7956.8699999451637</v>
      </c>
      <c r="AG40" s="65">
        <f t="shared" si="9"/>
        <v>33353.53</v>
      </c>
      <c r="AH40" s="65">
        <f t="shared" si="9"/>
        <v>202018.84999999718</v>
      </c>
      <c r="AI40" s="65">
        <f t="shared" si="9"/>
        <v>846664.08869630005</v>
      </c>
      <c r="AJ40" s="65">
        <f t="shared" si="9"/>
        <v>673596.71999999823</v>
      </c>
      <c r="AK40" s="65">
        <f t="shared" si="9"/>
        <v>2823324.1679230896</v>
      </c>
      <c r="AL40" s="65">
        <f t="shared" si="9"/>
        <v>7196277.692750074</v>
      </c>
      <c r="AM40" s="65">
        <f t="shared" si="9"/>
        <v>59260575.930983536</v>
      </c>
      <c r="AN40" s="65">
        <f t="shared" si="9"/>
        <v>6672054.544230001</v>
      </c>
      <c r="AO40" s="65">
        <f t="shared" si="9"/>
        <v>943840.20692143973</v>
      </c>
      <c r="AP40" s="65">
        <f t="shared" si="9"/>
        <v>8930354.0155337546</v>
      </c>
      <c r="AQ40" s="65">
        <f t="shared" si="9"/>
        <v>1613981.6700221607</v>
      </c>
      <c r="AR40" s="65">
        <f t="shared" si="9"/>
        <v>33752.683643993005</v>
      </c>
      <c r="AS40" s="65">
        <f t="shared" si="9"/>
        <v>6.2719079996137461</v>
      </c>
      <c r="AT40" s="65">
        <f t="shared" si="9"/>
        <v>11.210432002509913</v>
      </c>
      <c r="AU40" s="65">
        <f t="shared" si="9"/>
        <v>70709.869203997281</v>
      </c>
      <c r="AV40" s="65">
        <f t="shared" si="9"/>
        <v>523662.90839880263</v>
      </c>
      <c r="AW40" s="65">
        <f t="shared" si="9"/>
        <v>85667.9885699968</v>
      </c>
      <c r="AX40" s="65">
        <f t="shared" si="9"/>
        <v>1041.3974240010875</v>
      </c>
      <c r="AY40" s="65">
        <f t="shared" si="9"/>
        <v>17450.753311997978</v>
      </c>
      <c r="AZ40" s="65">
        <f t="shared" si="9"/>
        <v>23267.345377323236</v>
      </c>
      <c r="BA40" s="65">
        <f t="shared" si="9"/>
        <v>202184.45272400693</v>
      </c>
      <c r="BB40" s="65">
        <f t="shared" si="9"/>
        <v>70015.316219991146</v>
      </c>
      <c r="BC40" s="65">
        <f t="shared" si="9"/>
        <v>267085.42384799867</v>
      </c>
      <c r="BD40" s="65">
        <f t="shared" si="9"/>
        <v>17064.950599989832</v>
      </c>
      <c r="BE40" s="65">
        <f t="shared" si="9"/>
        <v>256586.81289368056</v>
      </c>
      <c r="BF40" s="65">
        <f t="shared" si="9"/>
        <v>321949.5492303599</v>
      </c>
      <c r="BG40" s="65">
        <f t="shared" si="9"/>
        <v>35109.232018882758</v>
      </c>
      <c r="BH40" s="65">
        <f t="shared" si="9"/>
        <v>27273.514880002102</v>
      </c>
      <c r="BI40" s="65">
        <f t="shared" si="9"/>
        <v>630661.83776839031</v>
      </c>
      <c r="BJ40" s="65">
        <f t="shared" si="9"/>
        <v>197783.28604456017</v>
      </c>
      <c r="BK40" s="65">
        <f t="shared" si="9"/>
        <v>11496991.451116012</v>
      </c>
      <c r="BL40" s="65">
        <f t="shared" si="9"/>
        <v>112837.82852244607</v>
      </c>
      <c r="BM40" s="65">
        <f t="shared" si="9"/>
        <v>1069744.4282471512</v>
      </c>
      <c r="BN40" s="65">
        <f t="shared" si="9"/>
        <v>4101226.456007381</v>
      </c>
      <c r="BO40" s="65">
        <f t="shared" si="9"/>
        <v>3.4691202304202307E-3</v>
      </c>
      <c r="BP40" s="65">
        <f t="shared" si="9"/>
        <v>255.4532393290655</v>
      </c>
      <c r="BQ40" s="65">
        <f t="shared" si="9"/>
        <v>4.0128798844989433E-3</v>
      </c>
      <c r="BR40" s="65">
        <f t="shared" si="9"/>
        <v>645623.81600000313</v>
      </c>
      <c r="BS40" s="65">
        <f t="shared" ref="BS40:CV40" si="10">+BS39+BS38</f>
        <v>2662944.0693795886</v>
      </c>
      <c r="BT40" s="65">
        <f t="shared" si="10"/>
        <v>36664.004932018986</v>
      </c>
      <c r="BU40" s="65">
        <f t="shared" si="10"/>
        <v>123572.92825549096</v>
      </c>
      <c r="BV40" s="65">
        <f t="shared" si="10"/>
        <v>8400.1908600000006</v>
      </c>
      <c r="BW40" s="65">
        <f t="shared" si="10"/>
        <v>1156133.3119900008</v>
      </c>
      <c r="BX40" s="65">
        <f t="shared" si="10"/>
        <v>12663.664475599246</v>
      </c>
      <c r="BY40" s="65">
        <f t="shared" si="10"/>
        <v>663197.48199999996</v>
      </c>
      <c r="BZ40" s="65">
        <f t="shared" si="10"/>
        <v>4762123.1569999997</v>
      </c>
      <c r="CA40" s="65">
        <f t="shared" si="10"/>
        <v>5541697.4269999992</v>
      </c>
      <c r="CB40" s="65">
        <f t="shared" si="10"/>
        <v>18618.56624</v>
      </c>
      <c r="CC40" s="65">
        <f t="shared" si="10"/>
        <v>885121.6681799998</v>
      </c>
      <c r="CD40" s="65">
        <f t="shared" si="10"/>
        <v>0</v>
      </c>
      <c r="CE40" s="65">
        <f t="shared" si="10"/>
        <v>23120.492999999999</v>
      </c>
      <c r="CF40" s="65">
        <f t="shared" si="10"/>
        <v>1314904.5105900001</v>
      </c>
      <c r="CG40" s="65">
        <f t="shared" si="10"/>
        <v>187664.606</v>
      </c>
      <c r="CH40" s="65">
        <f>+CH39+CH38</f>
        <v>2.9318200000000001</v>
      </c>
      <c r="CI40" s="65">
        <f t="shared" si="10"/>
        <v>901281.97600000002</v>
      </c>
      <c r="CJ40" s="65">
        <f t="shared" si="10"/>
        <v>143738.94</v>
      </c>
      <c r="CK40" s="65">
        <f t="shared" si="10"/>
        <v>0</v>
      </c>
      <c r="CL40" s="65">
        <f t="shared" si="10"/>
        <v>0</v>
      </c>
      <c r="CM40" s="65">
        <f t="shared" si="10"/>
        <v>79545.21415</v>
      </c>
      <c r="CN40" s="65">
        <f t="shared" si="10"/>
        <v>662749.23896999995</v>
      </c>
      <c r="CO40" s="65">
        <f t="shared" si="10"/>
        <v>736440.24131999968</v>
      </c>
      <c r="CP40" s="65">
        <f t="shared" si="10"/>
        <v>9152723.6727600005</v>
      </c>
      <c r="CQ40" s="65">
        <f t="shared" si="10"/>
        <v>377918.49939999997</v>
      </c>
      <c r="CR40" s="65">
        <f t="shared" si="10"/>
        <v>2701872.374679999</v>
      </c>
      <c r="CS40" s="65">
        <f t="shared" si="10"/>
        <v>5000</v>
      </c>
      <c r="CT40" s="65">
        <f t="shared" si="10"/>
        <v>20468.599999999999</v>
      </c>
      <c r="CU40" s="65">
        <f t="shared" si="10"/>
        <v>5000</v>
      </c>
      <c r="CV40" s="65">
        <f t="shared" si="10"/>
        <v>20468.599999999999</v>
      </c>
      <c r="CW40" s="43">
        <f t="shared" si="4"/>
        <v>294275161.45473433</v>
      </c>
    </row>
    <row r="41" spans="2:101" ht="15.75" thickBot="1" x14ac:dyDescent="0.3"/>
    <row r="42" spans="2:101" x14ac:dyDescent="0.25">
      <c r="C42" s="67" t="s">
        <v>130</v>
      </c>
      <c r="D42" s="68">
        <f>+D37+D39</f>
        <v>-608.24501000000009</v>
      </c>
      <c r="E42" s="68">
        <f>+E37+E39</f>
        <v>3285163.7213199991</v>
      </c>
      <c r="F42" s="69">
        <f>+F37+F39</f>
        <v>17369426.482889999</v>
      </c>
      <c r="G42" s="88">
        <v>20375.599999999999</v>
      </c>
      <c r="H42" s="88">
        <v>20376.599999999999</v>
      </c>
      <c r="I42" s="88">
        <v>20377.599999999999</v>
      </c>
      <c r="J42" s="88">
        <v>20378.599999999999</v>
      </c>
      <c r="K42" s="88">
        <v>20379.599999999999</v>
      </c>
      <c r="L42" s="88">
        <v>20380.599999999999</v>
      </c>
      <c r="M42" s="88">
        <v>20381.599999999999</v>
      </c>
      <c r="N42" s="88">
        <v>20382.599999999999</v>
      </c>
      <c r="O42" s="88">
        <v>20383.599999999999</v>
      </c>
      <c r="P42" s="88">
        <v>20384.599999999999</v>
      </c>
      <c r="Q42" s="88">
        <v>20385.599999999999</v>
      </c>
      <c r="R42" s="88">
        <v>20386.599999999999</v>
      </c>
      <c r="S42" s="88">
        <v>20387.599999999999</v>
      </c>
      <c r="T42" s="88">
        <v>20388.599999999999</v>
      </c>
      <c r="U42" s="88">
        <v>20389.599999999999</v>
      </c>
      <c r="V42" s="88">
        <v>20390.599999999999</v>
      </c>
      <c r="W42" s="88">
        <v>20391.599999999999</v>
      </c>
      <c r="X42" s="88">
        <v>20392.599999999999</v>
      </c>
      <c r="Y42" s="88">
        <v>20393.599999999999</v>
      </c>
      <c r="Z42" s="88">
        <v>20394.599999999999</v>
      </c>
      <c r="AA42" s="88">
        <v>20395.599999999999</v>
      </c>
      <c r="AB42" s="88">
        <v>20396.599999999999</v>
      </c>
      <c r="AC42" s="88">
        <v>20397.599999999999</v>
      </c>
      <c r="AD42" s="88">
        <v>20398.599999999999</v>
      </c>
      <c r="AE42" s="88">
        <v>20399.599999999999</v>
      </c>
      <c r="AF42" s="88">
        <v>20400.599999999999</v>
      </c>
      <c r="AG42" s="88">
        <v>20401.599999999999</v>
      </c>
      <c r="AH42" s="88">
        <v>20402.599999999999</v>
      </c>
      <c r="AI42" s="88">
        <v>20403.599999999999</v>
      </c>
      <c r="AJ42" s="88">
        <v>20404.599999999999</v>
      </c>
      <c r="AK42" s="88">
        <v>20405.599999999999</v>
      </c>
      <c r="AL42" s="88">
        <v>20406.599999999999</v>
      </c>
      <c r="AM42" s="88">
        <v>20407.599999999999</v>
      </c>
      <c r="AN42" s="88">
        <v>20408.599999999999</v>
      </c>
      <c r="AO42" s="88">
        <v>20409.599999999999</v>
      </c>
      <c r="AP42" s="88">
        <v>20410.599999999999</v>
      </c>
      <c r="AQ42" s="88">
        <v>20411.599999999999</v>
      </c>
      <c r="AR42" s="88">
        <v>20412.599999999999</v>
      </c>
      <c r="AS42" s="88">
        <v>20413.599999999999</v>
      </c>
      <c r="AT42" s="88">
        <v>20414.599999999999</v>
      </c>
      <c r="AU42" s="88">
        <v>20415.599999999999</v>
      </c>
      <c r="AV42" s="88">
        <v>20416.599999999999</v>
      </c>
      <c r="AW42" s="88">
        <v>20417.599999999999</v>
      </c>
      <c r="AX42" s="88">
        <v>20418.599999999999</v>
      </c>
      <c r="AY42" s="88">
        <v>20419.599999999999</v>
      </c>
      <c r="AZ42" s="88">
        <v>20420.599999999999</v>
      </c>
      <c r="BA42" s="88">
        <v>20421.599999999999</v>
      </c>
      <c r="BB42" s="88">
        <v>20422.599999999999</v>
      </c>
      <c r="BC42" s="88">
        <v>20423.599999999999</v>
      </c>
      <c r="BD42" s="88">
        <v>20424.599999999999</v>
      </c>
      <c r="BE42" s="88">
        <v>20425.599999999999</v>
      </c>
      <c r="BF42" s="88">
        <v>20426.599999999999</v>
      </c>
      <c r="BG42" s="88">
        <v>20427.599999999999</v>
      </c>
      <c r="BH42" s="88">
        <v>20428.599999999999</v>
      </c>
      <c r="BI42" s="88">
        <v>20429.599999999999</v>
      </c>
      <c r="BJ42" s="88">
        <v>20430.599999999999</v>
      </c>
      <c r="BK42" s="88">
        <v>20431.599999999999</v>
      </c>
      <c r="BL42" s="88">
        <v>20432.599999999999</v>
      </c>
      <c r="BM42" s="88">
        <v>20433.599999999999</v>
      </c>
      <c r="BN42" s="88">
        <v>20434.599999999999</v>
      </c>
      <c r="BO42" s="88">
        <v>20435.599999999999</v>
      </c>
      <c r="BP42" s="88">
        <v>20436.599999999999</v>
      </c>
      <c r="BQ42" s="88">
        <v>20437.599999999999</v>
      </c>
      <c r="BR42" s="88">
        <v>20438.599999999999</v>
      </c>
      <c r="BS42" s="88">
        <v>20439.599999999999</v>
      </c>
      <c r="BT42" s="88">
        <v>20440.599999999999</v>
      </c>
      <c r="BU42" s="88">
        <v>20441.599999999999</v>
      </c>
      <c r="BV42" s="88">
        <v>20442.599999999999</v>
      </c>
      <c r="BW42" s="88">
        <v>20443.599999999999</v>
      </c>
      <c r="BX42" s="88">
        <v>20444.599999999999</v>
      </c>
      <c r="BY42" s="88">
        <v>20445.599999999999</v>
      </c>
      <c r="BZ42" s="88">
        <v>20446.599999999999</v>
      </c>
      <c r="CA42" s="88">
        <v>20447.599999999999</v>
      </c>
      <c r="CB42" s="88">
        <v>20448.599999999999</v>
      </c>
      <c r="CC42" s="88">
        <v>20449.599999999999</v>
      </c>
      <c r="CD42" s="88">
        <v>20450.599999999999</v>
      </c>
      <c r="CE42" s="88">
        <v>20451.599999999999</v>
      </c>
      <c r="CF42" s="88">
        <v>20452.599999999999</v>
      </c>
      <c r="CG42" s="88">
        <v>20453.599999999999</v>
      </c>
      <c r="CH42" s="88">
        <v>20454.599999999999</v>
      </c>
      <c r="CI42" s="88">
        <v>20455.599999999999</v>
      </c>
      <c r="CJ42" s="88">
        <v>20456.599999999999</v>
      </c>
      <c r="CK42" s="88">
        <v>20457.599999999999</v>
      </c>
      <c r="CL42" s="88">
        <v>20458.599999999999</v>
      </c>
      <c r="CM42" s="88">
        <v>20459.599999999999</v>
      </c>
      <c r="CN42" s="88">
        <v>20460.599999999999</v>
      </c>
      <c r="CO42" s="88">
        <v>20461.599999999999</v>
      </c>
      <c r="CP42" s="88">
        <v>20462.599999999999</v>
      </c>
      <c r="CQ42" s="88">
        <v>20463.599999999999</v>
      </c>
      <c r="CR42" s="88">
        <v>20464.599999999999</v>
      </c>
      <c r="CS42" s="88">
        <v>20465.599999999999</v>
      </c>
      <c r="CT42" s="88">
        <v>20466.599999999999</v>
      </c>
      <c r="CU42" s="88">
        <v>20467.599999999999</v>
      </c>
      <c r="CV42" s="88">
        <v>20468.599999999999</v>
      </c>
    </row>
    <row r="43" spans="2:101" x14ac:dyDescent="0.25">
      <c r="C43" s="70" t="s">
        <v>131</v>
      </c>
      <c r="D43" s="71">
        <v>-608.24500999999998</v>
      </c>
      <c r="E43" s="71">
        <v>3285163.72523</v>
      </c>
      <c r="F43" s="71">
        <v>17369426.482489999</v>
      </c>
      <c r="G43" s="66"/>
      <c r="H43" s="66"/>
      <c r="CT43" s="66"/>
      <c r="CU43" s="66"/>
      <c r="CV43" s="66"/>
    </row>
    <row r="44" spans="2:101" ht="15.75" thickBot="1" x14ac:dyDescent="0.3">
      <c r="C44" s="73" t="s">
        <v>132</v>
      </c>
      <c r="D44" s="74">
        <f>+D42-D43</f>
        <v>0</v>
      </c>
      <c r="E44" s="74">
        <f>+E42-E43</f>
        <v>-3.9100009016692638E-3</v>
      </c>
      <c r="F44" s="75">
        <f>+F42-F43</f>
        <v>3.9999932050704956E-4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</row>
    <row r="45" spans="2:101" x14ac:dyDescent="0.25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</row>
    <row r="46" spans="2:101" x14ac:dyDescent="0.25">
      <c r="D46" s="10">
        <v>9610</v>
      </c>
      <c r="E46" s="10">
        <v>3711012802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2:101" x14ac:dyDescent="0.25">
      <c r="D47" s="10">
        <v>8236</v>
      </c>
      <c r="E47" s="10">
        <v>7268023776</v>
      </c>
      <c r="I47" s="66" t="s">
        <v>133</v>
      </c>
      <c r="AL47" s="76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</row>
    <row r="48" spans="2:101" x14ac:dyDescent="0.25">
      <c r="D48" s="10">
        <v>9594</v>
      </c>
      <c r="E48" s="77">
        <v>2453916145</v>
      </c>
      <c r="AL48" s="76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</row>
    <row r="49" spans="2:97" x14ac:dyDescent="0.25">
      <c r="C49" s="78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</row>
    <row r="50" spans="2:97" x14ac:dyDescent="0.25"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/>
    </row>
    <row r="51" spans="2:97" x14ac:dyDescent="0.25">
      <c r="CS51"/>
    </row>
    <row r="52" spans="2:97" x14ac:dyDescent="0.25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/>
    </row>
    <row r="53" spans="2:97" x14ac:dyDescent="0.25">
      <c r="CS53"/>
    </row>
    <row r="54" spans="2:97" x14ac:dyDescent="0.25">
      <c r="CS54"/>
    </row>
    <row r="55" spans="2:97" x14ac:dyDescent="0.25">
      <c r="CS55"/>
    </row>
    <row r="58" spans="2:97" x14ac:dyDescent="0.25">
      <c r="B58" s="66"/>
      <c r="C58" s="66"/>
      <c r="D58" s="66"/>
      <c r="E58" s="66"/>
      <c r="F58" s="66"/>
      <c r="G58" s="66"/>
      <c r="H58" s="66"/>
      <c r="CM58"/>
      <c r="CN58"/>
      <c r="CO58"/>
      <c r="CP58"/>
      <c r="CQ58"/>
      <c r="CR58"/>
    </row>
    <row r="59" spans="2:97" x14ac:dyDescent="0.25">
      <c r="B59" s="66"/>
      <c r="C59" s="66"/>
      <c r="D59" s="66"/>
      <c r="E59" s="66"/>
      <c r="F59" s="66"/>
      <c r="G59" s="66"/>
      <c r="H59" s="66"/>
      <c r="CM59"/>
      <c r="CN59"/>
      <c r="CO59"/>
      <c r="CP59"/>
      <c r="CQ59"/>
      <c r="CR59"/>
    </row>
    <row r="60" spans="2:97" x14ac:dyDescent="0.25">
      <c r="B60" s="66"/>
      <c r="C60" s="66"/>
      <c r="D60" s="66"/>
      <c r="E60" s="66"/>
      <c r="F60" s="66"/>
      <c r="G60" s="66"/>
      <c r="H60" s="66"/>
      <c r="CM60"/>
      <c r="CN60"/>
      <c r="CO60"/>
      <c r="CP60"/>
      <c r="CQ60"/>
      <c r="CR60"/>
    </row>
    <row r="61" spans="2:97" x14ac:dyDescent="0.25">
      <c r="B61" s="66"/>
      <c r="C61" s="66"/>
      <c r="D61" s="66"/>
      <c r="E61" s="66"/>
      <c r="F61" s="66"/>
      <c r="G61" s="66"/>
      <c r="H61" s="66"/>
      <c r="CM61"/>
      <c r="CN61"/>
      <c r="CO61"/>
      <c r="CP61"/>
      <c r="CQ61"/>
      <c r="CR61"/>
    </row>
    <row r="62" spans="2:97" x14ac:dyDescent="0.25">
      <c r="B62" s="66"/>
      <c r="C62" s="66"/>
      <c r="D62" s="66"/>
      <c r="E62" s="66"/>
      <c r="F62" s="66"/>
      <c r="G62" s="66"/>
      <c r="H62" s="66"/>
      <c r="CM62"/>
      <c r="CN62"/>
      <c r="CO62"/>
      <c r="CP62"/>
      <c r="CQ62"/>
      <c r="CR62"/>
    </row>
    <row r="63" spans="2:97" x14ac:dyDescent="0.25">
      <c r="B63" s="66"/>
      <c r="C63" s="66"/>
      <c r="D63" s="66"/>
      <c r="E63" s="66"/>
      <c r="F63" s="66"/>
      <c r="G63" s="66"/>
      <c r="H63" s="66"/>
      <c r="CM63"/>
      <c r="CN63"/>
      <c r="CO63"/>
      <c r="CP63"/>
      <c r="CQ63"/>
      <c r="CR63"/>
    </row>
  </sheetData>
  <mergeCells count="1">
    <mergeCell ref="AP2:AP3"/>
  </mergeCells>
  <pageMargins left="0.7" right="0.7" top="0.75" bottom="0.75" header="0.3" footer="0.3"/>
  <pageSetup orientation="portrait" r:id="rId1"/>
  <customProperties>
    <customPr name="QAA_DRILLPATH_NODE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3"/>
  <sheetViews>
    <sheetView zoomScale="112" zoomScaleNormal="112" workbookViewId="0">
      <selection activeCell="BU17" sqref="BU17"/>
    </sheetView>
  </sheetViews>
  <sheetFormatPr baseColWidth="10" defaultRowHeight="15" outlineLevelCol="2" x14ac:dyDescent="0.25"/>
  <cols>
    <col min="1" max="1" width="8.5703125" style="10" customWidth="1"/>
    <col min="2" max="2" width="10" style="10" bestFit="1" customWidth="1"/>
    <col min="3" max="3" width="43" style="10" bestFit="1" customWidth="1"/>
    <col min="4" max="5" width="19.42578125" style="10" bestFit="1" customWidth="1"/>
    <col min="6" max="6" width="21.85546875" style="10" bestFit="1" customWidth="1"/>
    <col min="7" max="7" width="19.5703125" style="10" customWidth="1" outlineLevel="1"/>
    <col min="8" max="8" width="17.85546875" style="10" customWidth="1" outlineLevel="1"/>
    <col min="9" max="9" width="17.85546875" style="66" bestFit="1" customWidth="1"/>
    <col min="10" max="10" width="17.85546875" style="66" customWidth="1" outlineLevel="2"/>
    <col min="11" max="13" width="16.42578125" style="66" customWidth="1" outlineLevel="2"/>
    <col min="14" max="14" width="18.85546875" style="66" customWidth="1" outlineLevel="2"/>
    <col min="15" max="15" width="21" style="66" customWidth="1" outlineLevel="2"/>
    <col min="16" max="17" width="14.140625" style="66" customWidth="1" outlineLevel="2"/>
    <col min="18" max="18" width="16.42578125" style="66" customWidth="1" outlineLevel="2"/>
    <col min="19" max="25" width="18.42578125" style="66" customWidth="1" outlineLevel="2"/>
    <col min="26" max="26" width="18.85546875" style="66" customWidth="1" outlineLevel="2"/>
    <col min="27" max="27" width="21" style="66" customWidth="1" outlineLevel="2"/>
    <col min="28" max="29" width="14.5703125" style="66" customWidth="1" outlineLevel="2"/>
    <col min="30" max="30" width="16.42578125" style="66" customWidth="1" outlineLevel="2"/>
    <col min="31" max="31" width="18.42578125" style="66" customWidth="1" outlineLevel="2"/>
    <col min="32" max="32" width="18.140625" style="66" customWidth="1" outlineLevel="2"/>
    <col min="33" max="33" width="20.140625" style="66" customWidth="1" outlineLevel="2"/>
    <col min="34" max="37" width="14.5703125" style="66" customWidth="1" outlineLevel="2"/>
    <col min="38" max="38" width="14.42578125" style="66" bestFit="1" customWidth="1"/>
    <col min="39" max="40" width="13.42578125" style="66" bestFit="1" customWidth="1"/>
    <col min="41" max="41" width="12.42578125" style="66" bestFit="1" customWidth="1"/>
    <col min="42" max="42" width="17.140625" style="66" bestFit="1" customWidth="1"/>
    <col min="43" max="43" width="17.140625" style="66" customWidth="1"/>
    <col min="44" max="48" width="17.42578125" style="66" customWidth="1" outlineLevel="1"/>
    <col min="49" max="49" width="15.140625" style="66" customWidth="1" outlineLevel="1"/>
    <col min="50" max="50" width="9.85546875" style="66" customWidth="1" outlineLevel="1"/>
    <col min="51" max="51" width="12.5703125" style="66" customWidth="1" outlineLevel="1"/>
    <col min="52" max="52" width="14.42578125" style="66" customWidth="1" outlineLevel="1"/>
    <col min="53" max="53" width="15.140625" style="66" customWidth="1" outlineLevel="1"/>
    <col min="54" max="55" width="11.85546875" style="66" customWidth="1" outlineLevel="1"/>
    <col min="56" max="56" width="12.5703125" style="66" customWidth="1" outlineLevel="1"/>
    <col min="57" max="59" width="16.5703125" style="66" customWidth="1" outlineLevel="1"/>
    <col min="60" max="60" width="15.140625" style="66" customWidth="1" outlineLevel="1"/>
    <col min="61" max="62" width="13.5703125" style="66" customWidth="1" outlineLevel="1"/>
    <col min="63" max="63" width="14.42578125" style="66" customWidth="1" outlineLevel="1"/>
    <col min="64" max="64" width="19.5703125" style="66" customWidth="1" outlineLevel="1"/>
    <col min="65" max="66" width="17.85546875" style="66" customWidth="1" outlineLevel="1"/>
    <col min="67" max="67" width="12.85546875" style="66" customWidth="1" outlineLevel="1"/>
    <col min="68" max="68" width="13.5703125" style="66" customWidth="1" outlineLevel="1"/>
    <col min="69" max="69" width="18.85546875" style="66" customWidth="1" outlineLevel="1"/>
    <col min="70" max="70" width="20.140625" style="66" customWidth="1" outlineLevel="1"/>
    <col min="71" max="73" width="20.140625" style="66" bestFit="1" customWidth="1"/>
    <col min="74" max="76" width="17.42578125" style="66" bestFit="1" customWidth="1"/>
    <col min="77" max="77" width="15.140625" style="66" bestFit="1" customWidth="1"/>
    <col min="78" max="79" width="14.42578125" style="66" bestFit="1" customWidth="1"/>
    <col min="80" max="80" width="15.140625" style="66" bestFit="1" customWidth="1"/>
    <col min="81" max="82" width="15" style="66" bestFit="1" customWidth="1"/>
    <col min="83" max="83" width="15.140625" style="66" bestFit="1" customWidth="1"/>
    <col min="84" max="84" width="11.7109375" style="66" bestFit="1" customWidth="1"/>
    <col min="85" max="85" width="12.5703125" style="66" bestFit="1" customWidth="1"/>
    <col min="86" max="86" width="16.5703125" style="66" bestFit="1" customWidth="1"/>
    <col min="87" max="88" width="19.7109375" style="66" bestFit="1" customWidth="1"/>
    <col min="89" max="89" width="15.5703125" style="66" customWidth="1"/>
    <col min="90" max="90" width="11.28515625" style="66" customWidth="1"/>
    <col min="91" max="91" width="17.85546875" style="66" bestFit="1" customWidth="1"/>
    <col min="92" max="92" width="14.42578125" style="66" customWidth="1"/>
    <col min="93" max="93" width="14.28515625" style="66" bestFit="1" customWidth="1"/>
    <col min="94" max="95" width="19.7109375" style="66" bestFit="1" customWidth="1"/>
    <col min="96" max="96" width="16.5703125" style="66" bestFit="1" customWidth="1"/>
    <col min="97" max="97" width="22" style="66" bestFit="1" customWidth="1"/>
    <col min="98" max="98" width="12" bestFit="1" customWidth="1"/>
    <col min="99" max="99" width="11.5703125" bestFit="1" customWidth="1"/>
    <col min="100" max="100" width="12" bestFit="1" customWidth="1"/>
    <col min="101" max="101" width="15.28515625" bestFit="1" customWidth="1"/>
  </cols>
  <sheetData>
    <row r="1" spans="1:101" ht="28.5" x14ac:dyDescent="0.45">
      <c r="A1" s="1"/>
      <c r="B1" s="1"/>
      <c r="C1" s="1"/>
      <c r="D1" s="2"/>
      <c r="E1" s="3"/>
      <c r="F1" s="3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5"/>
      <c r="AN1" s="5"/>
      <c r="AO1" s="5"/>
      <c r="AP1" s="5"/>
      <c r="AQ1" s="5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6"/>
      <c r="BM1" s="4"/>
      <c r="BN1" s="4"/>
      <c r="BO1" s="4"/>
      <c r="BP1" s="4"/>
      <c r="BQ1" s="4"/>
      <c r="BR1" s="7"/>
      <c r="BS1" s="7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8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spans="1:101" ht="15" customHeight="1" x14ac:dyDescent="0.25">
      <c r="D2" s="11" t="s">
        <v>0</v>
      </c>
      <c r="E2" s="11" t="s">
        <v>1</v>
      </c>
      <c r="F2" s="11" t="s">
        <v>2</v>
      </c>
      <c r="G2" s="12" t="s">
        <v>3</v>
      </c>
      <c r="H2" s="12" t="s">
        <v>4</v>
      </c>
      <c r="I2" s="13" t="s">
        <v>5</v>
      </c>
      <c r="J2" s="12" t="s">
        <v>6</v>
      </c>
      <c r="K2" s="12" t="s">
        <v>0</v>
      </c>
      <c r="L2" s="12" t="s">
        <v>1</v>
      </c>
      <c r="M2" s="12" t="s">
        <v>2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12" t="s">
        <v>12</v>
      </c>
      <c r="T2" s="16" t="s">
        <v>7</v>
      </c>
      <c r="U2" s="16" t="s">
        <v>8</v>
      </c>
      <c r="V2" s="16" t="s">
        <v>134</v>
      </c>
      <c r="W2" s="16" t="s">
        <v>135</v>
      </c>
      <c r="X2" s="16" t="s">
        <v>11</v>
      </c>
      <c r="Y2" s="16" t="s">
        <v>12</v>
      </c>
      <c r="Z2" s="12" t="s">
        <v>7</v>
      </c>
      <c r="AA2" s="12" t="s">
        <v>8</v>
      </c>
      <c r="AB2" s="12" t="s">
        <v>9</v>
      </c>
      <c r="AC2" s="12" t="s">
        <v>10</v>
      </c>
      <c r="AD2" s="12" t="s">
        <v>11</v>
      </c>
      <c r="AE2" s="12" t="s">
        <v>12</v>
      </c>
      <c r="AF2" s="12" t="s">
        <v>13</v>
      </c>
      <c r="AG2" s="12" t="s">
        <v>14</v>
      </c>
      <c r="AH2" s="12" t="s">
        <v>15</v>
      </c>
      <c r="AI2" s="12" t="s">
        <v>16</v>
      </c>
      <c r="AJ2" s="12" t="s">
        <v>17</v>
      </c>
      <c r="AK2" s="12" t="s">
        <v>18</v>
      </c>
      <c r="AL2" s="14" t="s">
        <v>19</v>
      </c>
      <c r="AM2" s="14" t="s">
        <v>20</v>
      </c>
      <c r="AN2" s="15" t="s">
        <v>21</v>
      </c>
      <c r="AO2" s="15" t="s">
        <v>22</v>
      </c>
      <c r="AP2" s="89" t="s">
        <v>23</v>
      </c>
      <c r="AQ2" s="83"/>
      <c r="AR2" s="16" t="s">
        <v>0</v>
      </c>
      <c r="AS2" s="16" t="s">
        <v>24</v>
      </c>
      <c r="AT2" s="12" t="s">
        <v>5</v>
      </c>
      <c r="AU2" s="12" t="s">
        <v>2</v>
      </c>
      <c r="AV2" s="12" t="s">
        <v>19</v>
      </c>
      <c r="AW2" s="12" t="s">
        <v>0</v>
      </c>
      <c r="AX2" s="12" t="s">
        <v>24</v>
      </c>
      <c r="AY2" s="12" t="s">
        <v>2</v>
      </c>
      <c r="AZ2" s="12" t="s">
        <v>19</v>
      </c>
      <c r="BA2" s="12" t="s">
        <v>0</v>
      </c>
      <c r="BB2" s="12" t="s">
        <v>24</v>
      </c>
      <c r="BC2" s="12" t="s">
        <v>5</v>
      </c>
      <c r="BD2" s="12" t="s">
        <v>2</v>
      </c>
      <c r="BE2" s="12" t="s">
        <v>0</v>
      </c>
      <c r="BF2" s="12" t="s">
        <v>24</v>
      </c>
      <c r="BG2" s="17" t="s">
        <v>2</v>
      </c>
      <c r="BH2" s="17" t="s">
        <v>0</v>
      </c>
      <c r="BI2" s="17" t="s">
        <v>24</v>
      </c>
      <c r="BJ2" s="17" t="s">
        <v>2</v>
      </c>
      <c r="BK2" s="17" t="s">
        <v>19</v>
      </c>
      <c r="BL2" s="18" t="s">
        <v>3</v>
      </c>
      <c r="BM2" s="18" t="s">
        <v>4</v>
      </c>
      <c r="BN2" s="18" t="s">
        <v>6</v>
      </c>
      <c r="BO2" s="18" t="s">
        <v>25</v>
      </c>
      <c r="BP2" s="18" t="s">
        <v>26</v>
      </c>
      <c r="BQ2" s="18" t="s">
        <v>27</v>
      </c>
      <c r="BR2" s="14" t="s">
        <v>28</v>
      </c>
      <c r="BS2" s="14" t="s">
        <v>10</v>
      </c>
      <c r="BT2" s="14" t="s">
        <v>29</v>
      </c>
      <c r="BU2" s="14" t="s">
        <v>12</v>
      </c>
      <c r="BV2" s="14" t="s">
        <v>0</v>
      </c>
      <c r="BW2" s="14" t="s">
        <v>1</v>
      </c>
      <c r="BX2" s="14" t="s">
        <v>2</v>
      </c>
      <c r="BY2" s="14" t="s">
        <v>0</v>
      </c>
      <c r="BZ2" s="14" t="s">
        <v>1</v>
      </c>
      <c r="CA2" s="14" t="s">
        <v>2</v>
      </c>
      <c r="CB2" s="14" t="s">
        <v>0</v>
      </c>
      <c r="CC2" s="14" t="s">
        <v>1</v>
      </c>
      <c r="CD2" s="14" t="s">
        <v>2</v>
      </c>
      <c r="CE2" s="14" t="s">
        <v>0</v>
      </c>
      <c r="CF2" s="14" t="s">
        <v>1</v>
      </c>
      <c r="CG2" s="14" t="s">
        <v>2</v>
      </c>
      <c r="CH2" s="14" t="s">
        <v>2</v>
      </c>
      <c r="CI2" s="14" t="s">
        <v>1</v>
      </c>
      <c r="CJ2" s="14" t="s">
        <v>2</v>
      </c>
      <c r="CK2" s="14" t="s">
        <v>1</v>
      </c>
      <c r="CL2" s="14" t="s">
        <v>1</v>
      </c>
      <c r="CM2" s="14" t="s">
        <v>1</v>
      </c>
      <c r="CN2" s="14" t="s">
        <v>1</v>
      </c>
      <c r="CO2" s="14" t="s">
        <v>1</v>
      </c>
      <c r="CP2" s="14" t="s">
        <v>1</v>
      </c>
      <c r="CQ2" s="14" t="s">
        <v>1</v>
      </c>
      <c r="CR2" s="19" t="s">
        <v>30</v>
      </c>
      <c r="CS2" s="85" t="s">
        <v>136</v>
      </c>
      <c r="CT2" s="85" t="s">
        <v>135</v>
      </c>
      <c r="CU2" s="85" t="s">
        <v>29</v>
      </c>
      <c r="CV2" s="85" t="s">
        <v>12</v>
      </c>
      <c r="CW2" s="20" t="s">
        <v>31</v>
      </c>
    </row>
    <row r="3" spans="1:101" ht="60" x14ac:dyDescent="0.25">
      <c r="D3" s="21" t="s">
        <v>32</v>
      </c>
      <c r="E3" s="21" t="s">
        <v>32</v>
      </c>
      <c r="F3" s="21" t="s">
        <v>32</v>
      </c>
      <c r="G3" s="22" t="s">
        <v>32</v>
      </c>
      <c r="H3" s="22" t="s">
        <v>32</v>
      </c>
      <c r="I3" s="23" t="s">
        <v>32</v>
      </c>
      <c r="J3" s="22" t="s">
        <v>32</v>
      </c>
      <c r="K3" s="22" t="s">
        <v>33</v>
      </c>
      <c r="L3" s="22" t="s">
        <v>33</v>
      </c>
      <c r="M3" s="22" t="s">
        <v>33</v>
      </c>
      <c r="N3" s="22" t="s">
        <v>34</v>
      </c>
      <c r="O3" s="22" t="s">
        <v>34</v>
      </c>
      <c r="P3" s="22" t="s">
        <v>34</v>
      </c>
      <c r="Q3" s="22" t="s">
        <v>34</v>
      </c>
      <c r="R3" s="22" t="s">
        <v>34</v>
      </c>
      <c r="S3" s="22" t="s">
        <v>34</v>
      </c>
      <c r="T3" s="24" t="s">
        <v>137</v>
      </c>
      <c r="U3" s="24" t="s">
        <v>137</v>
      </c>
      <c r="V3" s="24" t="s">
        <v>137</v>
      </c>
      <c r="W3" s="24" t="s">
        <v>137</v>
      </c>
      <c r="X3" s="24" t="s">
        <v>137</v>
      </c>
      <c r="Y3" s="24" t="s">
        <v>137</v>
      </c>
      <c r="Z3" s="22" t="s">
        <v>35</v>
      </c>
      <c r="AA3" s="22" t="s">
        <v>35</v>
      </c>
      <c r="AB3" s="22" t="s">
        <v>35</v>
      </c>
      <c r="AC3" s="22" t="s">
        <v>35</v>
      </c>
      <c r="AD3" s="22" t="s">
        <v>35</v>
      </c>
      <c r="AE3" s="22" t="s">
        <v>35</v>
      </c>
      <c r="AF3" s="22" t="s">
        <v>35</v>
      </c>
      <c r="AG3" s="22" t="s">
        <v>35</v>
      </c>
      <c r="AH3" s="22" t="s">
        <v>35</v>
      </c>
      <c r="AI3" s="22" t="s">
        <v>35</v>
      </c>
      <c r="AJ3" s="22" t="s">
        <v>35</v>
      </c>
      <c r="AK3" s="22" t="s">
        <v>35</v>
      </c>
      <c r="AL3" s="23" t="s">
        <v>36</v>
      </c>
      <c r="AM3" s="23" t="s">
        <v>36</v>
      </c>
      <c r="AN3" s="23"/>
      <c r="AO3" s="23"/>
      <c r="AP3" s="90"/>
      <c r="AQ3" s="84" t="s">
        <v>37</v>
      </c>
      <c r="AR3" s="24" t="s">
        <v>38</v>
      </c>
      <c r="AS3" s="24" t="s">
        <v>38</v>
      </c>
      <c r="AT3" s="22" t="s">
        <v>38</v>
      </c>
      <c r="AU3" s="22" t="s">
        <v>38</v>
      </c>
      <c r="AV3" s="22" t="s">
        <v>38</v>
      </c>
      <c r="AW3" s="22" t="s">
        <v>39</v>
      </c>
      <c r="AX3" s="22" t="s">
        <v>39</v>
      </c>
      <c r="AY3" s="22" t="s">
        <v>39</v>
      </c>
      <c r="AZ3" s="22" t="s">
        <v>39</v>
      </c>
      <c r="BA3" s="22" t="s">
        <v>40</v>
      </c>
      <c r="BB3" s="22" t="s">
        <v>40</v>
      </c>
      <c r="BC3" s="22" t="s">
        <v>40</v>
      </c>
      <c r="BD3" s="22" t="s">
        <v>40</v>
      </c>
      <c r="BE3" s="22" t="s">
        <v>41</v>
      </c>
      <c r="BF3" s="22" t="s">
        <v>41</v>
      </c>
      <c r="BG3" s="22" t="s">
        <v>41</v>
      </c>
      <c r="BH3" s="22" t="s">
        <v>42</v>
      </c>
      <c r="BI3" s="22" t="s">
        <v>42</v>
      </c>
      <c r="BJ3" s="22" t="s">
        <v>42</v>
      </c>
      <c r="BK3" s="22" t="s">
        <v>42</v>
      </c>
      <c r="BL3" s="24" t="s">
        <v>32</v>
      </c>
      <c r="BM3" s="24" t="s">
        <v>32</v>
      </c>
      <c r="BN3" s="24" t="s">
        <v>32</v>
      </c>
      <c r="BO3" s="25" t="s">
        <v>4</v>
      </c>
      <c r="BP3" s="25" t="s">
        <v>4</v>
      </c>
      <c r="BQ3" s="25" t="s">
        <v>4</v>
      </c>
      <c r="BR3" s="84" t="s">
        <v>43</v>
      </c>
      <c r="BS3" s="84" t="s">
        <v>43</v>
      </c>
      <c r="BT3" s="84" t="s">
        <v>43</v>
      </c>
      <c r="BU3" s="84" t="s">
        <v>43</v>
      </c>
      <c r="BV3" s="84" t="s">
        <v>38</v>
      </c>
      <c r="BW3" s="84" t="s">
        <v>38</v>
      </c>
      <c r="BX3" s="84" t="s">
        <v>38</v>
      </c>
      <c r="BY3" s="84" t="s">
        <v>42</v>
      </c>
      <c r="BZ3" s="84" t="s">
        <v>42</v>
      </c>
      <c r="CA3" s="84" t="s">
        <v>42</v>
      </c>
      <c r="CB3" s="84" t="s">
        <v>44</v>
      </c>
      <c r="CC3" s="84" t="s">
        <v>44</v>
      </c>
      <c r="CD3" s="84" t="s">
        <v>44</v>
      </c>
      <c r="CE3" s="84" t="s">
        <v>45</v>
      </c>
      <c r="CF3" s="84" t="s">
        <v>45</v>
      </c>
      <c r="CG3" s="84" t="s">
        <v>45</v>
      </c>
      <c r="CH3" s="84" t="s">
        <v>41</v>
      </c>
      <c r="CI3" s="84" t="s">
        <v>46</v>
      </c>
      <c r="CJ3" s="84" t="s">
        <v>46</v>
      </c>
      <c r="CK3" s="26" t="s">
        <v>47</v>
      </c>
      <c r="CL3" s="26" t="s">
        <v>47</v>
      </c>
      <c r="CM3" s="26" t="s">
        <v>32</v>
      </c>
      <c r="CN3" s="26" t="s">
        <v>42</v>
      </c>
      <c r="CO3" s="26" t="s">
        <v>48</v>
      </c>
      <c r="CP3" s="26" t="s">
        <v>46</v>
      </c>
      <c r="CQ3" s="26" t="s">
        <v>46</v>
      </c>
      <c r="CR3" s="86" t="s">
        <v>49</v>
      </c>
      <c r="CS3" s="87" t="s">
        <v>138</v>
      </c>
      <c r="CT3" s="87" t="s">
        <v>138</v>
      </c>
      <c r="CU3" s="87" t="s">
        <v>138</v>
      </c>
      <c r="CV3" s="87" t="s">
        <v>138</v>
      </c>
      <c r="CW3" s="27"/>
    </row>
    <row r="4" spans="1:101" x14ac:dyDescent="0.25">
      <c r="A4" s="28"/>
      <c r="B4" s="29" t="s">
        <v>50</v>
      </c>
      <c r="C4" s="30" t="s">
        <v>51</v>
      </c>
      <c r="D4" s="31" t="s">
        <v>52</v>
      </c>
      <c r="E4" s="31" t="s">
        <v>53</v>
      </c>
      <c r="F4" s="31" t="s">
        <v>54</v>
      </c>
      <c r="G4" s="32">
        <v>482800001265</v>
      </c>
      <c r="H4" s="32">
        <v>482800001273</v>
      </c>
      <c r="I4" s="32">
        <v>482800002024</v>
      </c>
      <c r="J4" s="32">
        <v>482800001257</v>
      </c>
      <c r="K4" s="32" t="s">
        <v>55</v>
      </c>
      <c r="L4" s="32" t="s">
        <v>56</v>
      </c>
      <c r="M4" s="32" t="s">
        <v>57</v>
      </c>
      <c r="N4" s="32">
        <v>36203301</v>
      </c>
      <c r="O4" s="32">
        <v>36203301</v>
      </c>
      <c r="P4" s="32">
        <v>36203328</v>
      </c>
      <c r="Q4" s="32">
        <v>36203328</v>
      </c>
      <c r="R4" s="32">
        <v>36025015</v>
      </c>
      <c r="S4" s="32">
        <v>36025015</v>
      </c>
      <c r="T4" s="32"/>
      <c r="U4" s="32"/>
      <c r="V4" s="32"/>
      <c r="W4" s="32"/>
      <c r="X4" s="32"/>
      <c r="Y4" s="32"/>
      <c r="Z4" s="32">
        <v>865784010</v>
      </c>
      <c r="AA4" s="32">
        <v>865784010</v>
      </c>
      <c r="AB4" s="32">
        <v>865804010</v>
      </c>
      <c r="AC4" s="32">
        <v>865804010</v>
      </c>
      <c r="AD4" s="32">
        <v>865794010</v>
      </c>
      <c r="AE4" s="32">
        <v>865794010</v>
      </c>
      <c r="AF4" s="32" t="s">
        <v>58</v>
      </c>
      <c r="AG4" s="32" t="s">
        <v>58</v>
      </c>
      <c r="AH4" s="32" t="s">
        <v>59</v>
      </c>
      <c r="AI4" s="32" t="s">
        <v>59</v>
      </c>
      <c r="AJ4" s="32" t="s">
        <v>60</v>
      </c>
      <c r="AK4" s="32" t="s">
        <v>60</v>
      </c>
      <c r="AL4" s="33"/>
      <c r="AM4" s="33"/>
      <c r="AN4" s="33"/>
      <c r="AO4" s="33"/>
      <c r="AP4" s="33"/>
      <c r="AQ4" s="33">
        <v>3642</v>
      </c>
      <c r="AR4" s="33" t="s">
        <v>61</v>
      </c>
      <c r="AS4" s="33" t="s">
        <v>62</v>
      </c>
      <c r="AT4" s="33" t="s">
        <v>63</v>
      </c>
      <c r="AU4" s="33" t="s">
        <v>64</v>
      </c>
      <c r="AV4" s="33" t="s">
        <v>65</v>
      </c>
      <c r="AW4" s="33" t="s">
        <v>66</v>
      </c>
      <c r="AX4" s="33" t="s">
        <v>67</v>
      </c>
      <c r="AY4" s="33" t="s">
        <v>68</v>
      </c>
      <c r="AZ4" s="33" t="s">
        <v>69</v>
      </c>
      <c r="BA4" s="33" t="s">
        <v>70</v>
      </c>
      <c r="BB4" s="33" t="s">
        <v>71</v>
      </c>
      <c r="BC4" s="33" t="s">
        <v>72</v>
      </c>
      <c r="BD4" s="33" t="s">
        <v>73</v>
      </c>
      <c r="BE4" s="33" t="s">
        <v>74</v>
      </c>
      <c r="BF4" s="33" t="s">
        <v>75</v>
      </c>
      <c r="BG4" s="33" t="s">
        <v>76</v>
      </c>
      <c r="BH4" s="33" t="s">
        <v>77</v>
      </c>
      <c r="BI4" s="33" t="s">
        <v>78</v>
      </c>
      <c r="BJ4" s="33" t="s">
        <v>79</v>
      </c>
      <c r="BK4" s="33" t="s">
        <v>80</v>
      </c>
      <c r="BL4" s="34">
        <v>482800007882</v>
      </c>
      <c r="BM4" s="34">
        <v>482800007908</v>
      </c>
      <c r="BN4" s="34">
        <v>482800007890</v>
      </c>
      <c r="BO4" s="34">
        <v>482800010001</v>
      </c>
      <c r="BP4" s="34">
        <v>482800010019</v>
      </c>
      <c r="BQ4" s="34">
        <v>482800010027</v>
      </c>
      <c r="BR4" s="33">
        <v>36024995</v>
      </c>
      <c r="BS4" s="33">
        <v>36024995</v>
      </c>
      <c r="BT4" s="33">
        <v>36903922</v>
      </c>
      <c r="BU4" s="33">
        <v>36903922</v>
      </c>
      <c r="BV4" s="33">
        <v>36294346</v>
      </c>
      <c r="BW4" s="33" t="s">
        <v>81</v>
      </c>
      <c r="BX4" s="33">
        <v>36294353</v>
      </c>
      <c r="BY4" s="33" t="s">
        <v>82</v>
      </c>
      <c r="BZ4" s="33" t="s">
        <v>83</v>
      </c>
      <c r="CA4" s="33" t="s">
        <v>84</v>
      </c>
      <c r="CB4" s="33" t="s">
        <v>85</v>
      </c>
      <c r="CC4" s="33" t="s">
        <v>86</v>
      </c>
      <c r="CD4" s="33" t="s">
        <v>87</v>
      </c>
      <c r="CE4" s="33" t="s">
        <v>88</v>
      </c>
      <c r="CF4" s="33" t="s">
        <v>89</v>
      </c>
      <c r="CG4" s="33" t="s">
        <v>90</v>
      </c>
      <c r="CH4" s="33" t="s">
        <v>91</v>
      </c>
      <c r="CI4" s="33">
        <v>221816614</v>
      </c>
      <c r="CJ4" s="33">
        <v>221816598</v>
      </c>
      <c r="CK4" s="33">
        <v>60193029</v>
      </c>
      <c r="CL4" s="33">
        <v>60193401</v>
      </c>
      <c r="CM4" s="33">
        <v>1011143807</v>
      </c>
      <c r="CN4" s="33">
        <v>4801736642</v>
      </c>
      <c r="CO4" s="33">
        <v>65005340</v>
      </c>
      <c r="CP4" s="33">
        <v>288086051</v>
      </c>
      <c r="CQ4" s="33">
        <v>288049109</v>
      </c>
      <c r="CR4" s="33">
        <v>411166042</v>
      </c>
      <c r="CS4" s="33">
        <v>865804015</v>
      </c>
      <c r="CT4" s="33">
        <v>865804015</v>
      </c>
      <c r="CU4" s="33">
        <v>865794015</v>
      </c>
      <c r="CV4" s="33">
        <v>865794015</v>
      </c>
      <c r="CW4" s="35"/>
    </row>
    <row r="5" spans="1:101" x14ac:dyDescent="0.25">
      <c r="B5" s="36"/>
      <c r="C5" s="37" t="s">
        <v>92</v>
      </c>
      <c r="D5" s="38"/>
      <c r="E5" s="38" t="s">
        <v>93</v>
      </c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9"/>
      <c r="AI5" s="39"/>
      <c r="AJ5" s="39"/>
      <c r="AK5" s="39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>
        <v>4.2046299999999999</v>
      </c>
      <c r="BT5" s="37"/>
      <c r="BU5" s="37">
        <f>+BS5</f>
        <v>4.2046299999999999</v>
      </c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40"/>
    </row>
    <row r="6" spans="1:101" x14ac:dyDescent="0.25">
      <c r="B6" s="36"/>
      <c r="C6" s="37" t="s">
        <v>94</v>
      </c>
      <c r="D6" s="37">
        <f>+D7-D8</f>
        <v>-17929.69708000042</v>
      </c>
      <c r="E6" s="37">
        <f>+E7-E8</f>
        <v>783249.28206544742</v>
      </c>
      <c r="F6" s="37">
        <f>+F7-F8</f>
        <v>258414.74467849359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9"/>
      <c r="AI6" s="39"/>
      <c r="AJ6" s="39"/>
      <c r="AK6" s="39"/>
      <c r="AL6" s="37">
        <f t="shared" ref="AL6:BQ6" si="0">+AL7-AL8</f>
        <v>-4479.6543300738558</v>
      </c>
      <c r="AM6" s="37">
        <f t="shared" si="0"/>
        <v>18650.466696463525</v>
      </c>
      <c r="AN6" s="37">
        <f t="shared" si="0"/>
        <v>-169383.06324000191</v>
      </c>
      <c r="AO6" s="37">
        <f t="shared" si="0"/>
        <v>-1436.4207214397611</v>
      </c>
      <c r="AP6" s="37">
        <f t="shared" si="0"/>
        <v>-1111117.2870137533</v>
      </c>
      <c r="AQ6" s="37">
        <f t="shared" si="0"/>
        <v>135053.52382783918</v>
      </c>
      <c r="AR6" s="37">
        <f t="shared" si="0"/>
        <v>0</v>
      </c>
      <c r="AS6" s="37">
        <f t="shared" si="0"/>
        <v>0</v>
      </c>
      <c r="AT6" s="37">
        <f t="shared" si="0"/>
        <v>0</v>
      </c>
      <c r="AU6" s="37">
        <f t="shared" si="0"/>
        <v>0</v>
      </c>
      <c r="AV6" s="37">
        <f t="shared" si="0"/>
        <v>0</v>
      </c>
      <c r="AW6" s="37">
        <f t="shared" si="0"/>
        <v>0</v>
      </c>
      <c r="AX6" s="37">
        <f t="shared" si="0"/>
        <v>0</v>
      </c>
      <c r="AY6" s="37">
        <f t="shared" si="0"/>
        <v>0</v>
      </c>
      <c r="AZ6" s="37">
        <f t="shared" si="0"/>
        <v>0</v>
      </c>
      <c r="BA6" s="37">
        <f t="shared" si="0"/>
        <v>0</v>
      </c>
      <c r="BB6" s="37">
        <f t="shared" si="0"/>
        <v>0</v>
      </c>
      <c r="BC6" s="37">
        <f t="shared" si="0"/>
        <v>0</v>
      </c>
      <c r="BD6" s="37">
        <f t="shared" si="0"/>
        <v>0</v>
      </c>
      <c r="BE6" s="37">
        <f t="shared" si="0"/>
        <v>0</v>
      </c>
      <c r="BF6" s="37">
        <f t="shared" si="0"/>
        <v>0</v>
      </c>
      <c r="BG6" s="37">
        <f t="shared" si="0"/>
        <v>0</v>
      </c>
      <c r="BH6" s="37">
        <f t="shared" si="0"/>
        <v>0</v>
      </c>
      <c r="BI6" s="37">
        <f t="shared" si="0"/>
        <v>0</v>
      </c>
      <c r="BJ6" s="37">
        <f t="shared" si="0"/>
        <v>0</v>
      </c>
      <c r="BK6" s="37">
        <f t="shared" si="0"/>
        <v>0</v>
      </c>
      <c r="BL6" s="37">
        <f t="shared" si="0"/>
        <v>0</v>
      </c>
      <c r="BM6" s="37">
        <f t="shared" si="0"/>
        <v>0</v>
      </c>
      <c r="BN6" s="37">
        <f t="shared" si="0"/>
        <v>0</v>
      </c>
      <c r="BO6" s="37">
        <f t="shared" si="0"/>
        <v>0</v>
      </c>
      <c r="BP6" s="37">
        <f t="shared" si="0"/>
        <v>0</v>
      </c>
      <c r="BQ6" s="37">
        <f t="shared" si="0"/>
        <v>0</v>
      </c>
      <c r="BR6" s="37"/>
      <c r="BS6" s="37"/>
      <c r="BT6" s="37"/>
      <c r="BU6" s="37"/>
      <c r="BV6" s="37">
        <f>+BV7-BV8-422.17</f>
        <v>-422.17</v>
      </c>
      <c r="BW6" s="37">
        <f t="shared" ref="BW6:CR6" si="1">+BW7-BW8</f>
        <v>0</v>
      </c>
      <c r="BX6" s="37">
        <f t="shared" si="1"/>
        <v>0</v>
      </c>
      <c r="BY6" s="37">
        <f t="shared" si="1"/>
        <v>-3400.2129999999888</v>
      </c>
      <c r="BZ6" s="37">
        <f t="shared" si="1"/>
        <v>-38340.411999999546</v>
      </c>
      <c r="CA6" s="37">
        <f t="shared" si="1"/>
        <v>-45141.498999998905</v>
      </c>
      <c r="CB6" s="37">
        <f t="shared" si="1"/>
        <v>-2.4000000121304765E-4</v>
      </c>
      <c r="CC6" s="37">
        <f t="shared" si="1"/>
        <v>-4.1799998143687844E-3</v>
      </c>
      <c r="CD6" s="37">
        <f>+[1]Otrosbancos!$J$29</f>
        <v>0</v>
      </c>
      <c r="CE6" s="37">
        <f t="shared" si="1"/>
        <v>0</v>
      </c>
      <c r="CF6" s="37">
        <f t="shared" si="1"/>
        <v>0</v>
      </c>
      <c r="CG6" s="37">
        <f t="shared" si="1"/>
        <v>0</v>
      </c>
      <c r="CH6" s="37">
        <f t="shared" si="1"/>
        <v>0</v>
      </c>
      <c r="CI6" s="37">
        <f t="shared" si="1"/>
        <v>4457.765000000014</v>
      </c>
      <c r="CJ6" s="37">
        <f t="shared" si="1"/>
        <v>34596.014999999985</v>
      </c>
      <c r="CK6" s="37">
        <f t="shared" si="1"/>
        <v>0</v>
      </c>
      <c r="CL6" s="37">
        <f t="shared" si="1"/>
        <v>0</v>
      </c>
      <c r="CM6" s="37">
        <f t="shared" si="1"/>
        <v>-1.4999999257270247E-4</v>
      </c>
      <c r="CN6" s="37">
        <f t="shared" si="1"/>
        <v>-2.9699999140575528E-3</v>
      </c>
      <c r="CO6" s="37">
        <f t="shared" si="1"/>
        <v>4.6400002902373672E-3</v>
      </c>
      <c r="CP6" s="37">
        <f t="shared" si="1"/>
        <v>-2.7600005269050598E-3</v>
      </c>
      <c r="CQ6" s="37">
        <f t="shared" si="1"/>
        <v>216.65003000001889</v>
      </c>
      <c r="CR6" s="37">
        <f t="shared" si="1"/>
        <v>0</v>
      </c>
      <c r="CS6" s="37">
        <f>+CS7-CS8</f>
        <v>-5000</v>
      </c>
      <c r="CT6" s="37">
        <f>+CT7-CT8</f>
        <v>-20468.599999999999</v>
      </c>
      <c r="CU6" s="37">
        <f>+CU7-CU8</f>
        <v>-5000</v>
      </c>
      <c r="CV6" s="37">
        <f>+CV7-CV8</f>
        <v>-20468.599999999999</v>
      </c>
      <c r="CW6" s="37"/>
    </row>
    <row r="7" spans="1:101" x14ac:dyDescent="0.25">
      <c r="A7" s="41"/>
      <c r="B7" s="42"/>
      <c r="C7" s="43" t="s">
        <v>95</v>
      </c>
      <c r="D7" s="43">
        <f>+'[1]Cap,Bol,Cls'!$J$4</f>
        <v>536280.65719000006</v>
      </c>
      <c r="E7" s="43">
        <f>+'[1]Cap,Bol,Cls'!$J$13</f>
        <v>14788481.526319999</v>
      </c>
      <c r="F7" s="43">
        <f>+'[1]Cap,Bol,Cls'!$J$30</f>
        <v>24078099.050670002</v>
      </c>
      <c r="G7" s="43">
        <f>+G8</f>
        <v>0</v>
      </c>
      <c r="H7" s="43">
        <f>+H8</f>
        <v>0</v>
      </c>
      <c r="I7" s="43">
        <f>+'[1]Cap,Bol,Cls'!$J$24</f>
        <v>112843.15996</v>
      </c>
      <c r="J7" s="43">
        <f>+J8</f>
        <v>0</v>
      </c>
      <c r="K7" s="43">
        <f>+K8</f>
        <v>143709.39457214306</v>
      </c>
      <c r="L7" s="43">
        <f>+L8</f>
        <v>207390.09506682865</v>
      </c>
      <c r="M7" s="43">
        <f>+M8</f>
        <v>859089.19024486642</v>
      </c>
      <c r="N7" s="43">
        <f>+N8</f>
        <v>177310.5199999999</v>
      </c>
      <c r="O7" s="43">
        <f t="shared" ref="O7:AK7" si="2">+O8</f>
        <v>743248.15264999995</v>
      </c>
      <c r="P7" s="43">
        <f t="shared" si="2"/>
        <v>20249031.420000009</v>
      </c>
      <c r="Q7" s="43">
        <f t="shared" si="2"/>
        <v>86178065.456281573</v>
      </c>
      <c r="R7" s="43">
        <f t="shared" si="2"/>
        <v>994166.53999999992</v>
      </c>
      <c r="S7" s="43">
        <f t="shared" si="2"/>
        <v>4499091.1669490989</v>
      </c>
      <c r="T7" s="43"/>
      <c r="U7" s="43"/>
      <c r="V7" s="43"/>
      <c r="W7" s="43"/>
      <c r="X7" s="43"/>
      <c r="Y7" s="43"/>
      <c r="Z7" s="43">
        <f t="shared" si="2"/>
        <v>9662.5274983807467</v>
      </c>
      <c r="AA7" s="43">
        <f t="shared" si="2"/>
        <v>40503.29</v>
      </c>
      <c r="AB7" s="43">
        <f t="shared" si="2"/>
        <v>7542.7499999967404</v>
      </c>
      <c r="AC7" s="43">
        <f t="shared" si="2"/>
        <v>31617.62</v>
      </c>
      <c r="AD7" s="43">
        <f t="shared" si="2"/>
        <v>5155</v>
      </c>
      <c r="AE7" s="43">
        <f t="shared" si="2"/>
        <v>21608.68</v>
      </c>
      <c r="AF7" s="43">
        <f t="shared" si="2"/>
        <v>7956.8699999451637</v>
      </c>
      <c r="AG7" s="43">
        <f t="shared" si="2"/>
        <v>33353.53</v>
      </c>
      <c r="AH7" s="43">
        <f t="shared" si="2"/>
        <v>202018.84999999718</v>
      </c>
      <c r="AI7" s="43">
        <f t="shared" si="2"/>
        <v>846664.08869630005</v>
      </c>
      <c r="AJ7" s="43">
        <f t="shared" si="2"/>
        <v>673596.71999999823</v>
      </c>
      <c r="AK7" s="43">
        <f t="shared" si="2"/>
        <v>2823324.1679230896</v>
      </c>
      <c r="AL7" s="43">
        <f>+[1]Inversoras!$J$56</f>
        <v>7191798.0384200001</v>
      </c>
      <c r="AM7" s="43">
        <f>+[1]Inversoras!$J$57</f>
        <v>59279226.397679999</v>
      </c>
      <c r="AN7" s="43">
        <f>+[1]Inversoras!$J$58</f>
        <v>6502671.4809899991</v>
      </c>
      <c r="AO7" s="43">
        <f>+[1]Inversoras!$J$59</f>
        <v>942403.78619999997</v>
      </c>
      <c r="AP7" s="43">
        <f>+[1]Inversoras!$J$60</f>
        <v>7819236.7285200013</v>
      </c>
      <c r="AQ7" s="43">
        <f>+[1]Inversoras!$J$61</f>
        <v>1749035.1938499999</v>
      </c>
      <c r="AR7" s="43">
        <f>+AR8</f>
        <v>33752.683643993005</v>
      </c>
      <c r="AS7" s="43">
        <f t="shared" ref="AS7:BQ7" si="3">+AS8</f>
        <v>6.2719079996137461</v>
      </c>
      <c r="AT7" s="43">
        <f t="shared" si="3"/>
        <v>11.210432002509913</v>
      </c>
      <c r="AU7" s="43">
        <f t="shared" si="3"/>
        <v>70709.869203997281</v>
      </c>
      <c r="AV7" s="43">
        <f t="shared" si="3"/>
        <v>523662.90839880263</v>
      </c>
      <c r="AW7" s="43">
        <f t="shared" si="3"/>
        <v>85667.9885699968</v>
      </c>
      <c r="AX7" s="43">
        <f t="shared" si="3"/>
        <v>1041.3974240010875</v>
      </c>
      <c r="AY7" s="43">
        <f t="shared" si="3"/>
        <v>17450.753311997978</v>
      </c>
      <c r="AZ7" s="43">
        <f t="shared" si="3"/>
        <v>23267.345377323236</v>
      </c>
      <c r="BA7" s="43">
        <f t="shared" si="3"/>
        <v>202184.45272400693</v>
      </c>
      <c r="BB7" s="43">
        <f t="shared" si="3"/>
        <v>70015.316219991146</v>
      </c>
      <c r="BC7" s="43">
        <f t="shared" si="3"/>
        <v>267085.42384799867</v>
      </c>
      <c r="BD7" s="43">
        <f t="shared" si="3"/>
        <v>17064.950599989832</v>
      </c>
      <c r="BE7" s="43">
        <f t="shared" si="3"/>
        <v>256586.81289368056</v>
      </c>
      <c r="BF7" s="43">
        <f t="shared" si="3"/>
        <v>321949.5492303599</v>
      </c>
      <c r="BG7" s="43">
        <f t="shared" si="3"/>
        <v>35109.232018882758</v>
      </c>
      <c r="BH7" s="43">
        <f t="shared" si="3"/>
        <v>27273.514880002102</v>
      </c>
      <c r="BI7" s="43">
        <f t="shared" si="3"/>
        <v>630661.83776839031</v>
      </c>
      <c r="BJ7" s="43">
        <f t="shared" si="3"/>
        <v>197783.28604456017</v>
      </c>
      <c r="BK7" s="43">
        <f t="shared" si="3"/>
        <v>11496991.451116012</v>
      </c>
      <c r="BL7" s="43">
        <f t="shared" si="3"/>
        <v>112837.82852244607</v>
      </c>
      <c r="BM7" s="43">
        <f t="shared" si="3"/>
        <v>1069744.4282471512</v>
      </c>
      <c r="BN7" s="43">
        <f t="shared" si="3"/>
        <v>4101226.456007381</v>
      </c>
      <c r="BO7" s="43">
        <f t="shared" si="3"/>
        <v>3.4691202304202307E-3</v>
      </c>
      <c r="BP7" s="43">
        <f t="shared" si="3"/>
        <v>255.4532393290655</v>
      </c>
      <c r="BQ7" s="43">
        <f t="shared" si="3"/>
        <v>4.0128798844989433E-3</v>
      </c>
      <c r="BR7" s="43">
        <f>+[1]Otrosbancos!$J$49</f>
        <v>645623.82000000007</v>
      </c>
      <c r="BS7" s="43">
        <f>+BS8</f>
        <v>2662944.0693795886</v>
      </c>
      <c r="BT7" s="43">
        <f>+[1]Otrosbancos!$J$51</f>
        <v>36664</v>
      </c>
      <c r="BU7" s="43">
        <f>+BU8</f>
        <v>123572.92825549096</v>
      </c>
      <c r="BV7" s="43">
        <f>+BV8+BV5</f>
        <v>8400.1908600000006</v>
      </c>
      <c r="BW7" s="43">
        <f>+BW8+BW5</f>
        <v>1156133.3119900008</v>
      </c>
      <c r="BX7" s="43">
        <f>+BX8+BX5</f>
        <v>12663.664475599246</v>
      </c>
      <c r="BY7" s="43">
        <f>+[1]Otrosbancos!$J$5</f>
        <v>659797.26899999997</v>
      </c>
      <c r="BZ7" s="43">
        <f>+[1]Otrosbancos!$J$10</f>
        <v>4723782.7450000001</v>
      </c>
      <c r="CA7" s="43">
        <f>+[1]Otrosbancos!$J$15</f>
        <v>5496555.9280000003</v>
      </c>
      <c r="CB7" s="43">
        <f>+[1]Otrosbancos!$J$23</f>
        <v>18618.565999999999</v>
      </c>
      <c r="CC7" s="43">
        <f>+[1]Otrosbancos!$J$26</f>
        <v>885121.66399999999</v>
      </c>
      <c r="CD7" s="43">
        <f>+[1]Otrosbancos!$J$29</f>
        <v>0</v>
      </c>
      <c r="CE7" s="43">
        <f>+[1]Otrosbancos!$J$33</f>
        <v>23120.492999999999</v>
      </c>
      <c r="CF7" s="43">
        <f>+[1]Otrosbancos!$J$37</f>
        <v>1314904.5105900001</v>
      </c>
      <c r="CG7" s="43">
        <f>+[1]Otrosbancos!$J$41</f>
        <v>187664.606</v>
      </c>
      <c r="CH7" s="43">
        <f>+[1]Otrosbancos!$J$46</f>
        <v>2.9318200000000001</v>
      </c>
      <c r="CI7" s="43">
        <f>+[1]Otrosbancos!$J$54</f>
        <v>905739.74100000004</v>
      </c>
      <c r="CJ7" s="43">
        <f>+[1]Otrosbancos!$J$56</f>
        <v>178334.95499999999</v>
      </c>
      <c r="CK7" s="43">
        <f>+[1]Liberty!$J$3</f>
        <v>0</v>
      </c>
      <c r="CL7" s="43">
        <f>+[1]Liberty!$J$4</f>
        <v>0</v>
      </c>
      <c r="CM7" s="43">
        <f>+[1]Liberty!$J$6</f>
        <v>79545.214000000007</v>
      </c>
      <c r="CN7" s="43">
        <f>+[1]Liberty!$J$8</f>
        <v>662749.23600000003</v>
      </c>
      <c r="CO7" s="43">
        <f>+[1]Liberty!$J$10</f>
        <v>736440.24595999997</v>
      </c>
      <c r="CP7" s="43">
        <f>+[1]Liberty!$J$12</f>
        <v>9152723.6699999999</v>
      </c>
      <c r="CQ7" s="43">
        <f>+[1]Liberty!$J$13</f>
        <v>378135.14942999999</v>
      </c>
      <c r="CR7" s="43">
        <f>+[1]Otrosbancos!$J$58</f>
        <v>2701872.3746799999</v>
      </c>
      <c r="CS7" s="43">
        <v>0</v>
      </c>
      <c r="CT7" s="43">
        <v>0</v>
      </c>
      <c r="CU7" s="43">
        <v>0</v>
      </c>
      <c r="CV7" s="43">
        <v>0</v>
      </c>
      <c r="CW7" s="43">
        <f>SUM(D7:CV7)</f>
        <v>294067633.76323509</v>
      </c>
    </row>
    <row r="8" spans="1:101" x14ac:dyDescent="0.25">
      <c r="A8" s="41"/>
      <c r="B8" s="44" t="s">
        <v>96</v>
      </c>
      <c r="C8" s="45" t="s">
        <v>97</v>
      </c>
      <c r="D8" s="45">
        <f>+'May, 13'!D40</f>
        <v>554210.35427000048</v>
      </c>
      <c r="E8" s="45">
        <f>+'May, 13'!E40</f>
        <v>14005232.244254552</v>
      </c>
      <c r="F8" s="45">
        <f>+'May, 13'!F40</f>
        <v>23819684.305991508</v>
      </c>
      <c r="G8" s="45">
        <f>+'May, 13'!G40</f>
        <v>0</v>
      </c>
      <c r="H8" s="45">
        <f>+'May, 13'!H40</f>
        <v>0</v>
      </c>
      <c r="I8" s="45">
        <f>+'May, 13'!I40</f>
        <v>112843.84577999424</v>
      </c>
      <c r="J8" s="45">
        <f>+'May, 13'!J40</f>
        <v>0</v>
      </c>
      <c r="K8" s="45">
        <f>+'May, 13'!K40</f>
        <v>143709.39457214306</v>
      </c>
      <c r="L8" s="45">
        <f>+'May, 13'!L40</f>
        <v>207390.09506682865</v>
      </c>
      <c r="M8" s="45">
        <f>+'May, 13'!M40</f>
        <v>859089.19024486642</v>
      </c>
      <c r="N8" s="45">
        <f>+'May, 13'!N40</f>
        <v>177310.5199999999</v>
      </c>
      <c r="O8" s="45">
        <f>+'May, 13'!O40</f>
        <v>743248.15264999995</v>
      </c>
      <c r="P8" s="45">
        <f>+'May, 13'!P40</f>
        <v>20249031.420000009</v>
      </c>
      <c r="Q8" s="45">
        <f>+'May, 13'!Q40</f>
        <v>86178065.456281573</v>
      </c>
      <c r="R8" s="45">
        <f>+'May, 13'!R40</f>
        <v>994166.53999999992</v>
      </c>
      <c r="S8" s="45">
        <f>+'May, 13'!S40</f>
        <v>4499091.1669490989</v>
      </c>
      <c r="T8" s="45">
        <f>+'May, 13'!T40</f>
        <v>0</v>
      </c>
      <c r="U8" s="45">
        <f>+'May, 13'!U40</f>
        <v>0</v>
      </c>
      <c r="V8" s="45">
        <f>+'May, 13'!V40</f>
        <v>0</v>
      </c>
      <c r="W8" s="45">
        <f>+'May, 13'!W40</f>
        <v>0</v>
      </c>
      <c r="X8" s="45">
        <f>+'May, 13'!X40</f>
        <v>0</v>
      </c>
      <c r="Y8" s="45">
        <f>+'May, 13'!Y40</f>
        <v>0</v>
      </c>
      <c r="Z8" s="45">
        <f>+'May, 13'!Z40</f>
        <v>9662.5274983807467</v>
      </c>
      <c r="AA8" s="45">
        <f>+'May, 13'!AA40</f>
        <v>40503.29</v>
      </c>
      <c r="AB8" s="45">
        <f>+'May, 13'!AB40</f>
        <v>7542.7499999967404</v>
      </c>
      <c r="AC8" s="45">
        <f>+'May, 13'!AC40</f>
        <v>31617.62</v>
      </c>
      <c r="AD8" s="45">
        <f>+'May, 13'!AD40</f>
        <v>5155</v>
      </c>
      <c r="AE8" s="45">
        <f>+'May, 13'!AE40</f>
        <v>21608.68</v>
      </c>
      <c r="AF8" s="45">
        <f>+'May, 13'!AF40</f>
        <v>7956.8699999451637</v>
      </c>
      <c r="AG8" s="45">
        <f>+'May, 13'!AG40</f>
        <v>33353.53</v>
      </c>
      <c r="AH8" s="45">
        <f>+'May, 13'!AH40</f>
        <v>202018.84999999718</v>
      </c>
      <c r="AI8" s="45">
        <f>+'May, 13'!AI40</f>
        <v>846664.08869630005</v>
      </c>
      <c r="AJ8" s="45">
        <f>+'May, 13'!AJ40</f>
        <v>673596.71999999823</v>
      </c>
      <c r="AK8" s="45">
        <f>+'May, 13'!AK40</f>
        <v>2823324.1679230896</v>
      </c>
      <c r="AL8" s="45">
        <f>+'May, 13'!AL40</f>
        <v>7196277.692750074</v>
      </c>
      <c r="AM8" s="45">
        <f>+'May, 13'!AM40</f>
        <v>59260575.930983536</v>
      </c>
      <c r="AN8" s="45">
        <f>+'May, 13'!AN40</f>
        <v>6672054.544230001</v>
      </c>
      <c r="AO8" s="45">
        <f>+'May, 13'!AO40</f>
        <v>943840.20692143973</v>
      </c>
      <c r="AP8" s="45">
        <f>+'May, 13'!AP40</f>
        <v>8930354.0155337546</v>
      </c>
      <c r="AQ8" s="45">
        <f>+'May, 13'!AQ40</f>
        <v>1613981.6700221607</v>
      </c>
      <c r="AR8" s="45">
        <f>+'May, 13'!AR40</f>
        <v>33752.683643993005</v>
      </c>
      <c r="AS8" s="45">
        <f>+'May, 13'!AS40</f>
        <v>6.2719079996137461</v>
      </c>
      <c r="AT8" s="45">
        <f>+'May, 13'!AT40</f>
        <v>11.210432002509913</v>
      </c>
      <c r="AU8" s="45">
        <f>+'May, 13'!AU40</f>
        <v>70709.869203997281</v>
      </c>
      <c r="AV8" s="45">
        <f>+'May, 13'!AV40</f>
        <v>523662.90839880263</v>
      </c>
      <c r="AW8" s="45">
        <f>+'May, 13'!AW40</f>
        <v>85667.9885699968</v>
      </c>
      <c r="AX8" s="45">
        <f>+'May, 13'!AX40</f>
        <v>1041.3974240010875</v>
      </c>
      <c r="AY8" s="45">
        <f>+'May, 13'!AY40</f>
        <v>17450.753311997978</v>
      </c>
      <c r="AZ8" s="45">
        <f>+'May, 13'!AZ40</f>
        <v>23267.345377323236</v>
      </c>
      <c r="BA8" s="45">
        <f>+'May, 13'!BA40</f>
        <v>202184.45272400693</v>
      </c>
      <c r="BB8" s="45">
        <f>+'May, 13'!BB40</f>
        <v>70015.316219991146</v>
      </c>
      <c r="BC8" s="45">
        <f>+'May, 13'!BC40</f>
        <v>267085.42384799867</v>
      </c>
      <c r="BD8" s="45">
        <f>+'May, 13'!BD40</f>
        <v>17064.950599989832</v>
      </c>
      <c r="BE8" s="45">
        <f>+'May, 13'!BE40</f>
        <v>256586.81289368056</v>
      </c>
      <c r="BF8" s="45">
        <f>+'May, 13'!BF40</f>
        <v>321949.5492303599</v>
      </c>
      <c r="BG8" s="45">
        <f>+'May, 13'!BG40</f>
        <v>35109.232018882758</v>
      </c>
      <c r="BH8" s="45">
        <f>+'May, 13'!BH40</f>
        <v>27273.514880002102</v>
      </c>
      <c r="BI8" s="45">
        <f>+'May, 13'!BI40</f>
        <v>630661.83776839031</v>
      </c>
      <c r="BJ8" s="45">
        <f>+'May, 13'!BJ40</f>
        <v>197783.28604456017</v>
      </c>
      <c r="BK8" s="45">
        <f>+'May, 13'!BK40</f>
        <v>11496991.451116012</v>
      </c>
      <c r="BL8" s="45">
        <f>+'May, 13'!BL40</f>
        <v>112837.82852244607</v>
      </c>
      <c r="BM8" s="45">
        <f>+'May, 13'!BM40</f>
        <v>1069744.4282471512</v>
      </c>
      <c r="BN8" s="45">
        <f>+'May, 13'!BN40</f>
        <v>4101226.456007381</v>
      </c>
      <c r="BO8" s="45">
        <f>+'May, 13'!BO40</f>
        <v>3.4691202304202307E-3</v>
      </c>
      <c r="BP8" s="45">
        <f>+'May, 13'!BP40</f>
        <v>255.4532393290655</v>
      </c>
      <c r="BQ8" s="45">
        <f>+'May, 13'!BQ40</f>
        <v>4.0128798844989433E-3</v>
      </c>
      <c r="BR8" s="45">
        <f>+'May, 13'!BR40</f>
        <v>645623.81600000313</v>
      </c>
      <c r="BS8" s="45">
        <f>+'May, 13'!BS40</f>
        <v>2662944.0693795886</v>
      </c>
      <c r="BT8" s="45">
        <f>+'May, 13'!BT40</f>
        <v>36664.004932018986</v>
      </c>
      <c r="BU8" s="45">
        <f>+'May, 13'!BU40</f>
        <v>123572.92825549096</v>
      </c>
      <c r="BV8" s="45">
        <f>+'May, 13'!BV40</f>
        <v>8400.1908600000006</v>
      </c>
      <c r="BW8" s="45">
        <f>+'May, 13'!BW40</f>
        <v>1156133.3119900008</v>
      </c>
      <c r="BX8" s="45">
        <f>+'May, 13'!BX40</f>
        <v>12663.664475599246</v>
      </c>
      <c r="BY8" s="45">
        <f>+'May, 13'!BY40</f>
        <v>663197.48199999996</v>
      </c>
      <c r="BZ8" s="45">
        <f>+'May, 13'!BZ40</f>
        <v>4762123.1569999997</v>
      </c>
      <c r="CA8" s="45">
        <f>+'May, 13'!CA40</f>
        <v>5541697.4269999992</v>
      </c>
      <c r="CB8" s="45">
        <f>+'May, 13'!CB40</f>
        <v>18618.56624</v>
      </c>
      <c r="CC8" s="45">
        <f>+'May, 13'!CC40</f>
        <v>885121.6681799998</v>
      </c>
      <c r="CD8" s="45">
        <f>+'May, 13'!CD40</f>
        <v>0</v>
      </c>
      <c r="CE8" s="45">
        <f>+'May, 13'!CE40</f>
        <v>23120.492999999999</v>
      </c>
      <c r="CF8" s="45">
        <f>+'May, 13'!CF40</f>
        <v>1314904.5105900001</v>
      </c>
      <c r="CG8" s="45">
        <f>+'May, 13'!CG40</f>
        <v>187664.606</v>
      </c>
      <c r="CH8" s="45">
        <f>+'May, 13'!CH40</f>
        <v>2.9318200000000001</v>
      </c>
      <c r="CI8" s="45">
        <f>+'May, 13'!CI40</f>
        <v>901281.97600000002</v>
      </c>
      <c r="CJ8" s="45">
        <f>+'May, 13'!CJ40</f>
        <v>143738.94</v>
      </c>
      <c r="CK8" s="45">
        <f>+'May, 13'!CK40</f>
        <v>0</v>
      </c>
      <c r="CL8" s="45">
        <f>+'May, 13'!CL40</f>
        <v>0</v>
      </c>
      <c r="CM8" s="45">
        <f>+'May, 13'!CM40</f>
        <v>79545.21415</v>
      </c>
      <c r="CN8" s="45">
        <f>+'May, 13'!CN40</f>
        <v>662749.23896999995</v>
      </c>
      <c r="CO8" s="45">
        <f>+'May, 13'!CO40</f>
        <v>736440.24131999968</v>
      </c>
      <c r="CP8" s="45">
        <f>+'May, 13'!CP40</f>
        <v>9152723.6727600005</v>
      </c>
      <c r="CQ8" s="45">
        <f>+'May, 13'!CQ40</f>
        <v>377918.49939999997</v>
      </c>
      <c r="CR8" s="45">
        <f>+'May, 13'!CR40</f>
        <v>2701872.374679999</v>
      </c>
      <c r="CS8" s="45">
        <f>+'May, 13'!CS40</f>
        <v>5000</v>
      </c>
      <c r="CT8" s="45">
        <f>+'May, 13'!CT40</f>
        <v>20468.599999999999</v>
      </c>
      <c r="CU8" s="45">
        <f>+'May, 13'!CU40</f>
        <v>5000</v>
      </c>
      <c r="CV8" s="45">
        <f>+'May, 13'!CV40</f>
        <v>20468.599999999999</v>
      </c>
      <c r="CW8" s="43">
        <f t="shared" ref="CW8:CW40" si="4">SUM(D8:CV8)</f>
        <v>294275161.45473433</v>
      </c>
    </row>
    <row r="9" spans="1:101" x14ac:dyDescent="0.25">
      <c r="B9" s="46" t="s">
        <v>96</v>
      </c>
      <c r="C9" s="47" t="s">
        <v>98</v>
      </c>
      <c r="D9" s="47">
        <v>3730</v>
      </c>
      <c r="E9" s="48">
        <v>9906796.9925100002</v>
      </c>
      <c r="F9" s="48">
        <v>6790995.7242299998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>
        <v>3294.96</v>
      </c>
      <c r="BX9" s="47"/>
      <c r="BY9" s="47">
        <f>IF(BY6&gt;0,BY6,0)</f>
        <v>0</v>
      </c>
      <c r="BZ9" s="47">
        <f>IF(BZ6&gt;0,BZ6,0)</f>
        <v>0</v>
      </c>
      <c r="CA9" s="47">
        <f>IF(CA6&gt;0,CA6,0)</f>
        <v>0</v>
      </c>
      <c r="CB9" s="47"/>
      <c r="CC9" s="47">
        <v>1005.9880000000001</v>
      </c>
      <c r="CD9" s="47"/>
      <c r="CE9" s="47">
        <f>IF(CE6&gt;0,CE6,0)</f>
        <v>0</v>
      </c>
      <c r="CF9" s="47">
        <f>IF(CF6&gt;0,CF6,0)</f>
        <v>0</v>
      </c>
      <c r="CG9" s="47">
        <f>IF(CG6&gt;0,CG6,0)</f>
        <v>0</v>
      </c>
      <c r="CH9" s="47"/>
      <c r="CI9" s="47">
        <f>IF(CI6&gt;0,CI6,0)</f>
        <v>4457.765000000014</v>
      </c>
      <c r="CJ9" s="47">
        <f>IF(CJ6&gt;0,CJ6,0)</f>
        <v>34596.014999999985</v>
      </c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3">
        <f t="shared" si="4"/>
        <v>16744877.444740003</v>
      </c>
    </row>
    <row r="10" spans="1:101" x14ac:dyDescent="0.25">
      <c r="B10" s="46" t="s">
        <v>99</v>
      </c>
      <c r="C10" s="47" t="s">
        <v>100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>
        <v>-10.77</v>
      </c>
      <c r="BX10" s="47"/>
      <c r="BY10" s="47">
        <f>IF(BY6&lt;0,BY6,0)</f>
        <v>-3400.2129999999888</v>
      </c>
      <c r="BZ10" s="47">
        <f>IF(BZ6&lt;0,BZ6,0)</f>
        <v>-38340.411999999546</v>
      </c>
      <c r="CA10" s="47">
        <f>IF(CA6&lt;0,CA6,0)</f>
        <v>-45141.498999998905</v>
      </c>
      <c r="CB10" s="47"/>
      <c r="CC10" s="47"/>
      <c r="CD10" s="47"/>
      <c r="CE10" s="47">
        <f>IF(CE6&lt;0,CE6,0)</f>
        <v>0</v>
      </c>
      <c r="CF10" s="47">
        <f>IF(CF6&lt;0,CF6,0)</f>
        <v>0</v>
      </c>
      <c r="CG10" s="47">
        <f>IF(CG6&lt;0,CG6,0)</f>
        <v>0</v>
      </c>
      <c r="CH10" s="47"/>
      <c r="CI10" s="47">
        <f>IF(CI6&lt;0,CI6,0)</f>
        <v>0</v>
      </c>
      <c r="CJ10" s="47">
        <f>IF(CJ6&lt;0,CJ6,0)</f>
        <v>0</v>
      </c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3">
        <f t="shared" si="4"/>
        <v>-86892.893999998429</v>
      </c>
    </row>
    <row r="11" spans="1:101" x14ac:dyDescent="0.25">
      <c r="A11" s="41"/>
      <c r="B11" s="49" t="s">
        <v>99</v>
      </c>
      <c r="C11" s="50" t="s">
        <v>101</v>
      </c>
      <c r="D11" s="50">
        <v>-2760.7791200000001</v>
      </c>
      <c r="E11" s="50">
        <v>-35914.927350001301</v>
      </c>
      <c r="F11" s="50">
        <v>-11896.8427800026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>
        <f>+[1]Otrosbancos!$J$6+[1]Otrosbancos!$J$7</f>
        <v>-3426</v>
      </c>
      <c r="BZ11" s="50">
        <f>+[1]Otrosbancos!$J$11+[1]Otrosbancos!$J$12</f>
        <v>-7116892.7240000004</v>
      </c>
      <c r="CA11" s="50">
        <f>+[1]Otrosbancos!$J$16+[1]Otrosbancos!$J$17</f>
        <v>-1468736.848</v>
      </c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43">
        <f t="shared" si="4"/>
        <v>-8639628.1212500036</v>
      </c>
    </row>
    <row r="12" spans="1:101" x14ac:dyDescent="0.25">
      <c r="B12" s="46" t="s">
        <v>96</v>
      </c>
      <c r="C12" s="47" t="s">
        <v>102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1"/>
      <c r="AS12" s="51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3">
        <f t="shared" si="4"/>
        <v>0</v>
      </c>
    </row>
    <row r="13" spans="1:101" x14ac:dyDescent="0.25">
      <c r="B13" s="46" t="s">
        <v>96</v>
      </c>
      <c r="C13" s="47" t="s">
        <v>103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51"/>
      <c r="AS13" s="51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3">
        <f t="shared" si="4"/>
        <v>0</v>
      </c>
    </row>
    <row r="14" spans="1:101" x14ac:dyDescent="0.25">
      <c r="B14" s="46" t="s">
        <v>96</v>
      </c>
      <c r="C14" s="47" t="s">
        <v>104</v>
      </c>
      <c r="D14" s="47"/>
      <c r="E14" s="47"/>
      <c r="F14" s="47">
        <v>77162.744000000006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51"/>
      <c r="AS14" s="51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3">
        <f t="shared" si="4"/>
        <v>77162.744000000006</v>
      </c>
    </row>
    <row r="15" spans="1:101" x14ac:dyDescent="0.25">
      <c r="B15" s="46" t="s">
        <v>96</v>
      </c>
      <c r="C15" s="47" t="s">
        <v>105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51"/>
      <c r="AS15" s="51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3">
        <f t="shared" si="4"/>
        <v>0</v>
      </c>
    </row>
    <row r="16" spans="1:101" x14ac:dyDescent="0.25">
      <c r="B16" s="46" t="s">
        <v>96</v>
      </c>
      <c r="C16" s="47" t="s">
        <v>106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51"/>
      <c r="AS16" s="51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>
        <v>18000</v>
      </c>
      <c r="BU16" s="47">
        <f>+BT16*BU5</f>
        <v>75683.34</v>
      </c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3">
        <f t="shared" si="4"/>
        <v>93683.34</v>
      </c>
    </row>
    <row r="17" spans="1:101" x14ac:dyDescent="0.25">
      <c r="B17" s="46" t="s">
        <v>99</v>
      </c>
      <c r="C17" s="47" t="s">
        <v>107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51"/>
      <c r="AS17" s="51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3">
        <f t="shared" si="4"/>
        <v>0</v>
      </c>
    </row>
    <row r="18" spans="1:101" x14ac:dyDescent="0.25">
      <c r="B18" s="46" t="s">
        <v>96</v>
      </c>
      <c r="C18" s="47" t="s">
        <v>108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1"/>
      <c r="AS18" s="51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3">
        <f t="shared" si="4"/>
        <v>0</v>
      </c>
    </row>
    <row r="19" spans="1:101" x14ac:dyDescent="0.25">
      <c r="B19" s="46" t="s">
        <v>99</v>
      </c>
      <c r="C19" s="47" t="s">
        <v>109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51"/>
      <c r="AS19" s="51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3">
        <f t="shared" si="4"/>
        <v>0</v>
      </c>
    </row>
    <row r="20" spans="1:101" x14ac:dyDescent="0.25">
      <c r="B20" s="46" t="s">
        <v>99</v>
      </c>
      <c r="C20" s="47" t="s">
        <v>110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51"/>
      <c r="AS20" s="51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3">
        <f t="shared" si="4"/>
        <v>0</v>
      </c>
    </row>
    <row r="21" spans="1:101" x14ac:dyDescent="0.25">
      <c r="B21" s="46" t="s">
        <v>96</v>
      </c>
      <c r="C21" s="47" t="s">
        <v>111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51"/>
      <c r="AS21" s="51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3">
        <f t="shared" si="4"/>
        <v>0</v>
      </c>
    </row>
    <row r="22" spans="1:101" x14ac:dyDescent="0.25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51"/>
      <c r="AS22" s="51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3">
        <f t="shared" si="4"/>
        <v>0</v>
      </c>
    </row>
    <row r="23" spans="1:101" x14ac:dyDescent="0.25">
      <c r="B23" s="46" t="s">
        <v>99</v>
      </c>
      <c r="C23" s="47" t="s">
        <v>112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51"/>
      <c r="AS23" s="51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3">
        <f t="shared" si="4"/>
        <v>0</v>
      </c>
    </row>
    <row r="24" spans="1:101" x14ac:dyDescent="0.25">
      <c r="B24" s="46" t="s">
        <v>99</v>
      </c>
      <c r="C24" s="47" t="s">
        <v>113</v>
      </c>
      <c r="D24" s="47"/>
      <c r="E24" s="47">
        <f>-4270.5-2847-8541-123.5</f>
        <v>-15782</v>
      </c>
      <c r="F24" s="47">
        <f>-1670.5-2196.28</f>
        <v>-3866.78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51"/>
      <c r="AS24" s="51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3">
        <f t="shared" si="4"/>
        <v>-19648.78</v>
      </c>
    </row>
    <row r="25" spans="1:101" x14ac:dyDescent="0.25">
      <c r="A25" s="41"/>
      <c r="B25" s="52" t="s">
        <v>99</v>
      </c>
      <c r="C25" s="53" t="s">
        <v>114</v>
      </c>
      <c r="D25" s="53">
        <v>-2607.7351699999999</v>
      </c>
      <c r="E25" s="53">
        <v>-6138109.0317000002</v>
      </c>
      <c r="F25" s="53">
        <v>-3414812.6808699998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43">
        <f t="shared" si="4"/>
        <v>-9555529.4477399997</v>
      </c>
    </row>
    <row r="26" spans="1:101" x14ac:dyDescent="0.25">
      <c r="B26" s="46"/>
      <c r="C26" s="47" t="s">
        <v>115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51"/>
      <c r="AS26" s="51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3">
        <f t="shared" si="4"/>
        <v>0</v>
      </c>
    </row>
    <row r="27" spans="1:101" x14ac:dyDescent="0.25">
      <c r="B27" s="46" t="s">
        <v>99</v>
      </c>
      <c r="C27" s="47" t="s">
        <v>116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51"/>
      <c r="AS27" s="51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3">
        <f t="shared" si="4"/>
        <v>0</v>
      </c>
    </row>
    <row r="28" spans="1:101" x14ac:dyDescent="0.25">
      <c r="B28" s="47" t="s">
        <v>99</v>
      </c>
      <c r="C28" s="47" t="s">
        <v>117</v>
      </c>
      <c r="D28" s="48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51"/>
      <c r="AS28" s="51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3">
        <f t="shared" si="4"/>
        <v>0</v>
      </c>
    </row>
    <row r="29" spans="1:101" x14ac:dyDescent="0.25">
      <c r="B29" s="47"/>
      <c r="C29" s="47" t="s">
        <v>118</v>
      </c>
      <c r="D29" s="48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51"/>
      <c r="AS29" s="51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3">
        <f t="shared" si="4"/>
        <v>0</v>
      </c>
    </row>
    <row r="30" spans="1:101" x14ac:dyDescent="0.25">
      <c r="B30" s="47"/>
      <c r="C30" s="47" t="s">
        <v>119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51"/>
      <c r="AS30" s="51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3">
        <f t="shared" si="4"/>
        <v>0</v>
      </c>
    </row>
    <row r="31" spans="1:101" x14ac:dyDescent="0.25">
      <c r="B31" s="47" t="s">
        <v>99</v>
      </c>
      <c r="C31" s="47" t="s">
        <v>120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51"/>
      <c r="AS31" s="51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3">
        <f t="shared" si="4"/>
        <v>0</v>
      </c>
    </row>
    <row r="32" spans="1:101" x14ac:dyDescent="0.25">
      <c r="B32" s="47" t="s">
        <v>99</v>
      </c>
      <c r="C32" s="47" t="s">
        <v>121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51"/>
      <c r="AS32" s="51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3">
        <f t="shared" si="4"/>
        <v>0</v>
      </c>
    </row>
    <row r="33" spans="2:101" x14ac:dyDescent="0.25">
      <c r="B33" s="47" t="s">
        <v>99</v>
      </c>
      <c r="C33" s="47" t="s">
        <v>122</v>
      </c>
      <c r="D33" s="47"/>
      <c r="E33" s="47">
        <f>-23179-11747-2981-738-5704-364-241.98</f>
        <v>-44954.98</v>
      </c>
      <c r="F33" s="47">
        <f>-811-811-8456-1895-629-524775.365-376-2296-2296-4675-378</f>
        <v>-547398.36499999999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51"/>
      <c r="AS33" s="51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3">
        <f t="shared" si="4"/>
        <v>-592353.34499999997</v>
      </c>
    </row>
    <row r="34" spans="2:101" x14ac:dyDescent="0.25">
      <c r="B34" s="54" t="s">
        <v>99</v>
      </c>
      <c r="C34" s="55" t="s">
        <v>123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43">
        <f t="shared" si="4"/>
        <v>0</v>
      </c>
    </row>
    <row r="35" spans="2:101" x14ac:dyDescent="0.25">
      <c r="B35" s="54" t="s">
        <v>99</v>
      </c>
      <c r="C35" s="55" t="s">
        <v>124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43">
        <f t="shared" si="4"/>
        <v>0</v>
      </c>
    </row>
    <row r="36" spans="2:101" ht="15.75" thickBot="1" x14ac:dyDescent="0.3">
      <c r="B36" s="56"/>
      <c r="C36" s="57" t="s">
        <v>125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43">
        <f t="shared" si="4"/>
        <v>0</v>
      </c>
    </row>
    <row r="37" spans="2:101" x14ac:dyDescent="0.25">
      <c r="B37" s="58"/>
      <c r="C37" s="59" t="s">
        <v>126</v>
      </c>
      <c r="D37" s="59">
        <f>SUM(D9:D36)</f>
        <v>-1638.5142900000001</v>
      </c>
      <c r="E37" s="59">
        <f>SUM(E9:E36)</f>
        <v>3672036.0534599987</v>
      </c>
      <c r="F37" s="59">
        <f>SUM(F9:F35)</f>
        <v>2890183.7995799975</v>
      </c>
      <c r="G37" s="59">
        <f t="shared" ref="G37:BR37" si="5">SUM(G9:G36)</f>
        <v>0</v>
      </c>
      <c r="H37" s="59">
        <f t="shared" si="5"/>
        <v>0</v>
      </c>
      <c r="I37" s="59">
        <f t="shared" si="5"/>
        <v>0</v>
      </c>
      <c r="J37" s="59">
        <f t="shared" si="5"/>
        <v>0</v>
      </c>
      <c r="K37" s="59">
        <f t="shared" si="5"/>
        <v>0</v>
      </c>
      <c r="L37" s="59">
        <f t="shared" si="5"/>
        <v>0</v>
      </c>
      <c r="M37" s="59">
        <f t="shared" si="5"/>
        <v>0</v>
      </c>
      <c r="N37" s="59">
        <f t="shared" si="5"/>
        <v>0</v>
      </c>
      <c r="O37" s="59">
        <f t="shared" si="5"/>
        <v>0</v>
      </c>
      <c r="P37" s="59">
        <f t="shared" si="5"/>
        <v>0</v>
      </c>
      <c r="Q37" s="59">
        <f t="shared" si="5"/>
        <v>0</v>
      </c>
      <c r="R37" s="59">
        <f t="shared" si="5"/>
        <v>0</v>
      </c>
      <c r="S37" s="59">
        <f t="shared" si="5"/>
        <v>0</v>
      </c>
      <c r="T37" s="59">
        <f t="shared" si="5"/>
        <v>0</v>
      </c>
      <c r="U37" s="59">
        <f t="shared" si="5"/>
        <v>0</v>
      </c>
      <c r="V37" s="59">
        <f t="shared" si="5"/>
        <v>0</v>
      </c>
      <c r="W37" s="59">
        <f t="shared" si="5"/>
        <v>0</v>
      </c>
      <c r="X37" s="59">
        <f t="shared" si="5"/>
        <v>0</v>
      </c>
      <c r="Y37" s="59">
        <f t="shared" si="5"/>
        <v>0</v>
      </c>
      <c r="Z37" s="59">
        <f t="shared" si="5"/>
        <v>0</v>
      </c>
      <c r="AA37" s="59">
        <f t="shared" si="5"/>
        <v>0</v>
      </c>
      <c r="AB37" s="59">
        <f t="shared" si="5"/>
        <v>0</v>
      </c>
      <c r="AC37" s="59">
        <f t="shared" si="5"/>
        <v>0</v>
      </c>
      <c r="AD37" s="59">
        <f t="shared" si="5"/>
        <v>0</v>
      </c>
      <c r="AE37" s="59">
        <f t="shared" si="5"/>
        <v>0</v>
      </c>
      <c r="AF37" s="59">
        <f t="shared" si="5"/>
        <v>0</v>
      </c>
      <c r="AG37" s="59">
        <f t="shared" si="5"/>
        <v>0</v>
      </c>
      <c r="AH37" s="59">
        <f t="shared" si="5"/>
        <v>0</v>
      </c>
      <c r="AI37" s="59">
        <f t="shared" si="5"/>
        <v>0</v>
      </c>
      <c r="AJ37" s="59">
        <f t="shared" si="5"/>
        <v>0</v>
      </c>
      <c r="AK37" s="59">
        <f t="shared" si="5"/>
        <v>0</v>
      </c>
      <c r="AL37" s="59">
        <f t="shared" si="5"/>
        <v>0</v>
      </c>
      <c r="AM37" s="59">
        <f t="shared" si="5"/>
        <v>0</v>
      </c>
      <c r="AN37" s="59">
        <f t="shared" si="5"/>
        <v>0</v>
      </c>
      <c r="AO37" s="59">
        <f t="shared" si="5"/>
        <v>0</v>
      </c>
      <c r="AP37" s="59">
        <f t="shared" si="5"/>
        <v>0</v>
      </c>
      <c r="AQ37" s="59">
        <f t="shared" si="5"/>
        <v>0</v>
      </c>
      <c r="AR37" s="59">
        <f t="shared" si="5"/>
        <v>0</v>
      </c>
      <c r="AS37" s="59">
        <f t="shared" si="5"/>
        <v>0</v>
      </c>
      <c r="AT37" s="59">
        <f t="shared" si="5"/>
        <v>0</v>
      </c>
      <c r="AU37" s="59">
        <f t="shared" si="5"/>
        <v>0</v>
      </c>
      <c r="AV37" s="59">
        <f t="shared" si="5"/>
        <v>0</v>
      </c>
      <c r="AW37" s="59">
        <f t="shared" si="5"/>
        <v>0</v>
      </c>
      <c r="AX37" s="59">
        <f t="shared" si="5"/>
        <v>0</v>
      </c>
      <c r="AY37" s="59">
        <f t="shared" si="5"/>
        <v>0</v>
      </c>
      <c r="AZ37" s="59">
        <f t="shared" si="5"/>
        <v>0</v>
      </c>
      <c r="BA37" s="59">
        <f t="shared" si="5"/>
        <v>0</v>
      </c>
      <c r="BB37" s="59">
        <f t="shared" si="5"/>
        <v>0</v>
      </c>
      <c r="BC37" s="59">
        <f t="shared" si="5"/>
        <v>0</v>
      </c>
      <c r="BD37" s="59">
        <f t="shared" si="5"/>
        <v>0</v>
      </c>
      <c r="BE37" s="59">
        <f t="shared" si="5"/>
        <v>0</v>
      </c>
      <c r="BF37" s="59">
        <f t="shared" si="5"/>
        <v>0</v>
      </c>
      <c r="BG37" s="59">
        <f t="shared" si="5"/>
        <v>0</v>
      </c>
      <c r="BH37" s="59">
        <f t="shared" si="5"/>
        <v>0</v>
      </c>
      <c r="BI37" s="59">
        <f t="shared" si="5"/>
        <v>0</v>
      </c>
      <c r="BJ37" s="59">
        <f t="shared" si="5"/>
        <v>0</v>
      </c>
      <c r="BK37" s="59">
        <f t="shared" si="5"/>
        <v>0</v>
      </c>
      <c r="BL37" s="59">
        <f t="shared" si="5"/>
        <v>0</v>
      </c>
      <c r="BM37" s="59">
        <f t="shared" si="5"/>
        <v>0</v>
      </c>
      <c r="BN37" s="59">
        <f t="shared" si="5"/>
        <v>0</v>
      </c>
      <c r="BO37" s="59">
        <f t="shared" si="5"/>
        <v>0</v>
      </c>
      <c r="BP37" s="59">
        <f t="shared" si="5"/>
        <v>0</v>
      </c>
      <c r="BQ37" s="59">
        <f t="shared" si="5"/>
        <v>0</v>
      </c>
      <c r="BR37" s="59">
        <f t="shared" si="5"/>
        <v>0</v>
      </c>
      <c r="BS37" s="59">
        <f t="shared" ref="BS37:CV37" si="6">SUM(BS9:BS36)</f>
        <v>0</v>
      </c>
      <c r="BT37" s="59">
        <f t="shared" si="6"/>
        <v>18000</v>
      </c>
      <c r="BU37" s="59">
        <f t="shared" si="6"/>
        <v>75683.34</v>
      </c>
      <c r="BV37" s="59">
        <f t="shared" si="6"/>
        <v>0</v>
      </c>
      <c r="BW37" s="59">
        <f t="shared" si="6"/>
        <v>3284.19</v>
      </c>
      <c r="BX37" s="59">
        <f t="shared" si="6"/>
        <v>0</v>
      </c>
      <c r="BY37" s="59">
        <f t="shared" si="6"/>
        <v>-6826.2129999999888</v>
      </c>
      <c r="BZ37" s="59">
        <f t="shared" si="6"/>
        <v>-7155233.1359999999</v>
      </c>
      <c r="CA37" s="59">
        <f t="shared" si="6"/>
        <v>-1513878.3469999989</v>
      </c>
      <c r="CB37" s="59">
        <f t="shared" si="6"/>
        <v>0</v>
      </c>
      <c r="CC37" s="59">
        <f t="shared" si="6"/>
        <v>1005.9880000000001</v>
      </c>
      <c r="CD37" s="59">
        <f t="shared" si="6"/>
        <v>0</v>
      </c>
      <c r="CE37" s="59">
        <f t="shared" si="6"/>
        <v>0</v>
      </c>
      <c r="CF37" s="59">
        <f t="shared" si="6"/>
        <v>0</v>
      </c>
      <c r="CG37" s="59">
        <f t="shared" si="6"/>
        <v>0</v>
      </c>
      <c r="CH37" s="59">
        <f t="shared" si="6"/>
        <v>0</v>
      </c>
      <c r="CI37" s="59">
        <f t="shared" si="6"/>
        <v>4457.765000000014</v>
      </c>
      <c r="CJ37" s="59">
        <f t="shared" si="6"/>
        <v>34596.014999999985</v>
      </c>
      <c r="CK37" s="59">
        <f t="shared" si="6"/>
        <v>0</v>
      </c>
      <c r="CL37" s="59">
        <f t="shared" si="6"/>
        <v>0</v>
      </c>
      <c r="CM37" s="59">
        <f t="shared" si="6"/>
        <v>0</v>
      </c>
      <c r="CN37" s="59">
        <f t="shared" si="6"/>
        <v>0</v>
      </c>
      <c r="CO37" s="59">
        <f t="shared" si="6"/>
        <v>0</v>
      </c>
      <c r="CP37" s="59">
        <f t="shared" si="6"/>
        <v>0</v>
      </c>
      <c r="CQ37" s="59">
        <f t="shared" si="6"/>
        <v>0</v>
      </c>
      <c r="CR37" s="59">
        <f t="shared" si="6"/>
        <v>0</v>
      </c>
      <c r="CS37" s="59">
        <f t="shared" si="6"/>
        <v>0</v>
      </c>
      <c r="CT37" s="59">
        <f t="shared" si="6"/>
        <v>0</v>
      </c>
      <c r="CU37" s="59">
        <f t="shared" si="6"/>
        <v>0</v>
      </c>
      <c r="CV37" s="59">
        <f t="shared" si="6"/>
        <v>0</v>
      </c>
      <c r="CW37" s="43">
        <f t="shared" si="4"/>
        <v>-1978329.059250002</v>
      </c>
    </row>
    <row r="38" spans="2:101" x14ac:dyDescent="0.25">
      <c r="B38" s="60"/>
      <c r="C38" s="61" t="s">
        <v>127</v>
      </c>
      <c r="D38" s="61">
        <f>+D37+D8</f>
        <v>552571.83998000051</v>
      </c>
      <c r="E38" s="61">
        <f>+E37+E8</f>
        <v>17677268.29771455</v>
      </c>
      <c r="F38" s="61">
        <f>+F37+F8</f>
        <v>26709868.105571505</v>
      </c>
      <c r="G38" s="61">
        <f t="shared" ref="G38:BR38" si="7">+G37+G8</f>
        <v>0</v>
      </c>
      <c r="H38" s="61">
        <f t="shared" si="7"/>
        <v>0</v>
      </c>
      <c r="I38" s="61">
        <f t="shared" si="7"/>
        <v>112843.84577999424</v>
      </c>
      <c r="J38" s="61">
        <f t="shared" si="7"/>
        <v>0</v>
      </c>
      <c r="K38" s="61">
        <f t="shared" si="7"/>
        <v>143709.39457214306</v>
      </c>
      <c r="L38" s="61">
        <f t="shared" si="7"/>
        <v>207390.09506682865</v>
      </c>
      <c r="M38" s="61">
        <f t="shared" si="7"/>
        <v>859089.19024486642</v>
      </c>
      <c r="N38" s="61">
        <f t="shared" si="7"/>
        <v>177310.5199999999</v>
      </c>
      <c r="O38" s="61">
        <f t="shared" si="7"/>
        <v>743248.15264999995</v>
      </c>
      <c r="P38" s="61">
        <f t="shared" si="7"/>
        <v>20249031.420000009</v>
      </c>
      <c r="Q38" s="61">
        <f t="shared" si="7"/>
        <v>86178065.456281573</v>
      </c>
      <c r="R38" s="61">
        <f t="shared" si="7"/>
        <v>994166.53999999992</v>
      </c>
      <c r="S38" s="61">
        <f t="shared" si="7"/>
        <v>4499091.1669490989</v>
      </c>
      <c r="T38" s="61">
        <f t="shared" si="7"/>
        <v>0</v>
      </c>
      <c r="U38" s="61">
        <f t="shared" si="7"/>
        <v>0</v>
      </c>
      <c r="V38" s="61">
        <f t="shared" si="7"/>
        <v>0</v>
      </c>
      <c r="W38" s="61">
        <f t="shared" si="7"/>
        <v>0</v>
      </c>
      <c r="X38" s="61">
        <f t="shared" si="7"/>
        <v>0</v>
      </c>
      <c r="Y38" s="61">
        <f t="shared" si="7"/>
        <v>0</v>
      </c>
      <c r="Z38" s="61">
        <f t="shared" si="7"/>
        <v>9662.5274983807467</v>
      </c>
      <c r="AA38" s="61">
        <f t="shared" si="7"/>
        <v>40503.29</v>
      </c>
      <c r="AB38" s="61">
        <f t="shared" si="7"/>
        <v>7542.7499999967404</v>
      </c>
      <c r="AC38" s="61">
        <f t="shared" si="7"/>
        <v>31617.62</v>
      </c>
      <c r="AD38" s="61">
        <f t="shared" si="7"/>
        <v>5155</v>
      </c>
      <c r="AE38" s="61">
        <f t="shared" si="7"/>
        <v>21608.68</v>
      </c>
      <c r="AF38" s="61">
        <f t="shared" si="7"/>
        <v>7956.8699999451637</v>
      </c>
      <c r="AG38" s="61">
        <f t="shared" si="7"/>
        <v>33353.53</v>
      </c>
      <c r="AH38" s="61">
        <f t="shared" si="7"/>
        <v>202018.84999999718</v>
      </c>
      <c r="AI38" s="61">
        <f t="shared" si="7"/>
        <v>846664.08869630005</v>
      </c>
      <c r="AJ38" s="61">
        <f t="shared" si="7"/>
        <v>673596.71999999823</v>
      </c>
      <c r="AK38" s="61">
        <f t="shared" si="7"/>
        <v>2823324.1679230896</v>
      </c>
      <c r="AL38" s="61">
        <f t="shared" si="7"/>
        <v>7196277.692750074</v>
      </c>
      <c r="AM38" s="61">
        <f t="shared" si="7"/>
        <v>59260575.930983536</v>
      </c>
      <c r="AN38" s="61">
        <f t="shared" si="7"/>
        <v>6672054.544230001</v>
      </c>
      <c r="AO38" s="61">
        <f t="shared" si="7"/>
        <v>943840.20692143973</v>
      </c>
      <c r="AP38" s="61">
        <f t="shared" si="7"/>
        <v>8930354.0155337546</v>
      </c>
      <c r="AQ38" s="61">
        <f t="shared" si="7"/>
        <v>1613981.6700221607</v>
      </c>
      <c r="AR38" s="61">
        <f t="shared" si="7"/>
        <v>33752.683643993005</v>
      </c>
      <c r="AS38" s="61">
        <f t="shared" si="7"/>
        <v>6.2719079996137461</v>
      </c>
      <c r="AT38" s="61">
        <f t="shared" si="7"/>
        <v>11.210432002509913</v>
      </c>
      <c r="AU38" s="61">
        <f t="shared" si="7"/>
        <v>70709.869203997281</v>
      </c>
      <c r="AV38" s="61">
        <f t="shared" si="7"/>
        <v>523662.90839880263</v>
      </c>
      <c r="AW38" s="61">
        <f t="shared" si="7"/>
        <v>85667.9885699968</v>
      </c>
      <c r="AX38" s="61">
        <f t="shared" si="7"/>
        <v>1041.3974240010875</v>
      </c>
      <c r="AY38" s="61">
        <f t="shared" si="7"/>
        <v>17450.753311997978</v>
      </c>
      <c r="AZ38" s="61">
        <f t="shared" si="7"/>
        <v>23267.345377323236</v>
      </c>
      <c r="BA38" s="61">
        <f t="shared" si="7"/>
        <v>202184.45272400693</v>
      </c>
      <c r="BB38" s="61">
        <f t="shared" si="7"/>
        <v>70015.316219991146</v>
      </c>
      <c r="BC38" s="61">
        <f t="shared" si="7"/>
        <v>267085.42384799867</v>
      </c>
      <c r="BD38" s="61">
        <f t="shared" si="7"/>
        <v>17064.950599989832</v>
      </c>
      <c r="BE38" s="61">
        <f t="shared" si="7"/>
        <v>256586.81289368056</v>
      </c>
      <c r="BF38" s="61">
        <f t="shared" si="7"/>
        <v>321949.5492303599</v>
      </c>
      <c r="BG38" s="61">
        <f t="shared" si="7"/>
        <v>35109.232018882758</v>
      </c>
      <c r="BH38" s="61">
        <f t="shared" si="7"/>
        <v>27273.514880002102</v>
      </c>
      <c r="BI38" s="61">
        <f t="shared" si="7"/>
        <v>630661.83776839031</v>
      </c>
      <c r="BJ38" s="61">
        <f t="shared" si="7"/>
        <v>197783.28604456017</v>
      </c>
      <c r="BK38" s="61">
        <f t="shared" si="7"/>
        <v>11496991.451116012</v>
      </c>
      <c r="BL38" s="61">
        <f t="shared" si="7"/>
        <v>112837.82852244607</v>
      </c>
      <c r="BM38" s="61">
        <f t="shared" si="7"/>
        <v>1069744.4282471512</v>
      </c>
      <c r="BN38" s="61">
        <f t="shared" si="7"/>
        <v>4101226.456007381</v>
      </c>
      <c r="BO38" s="61">
        <f t="shared" si="7"/>
        <v>3.4691202304202307E-3</v>
      </c>
      <c r="BP38" s="61">
        <f t="shared" si="7"/>
        <v>255.4532393290655</v>
      </c>
      <c r="BQ38" s="61">
        <f t="shared" si="7"/>
        <v>4.0128798844989433E-3</v>
      </c>
      <c r="BR38" s="61">
        <f t="shared" si="7"/>
        <v>645623.81600000313</v>
      </c>
      <c r="BS38" s="61">
        <f t="shared" ref="BS38:CV38" si="8">+BS37+BS8</f>
        <v>2662944.0693795886</v>
      </c>
      <c r="BT38" s="61">
        <f t="shared" si="8"/>
        <v>54664.004932018986</v>
      </c>
      <c r="BU38" s="61">
        <f t="shared" si="8"/>
        <v>199256.26825549096</v>
      </c>
      <c r="BV38" s="61">
        <f t="shared" si="8"/>
        <v>8400.1908600000006</v>
      </c>
      <c r="BW38" s="61">
        <f t="shared" si="8"/>
        <v>1159417.5019900007</v>
      </c>
      <c r="BX38" s="61">
        <f t="shared" si="8"/>
        <v>12663.664475599246</v>
      </c>
      <c r="BY38" s="61">
        <f t="shared" si="8"/>
        <v>656371.26899999997</v>
      </c>
      <c r="BZ38" s="61">
        <f t="shared" si="8"/>
        <v>-2393109.9790000003</v>
      </c>
      <c r="CA38" s="61">
        <f t="shared" si="8"/>
        <v>4027819.08</v>
      </c>
      <c r="CB38" s="61">
        <f t="shared" si="8"/>
        <v>18618.56624</v>
      </c>
      <c r="CC38" s="61">
        <f t="shared" si="8"/>
        <v>886127.65617999982</v>
      </c>
      <c r="CD38" s="61">
        <f t="shared" si="8"/>
        <v>0</v>
      </c>
      <c r="CE38" s="61">
        <f t="shared" si="8"/>
        <v>23120.492999999999</v>
      </c>
      <c r="CF38" s="61">
        <f t="shared" si="8"/>
        <v>1314904.5105900001</v>
      </c>
      <c r="CG38" s="61">
        <f t="shared" si="8"/>
        <v>187664.606</v>
      </c>
      <c r="CH38" s="61">
        <f t="shared" si="8"/>
        <v>2.9318200000000001</v>
      </c>
      <c r="CI38" s="61">
        <f t="shared" si="8"/>
        <v>905739.74100000004</v>
      </c>
      <c r="CJ38" s="61">
        <f t="shared" si="8"/>
        <v>178334.95499999999</v>
      </c>
      <c r="CK38" s="61">
        <f t="shared" si="8"/>
        <v>0</v>
      </c>
      <c r="CL38" s="61">
        <f t="shared" si="8"/>
        <v>0</v>
      </c>
      <c r="CM38" s="61">
        <f t="shared" si="8"/>
        <v>79545.21415</v>
      </c>
      <c r="CN38" s="61">
        <f t="shared" si="8"/>
        <v>662749.23896999995</v>
      </c>
      <c r="CO38" s="61">
        <f t="shared" si="8"/>
        <v>736440.24131999968</v>
      </c>
      <c r="CP38" s="61">
        <f t="shared" si="8"/>
        <v>9152723.6727600005</v>
      </c>
      <c r="CQ38" s="61">
        <f t="shared" si="8"/>
        <v>377918.49939999997</v>
      </c>
      <c r="CR38" s="61">
        <f t="shared" si="8"/>
        <v>2701872.374679999</v>
      </c>
      <c r="CS38" s="61">
        <f t="shared" si="8"/>
        <v>5000</v>
      </c>
      <c r="CT38" s="61">
        <f t="shared" si="8"/>
        <v>20468.599999999999</v>
      </c>
      <c r="CU38" s="61">
        <f t="shared" si="8"/>
        <v>5000</v>
      </c>
      <c r="CV38" s="61">
        <f t="shared" si="8"/>
        <v>20468.599999999999</v>
      </c>
      <c r="CW38" s="43">
        <f t="shared" si="4"/>
        <v>292296832.39548433</v>
      </c>
    </row>
    <row r="39" spans="2:101" x14ac:dyDescent="0.25">
      <c r="B39" s="62"/>
      <c r="C39" s="63" t="s">
        <v>128</v>
      </c>
      <c r="D39" s="63">
        <v>0</v>
      </c>
      <c r="E39" s="63">
        <v>1856981.1608800001</v>
      </c>
      <c r="F39" s="63">
        <v>-19577000</v>
      </c>
      <c r="G39" s="63">
        <v>0</v>
      </c>
      <c r="H39" s="63">
        <v>0</v>
      </c>
      <c r="I39" s="63">
        <v>19.411390000000001</v>
      </c>
      <c r="J39" s="63">
        <v>0</v>
      </c>
      <c r="K39" s="63">
        <v>0</v>
      </c>
      <c r="L39" s="63">
        <v>-4786.7275520000003</v>
      </c>
      <c r="M39" s="63">
        <v>-753688.45203599997</v>
      </c>
      <c r="N39" s="63">
        <v>0</v>
      </c>
      <c r="O39" s="63">
        <v>0</v>
      </c>
      <c r="P39" s="63">
        <v>545873.05999999994</v>
      </c>
      <c r="Q39" s="63">
        <v>34157310.867134295</v>
      </c>
      <c r="R39" s="63">
        <v>75.650000000000006</v>
      </c>
      <c r="S39" s="63">
        <v>318.08025950000007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5291.3190000000004</v>
      </c>
      <c r="AZ39" s="63">
        <v>0</v>
      </c>
      <c r="BA39" s="63">
        <v>33.168999999999997</v>
      </c>
      <c r="BB39" s="63">
        <v>11.486000000000001</v>
      </c>
      <c r="BC39" s="63">
        <v>43.817</v>
      </c>
      <c r="BD39" s="63">
        <v>2.7989999999999999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4598.7062100000003</v>
      </c>
      <c r="BL39" s="63">
        <v>19.410270000000001</v>
      </c>
      <c r="BM39" s="63">
        <v>184.01647</v>
      </c>
      <c r="BN39" s="63">
        <v>705.49076000000002</v>
      </c>
      <c r="BO39" s="63">
        <v>0</v>
      </c>
      <c r="BP39" s="63">
        <v>4.725E-2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-782000</v>
      </c>
      <c r="BX39" s="63">
        <v>0</v>
      </c>
      <c r="BY39" s="63">
        <v>0</v>
      </c>
      <c r="BZ39" s="63">
        <v>6100000</v>
      </c>
      <c r="CA39" s="63">
        <v>3200000</v>
      </c>
      <c r="CB39" s="63">
        <v>0</v>
      </c>
      <c r="CC39" s="63">
        <v>0</v>
      </c>
      <c r="CD39" s="63">
        <v>0</v>
      </c>
      <c r="CE39" s="63">
        <v>0</v>
      </c>
      <c r="CF39" s="63">
        <v>-852000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-2681000</v>
      </c>
      <c r="CS39" s="63">
        <v>0</v>
      </c>
      <c r="CT39" s="63">
        <v>0</v>
      </c>
      <c r="CU39" s="63">
        <v>0</v>
      </c>
      <c r="CV39" s="63">
        <v>0</v>
      </c>
      <c r="CW39" s="43">
        <f t="shared" si="4"/>
        <v>21220993.311035793</v>
      </c>
    </row>
    <row r="40" spans="2:101" ht="15.75" thickBot="1" x14ac:dyDescent="0.3">
      <c r="B40" s="64"/>
      <c r="C40" s="65" t="s">
        <v>129</v>
      </c>
      <c r="D40" s="65">
        <f>+D39+D38</f>
        <v>552571.83998000051</v>
      </c>
      <c r="E40" s="65">
        <f>+E39+E38</f>
        <v>19534249.458594549</v>
      </c>
      <c r="F40" s="65">
        <f>+F39+F38</f>
        <v>7132868.1055715047</v>
      </c>
      <c r="G40" s="65">
        <f t="shared" ref="G40:BR40" si="9">+G39+G38</f>
        <v>0</v>
      </c>
      <c r="H40" s="65">
        <f t="shared" si="9"/>
        <v>0</v>
      </c>
      <c r="I40" s="65">
        <f t="shared" si="9"/>
        <v>112863.25716999423</v>
      </c>
      <c r="J40" s="65">
        <f t="shared" si="9"/>
        <v>0</v>
      </c>
      <c r="K40" s="65">
        <f t="shared" si="9"/>
        <v>143709.39457214306</v>
      </c>
      <c r="L40" s="65">
        <f t="shared" si="9"/>
        <v>202603.36751482866</v>
      </c>
      <c r="M40" s="65">
        <f t="shared" si="9"/>
        <v>105400.73820886645</v>
      </c>
      <c r="N40" s="65">
        <f t="shared" si="9"/>
        <v>177310.5199999999</v>
      </c>
      <c r="O40" s="65">
        <f t="shared" si="9"/>
        <v>743248.15264999995</v>
      </c>
      <c r="P40" s="65">
        <f t="shared" si="9"/>
        <v>20794904.480000008</v>
      </c>
      <c r="Q40" s="65">
        <f t="shared" si="9"/>
        <v>120335376.32341588</v>
      </c>
      <c r="R40" s="65">
        <f t="shared" si="9"/>
        <v>994242.19</v>
      </c>
      <c r="S40" s="65">
        <f t="shared" si="9"/>
        <v>4499409.247208599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9662.5274983807467</v>
      </c>
      <c r="AA40" s="65">
        <f t="shared" si="9"/>
        <v>40503.29</v>
      </c>
      <c r="AB40" s="65">
        <f t="shared" si="9"/>
        <v>7542.7499999967404</v>
      </c>
      <c r="AC40" s="65">
        <f t="shared" si="9"/>
        <v>31617.62</v>
      </c>
      <c r="AD40" s="65">
        <f t="shared" si="9"/>
        <v>5155</v>
      </c>
      <c r="AE40" s="65">
        <f t="shared" si="9"/>
        <v>21608.68</v>
      </c>
      <c r="AF40" s="65">
        <f t="shared" si="9"/>
        <v>7956.8699999451637</v>
      </c>
      <c r="AG40" s="65">
        <f t="shared" si="9"/>
        <v>33353.53</v>
      </c>
      <c r="AH40" s="65">
        <f t="shared" si="9"/>
        <v>202018.84999999718</v>
      </c>
      <c r="AI40" s="65">
        <f t="shared" si="9"/>
        <v>846664.08869630005</v>
      </c>
      <c r="AJ40" s="65">
        <f t="shared" si="9"/>
        <v>673596.71999999823</v>
      </c>
      <c r="AK40" s="65">
        <f t="shared" si="9"/>
        <v>2823324.1679230896</v>
      </c>
      <c r="AL40" s="65">
        <f t="shared" si="9"/>
        <v>7196277.692750074</v>
      </c>
      <c r="AM40" s="65">
        <f t="shared" si="9"/>
        <v>59260575.930983536</v>
      </c>
      <c r="AN40" s="65">
        <f t="shared" si="9"/>
        <v>6672054.544230001</v>
      </c>
      <c r="AO40" s="65">
        <f t="shared" si="9"/>
        <v>943840.20692143973</v>
      </c>
      <c r="AP40" s="65">
        <f t="shared" si="9"/>
        <v>8930354.0155337546</v>
      </c>
      <c r="AQ40" s="65">
        <f t="shared" si="9"/>
        <v>1613981.6700221607</v>
      </c>
      <c r="AR40" s="65">
        <f t="shared" si="9"/>
        <v>33752.683643993005</v>
      </c>
      <c r="AS40" s="65">
        <f t="shared" si="9"/>
        <v>6.2719079996137461</v>
      </c>
      <c r="AT40" s="65">
        <f t="shared" si="9"/>
        <v>11.210432002509913</v>
      </c>
      <c r="AU40" s="65">
        <f t="shared" si="9"/>
        <v>70709.869203997281</v>
      </c>
      <c r="AV40" s="65">
        <f t="shared" si="9"/>
        <v>523662.90839880263</v>
      </c>
      <c r="AW40" s="65">
        <f t="shared" si="9"/>
        <v>85667.9885699968</v>
      </c>
      <c r="AX40" s="65">
        <f t="shared" si="9"/>
        <v>1041.3974240010875</v>
      </c>
      <c r="AY40" s="65">
        <f t="shared" si="9"/>
        <v>22742.072311997978</v>
      </c>
      <c r="AZ40" s="65">
        <f t="shared" si="9"/>
        <v>23267.345377323236</v>
      </c>
      <c r="BA40" s="65">
        <f t="shared" si="9"/>
        <v>202217.62172400692</v>
      </c>
      <c r="BB40" s="65">
        <f t="shared" si="9"/>
        <v>70026.80221999115</v>
      </c>
      <c r="BC40" s="65">
        <f t="shared" si="9"/>
        <v>267129.24084799865</v>
      </c>
      <c r="BD40" s="65">
        <f t="shared" si="9"/>
        <v>17067.749599989831</v>
      </c>
      <c r="BE40" s="65">
        <f t="shared" si="9"/>
        <v>256586.81289368056</v>
      </c>
      <c r="BF40" s="65">
        <f t="shared" si="9"/>
        <v>321949.5492303599</v>
      </c>
      <c r="BG40" s="65">
        <f t="shared" si="9"/>
        <v>35109.232018882758</v>
      </c>
      <c r="BH40" s="65">
        <f t="shared" si="9"/>
        <v>27273.514880002102</v>
      </c>
      <c r="BI40" s="65">
        <f t="shared" si="9"/>
        <v>630661.83776839031</v>
      </c>
      <c r="BJ40" s="65">
        <f t="shared" si="9"/>
        <v>197783.28604456017</v>
      </c>
      <c r="BK40" s="65">
        <f t="shared" si="9"/>
        <v>11501590.157326013</v>
      </c>
      <c r="BL40" s="65">
        <f t="shared" si="9"/>
        <v>112857.23879244606</v>
      </c>
      <c r="BM40" s="65">
        <f t="shared" si="9"/>
        <v>1069928.4447171511</v>
      </c>
      <c r="BN40" s="65">
        <f t="shared" si="9"/>
        <v>4101931.9467673809</v>
      </c>
      <c r="BO40" s="65">
        <f t="shared" si="9"/>
        <v>3.4691202304202307E-3</v>
      </c>
      <c r="BP40" s="65">
        <f t="shared" si="9"/>
        <v>255.50048932906549</v>
      </c>
      <c r="BQ40" s="65">
        <f t="shared" si="9"/>
        <v>4.0128798844989433E-3</v>
      </c>
      <c r="BR40" s="65">
        <f t="shared" si="9"/>
        <v>645623.81600000313</v>
      </c>
      <c r="BS40" s="65">
        <f t="shared" ref="BS40:CV40" si="10">+BS39+BS38</f>
        <v>2662944.0693795886</v>
      </c>
      <c r="BT40" s="65">
        <f t="shared" si="10"/>
        <v>54664.004932018986</v>
      </c>
      <c r="BU40" s="65">
        <f t="shared" si="10"/>
        <v>199256.26825549096</v>
      </c>
      <c r="BV40" s="65">
        <f t="shared" si="10"/>
        <v>8400.1908600000006</v>
      </c>
      <c r="BW40" s="65">
        <f t="shared" si="10"/>
        <v>377417.50199000072</v>
      </c>
      <c r="BX40" s="65">
        <f t="shared" si="10"/>
        <v>12663.664475599246</v>
      </c>
      <c r="BY40" s="65">
        <f t="shared" si="10"/>
        <v>656371.26899999997</v>
      </c>
      <c r="BZ40" s="65">
        <f t="shared" si="10"/>
        <v>3706890.0209999997</v>
      </c>
      <c r="CA40" s="65">
        <f t="shared" si="10"/>
        <v>7227819.0800000001</v>
      </c>
      <c r="CB40" s="65">
        <f t="shared" si="10"/>
        <v>18618.56624</v>
      </c>
      <c r="CC40" s="65">
        <f t="shared" si="10"/>
        <v>886127.65617999982</v>
      </c>
      <c r="CD40" s="65">
        <f t="shared" si="10"/>
        <v>0</v>
      </c>
      <c r="CE40" s="65">
        <f t="shared" si="10"/>
        <v>23120.492999999999</v>
      </c>
      <c r="CF40" s="65">
        <f t="shared" si="10"/>
        <v>462904.51059000008</v>
      </c>
      <c r="CG40" s="65">
        <f t="shared" si="10"/>
        <v>187664.606</v>
      </c>
      <c r="CH40" s="65">
        <f>+CH39+CH38</f>
        <v>2.9318200000000001</v>
      </c>
      <c r="CI40" s="65">
        <f t="shared" si="10"/>
        <v>905739.74100000004</v>
      </c>
      <c r="CJ40" s="65">
        <f t="shared" si="10"/>
        <v>178334.95499999999</v>
      </c>
      <c r="CK40" s="65">
        <f t="shared" si="10"/>
        <v>0</v>
      </c>
      <c r="CL40" s="65">
        <f t="shared" si="10"/>
        <v>0</v>
      </c>
      <c r="CM40" s="65">
        <f t="shared" si="10"/>
        <v>79545.21415</v>
      </c>
      <c r="CN40" s="65">
        <f t="shared" si="10"/>
        <v>662749.23896999995</v>
      </c>
      <c r="CO40" s="65">
        <f t="shared" si="10"/>
        <v>736440.24131999968</v>
      </c>
      <c r="CP40" s="65">
        <f t="shared" si="10"/>
        <v>9152723.6727600005</v>
      </c>
      <c r="CQ40" s="65">
        <f t="shared" si="10"/>
        <v>377918.49939999997</v>
      </c>
      <c r="CR40" s="65">
        <f t="shared" si="10"/>
        <v>20872.37467999896</v>
      </c>
      <c r="CS40" s="65">
        <f t="shared" si="10"/>
        <v>5000</v>
      </c>
      <c r="CT40" s="65">
        <f t="shared" si="10"/>
        <v>20468.599999999999</v>
      </c>
      <c r="CU40" s="65">
        <f t="shared" si="10"/>
        <v>5000</v>
      </c>
      <c r="CV40" s="65">
        <f t="shared" si="10"/>
        <v>20468.599999999999</v>
      </c>
      <c r="CW40" s="43">
        <f t="shared" si="4"/>
        <v>313517825.70652014</v>
      </c>
    </row>
    <row r="41" spans="2:101" ht="15.75" thickBot="1" x14ac:dyDescent="0.3"/>
    <row r="42" spans="2:101" x14ac:dyDescent="0.25">
      <c r="C42" s="67" t="s">
        <v>130</v>
      </c>
      <c r="D42" s="68">
        <f>+D37+D39</f>
        <v>-1638.5142900000001</v>
      </c>
      <c r="E42" s="68">
        <f>+E37+E39</f>
        <v>5529017.2143399986</v>
      </c>
      <c r="F42" s="69">
        <f>+F37+F39</f>
        <v>-16686816.200420003</v>
      </c>
      <c r="G42" s="88">
        <v>20375.599999999999</v>
      </c>
      <c r="H42" s="88">
        <v>20376.599999999999</v>
      </c>
      <c r="I42" s="88">
        <v>20377.599999999999</v>
      </c>
      <c r="J42" s="88">
        <v>20378.599999999999</v>
      </c>
      <c r="K42" s="88">
        <v>20379.599999999999</v>
      </c>
      <c r="L42" s="88">
        <v>20380.599999999999</v>
      </c>
      <c r="M42" s="88">
        <v>20381.599999999999</v>
      </c>
      <c r="N42" s="88">
        <v>20382.599999999999</v>
      </c>
      <c r="O42" s="88">
        <v>20383.599999999999</v>
      </c>
      <c r="P42" s="88">
        <v>20384.599999999999</v>
      </c>
      <c r="Q42" s="88">
        <v>20385.599999999999</v>
      </c>
      <c r="R42" s="88">
        <v>20386.599999999999</v>
      </c>
      <c r="S42" s="88">
        <v>20387.599999999999</v>
      </c>
      <c r="T42" s="88">
        <v>20388.599999999999</v>
      </c>
      <c r="U42" s="88">
        <v>20389.599999999999</v>
      </c>
      <c r="V42" s="88">
        <v>20390.599999999999</v>
      </c>
      <c r="W42" s="88">
        <v>20391.599999999999</v>
      </c>
      <c r="X42" s="88">
        <v>20392.599999999999</v>
      </c>
      <c r="Y42" s="88">
        <v>20393.599999999999</v>
      </c>
      <c r="Z42" s="88">
        <v>20394.599999999999</v>
      </c>
      <c r="AA42" s="88">
        <v>20395.599999999999</v>
      </c>
      <c r="AB42" s="88">
        <v>20396.599999999999</v>
      </c>
      <c r="AC42" s="88">
        <v>20397.599999999999</v>
      </c>
      <c r="AD42" s="88">
        <v>20398.599999999999</v>
      </c>
      <c r="AE42" s="88">
        <v>20399.599999999999</v>
      </c>
      <c r="AF42" s="88">
        <v>20400.599999999999</v>
      </c>
      <c r="AG42" s="88">
        <v>20401.599999999999</v>
      </c>
      <c r="AH42" s="88">
        <v>20402.599999999999</v>
      </c>
      <c r="AI42" s="88">
        <v>20403.599999999999</v>
      </c>
      <c r="AJ42" s="88">
        <v>20404.599999999999</v>
      </c>
      <c r="AK42" s="88">
        <v>20405.599999999999</v>
      </c>
      <c r="AL42" s="88">
        <v>20406.599999999999</v>
      </c>
      <c r="AM42" s="88">
        <v>20407.599999999999</v>
      </c>
      <c r="AN42" s="88">
        <v>20408.599999999999</v>
      </c>
      <c r="AO42" s="88">
        <v>20409.599999999999</v>
      </c>
      <c r="AP42" s="88">
        <v>20410.599999999999</v>
      </c>
      <c r="AQ42" s="88">
        <v>20411.599999999999</v>
      </c>
      <c r="AR42" s="88">
        <v>20412.599999999999</v>
      </c>
      <c r="AS42" s="88">
        <v>20413.599999999999</v>
      </c>
      <c r="AT42" s="88">
        <v>20414.599999999999</v>
      </c>
      <c r="AU42" s="88">
        <v>20415.599999999999</v>
      </c>
      <c r="AV42" s="88">
        <v>20416.599999999999</v>
      </c>
      <c r="AW42" s="88">
        <v>20417.599999999999</v>
      </c>
      <c r="AX42" s="88">
        <v>20418.599999999999</v>
      </c>
      <c r="AY42" s="88">
        <v>20419.599999999999</v>
      </c>
      <c r="AZ42" s="88">
        <v>20420.599999999999</v>
      </c>
      <c r="BA42" s="88">
        <v>20421.599999999999</v>
      </c>
      <c r="BB42" s="88">
        <v>20422.599999999999</v>
      </c>
      <c r="BC42" s="88">
        <v>20423.599999999999</v>
      </c>
      <c r="BD42" s="88">
        <v>20424.599999999999</v>
      </c>
      <c r="BE42" s="88">
        <v>20425.599999999999</v>
      </c>
      <c r="BF42" s="88">
        <v>20426.599999999999</v>
      </c>
      <c r="BG42" s="88">
        <v>20427.599999999999</v>
      </c>
      <c r="BH42" s="88">
        <v>20428.599999999999</v>
      </c>
      <c r="BI42" s="88">
        <v>20429.599999999999</v>
      </c>
      <c r="BJ42" s="88">
        <v>20430.599999999999</v>
      </c>
      <c r="BK42" s="88">
        <v>20431.599999999999</v>
      </c>
      <c r="BL42" s="88">
        <v>20432.599999999999</v>
      </c>
      <c r="BM42" s="88">
        <v>20433.599999999999</v>
      </c>
      <c r="BN42" s="88">
        <v>20434.599999999999</v>
      </c>
      <c r="BO42" s="88">
        <v>20435.599999999999</v>
      </c>
      <c r="BP42" s="88">
        <v>20436.599999999999</v>
      </c>
      <c r="BQ42" s="88">
        <v>20437.599999999999</v>
      </c>
      <c r="BR42" s="88">
        <v>20438.599999999999</v>
      </c>
      <c r="BS42" s="88">
        <v>20439.599999999999</v>
      </c>
      <c r="BT42" s="88">
        <v>20440.599999999999</v>
      </c>
      <c r="BU42" s="88">
        <v>20441.599999999999</v>
      </c>
      <c r="BV42" s="88">
        <v>20442.599999999999</v>
      </c>
      <c r="BW42" s="88">
        <v>20443.599999999999</v>
      </c>
      <c r="BX42" s="88">
        <v>20444.599999999999</v>
      </c>
      <c r="BY42" s="88">
        <v>20445.599999999999</v>
      </c>
      <c r="BZ42" s="88">
        <v>20446.599999999999</v>
      </c>
      <c r="CA42" s="88">
        <v>20447.599999999999</v>
      </c>
      <c r="CB42" s="88">
        <v>20448.599999999999</v>
      </c>
      <c r="CC42" s="88">
        <v>20449.599999999999</v>
      </c>
      <c r="CD42" s="88">
        <v>20450.599999999999</v>
      </c>
      <c r="CE42" s="88">
        <v>20451.599999999999</v>
      </c>
      <c r="CF42" s="88">
        <v>20452.599999999999</v>
      </c>
      <c r="CG42" s="88">
        <v>20453.599999999999</v>
      </c>
      <c r="CH42" s="88">
        <v>20454.599999999999</v>
      </c>
      <c r="CI42" s="88">
        <v>20455.599999999999</v>
      </c>
      <c r="CJ42" s="88">
        <v>20456.599999999999</v>
      </c>
      <c r="CK42" s="88">
        <v>20457.599999999999</v>
      </c>
      <c r="CL42" s="88">
        <v>20458.599999999999</v>
      </c>
      <c r="CM42" s="88">
        <v>20459.599999999999</v>
      </c>
      <c r="CN42" s="88">
        <v>20460.599999999999</v>
      </c>
      <c r="CO42" s="88">
        <v>20461.599999999999</v>
      </c>
      <c r="CP42" s="88">
        <v>20462.599999999999</v>
      </c>
      <c r="CQ42" s="88">
        <v>20463.599999999999</v>
      </c>
      <c r="CR42" s="88">
        <v>20464.599999999999</v>
      </c>
      <c r="CS42" s="88">
        <v>20465.599999999999</v>
      </c>
      <c r="CT42" s="88">
        <v>20466.599999999999</v>
      </c>
      <c r="CU42" s="88">
        <v>20467.599999999999</v>
      </c>
      <c r="CV42" s="88">
        <v>20468.599999999999</v>
      </c>
    </row>
    <row r="43" spans="2:101" x14ac:dyDescent="0.25">
      <c r="C43" s="70" t="s">
        <v>131</v>
      </c>
      <c r="D43" s="71">
        <v>-1638.5142900000001</v>
      </c>
      <c r="E43" s="71">
        <v>5529017.2143400004</v>
      </c>
      <c r="F43" s="71">
        <v>-16686816.19588</v>
      </c>
      <c r="G43" s="66"/>
      <c r="H43" s="66"/>
      <c r="CT43" s="66"/>
      <c r="CU43" s="66"/>
      <c r="CV43" s="66"/>
    </row>
    <row r="44" spans="2:101" ht="15.75" thickBot="1" x14ac:dyDescent="0.3">
      <c r="C44" s="73" t="s">
        <v>132</v>
      </c>
      <c r="D44" s="74">
        <f>+D42-D43</f>
        <v>0</v>
      </c>
      <c r="E44" s="74">
        <f>+E42-E43</f>
        <v>0</v>
      </c>
      <c r="F44" s="75">
        <f>+F42-F43</f>
        <v>-4.5400038361549377E-3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</row>
    <row r="45" spans="2:101" x14ac:dyDescent="0.25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</row>
    <row r="46" spans="2:101" x14ac:dyDescent="0.25">
      <c r="D46" s="10">
        <v>9610</v>
      </c>
      <c r="E46" s="10">
        <v>3910226882.9200001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2:101" x14ac:dyDescent="0.25">
      <c r="D47" s="10">
        <v>8236</v>
      </c>
      <c r="E47" s="10">
        <v>3793583460</v>
      </c>
      <c r="I47" s="66" t="s">
        <v>133</v>
      </c>
      <c r="AL47" s="76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</row>
    <row r="48" spans="2:101" x14ac:dyDescent="0.25">
      <c r="D48" s="10">
        <v>9594</v>
      </c>
      <c r="E48" s="77">
        <v>2202986649.5900002</v>
      </c>
      <c r="AL48" s="76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</row>
    <row r="49" spans="2:97" x14ac:dyDescent="0.25">
      <c r="C49" s="78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</row>
    <row r="50" spans="2:97" x14ac:dyDescent="0.25"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/>
    </row>
    <row r="51" spans="2:97" x14ac:dyDescent="0.25">
      <c r="CS51"/>
    </row>
    <row r="52" spans="2:97" x14ac:dyDescent="0.25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/>
    </row>
    <row r="53" spans="2:97" x14ac:dyDescent="0.25">
      <c r="CS53"/>
    </row>
    <row r="54" spans="2:97" x14ac:dyDescent="0.25">
      <c r="CS54"/>
    </row>
    <row r="55" spans="2:97" x14ac:dyDescent="0.25">
      <c r="CS55"/>
    </row>
    <row r="58" spans="2:97" x14ac:dyDescent="0.25">
      <c r="B58" s="66"/>
      <c r="C58" s="66"/>
      <c r="D58" s="66"/>
      <c r="E58" s="66"/>
      <c r="F58" s="66"/>
      <c r="G58" s="66"/>
      <c r="H58" s="66"/>
      <c r="CM58"/>
      <c r="CN58"/>
      <c r="CO58"/>
      <c r="CP58"/>
      <c r="CQ58"/>
      <c r="CR58"/>
    </row>
    <row r="59" spans="2:97" x14ac:dyDescent="0.25">
      <c r="B59" s="66"/>
      <c r="C59" s="66"/>
      <c r="D59" s="66"/>
      <c r="E59" s="66"/>
      <c r="F59" s="66"/>
      <c r="G59" s="66"/>
      <c r="H59" s="66"/>
      <c r="CM59"/>
      <c r="CN59"/>
      <c r="CO59"/>
      <c r="CP59"/>
      <c r="CQ59"/>
      <c r="CR59"/>
    </row>
    <row r="60" spans="2:97" x14ac:dyDescent="0.25">
      <c r="B60" s="66"/>
      <c r="C60" s="66"/>
      <c r="D60" s="66"/>
      <c r="E60" s="66"/>
      <c r="F60" s="66"/>
      <c r="G60" s="66"/>
      <c r="H60" s="66"/>
      <c r="CM60"/>
      <c r="CN60"/>
      <c r="CO60"/>
      <c r="CP60"/>
      <c r="CQ60"/>
      <c r="CR60"/>
    </row>
    <row r="61" spans="2:97" x14ac:dyDescent="0.25">
      <c r="B61" s="66"/>
      <c r="C61" s="66"/>
      <c r="D61" s="66"/>
      <c r="E61" s="66"/>
      <c r="F61" s="66"/>
      <c r="G61" s="66"/>
      <c r="H61" s="66"/>
      <c r="CM61"/>
      <c r="CN61"/>
      <c r="CO61"/>
      <c r="CP61"/>
      <c r="CQ61"/>
      <c r="CR61"/>
    </row>
    <row r="62" spans="2:97" x14ac:dyDescent="0.25">
      <c r="B62" s="66"/>
      <c r="C62" s="66"/>
      <c r="D62" s="66"/>
      <c r="E62" s="66"/>
      <c r="F62" s="66"/>
      <c r="G62" s="66"/>
      <c r="H62" s="66"/>
      <c r="CM62"/>
      <c r="CN62"/>
      <c r="CO62"/>
      <c r="CP62"/>
      <c r="CQ62"/>
      <c r="CR62"/>
    </row>
    <row r="63" spans="2:97" x14ac:dyDescent="0.25">
      <c r="B63" s="66"/>
      <c r="C63" s="66"/>
      <c r="D63" s="66"/>
      <c r="E63" s="66"/>
      <c r="F63" s="66"/>
      <c r="G63" s="66"/>
      <c r="H63" s="66"/>
      <c r="CM63"/>
      <c r="CN63"/>
      <c r="CO63"/>
      <c r="CP63"/>
      <c r="CQ63"/>
      <c r="CR63"/>
    </row>
  </sheetData>
  <mergeCells count="1">
    <mergeCell ref="AP2:AP3"/>
  </mergeCells>
  <pageMargins left="0.7" right="0.7" top="0.75" bottom="0.75" header="0.3" footer="0.3"/>
  <pageSetup orientation="portrait" r:id="rId1"/>
  <customProperties>
    <customPr name="QAA_DRILLPATH_NODE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May, 02</vt:lpstr>
      <vt:lpstr>May, 05</vt:lpstr>
      <vt:lpstr>May, 06</vt:lpstr>
      <vt:lpstr>May, 07</vt:lpstr>
      <vt:lpstr>May, 08</vt:lpstr>
      <vt:lpstr>May, 09</vt:lpstr>
      <vt:lpstr>May, 12</vt:lpstr>
      <vt:lpstr>May, 13</vt:lpstr>
      <vt:lpstr>May, 14</vt:lpstr>
      <vt:lpstr>May, 15</vt:lpstr>
      <vt:lpstr>May, 16</vt:lpstr>
      <vt:lpstr>May, 19</vt:lpstr>
      <vt:lpstr>May, 20</vt:lpstr>
      <vt:lpstr>May, 21</vt:lpstr>
      <vt:lpstr>May, 22</vt:lpstr>
      <vt:lpstr>May, 23</vt:lpstr>
      <vt:lpstr>May, 26</vt:lpstr>
      <vt:lpstr>May, 27</vt:lpstr>
      <vt:lpstr>May, 28</vt:lpstr>
      <vt:lpstr>May, 29</vt:lpstr>
      <vt:lpstr>May,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ANDREA MARROQUIN GUERRA</dc:creator>
  <cp:lastModifiedBy>PAULA ANDREA MARROQUIN GUERRA</cp:lastModifiedBy>
  <dcterms:created xsi:type="dcterms:W3CDTF">2025-05-02T14:10:52Z</dcterms:created>
  <dcterms:modified xsi:type="dcterms:W3CDTF">2025-06-18T00:16:16Z</dcterms:modified>
</cp:coreProperties>
</file>